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drawings/drawing27.xml" ContentType="application/vnd.openxmlformats-officedocument.drawing+xml"/>
  <Override PartName="/xl/charts/chart20.xml" ContentType="application/vnd.openxmlformats-officedocument.drawingml.chart+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xml"/>
  <Override PartName="/xl/charts/chart25.xml" ContentType="application/vnd.openxmlformats-officedocument.drawingml.chart+xml"/>
  <Override PartName="/xl/drawings/drawing33.xml" ContentType="application/vnd.openxmlformats-officedocument.drawing+xml"/>
  <Override PartName="/xl/charts/chart26.xml" ContentType="application/vnd.openxmlformats-officedocument.drawingml.chart+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charts/chart30.xml" ContentType="application/vnd.openxmlformats-officedocument.drawingml.chart+xml"/>
  <Override PartName="/xl/drawings/drawing38.xml" ContentType="application/vnd.openxmlformats-officedocument.drawing+xml"/>
  <Override PartName="/xl/charts/chart31.xml" ContentType="application/vnd.openxmlformats-officedocument.drawingml.chart+xml"/>
  <Override PartName="/xl/drawings/drawing39.xml" ContentType="application/vnd.openxmlformats-officedocument.drawing+xml"/>
  <Override PartName="/xl/charts/chart32.xml" ContentType="application/vnd.openxmlformats-officedocument.drawingml.chart+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xml"/>
  <Override PartName="/xl/charts/chart37.xml" ContentType="application/vnd.openxmlformats-officedocument.drawingml.chart+xml"/>
  <Override PartName="/xl/drawings/drawing45.xml" ContentType="application/vnd.openxmlformats-officedocument.drawing+xml"/>
  <Override PartName="/xl/charts/chart38.xml" ContentType="application/vnd.openxmlformats-officedocument.drawingml.chart+xml"/>
  <Override PartName="/xl/drawings/drawing46.xml" ContentType="application/vnd.openxmlformats-officedocument.drawing+xml"/>
  <Override PartName="/xl/charts/chart39.xml" ContentType="application/vnd.openxmlformats-officedocument.drawingml.chart+xml"/>
  <Override PartName="/xl/drawings/drawing47.xml" ContentType="application/vnd.openxmlformats-officedocument.drawing+xml"/>
  <Override PartName="/xl/charts/chart40.xml" ContentType="application/vnd.openxmlformats-officedocument.drawingml.chart+xml"/>
  <Override PartName="/xl/drawings/drawing48.xml" ContentType="application/vnd.openxmlformats-officedocument.drawing+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xml"/>
  <Override PartName="/xl/charts/chart43.xml" ContentType="application/vnd.openxmlformats-officedocument.drawingml.chart+xml"/>
  <Override PartName="/xl/drawings/drawing51.xml" ContentType="application/vnd.openxmlformats-officedocument.drawing+xml"/>
  <Override PartName="/xl/charts/chart44.xml" ContentType="application/vnd.openxmlformats-officedocument.drawingml.chart+xml"/>
  <Override PartName="/xl/drawings/drawing52.xml" ContentType="application/vnd.openxmlformats-officedocument.drawing+xml"/>
  <Override PartName="/xl/charts/chart45.xml" ContentType="application/vnd.openxmlformats-officedocument.drawingml.chart+xml"/>
  <Override PartName="/xl/drawings/drawing53.xml" ContentType="application/vnd.openxmlformats-officedocument.drawing+xml"/>
  <Override PartName="/xl/charts/chart46.xml" ContentType="application/vnd.openxmlformats-officedocument.drawingml.chart+xml"/>
  <Override PartName="/xl/drawings/drawing54.xml" ContentType="application/vnd.openxmlformats-officedocument.drawing+xml"/>
  <Override PartName="/xl/charts/chart47.xml" ContentType="application/vnd.openxmlformats-officedocument.drawingml.chart+xml"/>
  <Override PartName="/xl/drawings/drawing55.xml" ContentType="application/vnd.openxmlformats-officedocument.drawing+xml"/>
  <Override PartName="/xl/charts/chart48.xml" ContentType="application/vnd.openxmlformats-officedocument.drawingml.chart+xml"/>
  <Override PartName="/xl/drawings/drawing56.xml" ContentType="application/vnd.openxmlformats-officedocument.drawing+xml"/>
  <Override PartName="/xl/charts/chart49.xml" ContentType="application/vnd.openxmlformats-officedocument.drawingml.chart+xml"/>
  <Override PartName="/xl/drawings/drawing57.xml" ContentType="application/vnd.openxmlformats-officedocument.drawing+xml"/>
  <Override PartName="/xl/charts/chart50.xml" ContentType="application/vnd.openxmlformats-officedocument.drawingml.chart+xml"/>
  <Override PartName="/xl/drawings/drawing58.xml" ContentType="application/vnd.openxmlformats-officedocument.drawing+xml"/>
  <Override PartName="/xl/charts/chart51.xml" ContentType="application/vnd.openxmlformats-officedocument.drawingml.chart+xml"/>
  <Override PartName="/xl/drawings/drawing59.xml" ContentType="application/vnd.openxmlformats-officedocument.drawing+xml"/>
  <Override PartName="/xl/charts/chart52.xml" ContentType="application/vnd.openxmlformats-officedocument.drawingml.chart+xml"/>
  <Override PartName="/xl/drawings/drawing60.xml" ContentType="application/vnd.openxmlformats-officedocument.drawing+xml"/>
  <Override PartName="/xl/charts/chart53.xml" ContentType="application/vnd.openxmlformats-officedocument.drawingml.chart+xml"/>
  <Override PartName="/xl/drawings/drawing61.xml" ContentType="application/vnd.openxmlformats-officedocument.drawing+xml"/>
  <Override PartName="/xl/charts/chart54.xml" ContentType="application/vnd.openxmlformats-officedocument.drawingml.chart+xml"/>
  <Override PartName="/xl/drawings/drawing62.xml" ContentType="application/vnd.openxmlformats-officedocument.drawing+xml"/>
  <Override PartName="/xl/charts/chart55.xml" ContentType="application/vnd.openxmlformats-officedocument.drawingml.chart+xml"/>
  <Override PartName="/xl/drawings/drawing63.xml" ContentType="application/vnd.openxmlformats-officedocument.drawing+xml"/>
  <Override PartName="/xl/charts/chart56.xml" ContentType="application/vnd.openxmlformats-officedocument.drawingml.chart+xml"/>
  <Override PartName="/xl/drawings/drawing64.xml" ContentType="application/vnd.openxmlformats-officedocument.drawing+xml"/>
  <Override PartName="/xl/charts/chart57.xml" ContentType="application/vnd.openxmlformats-officedocument.drawingml.chart+xml"/>
  <Override PartName="/xl/drawings/drawing65.xml" ContentType="application/vnd.openxmlformats-officedocument.drawing+xml"/>
  <Override PartName="/xl/charts/chart58.xml" ContentType="application/vnd.openxmlformats-officedocument.drawingml.chart+xml"/>
  <Override PartName="/xl/drawings/drawing66.xml" ContentType="application/vnd.openxmlformats-officedocument.drawing+xml"/>
  <Override PartName="/xl/charts/chart59.xml" ContentType="application/vnd.openxmlformats-officedocument.drawingml.chart+xml"/>
  <Override PartName="/xl/drawings/drawing67.xml" ContentType="application/vnd.openxmlformats-officedocument.drawing+xml"/>
  <Override PartName="/xl/charts/chart60.xml" ContentType="application/vnd.openxmlformats-officedocument.drawingml.chart+xml"/>
  <Override PartName="/xl/drawings/drawing68.xml" ContentType="application/vnd.openxmlformats-officedocument.drawing+xml"/>
  <Override PartName="/xl/charts/chart61.xml" ContentType="application/vnd.openxmlformats-officedocument.drawingml.chart+xml"/>
  <Override PartName="/xl/drawings/drawing69.xml" ContentType="application/vnd.openxmlformats-officedocument.drawing+xml"/>
  <Override PartName="/xl/charts/chart62.xml" ContentType="application/vnd.openxmlformats-officedocument.drawingml.chart+xml"/>
  <Override PartName="/xl/drawings/drawing70.xml" ContentType="application/vnd.openxmlformats-officedocument.drawing+xml"/>
  <Override PartName="/xl/charts/chart63.xml" ContentType="application/vnd.openxmlformats-officedocument.drawingml.chart+xml"/>
  <Override PartName="/xl/drawings/drawing71.xml" ContentType="application/vnd.openxmlformats-officedocument.drawing+xml"/>
  <Override PartName="/xl/charts/chart64.xml" ContentType="application/vnd.openxmlformats-officedocument.drawingml.chart+xml"/>
  <Override PartName="/xl/drawings/drawing72.xml" ContentType="application/vnd.openxmlformats-officedocument.drawing+xml"/>
  <Override PartName="/xl/charts/chart65.xml" ContentType="application/vnd.openxmlformats-officedocument.drawingml.chart+xml"/>
  <Override PartName="/xl/drawings/drawing73.xml" ContentType="application/vnd.openxmlformats-officedocument.drawing+xml"/>
  <Override PartName="/xl/charts/chart66.xml" ContentType="application/vnd.openxmlformats-officedocument.drawingml.chart+xml"/>
  <Override PartName="/xl/drawings/drawing74.xml" ContentType="application/vnd.openxmlformats-officedocument.drawing+xml"/>
  <Override PartName="/xl/charts/chart67.xml" ContentType="application/vnd.openxmlformats-officedocument.drawingml.chart+xml"/>
  <Override PartName="/xl/drawings/drawing75.xml" ContentType="application/vnd.openxmlformats-officedocument.drawing+xml"/>
  <Override PartName="/xl/charts/chart68.xml" ContentType="application/vnd.openxmlformats-officedocument.drawingml.chart+xml"/>
  <Override PartName="/xl/drawings/drawing76.xml" ContentType="application/vnd.openxmlformats-officedocument.drawing+xml"/>
  <Override PartName="/xl/charts/chart69.xml" ContentType="application/vnd.openxmlformats-officedocument.drawingml.chart+xml"/>
  <Override PartName="/xl/drawings/drawing77.xml" ContentType="application/vnd.openxmlformats-officedocument.drawing+xml"/>
  <Override PartName="/xl/charts/chart70.xml" ContentType="application/vnd.openxmlformats-officedocument.drawingml.chart+xml"/>
  <Override PartName="/xl/drawings/drawing78.xml" ContentType="application/vnd.openxmlformats-officedocument.drawing+xml"/>
  <Override PartName="/xl/charts/chart71.xml" ContentType="application/vnd.openxmlformats-officedocument.drawingml.chart+xml"/>
  <Override PartName="/xl/drawings/drawing79.xml" ContentType="application/vnd.openxmlformats-officedocument.drawing+xml"/>
  <Override PartName="/xl/charts/chart72.xml" ContentType="application/vnd.openxmlformats-officedocument.drawingml.chart+xml"/>
  <Override PartName="/xl/drawings/drawing80.xml" ContentType="application/vnd.openxmlformats-officedocument.drawing+xml"/>
  <Override PartName="/xl/charts/chart73.xml" ContentType="application/vnd.openxmlformats-officedocument.drawingml.chart+xml"/>
  <Override PartName="/xl/drawings/drawing81.xml" ContentType="application/vnd.openxmlformats-officedocument.drawing+xml"/>
  <Override PartName="/xl/charts/chart74.xml" ContentType="application/vnd.openxmlformats-officedocument.drawingml.chart+xml"/>
  <Override PartName="/xl/drawings/drawing82.xml" ContentType="application/vnd.openxmlformats-officedocument.drawing+xml"/>
  <Override PartName="/xl/comments2.xml" ContentType="application/vnd.openxmlformats-officedocument.spreadsheetml.comments+xml"/>
  <Override PartName="/xl/charts/chart75.xml" ContentType="application/vnd.openxmlformats-officedocument.drawingml.chart+xml"/>
  <Override PartName="/xl/drawings/drawing83.xml" ContentType="application/vnd.openxmlformats-officedocument.drawing+xml"/>
  <Override PartName="/xl/charts/chart76.xml" ContentType="application/vnd.openxmlformats-officedocument.drawingml.chart+xml"/>
  <Override PartName="/xl/drawings/drawing84.xml" ContentType="application/vnd.openxmlformats-officedocument.drawing+xml"/>
  <Override PartName="/xl/charts/chart77.xml" ContentType="application/vnd.openxmlformats-officedocument.drawingml.chart+xml"/>
  <Override PartName="/xl/drawings/drawing85.xml" ContentType="application/vnd.openxmlformats-officedocument.drawing+xml"/>
  <Override PartName="/xl/charts/chart78.xml" ContentType="application/vnd.openxmlformats-officedocument.drawingml.chart+xml"/>
  <Override PartName="/xl/drawings/drawing86.xml" ContentType="application/vnd.openxmlformats-officedocument.drawing+xml"/>
  <Override PartName="/xl/charts/chart79.xml" ContentType="application/vnd.openxmlformats-officedocument.drawingml.chart+xml"/>
  <Override PartName="/xl/drawings/drawing87.xml" ContentType="application/vnd.openxmlformats-officedocument.drawing+xml"/>
  <Override PartName="/xl/charts/chart8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8.xml" ContentType="application/vnd.openxmlformats-officedocument.drawing+xml"/>
  <Override PartName="/xl/charts/chart81.xml" ContentType="application/vnd.openxmlformats-officedocument.drawingml.chart+xml"/>
  <Override PartName="/xl/drawings/drawing89.xml" ContentType="application/vnd.openxmlformats-officedocument.drawing+xml"/>
  <Override PartName="/xl/charts/chart82.xml" ContentType="application/vnd.openxmlformats-officedocument.drawingml.chart+xml"/>
  <Override PartName="/xl/drawings/drawing90.xml" ContentType="application/vnd.openxmlformats-officedocument.drawing+xml"/>
  <Override PartName="/xl/charts/chart83.xml" ContentType="application/vnd.openxmlformats-officedocument.drawingml.chart+xml"/>
  <Override PartName="/xl/drawings/drawing91.xml" ContentType="application/vnd.openxmlformats-officedocument.drawing+xml"/>
  <Override PartName="/xl/charts/chart84.xml" ContentType="application/vnd.openxmlformats-officedocument.drawingml.chart+xml"/>
  <Override PartName="/xl/drawings/drawing92.xml" ContentType="application/vnd.openxmlformats-officedocument.drawing+xml"/>
  <Override PartName="/xl/charts/chart85.xml" ContentType="application/vnd.openxmlformats-officedocument.drawingml.chart+xml"/>
  <Override PartName="/xl/drawings/drawing93.xml" ContentType="application/vnd.openxmlformats-officedocument.drawing+xml"/>
  <Override PartName="/xl/charts/chart86.xml" ContentType="application/vnd.openxmlformats-officedocument.drawingml.chart+xml"/>
  <Override PartName="/xl/drawings/drawing94.xml" ContentType="application/vnd.openxmlformats-officedocument.drawing+xml"/>
  <Override PartName="/xl/charts/chart87.xml" ContentType="application/vnd.openxmlformats-officedocument.drawingml.chart+xml"/>
  <Override PartName="/xl/drawings/drawing95.xml" ContentType="application/vnd.openxmlformats-officedocument.drawing+xml"/>
  <Override PartName="/xl/charts/chart88.xml" ContentType="application/vnd.openxmlformats-officedocument.drawingml.chart+xml"/>
  <Override PartName="/xl/drawings/drawing96.xml" ContentType="application/vnd.openxmlformats-officedocument.drawing+xml"/>
  <Override PartName="/xl/charts/chart89.xml" ContentType="application/vnd.openxmlformats-officedocument.drawingml.chart+xml"/>
  <Override PartName="/xl/drawings/drawing97.xml" ContentType="application/vnd.openxmlformats-officedocument.drawing+xml"/>
  <Override PartName="/xl/charts/chart90.xml" ContentType="application/vnd.openxmlformats-officedocument.drawingml.chart+xml"/>
  <Override PartName="/xl/drawings/drawing98.xml" ContentType="application/vnd.openxmlformats-officedocument.drawing+xml"/>
  <Override PartName="/xl/charts/chart91.xml" ContentType="application/vnd.openxmlformats-officedocument.drawingml.chart+xml"/>
  <Override PartName="/xl/drawings/drawing99.xml" ContentType="application/vnd.openxmlformats-officedocument.drawing+xml"/>
  <Override PartName="/xl/charts/chart92.xml" ContentType="application/vnd.openxmlformats-officedocument.drawingml.chart+xml"/>
  <Override PartName="/xl/drawings/drawing100.xml" ContentType="application/vnd.openxmlformats-officedocument.drawing+xml"/>
  <Override PartName="/xl/charts/chart93.xml" ContentType="application/vnd.openxmlformats-officedocument.drawingml.chart+xml"/>
  <Override PartName="/xl/drawings/drawing101.xml" ContentType="application/vnd.openxmlformats-officedocument.drawing+xml"/>
  <Override PartName="/xl/charts/chart94.xml" ContentType="application/vnd.openxmlformats-officedocument.drawingml.chart+xml"/>
  <Override PartName="/xl/drawings/drawing102.xml" ContentType="application/vnd.openxmlformats-officedocument.drawing+xml"/>
  <Override PartName="/xl/charts/chart95.xml" ContentType="application/vnd.openxmlformats-officedocument.drawingml.chart+xml"/>
  <Override PartName="/xl/drawings/drawing103.xml" ContentType="application/vnd.openxmlformats-officedocument.drawing+xml"/>
  <Override PartName="/xl/charts/chart96.xml" ContentType="application/vnd.openxmlformats-officedocument.drawingml.chart+xml"/>
  <Override PartName="/xl/drawings/drawing104.xml" ContentType="application/vnd.openxmlformats-officedocument.drawing+xml"/>
  <Override PartName="/xl/charts/chart97.xml" ContentType="application/vnd.openxmlformats-officedocument.drawingml.chart+xml"/>
  <Override PartName="/xl/drawings/drawing105.xml" ContentType="application/vnd.openxmlformats-officedocument.drawing+xml"/>
  <Override PartName="/xl/charts/chart98.xml" ContentType="application/vnd.openxmlformats-officedocument.drawingml.chart+xml"/>
  <Override PartName="/xl/drawings/drawing106.xml" ContentType="application/vnd.openxmlformats-officedocument.drawing+xml"/>
  <Override PartName="/xl/charts/chart99.xml" ContentType="application/vnd.openxmlformats-officedocument.drawingml.chart+xml"/>
  <Override PartName="/xl/drawings/drawing107.xml" ContentType="application/vnd.openxmlformats-officedocument.drawing+xml"/>
  <Override PartName="/xl/charts/chart100.xml" ContentType="application/vnd.openxmlformats-officedocument.drawingml.chart+xml"/>
  <Override PartName="/xl/drawings/drawing108.xml" ContentType="application/vnd.openxmlformats-officedocument.drawing+xml"/>
  <Override PartName="/xl/charts/chart101.xml" ContentType="application/vnd.openxmlformats-officedocument.drawingml.chart+xml"/>
  <Override PartName="/xl/drawings/drawing109.xml" ContentType="application/vnd.openxmlformats-officedocument.drawing+xml"/>
  <Override PartName="/xl/charts/chart102.xml" ContentType="application/vnd.openxmlformats-officedocument.drawingml.chart+xml"/>
  <Override PartName="/xl/drawings/drawing110.xml" ContentType="application/vnd.openxmlformats-officedocument.drawing+xml"/>
  <Override PartName="/xl/charts/chart103.xml" ContentType="application/vnd.openxmlformats-officedocument.drawingml.chart+xml"/>
  <Override PartName="/xl/drawings/drawing111.xml" ContentType="application/vnd.openxmlformats-officedocument.drawing+xml"/>
  <Override PartName="/xl/charts/chart104.xml" ContentType="application/vnd.openxmlformats-officedocument.drawingml.chart+xml"/>
  <Override PartName="/xl/drawings/drawing112.xml" ContentType="application/vnd.openxmlformats-officedocument.drawing+xml"/>
  <Override PartName="/xl/charts/chart105.xml" ContentType="application/vnd.openxmlformats-officedocument.drawingml.chart+xml"/>
  <Override PartName="/xl/drawings/drawing113.xml" ContentType="application/vnd.openxmlformats-officedocument.drawing+xml"/>
  <Override PartName="/xl/charts/chart106.xml" ContentType="application/vnd.openxmlformats-officedocument.drawingml.chart+xml"/>
  <Override PartName="/xl/drawings/drawing114.xml" ContentType="application/vnd.openxmlformats-officedocument.drawing+xml"/>
  <Override PartName="/xl/charts/chart107.xml" ContentType="application/vnd.openxmlformats-officedocument.drawingml.chart+xml"/>
  <Override PartName="/xl/drawings/drawing115.xml" ContentType="application/vnd.openxmlformats-officedocument.drawing+xml"/>
  <Override PartName="/xl/charts/chart108.xml" ContentType="application/vnd.openxmlformats-officedocument.drawingml.chart+xml"/>
  <Override PartName="/xl/drawings/drawing116.xml" ContentType="application/vnd.openxmlformats-officedocument.drawing+xml"/>
  <Override PartName="/xl/charts/chart109.xml" ContentType="application/vnd.openxmlformats-officedocument.drawingml.chart+xml"/>
  <Override PartName="/xl/drawings/drawing117.xml" ContentType="application/vnd.openxmlformats-officedocument.drawing+xml"/>
  <Override PartName="/xl/charts/chart110.xml" ContentType="application/vnd.openxmlformats-officedocument.drawingml.chart+xml"/>
  <Override PartName="/xl/drawings/drawing118.xml" ContentType="application/vnd.openxmlformats-officedocument.drawing+xml"/>
  <Override PartName="/xl/charts/chart111.xml" ContentType="application/vnd.openxmlformats-officedocument.drawingml.chart+xml"/>
  <Override PartName="/xl/drawings/drawing119.xml" ContentType="application/vnd.openxmlformats-officedocument.drawing+xml"/>
  <Override PartName="/xl/charts/chart112.xml" ContentType="application/vnd.openxmlformats-officedocument.drawingml.chart+xml"/>
  <Override PartName="/xl/drawings/drawing120.xml" ContentType="application/vnd.openxmlformats-officedocument.drawing+xml"/>
  <Override PartName="/xl/charts/chart113.xml" ContentType="application/vnd.openxmlformats-officedocument.drawingml.chart+xml"/>
  <Override PartName="/xl/drawings/drawing121.xml" ContentType="application/vnd.openxmlformats-officedocument.drawing+xml"/>
  <Override PartName="/xl/charts/chart114.xml" ContentType="application/vnd.openxmlformats-officedocument.drawingml.chart+xml"/>
  <Override PartName="/xl/drawings/drawing122.xml" ContentType="application/vnd.openxmlformats-officedocument.drawing+xml"/>
  <Override PartName="/xl/charts/chart115.xml" ContentType="application/vnd.openxmlformats-officedocument.drawingml.chart+xml"/>
  <Override PartName="/xl/drawings/drawing123.xml" ContentType="application/vnd.openxmlformats-officedocument.drawing+xml"/>
  <Override PartName="/xl/charts/chart116.xml" ContentType="application/vnd.openxmlformats-officedocument.drawingml.chart+xml"/>
  <Override PartName="/xl/drawings/drawing124.xml" ContentType="application/vnd.openxmlformats-officedocument.drawing+xml"/>
  <Override PartName="/xl/charts/chart117.xml" ContentType="application/vnd.openxmlformats-officedocument.drawingml.chart+xml"/>
  <Override PartName="/xl/drawings/drawing125.xml" ContentType="application/vnd.openxmlformats-officedocument.drawing+xml"/>
  <Override PartName="/xl/charts/chart118.xml" ContentType="application/vnd.openxmlformats-officedocument.drawingml.chart+xml"/>
  <Override PartName="/xl/drawings/drawing126.xml" ContentType="application/vnd.openxmlformats-officedocument.drawing+xml"/>
  <Override PartName="/xl/charts/chart119.xml" ContentType="application/vnd.openxmlformats-officedocument.drawingml.chart+xml"/>
  <Override PartName="/xl/drawings/drawing127.xml" ContentType="application/vnd.openxmlformats-officedocument.drawing+xml"/>
  <Override PartName="/xl/charts/chart120.xml" ContentType="application/vnd.openxmlformats-officedocument.drawingml.chart+xml"/>
  <Override PartName="/xl/drawings/drawing128.xml" ContentType="application/vnd.openxmlformats-officedocument.drawing+xml"/>
  <Override PartName="/xl/charts/chart121.xml" ContentType="application/vnd.openxmlformats-officedocument.drawingml.chart+xml"/>
  <Override PartName="/xl/drawings/drawing129.xml" ContentType="application/vnd.openxmlformats-officedocument.drawing+xml"/>
  <Override PartName="/xl/charts/chart12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0.xml" ContentType="application/vnd.openxmlformats-officedocument.drawing+xml"/>
  <Override PartName="/xl/charts/chart1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1.xml" ContentType="application/vnd.openxmlformats-officedocument.drawing+xml"/>
  <Override PartName="/xl/charts/chart124.xml" ContentType="application/vnd.openxmlformats-officedocument.drawingml.chart+xml"/>
  <Override PartName="/xl/drawings/drawing132.xml" ContentType="application/vnd.openxmlformats-officedocument.drawing+xml"/>
  <Override PartName="/xl/comments3.xml" ContentType="application/vnd.openxmlformats-officedocument.spreadsheetml.comments+xml"/>
  <Override PartName="/xl/charts/chart125.xml" ContentType="application/vnd.openxmlformats-officedocument.drawingml.chart+xml"/>
  <Override PartName="/xl/drawings/drawing133.xml" ContentType="application/vnd.openxmlformats-officedocument.drawing+xml"/>
  <Override PartName="/xl/charts/chart126.xml" ContentType="application/vnd.openxmlformats-officedocument.drawingml.chart+xml"/>
  <Override PartName="/xl/drawings/drawing134.xml" ContentType="application/vnd.openxmlformats-officedocument.drawing+xml"/>
  <Override PartName="/xl/comments4.xml" ContentType="application/vnd.openxmlformats-officedocument.spreadsheetml.comments+xml"/>
  <Override PartName="/xl/charts/chart127.xml" ContentType="application/vnd.openxmlformats-officedocument.drawingml.chart+xml"/>
  <Override PartName="/xl/drawings/drawing135.xml" ContentType="application/vnd.openxmlformats-officedocument.drawing+xml"/>
  <Override PartName="/xl/charts/chart128.xml" ContentType="application/vnd.openxmlformats-officedocument.drawingml.chart+xml"/>
  <Override PartName="/xl/drawings/drawing136.xml" ContentType="application/vnd.openxmlformats-officedocument.drawing+xml"/>
  <Override PartName="/xl/comments5.xml" ContentType="application/vnd.openxmlformats-officedocument.spreadsheetml.comments+xml"/>
  <Override PartName="/xl/charts/chart129.xml" ContentType="application/vnd.openxmlformats-officedocument.drawingml.chart+xml"/>
  <Override PartName="/xl/drawings/drawing137.xml" ContentType="application/vnd.openxmlformats-officedocument.drawing+xml"/>
  <Override PartName="/xl/charts/chart130.xml" ContentType="application/vnd.openxmlformats-officedocument.drawingml.chart+xml"/>
  <Override PartName="/xl/drawings/drawing138.xml" ContentType="application/vnd.openxmlformats-officedocument.drawing+xml"/>
  <Override PartName="/xl/charts/chart131.xml" ContentType="application/vnd.openxmlformats-officedocument.drawingml.chart+xml"/>
  <Override PartName="/xl/drawings/drawing139.xml" ContentType="application/vnd.openxmlformats-officedocument.drawing+xml"/>
  <Override PartName="/xl/comments6.xml" ContentType="application/vnd.openxmlformats-officedocument.spreadsheetml.comments+xml"/>
  <Override PartName="/xl/charts/chart132.xml" ContentType="application/vnd.openxmlformats-officedocument.drawingml.chart+xml"/>
  <Override PartName="/xl/drawings/drawing140.xml" ContentType="application/vnd.openxmlformats-officedocument.drawing+xml"/>
  <Override PartName="/xl/charts/chart13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1.xml" ContentType="application/vnd.openxmlformats-officedocument.drawing+xml"/>
  <Override PartName="/xl/charts/chart134.xml" ContentType="application/vnd.openxmlformats-officedocument.drawingml.chart+xml"/>
  <Override PartName="/xl/drawings/drawing142.xml" ContentType="application/vnd.openxmlformats-officedocument.drawing+xml"/>
  <Override PartName="/xl/charts/chart135.xml" ContentType="application/vnd.openxmlformats-officedocument.drawingml.chart+xml"/>
  <Override PartName="/xl/drawings/drawing143.xml" ContentType="application/vnd.openxmlformats-officedocument.drawing+xml"/>
  <Override PartName="/xl/charts/chart136.xml" ContentType="application/vnd.openxmlformats-officedocument.drawingml.chart+xml"/>
  <Override PartName="/xl/drawings/drawing144.xml" ContentType="application/vnd.openxmlformats-officedocument.drawing+xml"/>
  <Override PartName="/xl/charts/chart137.xml" ContentType="application/vnd.openxmlformats-officedocument.drawingml.chart+xml"/>
  <Override PartName="/xl/drawings/drawing145.xml" ContentType="application/vnd.openxmlformats-officedocument.drawing+xml"/>
  <Override PartName="/xl/charts/chart13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mc:AlternateContent xmlns:mc="http://schemas.openxmlformats.org/markup-compatibility/2006">
    <mc:Choice Requires="x15">
      <x15ac:absPath xmlns:x15ac="http://schemas.microsoft.com/office/spreadsheetml/2010/11/ac" url="S:\TELECOMS\Interactive models\Valuation model\"/>
    </mc:Choice>
  </mc:AlternateContent>
  <xr:revisionPtr revIDLastSave="0" documentId="13_ncr:1_{B0AF0EFD-922B-4059-9843-92C814EB7A71}" xr6:coauthVersionLast="47" xr6:coauthVersionMax="47" xr10:uidLastSave="{00000000-0000-0000-0000-000000000000}"/>
  <bookViews>
    <workbookView xWindow="1572" yWindow="444" windowWidth="19524" windowHeight="15732" tabRatio="851" firstSheet="1" activeTab="1" xr2:uid="{00000000-000D-0000-FFFF-FFFF00000000}"/>
  </bookViews>
  <sheets>
    <sheet name="__FDSCACHE__" sheetId="357" state="veryHidden" r:id="rId1"/>
    <sheet name="Cover" sheetId="363" r:id="rId2"/>
    <sheet name="Prices" sheetId="5" r:id="rId3"/>
    <sheet name="DM Multiples" sheetId="209" r:id="rId4"/>
    <sheet name="EM Multiples" sheetId="246" r:id="rId5"/>
    <sheet name="Tower Multiples" sheetId="294" r:id="rId6"/>
    <sheet name="Sectors" sheetId="292" r:id="rId7"/>
    <sheet name="Disclaimer" sheetId="25" r:id="rId8"/>
    <sheet name="AAF" sheetId="359" r:id="rId9"/>
    <sheet name="ADVANCED" sheetId="194" r:id="rId10"/>
    <sheet name="AMT" sheetId="288" r:id="rId11"/>
    <sheet name="AMX" sheetId="156" r:id="rId12"/>
    <sheet name="ATCUS" sheetId="347" r:id="rId13"/>
    <sheet name="FYBR" sheetId="364" r:id="rId14"/>
    <sheet name="ATT" sheetId="214" r:id="rId15"/>
    <sheet name="AXI" sheetId="160" r:id="rId16"/>
    <sheet name="BHART" sheetId="126" r:id="rId17"/>
    <sheet name="BHIN" sheetId="293" r:id="rId18"/>
    <sheet name="BT" sheetId="16" r:id="rId19"/>
    <sheet name="CCI" sheetId="289" r:id="rId20"/>
    <sheet name="ChinaTow" sheetId="349" r:id="rId21"/>
    <sheet name="CHTR" sheetId="221" r:id="rId22"/>
    <sheet name="CHUNG" sheetId="202" r:id="rId23"/>
    <sheet name="CMCSA" sheetId="220" r:id="rId24"/>
    <sheet name="CLNX" sheetId="324" r:id="rId25"/>
    <sheet name="CNU" sheetId="355" r:id="rId26"/>
    <sheet name="_CM" sheetId="151" r:id="rId27"/>
    <sheet name="_CT" sheetId="165" r:id="rId28"/>
    <sheet name="_CU" sheetId="166" r:id="rId29"/>
    <sheet name="DIGI" sheetId="188" r:id="rId30"/>
    <sheet name="DRI" sheetId="338" r:id="rId31"/>
    <sheet name="DT" sheetId="15" r:id="rId32"/>
    <sheet name="ELISA" sheetId="123" r:id="rId33"/>
    <sheet name="ENTEL" sheetId="279" r:id="rId34"/>
    <sheet name="FAR" sheetId="204" r:id="rId35"/>
    <sheet name="HKBN" sheetId="315" r:id="rId36"/>
    <sheet name="IDEA" sheetId="141" r:id="rId37"/>
    <sheet name="IHS" sheetId="360" r:id="rId38"/>
    <sheet name="INWIT" sheetId="325" r:id="rId39"/>
    <sheet name="INDO" sheetId="137" r:id="rId40"/>
    <sheet name="KDDI" sheetId="219" r:id="rId41"/>
    <sheet name="KPN" sheetId="14" r:id="rId42"/>
    <sheet name="_KT" sheetId="187" r:id="rId43"/>
    <sheet name="_LG" sheetId="195" r:id="rId44"/>
    <sheet name="LBTY" sheetId="72" r:id="rId45"/>
    <sheet name="LiLAC" sheetId="313" r:id="rId46"/>
    <sheet name="MAQ" sheetId="356" r:id="rId47"/>
    <sheet name="MAXI" sheetId="189" r:id="rId48"/>
    <sheet name="MEGA" sheetId="307" r:id="rId49"/>
    <sheet name="MCG" sheetId="354" r:id="rId50"/>
    <sheet name="MILLI" sheetId="95" r:id="rId51"/>
    <sheet name="MITRA" sheetId="362" r:id="rId52"/>
    <sheet name="MTN" sheetId="99" r:id="rId53"/>
    <sheet name="OBEL" sheetId="154" r:id="rId54"/>
    <sheet name="MTS" sheetId="97" r:id="rId55"/>
    <sheet name="NOS" sheetId="196" r:id="rId56"/>
    <sheet name="NTT" sheetId="215" r:id="rId57"/>
    <sheet name="ORA" sheetId="4" r:id="rId58"/>
    <sheet name="OIBR" sheetId="192" r:id="rId59"/>
    <sheet name="OTE" sheetId="13" r:id="rId60"/>
    <sheet name="PROX" sheetId="125" r:id="rId61"/>
    <sheet name="PTT" sheetId="139" r:id="rId62"/>
    <sheet name="RAK" sheetId="353" r:id="rId63"/>
    <sheet name="SAF" sheetId="271" r:id="rId64"/>
    <sheet name="SATS" sheetId="241" r:id="rId65"/>
    <sheet name="SBAC" sheetId="290" r:id="rId66"/>
    <sheet name="SBKK" sheetId="178" r:id="rId67"/>
    <sheet name="SINGTEL" sheetId="162" r:id="rId68"/>
    <sheet name="SITES" sheetId="333" r:id="rId69"/>
    <sheet name="SKT" sheetId="146" r:id="rId70"/>
    <sheet name="SPK" sheetId="334" r:id="rId71"/>
    <sheet name="ST1" sheetId="344" r:id="rId72"/>
    <sheet name="SWISS" sheetId="11" r:id="rId73"/>
    <sheet name="TAIWAN" sheetId="203" r:id="rId74"/>
    <sheet name="TBIG" sheetId="296" r:id="rId75"/>
    <sheet name="TELE2" sheetId="79" r:id="rId76"/>
    <sheet name="TEF" sheetId="9" r:id="rId77"/>
    <sheet name="TELIA" sheetId="6" r:id="rId78"/>
    <sheet name="TI" sheetId="10" r:id="rId79"/>
    <sheet name="TIMP" sheetId="191" r:id="rId80"/>
    <sheet name="TKC" sheetId="118" r:id="rId81"/>
    <sheet name="TLS" sheetId="216" r:id="rId82"/>
    <sheet name="TKG" sheetId="91" r:id="rId83"/>
    <sheet name="TMUS" sheetId="105" r:id="rId84"/>
    <sheet name="TNOR" sheetId="7" r:id="rId85"/>
    <sheet name="TOWR" sheetId="295" r:id="rId86"/>
    <sheet name="TPG" sheetId="345" r:id="rId87"/>
    <sheet name="TRUECORP" sheetId="270" r:id="rId88"/>
    <sheet name="TVIS" sheetId="284" r:id="rId89"/>
    <sheet name="UTDI" sheetId="337" r:id="rId90"/>
    <sheet name="VIMP" sheetId="101" r:id="rId91"/>
    <sheet name="VIVO" sheetId="190" r:id="rId92"/>
    <sheet name="VODA" sheetId="176" r:id="rId93"/>
    <sheet name="VOD" sheetId="39" r:id="rId94"/>
    <sheet name="VZN" sheetId="213" r:id="rId95"/>
    <sheet name="XLAX" sheetId="183" r:id="rId96"/>
    <sheet name="PROPORTIONATES" sheetId="164" r:id="rId97"/>
    <sheet name="US TELCO" sheetId="247" r:id="rId98"/>
    <sheet name="US OTHER" sheetId="248" r:id="rId99"/>
    <sheet name="US TOWERS" sheetId="291" r:id="rId100"/>
    <sheet name="US AGG" sheetId="250" r:id="rId101"/>
    <sheet name="W.EUR INCUMB" sheetId="18" r:id="rId102"/>
    <sheet name="W.EUR OTHER" sheetId="44" r:id="rId103"/>
    <sheet name="W.EUR TOWER" sheetId="326" r:id="rId104"/>
    <sheet name="W.EUR AGG" sheetId="58" r:id="rId105"/>
    <sheet name="W.EUR AGG (ex Towers)" sheetId="330" r:id="rId106"/>
    <sheet name="DM ASIA INCUMB" sheetId="212" r:id="rId107"/>
    <sheet name="DM ASIA OTHER" sheetId="225" r:id="rId108"/>
    <sheet name="AGG DM ASIA" sheetId="228" r:id="rId109"/>
    <sheet name="LATAM INCUMB" sheetId="185" r:id="rId110"/>
    <sheet name="LATAM CELLULAR" sheetId="186" r:id="rId111"/>
    <sheet name="LATAM ALTNET &amp; CABLE" sheetId="308" r:id="rId112"/>
    <sheet name="LATAM AGG" sheetId="184" r:id="rId113"/>
    <sheet name="EMEA INCUMB" sheetId="103" r:id="rId114"/>
    <sheet name="EMEA CELLULAR" sheetId="104" r:id="rId115"/>
    <sheet name="EMEA AGG" sheetId="84" r:id="rId116"/>
    <sheet name="EM ASIA INCUMB" sheetId="223" r:id="rId117"/>
    <sheet name="EM ASIA CELLULAR" sheetId="226" r:id="rId118"/>
    <sheet name="AGG EM ASIA" sheetId="231" r:id="rId119"/>
    <sheet name="AGG ASIA INCUMB" sheetId="173" r:id="rId120"/>
    <sheet name="AGG ASIA CELLULAR" sheetId="170" r:id="rId121"/>
    <sheet name="AGG ASIA" sheetId="175" r:id="rId122"/>
    <sheet name="AGG DM INCUMB" sheetId="327" r:id="rId123"/>
    <sheet name="AGG DM CELLULAR" sheetId="328" r:id="rId124"/>
    <sheet name="AGG DM" sheetId="229" r:id="rId125"/>
    <sheet name="EM INCUMB" sheetId="171" r:id="rId126"/>
    <sheet name="EM CELLULAR" sheetId="172" r:id="rId127"/>
    <sheet name="EM ALTNET &amp; CABLE" sheetId="309" r:id="rId128"/>
    <sheet name="EM TOWERS" sheetId="361" r:id="rId129"/>
    <sheet name="AGG EM" sheetId="174" r:id="rId130"/>
    <sheet name="AXISOP" sheetId="161" r:id="rId131"/>
    <sheet name="BHARTSOP" sheetId="129" r:id="rId132"/>
    <sheet name="DTSOP" sheetId="27" r:id="rId133"/>
    <sheet name="ELISASOP" sheetId="124" r:id="rId134"/>
    <sheet name="IDEASOP" sheetId="142" r:id="rId135"/>
    <sheet name="KPNSOP" sheetId="29" r:id="rId136"/>
    <sheet name="MTNSOP" sheetId="100" r:id="rId137"/>
    <sheet name="OBELSOP" sheetId="155" r:id="rId138"/>
    <sheet name="ORASOP" sheetId="28" r:id="rId139"/>
    <sheet name="OTESOP" sheetId="30" r:id="rId140"/>
    <sheet name="PROXSOP" sheetId="70" r:id="rId141"/>
    <sheet name="SWISSSOP" sheetId="32" r:id="rId142"/>
    <sheet name="TEFSOP" sheetId="34" r:id="rId143"/>
    <sheet name="TELE2SOP" sheetId="80" r:id="rId144"/>
    <sheet name="TISOP" sheetId="33" r:id="rId145"/>
    <sheet name="TNORSOP" sheetId="36" r:id="rId146"/>
    <sheet name="TSONSOP" sheetId="37" r:id="rId147"/>
    <sheet name="UTDISOP" sheetId="340" r:id="rId148"/>
    <sheet name="VODSOP" sheetId="49" r:id="rId149"/>
  </sheets>
  <externalReferences>
    <externalReference r:id="rId150"/>
  </externalReferences>
  <definedNames>
    <definedName name="__FDS_HYPERLINK_TOGGLE_STATE__" hidden="1">"ON"</definedName>
    <definedName name="_CMm1">_CM!$D$9:$G$10</definedName>
    <definedName name="_CMm2">_CM!$D$12:$G$14</definedName>
    <definedName name="_CMm3">_CM!$D$16:$G$17</definedName>
    <definedName name="_CMm4">_CM!$L$25:$O$25</definedName>
    <definedName name="_CMm5">_CM!$C$23:$G$34</definedName>
    <definedName name="_CTm1">_CT!$D$9:$G$10</definedName>
    <definedName name="_CTm2">_CT!$D$12:$G$13</definedName>
    <definedName name="_CTm3">_CT!$D$16:$G$17</definedName>
    <definedName name="_CTm4">_CT!$L$25:$O$25</definedName>
    <definedName name="_CTm5">_CT!$C$23:$G$33</definedName>
    <definedName name="_CUm1">_CU!$D$9:$G$10</definedName>
    <definedName name="_CUm2">_CU!$D$12:$G$13</definedName>
    <definedName name="_CUm3">_CU!$D$16:$G$17</definedName>
    <definedName name="_CUm4">_CU!$L$25:$O$25</definedName>
    <definedName name="_CUm5">_CU!$C$23:$G$33</definedName>
    <definedName name="_xlnm._FilterDatabase" localSheetId="3" hidden="1">'DM Multiples'!$C$8:$C$785</definedName>
    <definedName name="_xlnm._FilterDatabase" localSheetId="4" hidden="1">'EM Multiples'!$I$8:$L$812</definedName>
    <definedName name="_Key1" localSheetId="123" hidden="1">#REF!</definedName>
    <definedName name="_Key1" localSheetId="122" hidden="1">#REF!</definedName>
    <definedName name="_Key1" localSheetId="10" hidden="1">#REF!</definedName>
    <definedName name="_Key1" localSheetId="12" hidden="1">#REF!</definedName>
    <definedName name="_Key1" localSheetId="17" hidden="1">#REF!</definedName>
    <definedName name="_Key1" localSheetId="19" hidden="1">#REF!</definedName>
    <definedName name="_Key1" localSheetId="20" hidden="1">#REF!</definedName>
    <definedName name="_Key1" localSheetId="24" hidden="1">#REF!</definedName>
    <definedName name="_Key1" localSheetId="25" hidden="1">#REF!</definedName>
    <definedName name="_Key1" localSheetId="30" hidden="1">#REF!</definedName>
    <definedName name="_Key1" localSheetId="127" hidden="1">#REF!</definedName>
    <definedName name="_Key1" localSheetId="128" hidden="1">#REF!</definedName>
    <definedName name="_Key1" localSheetId="33" hidden="1">#REF!</definedName>
    <definedName name="_Key1" localSheetId="13" hidden="1">#REF!</definedName>
    <definedName name="_Key1" localSheetId="35" hidden="1">#REF!</definedName>
    <definedName name="_Key1" localSheetId="37" hidden="1">#REF!</definedName>
    <definedName name="_Key1" localSheetId="38" hidden="1">#REF!</definedName>
    <definedName name="_Key1" localSheetId="111" hidden="1">#REF!</definedName>
    <definedName name="_Key1" localSheetId="45" hidden="1">#REF!</definedName>
    <definedName name="_Key1" localSheetId="46" hidden="1">#REF!</definedName>
    <definedName name="_Key1" localSheetId="49" hidden="1">#REF!</definedName>
    <definedName name="_Key1" localSheetId="48" hidden="1">#REF!</definedName>
    <definedName name="_Key1" localSheetId="51" hidden="1">#REF!</definedName>
    <definedName name="_Key1" localSheetId="62" hidden="1">#REF!</definedName>
    <definedName name="_Key1" localSheetId="65" hidden="1">#REF!</definedName>
    <definedName name="_Key1" localSheetId="68" hidden="1">#REF!</definedName>
    <definedName name="_Key1" localSheetId="70" hidden="1">#REF!</definedName>
    <definedName name="_Key1" localSheetId="71" hidden="1">#REF!</definedName>
    <definedName name="_Key1" localSheetId="74" hidden="1">#REF!</definedName>
    <definedName name="_Key1" localSheetId="85" hidden="1">#REF!</definedName>
    <definedName name="_Key1" localSheetId="86" hidden="1">#REF!</definedName>
    <definedName name="_Key1" localSheetId="88" hidden="1">#REF!</definedName>
    <definedName name="_Key1" localSheetId="99" hidden="1">#REF!</definedName>
    <definedName name="_Key1" localSheetId="89" hidden="1">#REF!</definedName>
    <definedName name="_Key1" localSheetId="105" hidden="1">#REF!</definedName>
    <definedName name="_Key1" localSheetId="103" hidden="1">#REF!</definedName>
    <definedName name="_Key1" hidden="1">#REF!</definedName>
    <definedName name="_KTm1">_KT!$D$9:$G$10</definedName>
    <definedName name="_KTm2">_KT!$D$12:$G$13</definedName>
    <definedName name="_KTm3">_KT!$D$16:$G$17</definedName>
    <definedName name="_KTm4">_KT!$L$25:$O$25</definedName>
    <definedName name="_KTm5">_KT!$C$23:$G$33</definedName>
    <definedName name="_LGm1">_LG!$D$9:$G$10</definedName>
    <definedName name="_LGm2">_LG!$D$12:$G$13</definedName>
    <definedName name="_LGm3">_LG!$D$16:$G$17</definedName>
    <definedName name="_LGm4">_LG!$L$25:$O$25</definedName>
    <definedName name="_LGm5">_LG!$C$23:$G$33</definedName>
    <definedName name="_Order1" hidden="1">255</definedName>
    <definedName name="_Sort" localSheetId="123" hidden="1">#REF!</definedName>
    <definedName name="_Sort" localSheetId="122" hidden="1">#REF!</definedName>
    <definedName name="_Sort" localSheetId="10" hidden="1">#REF!</definedName>
    <definedName name="_Sort" localSheetId="12" hidden="1">#REF!</definedName>
    <definedName name="_Sort" localSheetId="17" hidden="1">#REF!</definedName>
    <definedName name="_Sort" localSheetId="19" hidden="1">#REF!</definedName>
    <definedName name="_Sort" localSheetId="20" hidden="1">#REF!</definedName>
    <definedName name="_Sort" localSheetId="24" hidden="1">#REF!</definedName>
    <definedName name="_Sort" localSheetId="25" hidden="1">#REF!</definedName>
    <definedName name="_Sort" localSheetId="30" hidden="1">#REF!</definedName>
    <definedName name="_Sort" localSheetId="127" hidden="1">#REF!</definedName>
    <definedName name="_Sort" localSheetId="128" hidden="1">#REF!</definedName>
    <definedName name="_Sort" localSheetId="33" hidden="1">#REF!</definedName>
    <definedName name="_Sort" localSheetId="13" hidden="1">#REF!</definedName>
    <definedName name="_Sort" localSheetId="35" hidden="1">#REF!</definedName>
    <definedName name="_Sort" localSheetId="37" hidden="1">#REF!</definedName>
    <definedName name="_Sort" localSheetId="38" hidden="1">#REF!</definedName>
    <definedName name="_Sort" localSheetId="111" hidden="1">#REF!</definedName>
    <definedName name="_Sort" localSheetId="45" hidden="1">#REF!</definedName>
    <definedName name="_Sort" localSheetId="46" hidden="1">#REF!</definedName>
    <definedName name="_Sort" localSheetId="49" hidden="1">#REF!</definedName>
    <definedName name="_Sort" localSheetId="48" hidden="1">#REF!</definedName>
    <definedName name="_Sort" localSheetId="51" hidden="1">#REF!</definedName>
    <definedName name="_Sort" localSheetId="62" hidden="1">#REF!</definedName>
    <definedName name="_Sort" localSheetId="65" hidden="1">#REF!</definedName>
    <definedName name="_Sort" localSheetId="68" hidden="1">#REF!</definedName>
    <definedName name="_Sort" localSheetId="70" hidden="1">#REF!</definedName>
    <definedName name="_Sort" localSheetId="71" hidden="1">#REF!</definedName>
    <definedName name="_Sort" localSheetId="74" hidden="1">#REF!</definedName>
    <definedName name="_Sort" localSheetId="85" hidden="1">#REF!</definedName>
    <definedName name="_Sort" localSheetId="86" hidden="1">#REF!</definedName>
    <definedName name="_Sort" localSheetId="88" hidden="1">#REF!</definedName>
    <definedName name="_Sort" localSheetId="99" hidden="1">#REF!</definedName>
    <definedName name="_Sort" localSheetId="89" hidden="1">#REF!</definedName>
    <definedName name="_Sort" localSheetId="105" hidden="1">#REF!</definedName>
    <definedName name="_Sort" localSheetId="103" hidden="1">#REF!</definedName>
    <definedName name="_Sort" hidden="1">#REF!</definedName>
    <definedName name="AAFm1" localSheetId="8">AAF!$D$9:$G$10</definedName>
    <definedName name="AAFm2" localSheetId="8">AAF!$D$12:$G$13</definedName>
    <definedName name="AAFm3" localSheetId="8">AAF!$D$14:$G$17</definedName>
    <definedName name="AAFm4" localSheetId="8">AAF!$L$25:$O$25</definedName>
    <definedName name="AAFm5" localSheetId="8">AAF!$C$23:$G$33</definedName>
    <definedName name="ADVANCEDm1">ADVANCED!$D$9:$G$10</definedName>
    <definedName name="ADVANCEDm2">ADVANCED!$D$12:$G$13</definedName>
    <definedName name="ADVANCEDm3">ADVANCED!$D$16:$G$17</definedName>
    <definedName name="ADVANCEDm4">ADVANCED!$L$25:$O$25</definedName>
    <definedName name="ADVANCEDm5">ADVANCED!$C$23:$G$33</definedName>
    <definedName name="altnettarget">Prices!$E$22:$E$33</definedName>
    <definedName name="AMTm1" localSheetId="10">AMT!$D$9:$G$10</definedName>
    <definedName name="AMTm2" localSheetId="10">AMT!$D$12:$G$13</definedName>
    <definedName name="AMTm3" localSheetId="10">AMT!$D$16:$G$17</definedName>
    <definedName name="AMTm4" localSheetId="10">AMT!$L$25:$O$25</definedName>
    <definedName name="AMTm5" localSheetId="10">AMT!$C$23:$G$33</definedName>
    <definedName name="AMTm6">AMT!$D$14:$G$15</definedName>
    <definedName name="AMXm1">AMX!$D$9:$G$10</definedName>
    <definedName name="AMXm2">AMX!$D$12:$G$13</definedName>
    <definedName name="AMXm3">AMX!$D$16:$G$17</definedName>
    <definedName name="AMXm4">AMX!$L$25:$O$25</definedName>
    <definedName name="AMXm5">AMX!$C$23:$G$33</definedName>
    <definedName name="anscount" hidden="1">1</definedName>
    <definedName name="ATCUSm1">ATCUS!$D$9:$G$10</definedName>
    <definedName name="ATCUSm2">ATCUS!$D$12:$G$13</definedName>
    <definedName name="ATCUSm3">ATCUS!$D$16:$G$17</definedName>
    <definedName name="ATCUSm4">ATCUS!$L$25:$O$25</definedName>
    <definedName name="ATCUSm5">ATCUS!$C$23:$G$33</definedName>
    <definedName name="ATCUSm6">ATCUS!$D$14:$G$15</definedName>
    <definedName name="ATTM1">ATT!$D$9:$G$10</definedName>
    <definedName name="ATTM2">ATT!$D$12:$G$13</definedName>
    <definedName name="ATTM3">ATT!$D$16:$G$17</definedName>
    <definedName name="ATTM4">ATT!$L$25:$O$25</definedName>
    <definedName name="ATTM5">ATT!$C$23:$G$33</definedName>
    <definedName name="ATTm6">ATT!$D$14:$G$15</definedName>
    <definedName name="axim1">AXI!$D$9:$G$10</definedName>
    <definedName name="axim2">AXI!$D$12:$G$13</definedName>
    <definedName name="axim3">AXI!$D$16:$G$17</definedName>
    <definedName name="axim4">AXI!$L$25:$O$25</definedName>
    <definedName name="axim5">AXI!$C$23:$G$33</definedName>
    <definedName name="bhartm1">BHART!$D$9:$G$10</definedName>
    <definedName name="bhartm2">BHART!$D$12:$G$13</definedName>
    <definedName name="bhartm3">BHART!$D$16:$G$17</definedName>
    <definedName name="bhartm4">BHART!$L$25:$O$25</definedName>
    <definedName name="bhartm5">BHART!$C$23:$G$33</definedName>
    <definedName name="BHINm1" localSheetId="17">BHIN!$D$9:$G$10</definedName>
    <definedName name="BHINm2" localSheetId="17">BHIN!$D$12:$G$13</definedName>
    <definedName name="BHINm3" localSheetId="17">BHIN!$D$16:$G$17</definedName>
    <definedName name="BHINm4" localSheetId="17">BHIN!$L$25:$O$25</definedName>
    <definedName name="BHINm5" localSheetId="17">BHIN!$C$23:$G$33</definedName>
    <definedName name="BHINtwr1">BHIN!$L$31:$O$31</definedName>
    <definedName name="BHINtwr2">BHIN!$L$32:$O$32</definedName>
    <definedName name="BT_m1">BT!$D$9:$G$10</definedName>
    <definedName name="BT_m2">BT!$D$12:$G$13</definedName>
    <definedName name="BT_m3">BT!$D$16:$G$17</definedName>
    <definedName name="BT_m4">BT!$L$25:$O$25</definedName>
    <definedName name="BT_m5">BT!$C$23:$G$33</definedName>
    <definedName name="CATVtargets">Prices!$E$24:$E$33</definedName>
    <definedName name="CCIm1" localSheetId="19">CCI!$D$9:$G$10</definedName>
    <definedName name="CCIm2" localSheetId="19">CCI!$D$12:$G$13</definedName>
    <definedName name="CCIm3" localSheetId="19">CCI!$D$16:$G$17</definedName>
    <definedName name="CCIm4" localSheetId="19">CCI!$L$25:$O$25</definedName>
    <definedName name="CCIm5" localSheetId="19">CCI!$C$23:$G$33</definedName>
    <definedName name="CCIm6">CCI!$D$14:$G$15</definedName>
    <definedName name="ChinaTowm1">ChinaTow!$D$9:$G$10</definedName>
    <definedName name="ChinaTowm2">ChinaTow!$D$12:$G$13</definedName>
    <definedName name="ChinaTowm3">ChinaTow!$D$16:$G$17</definedName>
    <definedName name="ChinaTowm4">ChinaTow!$L$25:$O$25</definedName>
    <definedName name="ChinaTowm5">ChinaTow!$C$23:$G$33</definedName>
    <definedName name="ChinaTowtwr1">ChinaTow!$L$31:$O$31</definedName>
    <definedName name="ChinaTowtwr2">ChinaTow!$L$32:$O$32</definedName>
    <definedName name="chorusrecpt">Prices!$D$60:$E$60</definedName>
    <definedName name="CHTRM1">CHTR!$D$9:$G$10</definedName>
    <definedName name="CHTRM2">CHTR!$D$12:$G$13</definedName>
    <definedName name="CHTRM3">CHTR!$D$16:$G$17</definedName>
    <definedName name="CHTRM4">CHTR!$L$25:$O$25</definedName>
    <definedName name="CHTRM5">CHTR!$C$23:$G$33</definedName>
    <definedName name="CHTRm6">CHTR!$D$14:$G$15</definedName>
    <definedName name="CHUNGM1">CHUNG!$D$9:$G$10</definedName>
    <definedName name="CHUNGM2">CHUNG!$D$12:$G$13</definedName>
    <definedName name="CHUNGM3">CHUNG!$D$16:$G$17</definedName>
    <definedName name="CHUNGM4">CHUNG!$L$25:$O$25</definedName>
    <definedName name="CHUNGM5">CHUNG!$C$23:$G$33</definedName>
    <definedName name="CLNX_m1">CLNX!$D$9:$G$10</definedName>
    <definedName name="CLNX_m2">CLNX!$D$12:$G$13</definedName>
    <definedName name="CLNX_m3">CLNX!$D$16:$G$17</definedName>
    <definedName name="CLNX_m4">CLNX!$L$25:$O$25</definedName>
    <definedName name="CLNX_m5">CLNX!$C$23:$G$33</definedName>
    <definedName name="CMCSAM1">CMCSA!$D$9:$G$10</definedName>
    <definedName name="CMCSAM2">CMCSA!$D$12:$G$13</definedName>
    <definedName name="CMCSAM3">CMCSA!$D$16:$G$17</definedName>
    <definedName name="CMCSAM4">CMCSA!$L$25:$O$25</definedName>
    <definedName name="CMCSAM5">CMCSA!$C$23:$G$33</definedName>
    <definedName name="CMCSAm6">CMCSA!$D$14:$G$15</definedName>
    <definedName name="CNUm1">CNU!$D$9:$G$10</definedName>
    <definedName name="CNUm2">CNU!$D$12:$G$13</definedName>
    <definedName name="CNUm3">CNU!$D$14:$G$15</definedName>
    <definedName name="CNUm4">CNU!$D$16:$G$17</definedName>
    <definedName name="CNUm5">CNU!$L$25:$O$25</definedName>
    <definedName name="CNUm6">CNU!$C$23:$G$33</definedName>
    <definedName name="DIGIm1">DIGI!$D$9:$G$10</definedName>
    <definedName name="DIGIm2">DIGI!$D$12:$G$13</definedName>
    <definedName name="DIGIm3">DIGI!$D$16:$G$17</definedName>
    <definedName name="DIGIm4">DIGI!$L$25:$O$25</definedName>
    <definedName name="DIGIm5">DIGI!$C$23:$G$33</definedName>
    <definedName name="DM_Asia_Incumbp1">Prices!$C$56:$C$56</definedName>
    <definedName name="DM_Asia_Incumbp3">Prices!$C$58</definedName>
    <definedName name="DM_Asia_Incumbr1">Prices!$D$56:$D$56</definedName>
    <definedName name="DM_Asia_Incumbr3">Prices!$D$58</definedName>
    <definedName name="DM_Asia_Incumbt1">Prices!$E$56:$E$56</definedName>
    <definedName name="DM_Asia_Incumbt3">Prices!$E$58</definedName>
    <definedName name="DM_Asia_price">Prices!$C$63:$C$68</definedName>
    <definedName name="DM_Asia_rating">Prices!$D$63:$D$68</definedName>
    <definedName name="DM_Asia_Target">Prices!$E$63:$E$68</definedName>
    <definedName name="DM_Multiples1">'DM Multiples'!$C$4:$V$58</definedName>
    <definedName name="DM_Multiples10">'DM Multiples'!$C$667:$V$718</definedName>
    <definedName name="DM_Multiples11">'DM Multiples'!$C$727:$V$778</definedName>
    <definedName name="DM_Multiples2">'DM Multiples'!$C$67:$V$118</definedName>
    <definedName name="DM_Multiples3">'DM Multiples'!$C$127:$V$178</definedName>
    <definedName name="DM_Multiples4">'DM Multiples'!$C$187:$V$238</definedName>
    <definedName name="DM_Multiples5">'DM Multiples'!$C$247:$V$298</definedName>
    <definedName name="DM_Multiples6">'DM Multiples'!$C$307:$V$358</definedName>
    <definedName name="DM_Multiples7">'DM Multiples'!$C$367:$V$418</definedName>
    <definedName name="DM_Multiples8">'DM Multiples'!$C$427:$V$478</definedName>
    <definedName name="DM_Multiples9">'DM Multiples'!$C$487:$V$538</definedName>
    <definedName name="DMprice1">Prices!$C$56:$C$70</definedName>
    <definedName name="DMprice2">Prices!$C$63:$C$65</definedName>
    <definedName name="DMprice3">Prices!$C$68</definedName>
    <definedName name="DMrating1">Prices!$D$56:$D$70</definedName>
    <definedName name="DMrating2">Prices!$D$63:$D$65</definedName>
    <definedName name="DMrating3">Prices!$D$68</definedName>
    <definedName name="DMtarget1">Prices!$E$56:$E$70</definedName>
    <definedName name="DMtarget2">Prices!$E$63:$E$65</definedName>
    <definedName name="DMtarget3">Prices!$E$68</definedName>
    <definedName name="DRI_m1">DRI!$D$9:$G$10</definedName>
    <definedName name="DRI_m2">DRI!$D$12:$G$13</definedName>
    <definedName name="DRI_m3">DRI!$D$16:$G$17</definedName>
    <definedName name="DRI_m4">DRI!$L$25:$O$25</definedName>
    <definedName name="DRI_m5">DRI!$C$23:$G$33</definedName>
    <definedName name="DT_m1">DT!$D$9:$G$10</definedName>
    <definedName name="DT_m2">DT!$D$12:$G$13</definedName>
    <definedName name="DT_m3">DT!$D$16:$G$17</definedName>
    <definedName name="DT_m4">DT!$L$25:$O$25</definedName>
    <definedName name="DT_m5">DT!$C$23:$G$33</definedName>
    <definedName name="ELISA_m1">ELISA!$D$9:$G$10</definedName>
    <definedName name="ELISA_m2">ELISA!$D$12:$G$13</definedName>
    <definedName name="ELISA_m3">ELISA!$D$16:$G$17</definedName>
    <definedName name="ELISA_m4">ELISA!$L$25:$O$25</definedName>
    <definedName name="ELISA_m5">ELISA!$C$23:$G$33</definedName>
    <definedName name="EM_Asia_prices">Prices!$C$74:$C$101</definedName>
    <definedName name="EM_Asia_ratings">Prices!$D$74:$D$101</definedName>
    <definedName name="EM_Asia_targets">Prices!$E$74:$E$101</definedName>
    <definedName name="EM_Multiples1">'EM Multiples'!$C$6:$V$54</definedName>
    <definedName name="EM_Multiples10">'EM Multiples'!$C$689:$V$736</definedName>
    <definedName name="EM_Multiples11">'EM Multiples'!$C$751:$V$798</definedName>
    <definedName name="EM_Multiples2">'EM Multiples'!$C$69:$V$116</definedName>
    <definedName name="EM_Multiples3">'EM Multiples'!$C$131:$V$178</definedName>
    <definedName name="EM_Multiples4">'EM Multiples'!$C$193:$V$240</definedName>
    <definedName name="EM_Multiples5">'EM Multiples'!$C$255:$V$302</definedName>
    <definedName name="EM_Multiples6">'EM Multiples'!$C$317:$V$364</definedName>
    <definedName name="EM_Multiples7">'EM Multiples'!$C$379:$V$426</definedName>
    <definedName name="EM_Multiples8">'EM Multiples'!$C$441:$V$488</definedName>
    <definedName name="EM_Multiples9">'EM Multiples'!$C$503:$V$550</definedName>
    <definedName name="EMDTH_rating">Prices!$D$117</definedName>
    <definedName name="EMDTH_target">Prices!$E$117</definedName>
    <definedName name="EMEA_prices">Prices!$C$104:$C$114</definedName>
    <definedName name="EMEA_rating">Prices!$D$104:$D$114</definedName>
    <definedName name="EMEA_target">Prices!$E$104:$E$114</definedName>
    <definedName name="EMEAprice1">Prices!$C$104:$C$105</definedName>
    <definedName name="EMEAprice2">Prices!$C$109:$C$114</definedName>
    <definedName name="EMEArating1">Prices!$D$104:$D$105</definedName>
    <definedName name="EMEArating2">Prices!$D$109:$D$114</definedName>
    <definedName name="EMEAtarget1">Prices!$E$104:$E$105</definedName>
    <definedName name="EMEAtarget2">Prices!$E$109:$E$114</definedName>
    <definedName name="EMprice1">Prices!$C$74:$C$77</definedName>
    <definedName name="EMprice2">Prices!$C$80:$C$94</definedName>
    <definedName name="EMprice4">Prices!$C$97:$C$100</definedName>
    <definedName name="EMrating1">Prices!$D$74:$D$77</definedName>
    <definedName name="EMrating2">Prices!$D$80:$D$94</definedName>
    <definedName name="EMrating4">Prices!$D$97:$D$100</definedName>
    <definedName name="EMtarget1">Prices!$E$74:$E$77</definedName>
    <definedName name="EMtarget2">Prices!$E$80:$E$94</definedName>
    <definedName name="EMtarget4">Prices!$E$97:$E$100</definedName>
    <definedName name="ENTELm1" localSheetId="33">ENTEL!$D$9:$G$10</definedName>
    <definedName name="ENTELm2" localSheetId="33">ENTEL!$D$12:$G$13</definedName>
    <definedName name="ENTELm3" localSheetId="33">ENTEL!$D$16:$G$17</definedName>
    <definedName name="ENTELm4" localSheetId="33">ENTEL!$L$25:$O$25</definedName>
    <definedName name="ENTELm5" localSheetId="33">ENTEL!$C$23:$G$33</definedName>
    <definedName name="export_dm_ebitda_growth">'DM Multiples'!$C$308:$S$332</definedName>
    <definedName name="export_dm_mults">'DM Multiples'!$C$8:$S$32</definedName>
    <definedName name="export_dm_rev_growth">'DM Multiples'!$C$248:$S$272</definedName>
    <definedName name="FARm1">FAR!$D$9:$G$10</definedName>
    <definedName name="FARm2">FAR!$D$12:$G$13</definedName>
    <definedName name="FARm3">FAR!$D$16:$G$17</definedName>
    <definedName name="FARm4">FAR!$L$25:$O$25</definedName>
    <definedName name="FARm5">FAR!$C$23:$G$33</definedName>
    <definedName name="FYBRm1" localSheetId="13">FYBR!$D$9:$G$10</definedName>
    <definedName name="FYBRm2" localSheetId="13">FYBR!$D$12:$G$13</definedName>
    <definedName name="FYBRm3" localSheetId="13">FYBR!$D$16:$G$17</definedName>
    <definedName name="FYBRm4" localSheetId="13">FYBR!$L$25:$O$25</definedName>
    <definedName name="FYBRm5" localSheetId="13">FYBR!$C$23:$G$33</definedName>
    <definedName name="FYBRm6" localSheetId="13">FYBR!$D$14:$G$15</definedName>
    <definedName name="global1">Prices!$C$8:$E$19</definedName>
    <definedName name="global10">Prices!$C$56:$E$70</definedName>
    <definedName name="global11">Prices!$C$63:$E$65</definedName>
    <definedName name="global111">Prices!$C$63:$E$65</definedName>
    <definedName name="global12">Prices!$C$68:$E$68</definedName>
    <definedName name="global13">Prices!$C$74:$E$77</definedName>
    <definedName name="global14">Prices!$C$80:$E$94</definedName>
    <definedName name="global16">Prices!$C$97:$E$100</definedName>
    <definedName name="global17">Prices!$C$104:$E$105</definedName>
    <definedName name="global18">Prices!$C$109:$E$114</definedName>
    <definedName name="global19">Prices!$C$123:$E$127</definedName>
    <definedName name="global2">Prices!$C$23:$E$32</definedName>
    <definedName name="global20">Prices!$C$130:$E$132</definedName>
    <definedName name="global21">Prices!$C$135:$E$138</definedName>
    <definedName name="global22">Prices!$C$35:$E$36</definedName>
    <definedName name="global23">Prices!$C$141:$E$141</definedName>
    <definedName name="global3">Prices!$C$22:$E$33</definedName>
    <definedName name="global4">Prices!$C$24:$E$33</definedName>
    <definedName name="global6">Prices!$C$40:$E$41</definedName>
    <definedName name="global7">Prices!$C$45:$E$47</definedName>
    <definedName name="global8">Prices!$C$48:$E$48</definedName>
    <definedName name="global9">Prices!$C$51:$E$53</definedName>
    <definedName name="headings">AAF!$D$5:$H$5</definedName>
    <definedName name="HKBNm1">HKBN!$D$9:$G$10</definedName>
    <definedName name="HKBNm2">HKBN!$D$12:$G$13</definedName>
    <definedName name="HKBNm3">HKBN!$D$16:$G$17</definedName>
    <definedName name="HKBNm4">HKBN!$L$25:$O$25</definedName>
    <definedName name="HKBNm5">HKBN!$C$23:$G$33</definedName>
    <definedName name="ideam1">IDEA!$D$9:$G$10</definedName>
    <definedName name="ideam2">IDEA!$D$12:$G$13</definedName>
    <definedName name="ideam3">IDEA!$D$16:$G$17</definedName>
    <definedName name="ideam4">IDEA!$L$25:$O$25</definedName>
    <definedName name="ideam5">IDEA!$C$23:$G$33</definedName>
    <definedName name="IHS_rating">Prices!$D$120</definedName>
    <definedName name="IHS_target">Prices!$E$120</definedName>
    <definedName name="IHSm1">IHS!$D$9:$G$10</definedName>
    <definedName name="IHSm2">IHS!$D$12:$G$17</definedName>
    <definedName name="IHSm3">IHS!$D$14:$G$17</definedName>
    <definedName name="IHSm4">IHS!$L$25:$O$25</definedName>
    <definedName name="IHSm5">IHS!$C$23:$G$33</definedName>
    <definedName name="IHSm6">IHS!$L$31:$O$32</definedName>
    <definedName name="indom1">INDO!$D$9:$G$10</definedName>
    <definedName name="indom2">INDO!$D$12:$G$13</definedName>
    <definedName name="indom3">INDO!$D$16:$G$17</definedName>
    <definedName name="indom4">INDO!$L$25:$O$25</definedName>
    <definedName name="indom5">INDO!$C$23:$G$33</definedName>
    <definedName name="INWIT_m1">INWIT!$D$9:$G$10</definedName>
    <definedName name="INWIT_m2">INWIT!$D$12:$G$13</definedName>
    <definedName name="INWIT_m3">INWIT!$D$16:$G$17</definedName>
    <definedName name="INWIT_m4">INWIT!$L$25:$O$25</definedName>
    <definedName name="INWIT_m5">INWIT!$C$23:$G$33</definedName>
    <definedName name="KDDIM1">KDDI!$D$9:$G$10</definedName>
    <definedName name="KDDIM2">KDDI!$D$12:$G$13</definedName>
    <definedName name="KDDIM3">KDDI!$D$16:$G$17</definedName>
    <definedName name="KDDIM4">KDDI!$L$25:$O$25</definedName>
    <definedName name="KDDIM5">KDDI!$C$23:$G$33</definedName>
    <definedName name="KPN_m1">KPN!$D$9:$G$10</definedName>
    <definedName name="KPN_m2">KPN!$D$12:$G$13</definedName>
    <definedName name="KPN_m3">KPN!$D$16:$G$17</definedName>
    <definedName name="KPN_m4">KPN!$L$25:$O$25</definedName>
    <definedName name="KPN_m5">KPN!$C$23:$G$33</definedName>
    <definedName name="LatAm_prices">Prices!$C$123:$C$138</definedName>
    <definedName name="LatAm_rating">Prices!$D$123:$D$138</definedName>
    <definedName name="LatAm_target">Prices!$E$123:$E$138</definedName>
    <definedName name="LatAm_Trating">Prices!$D$141</definedName>
    <definedName name="LatAm_Ttarget">Prices!$E$141</definedName>
    <definedName name="Latprice1">Prices!$C$123:$C$127</definedName>
    <definedName name="latprice2">Prices!$C$130:$C$132</definedName>
    <definedName name="latprice3">Prices!$C$135:$C$138</definedName>
    <definedName name="Latrating1">Prices!$D$123:$D$127</definedName>
    <definedName name="latrating2">Prices!$D$130:$D$132</definedName>
    <definedName name="latrating3">Prices!$D$135:$D$138</definedName>
    <definedName name="Lattarget1">Prices!$E$123:$E$127</definedName>
    <definedName name="lattarget2">Prices!$E$130:$E$132</definedName>
    <definedName name="lattarget3">Prices!$E$135:$E$138</definedName>
    <definedName name="latTprice">Prices!$C$141</definedName>
    <definedName name="LBTY_m1">LBTY!$D$9:$G$10</definedName>
    <definedName name="LBTY_m2">LBTY!$D$12:$G$13</definedName>
    <definedName name="LBTY_m3">LBTY!$D$16:$G$17</definedName>
    <definedName name="LBTY_m4">LBTY!$L$25:$O$25</definedName>
    <definedName name="LBTY_m5">LBTY!$C$23:$G$33</definedName>
    <definedName name="LiLACm1">LiLAC!$D$10:$G$10</definedName>
    <definedName name="LiLACm2">LiLAC!$D$12:$G$14</definedName>
    <definedName name="LiLACm3" localSheetId="45">LiLAC!$D$16:$G$17</definedName>
    <definedName name="LiLACm4" localSheetId="45">LiLAC!$L$25:$O$25</definedName>
    <definedName name="LiLACm5" localSheetId="45">LiLAC!$C$23:$G$33</definedName>
    <definedName name="limcount" hidden="1">1</definedName>
    <definedName name="macquarierecpt">Prices!$D$71:$E$71</definedName>
    <definedName name="MAQm1">MAQ!$D$9:$G$10</definedName>
    <definedName name="MAQm2">MAQ!$D$12:$G$13</definedName>
    <definedName name="MAQm3">MAQ!$D$14:$G$15</definedName>
    <definedName name="MAQm4">MAQ!$D$16:$G$17</definedName>
    <definedName name="MAQm5">MAQ!$L$25:$O$25</definedName>
    <definedName name="MAQm6">MAQ!$C$23:$G$33</definedName>
    <definedName name="MAXIm1">MAXI!$D$9:$G$10</definedName>
    <definedName name="MAXIm2">MAXI!$D$12:$G$13</definedName>
    <definedName name="MAXIm3">MAXI!$D$16:$G$17</definedName>
    <definedName name="MAXIm4">MAXI!$L$25:$O$25</definedName>
    <definedName name="MAXIm5">MAXI!$C$23:$G$33</definedName>
    <definedName name="MAXISm1">[1]MAXIS!$D$11:$G$12</definedName>
    <definedName name="MAXISm2">[1]MAXIS!$D$14:$G$15</definedName>
    <definedName name="MAXISm3">[1]MAXIS!$D$18:$G$19</definedName>
    <definedName name="MAXISm4">[1]MAXIS!$L$24:$O$24</definedName>
    <definedName name="MAXISm5">[1]MAXIS!$C$24:$G$33</definedName>
    <definedName name="MAXISmnsr1">[1]MAXIS!$AF$12:$AI$13</definedName>
    <definedName name="MAXISmnsr2">[1]MAXIS!$AF$14:$AI$15</definedName>
    <definedName name="MAXISmnsr3">[1]MAXIS!$AF$16:$AI$17</definedName>
    <definedName name="MAXISmnsr4">[1]MAXIS!$AF$18:$AI$18</definedName>
    <definedName name="MAXISmnsr5">[1]MAXIS!$AE$19:$AI$29</definedName>
    <definedName name="MAXISmuser1">[1]MAXIS!$AM$12:$AP$13</definedName>
    <definedName name="MAXISmuser2">[1]MAXIS!$AM$14:$AP$15</definedName>
    <definedName name="MAXISmuser3">[1]MAXIS!$AM$16:$AP$17</definedName>
    <definedName name="MAXISmuser4">[1]MAXIS!$AM$18:$AP$18</definedName>
    <definedName name="MAXISmuser5">[1]MAXIS!$AL$19:$AP$29</definedName>
    <definedName name="MAXISnsrmult">[1]MAXIS!$AE$12:$AI$29</definedName>
    <definedName name="MAXISusermult">[1]MAXIS!$AL$12:$AP$29</definedName>
    <definedName name="MCGm1">MCG!$D$9:$G$10</definedName>
    <definedName name="MCGm2">MCG!$D$12:$G$13</definedName>
    <definedName name="MCGm3">MCG!$D$14:$G$17</definedName>
    <definedName name="MCGm4">MCG!$L$25:$O$25</definedName>
    <definedName name="MCGm5">MCG!$C$23:$G$33</definedName>
    <definedName name="MEGAm1" localSheetId="48">MEGA!$D$9:$G$10</definedName>
    <definedName name="MEGAm2" localSheetId="48">MEGA!$D$12:$G$13</definedName>
    <definedName name="MEGAm3" localSheetId="48">MEGA!$D$16:$G$17</definedName>
    <definedName name="MEGAm4" localSheetId="48">MEGA!$L$25:$O$25</definedName>
    <definedName name="MEGAm5" localSheetId="48">MEGA!$C$23:$G$33</definedName>
    <definedName name="MILLIm1" localSheetId="50">MILLI!$D$9:$G$10</definedName>
    <definedName name="MILLIm2" localSheetId="50">MILLI!$D$12:$G$13</definedName>
    <definedName name="MILLIm3" localSheetId="50">MILLI!$D$16:$G$17</definedName>
    <definedName name="MILLIm4" localSheetId="50">MILLI!$L$25:$O$25</definedName>
    <definedName name="MILLIm5" localSheetId="50">MILLI!$C$23:$G$33</definedName>
    <definedName name="MITRAm1" localSheetId="51">MITRA!$D$9:$G$10</definedName>
    <definedName name="MITRAm2" localSheetId="51">MITRA!$D$12:$G$13</definedName>
    <definedName name="MITRAm3" localSheetId="51">MITRA!$D$16:$G$17</definedName>
    <definedName name="MITRAm4" localSheetId="51">MITRA!$L$25:$O$25</definedName>
    <definedName name="MITRAm5" localSheetId="51">MITRA!$C$23:$G$33</definedName>
    <definedName name="MITRAtwr1" localSheetId="51">MITRA!$L$31:$O$31</definedName>
    <definedName name="MITRAtwr2" localSheetId="51">MITRA!$L$32:$O$32</definedName>
    <definedName name="MTNm1" localSheetId="52">MTN!$D$9:$G$10</definedName>
    <definedName name="MTNm2" localSheetId="52">MTN!$D$12:$G$13</definedName>
    <definedName name="MTNm3" localSheetId="52">MTN!$D$16:$G$17</definedName>
    <definedName name="MTNm4" localSheetId="52">MTN!$L$25:$O$25</definedName>
    <definedName name="MTNm5" localSheetId="52">MTN!$C$23:$G$33</definedName>
    <definedName name="MTSm1" localSheetId="54">MTS!$D$9:$G$10</definedName>
    <definedName name="MTSm2" localSheetId="54">MTS!$D$12:$G$13</definedName>
    <definedName name="MTSm3" localSheetId="54">MTS!$D$16:$G$17</definedName>
    <definedName name="MTSm4" localSheetId="54">MTS!$L$25:$O$25</definedName>
    <definedName name="MTSm5" localSheetId="54">MTS!$C$23:$G$33</definedName>
    <definedName name="mult1" localSheetId="3">'DM Multiples'!$B$4:$AC$101</definedName>
    <definedName name="mult1" localSheetId="4">'EM Multiples'!$B$6:$AC$112</definedName>
    <definedName name="mult2" localSheetId="3">'DM Multiples'!$B$102:$AC$201</definedName>
    <definedName name="mult2" localSheetId="4">'EM Multiples'!$B$114:$AC$260</definedName>
    <definedName name="mult3" localSheetId="3">'DM Multiples'!$B$206:$AC$315</definedName>
    <definedName name="mult3" localSheetId="4">'EM Multiples'!$B$264:$AC$412</definedName>
    <definedName name="mult4" localSheetId="3">'DM Multiples'!$B$319:$AC$353</definedName>
    <definedName name="mult4" localSheetId="4">'EM Multiples'!$B$418:$AC$463</definedName>
    <definedName name="mult5" localSheetId="3">'DM Multiples'!$B$357:$AC$441</definedName>
    <definedName name="mult5" localSheetId="4">'EM Multiples'!$B$464:$AC$709</definedName>
    <definedName name="mult6" localSheetId="3">'DM Multiples'!$B$442:$AC$520</definedName>
    <definedName name="mult6" localSheetId="4">'EM Multiples'!$B$711:$AC$812</definedName>
    <definedName name="mult7" localSheetId="3">'DM Multiples'!$B$520:$AC$718</definedName>
    <definedName name="NOS_m1">NOS!$D$9:$G$10</definedName>
    <definedName name="NOS_m2">NOS!$D$12:$G$13</definedName>
    <definedName name="NOS_m3">NOS!$D$16:$G$17</definedName>
    <definedName name="NOS_m4">NOS!$L$25:$O$25</definedName>
    <definedName name="NOS_m5">NOS!$C$23:$G$33</definedName>
    <definedName name="NTTM1">NTT!$D$9:$G$10</definedName>
    <definedName name="NTTM2">NTT!$D$12:$G$13</definedName>
    <definedName name="NTTM3">NTT!$D$16:$G$17</definedName>
    <definedName name="NTTM4">NTT!$L$25:$O$25</definedName>
    <definedName name="NTTM5">NTT!$C$23:$G$33</definedName>
    <definedName name="OBEL_m1">OBEL!$D$9:$G$10</definedName>
    <definedName name="OBEL_m2">OBEL!$D$12:$G$13</definedName>
    <definedName name="OBEL_m3">OBEL!$D$16:$G$17</definedName>
    <definedName name="OBEL_m4">OBEL!$L$25:$O$25</definedName>
    <definedName name="OBEL_m5">OBEL!$C$23:$G$33</definedName>
    <definedName name="OIBRm1">OIBR!$D$9:$G$10</definedName>
    <definedName name="OIBRm2">OIBR!$D$12:$G$13</definedName>
    <definedName name="OIBRm3">OIBR!$D$16:$G$17</definedName>
    <definedName name="OIBRm4">OIBR!$L$25:$O$25</definedName>
    <definedName name="OIBRm5">OIBR!$C$23:$G$33</definedName>
    <definedName name="ORA_m1">ORA!$D$9:$G$10</definedName>
    <definedName name="ORA_m2">ORA!$D$12:$G$13</definedName>
    <definedName name="ORA_m3">ORA!$D$16:$G$17</definedName>
    <definedName name="ORA_m4">ORA!$L$25:$O$25</definedName>
    <definedName name="ORA_m5">ORA!$C$23:$G$33</definedName>
    <definedName name="OTE_m1">OTE!$D$9:$G$10</definedName>
    <definedName name="OTE_m2">OTE!$D$12:$G$13</definedName>
    <definedName name="OTE_m3">OTE!$D$16:$G$17</definedName>
    <definedName name="OTE_m4">OTE!$L$25:$O$25</definedName>
    <definedName name="OTE_m5">OTE!$C$23:$G$34</definedName>
    <definedName name="poop" localSheetId="123" hidden="1">#REF!</definedName>
    <definedName name="poop" localSheetId="122" hidden="1">#REF!</definedName>
    <definedName name="poop" localSheetId="12" hidden="1">#REF!</definedName>
    <definedName name="poop" localSheetId="20" hidden="1">#REF!</definedName>
    <definedName name="poop" localSheetId="24" hidden="1">#REF!</definedName>
    <definedName name="poop" localSheetId="25" hidden="1">#REF!</definedName>
    <definedName name="poop" localSheetId="30" hidden="1">#REF!</definedName>
    <definedName name="poop" localSheetId="128" hidden="1">#REF!</definedName>
    <definedName name="poop" localSheetId="13" hidden="1">#REF!</definedName>
    <definedName name="poop" localSheetId="38" hidden="1">#REF!</definedName>
    <definedName name="poop" localSheetId="46" hidden="1">#REF!</definedName>
    <definedName name="poop" localSheetId="49" hidden="1">#REF!</definedName>
    <definedName name="poop" localSheetId="62" hidden="1">#REF!</definedName>
    <definedName name="poop" localSheetId="68" hidden="1">#REF!</definedName>
    <definedName name="poop" localSheetId="70" hidden="1">#REF!</definedName>
    <definedName name="poop" localSheetId="71" hidden="1">#REF!</definedName>
    <definedName name="poop" localSheetId="86" hidden="1">#REF!</definedName>
    <definedName name="poop" localSheetId="89" hidden="1">#REF!</definedName>
    <definedName name="poop" localSheetId="105" hidden="1">#REF!</definedName>
    <definedName name="poop" localSheetId="103" hidden="1">#REF!</definedName>
    <definedName name="poop" hidden="1">#REF!</definedName>
    <definedName name="price1">Prices!$C$23:$C$32</definedName>
    <definedName name="prices.fx_eur">Prices!$E$148:$F$187</definedName>
    <definedName name="prices.fx_usd">Prices!$B$148:$C$187</definedName>
    <definedName name="priceus1">Prices!$C$40:$C$41</definedName>
    <definedName name="priceus2">Prices!$C$45:$C$47</definedName>
    <definedName name="priceus3">Prices!$C$48:$C$48</definedName>
    <definedName name="priceus4">Prices!$C$51:$C$53</definedName>
    <definedName name="_xlnm.Print_Area" localSheetId="26">_CM!$A$2:$Q$47</definedName>
    <definedName name="_xlnm.Print_Area" localSheetId="27">_CT!$A$2:$Q$47</definedName>
    <definedName name="_xlnm.Print_Area" localSheetId="28">_CU!$A$2:$Q$47</definedName>
    <definedName name="_xlnm.Print_Area" localSheetId="42">_KT!$A$2:$Q$47</definedName>
    <definedName name="_xlnm.Print_Area" localSheetId="43">_LG!$A$2:$Q$47</definedName>
    <definedName name="_xlnm.Print_Area" localSheetId="8">AAF!$A$2:$Q$49</definedName>
    <definedName name="_xlnm.Print_Area" localSheetId="9">ADVANCED!$A$2:$Q$49</definedName>
    <definedName name="_xlnm.Print_Area" localSheetId="121">'AGG ASIA'!$A$3:$Q$46</definedName>
    <definedName name="_xlnm.Print_Area" localSheetId="120">'AGG ASIA CELLULAR'!$A$3:$Q$46</definedName>
    <definedName name="_xlnm.Print_Area" localSheetId="119">'AGG ASIA INCUMB'!$A$3:$Q$46</definedName>
    <definedName name="_xlnm.Print_Area" localSheetId="124">'AGG DM'!$A$3:$Q$46</definedName>
    <definedName name="_xlnm.Print_Area" localSheetId="108">'AGG DM ASIA'!$A$3:$Q$46</definedName>
    <definedName name="_xlnm.Print_Area" localSheetId="123">'AGG DM CELLULAR'!$A$3:$Q$46</definedName>
    <definedName name="_xlnm.Print_Area" localSheetId="122">'AGG DM INCUMB'!$A$3:$Q$46</definedName>
    <definedName name="_xlnm.Print_Area" localSheetId="129">'AGG EM'!$A$3:$Q$46</definedName>
    <definedName name="_xlnm.Print_Area" localSheetId="118">'AGG EM ASIA'!$A$3:$Q$46</definedName>
    <definedName name="_xlnm.Print_Area" localSheetId="10">AMT!$A$2:$Q$49</definedName>
    <definedName name="_xlnm.Print_Area" localSheetId="11">AMX!$A$2:$Q$49</definedName>
    <definedName name="_xlnm.Print_Area" localSheetId="12">ATCUS!$A$2:$Q$50</definedName>
    <definedName name="_xlnm.Print_Area" localSheetId="14">ATT!$A$2:$Q$47</definedName>
    <definedName name="_xlnm.Print_Area" localSheetId="15">AXI!$A$2:$Q$48</definedName>
    <definedName name="_xlnm.Print_Area" localSheetId="130">AXISOP!$A$1:$X$43</definedName>
    <definedName name="_xlnm.Print_Area" localSheetId="16">BHART!$A$2:$Q$47</definedName>
    <definedName name="_xlnm.Print_Area" localSheetId="131">BHARTSOP!$A$1:$X$43</definedName>
    <definedName name="_xlnm.Print_Area" localSheetId="17">BHIN!$A$2:$Q$47</definedName>
    <definedName name="_xlnm.Print_Area" localSheetId="18">BT!$A$2:$Q$47</definedName>
    <definedName name="_xlnm.Print_Area" localSheetId="19">CCI!$A$2:$Q$48</definedName>
    <definedName name="_xlnm.Print_Area" localSheetId="20">ChinaTow!$A$2:$Q$47</definedName>
    <definedName name="_xlnm.Print_Area" localSheetId="21">CHTR!$A$2:$Q$47</definedName>
    <definedName name="_xlnm.Print_Area" localSheetId="22">CHUNG!$A$2:$Q$47</definedName>
    <definedName name="_xlnm.Print_Area" localSheetId="24">CLNX!$A$2:$Q$47</definedName>
    <definedName name="_xlnm.Print_Area" localSheetId="23">CMCSA!$A$2:$Q$47</definedName>
    <definedName name="_xlnm.Print_Area" localSheetId="25">CNU!$A$2:$Q$47</definedName>
    <definedName name="_xlnm.Print_Area" localSheetId="1">Cover!$A$1:$O$39</definedName>
    <definedName name="_xlnm.Print_Area" localSheetId="29">DIGI!$A$2:$Q$47</definedName>
    <definedName name="_xlnm.Print_Area" localSheetId="7">Disclaimer!$A$6:$U$35</definedName>
    <definedName name="_xlnm.Print_Area" localSheetId="3">'DM Multiples'!$A$1:$W$785</definedName>
    <definedName name="_xlnm.Print_Area" localSheetId="30">DRI!$A$2:$R$50</definedName>
    <definedName name="_xlnm.Print_Area" localSheetId="31">DT!$A$2:$Q$50</definedName>
    <definedName name="_xlnm.Print_Area" localSheetId="132">DTSOP!$A$1:$X$56</definedName>
    <definedName name="_xlnm.Print_Area" localSheetId="32">ELISA!$A$2:$Q$49</definedName>
    <definedName name="_xlnm.Print_Area" localSheetId="133">ELISASOP!$A$1:$X$46</definedName>
    <definedName name="_xlnm.Print_Area" localSheetId="127">'EM ALTNET &amp; CABLE'!$A$3:$Q$46</definedName>
    <definedName name="_xlnm.Print_Area" localSheetId="116">'EM ASIA INCUMB'!$A$3:$Q$46</definedName>
    <definedName name="_xlnm.Print_Area" localSheetId="126">'EM CELLULAR'!$A$3:$Q$46</definedName>
    <definedName name="_xlnm.Print_Area" localSheetId="125">'EM INCUMB'!$A$3:$Q$46</definedName>
    <definedName name="_xlnm.Print_Area" localSheetId="4">'EM Multiples'!$A$1:$W$811</definedName>
    <definedName name="_xlnm.Print_Area" localSheetId="128">'EM TOWERS'!$A$3:$Q$46</definedName>
    <definedName name="_xlnm.Print_Area" localSheetId="115">'EMEA AGG'!$A$3:$Q$46</definedName>
    <definedName name="_xlnm.Print_Area" localSheetId="114">'EMEA CELLULAR'!$A$3:$Q$46</definedName>
    <definedName name="_xlnm.Print_Area" localSheetId="113">'EMEA INCUMB'!$A$3:$Q$46</definedName>
    <definedName name="_xlnm.Print_Area" localSheetId="33">ENTEL!$A$2:$Q$47</definedName>
    <definedName name="_xlnm.Print_Area" localSheetId="34">FAR!$A$2:$Q$47</definedName>
    <definedName name="_xlnm.Print_Area" localSheetId="13">FYBR!$A$2:$Q$50</definedName>
    <definedName name="_xlnm.Print_Area" localSheetId="35">HKBN!$A$2:$Q$47</definedName>
    <definedName name="_xlnm.Print_Area" localSheetId="36">IDEA!$A$2:$Q$47</definedName>
    <definedName name="_xlnm.Print_Area" localSheetId="134">IDEASOP!$A$1:$X$40</definedName>
    <definedName name="_xlnm.Print_Area" localSheetId="37">IHS!$A$2:$Q$47</definedName>
    <definedName name="_xlnm.Print_Area" localSheetId="39">INDO!$A$2:$Q$47</definedName>
    <definedName name="_xlnm.Print_Area" localSheetId="40">KDDI!$A$2:$Q$47</definedName>
    <definedName name="_xlnm.Print_Area" localSheetId="41">KPN!$A$2:$Q$49</definedName>
    <definedName name="_xlnm.Print_Area" localSheetId="135">KPNSOP!$A$1:$X$60</definedName>
    <definedName name="_xlnm.Print_Area" localSheetId="112">'LATAM AGG'!$A$3:$Q$46</definedName>
    <definedName name="_xlnm.Print_Area" localSheetId="111">'LATAM ALTNET &amp; CABLE'!$A$3:$Q$46</definedName>
    <definedName name="_xlnm.Print_Area" localSheetId="110">'LATAM CELLULAR'!$A$3:$Q$46</definedName>
    <definedName name="_xlnm.Print_Area" localSheetId="109">'LATAM INCUMB'!$A$3:$Q$46</definedName>
    <definedName name="_xlnm.Print_Area" localSheetId="44">LBTY!$A$2:$Q$47</definedName>
    <definedName name="_xlnm.Print_Area" localSheetId="45">LiLAC!$A$2:$Q$48</definedName>
    <definedName name="_xlnm.Print_Area" localSheetId="46">MAQ!$A$2:$Q$47</definedName>
    <definedName name="_xlnm.Print_Area" localSheetId="47">MAXI!$A$2:$Q$47</definedName>
    <definedName name="_xlnm.Print_Area" localSheetId="48">MEGA!$A$2:$Q$47</definedName>
    <definedName name="_xlnm.Print_Area" localSheetId="50">MILLI!$A$2:$Q$47</definedName>
    <definedName name="_xlnm.Print_Area" localSheetId="51">MITRA!$A$2:$Q$47</definedName>
    <definedName name="_xlnm.Print_Area" localSheetId="52">MTN!$A$2:$Q$47</definedName>
    <definedName name="_xlnm.Print_Area" localSheetId="136">MTNSOP!$A$1:$X$51</definedName>
    <definedName name="_xlnm.Print_Area" localSheetId="54">MTS!$A$2:$Q$47</definedName>
    <definedName name="_xlnm.Print_Area" localSheetId="55">NOS!$A$2:$Q$47</definedName>
    <definedName name="_xlnm.Print_Area" localSheetId="56">NTT!$A$2:$Q$47</definedName>
    <definedName name="_xlnm.Print_Area" localSheetId="53">OBEL!$A$2:$Q$49</definedName>
    <definedName name="_xlnm.Print_Area" localSheetId="137">OBELSOP!$A$1:$X$51</definedName>
    <definedName name="_xlnm.Print_Area" localSheetId="58">OIBR!$A$2:$Q$47</definedName>
    <definedName name="_xlnm.Print_Area" localSheetId="57">ORA!$A$2:$Q$49</definedName>
    <definedName name="_xlnm.Print_Area" localSheetId="138">ORASOP!$A$1:$X$51</definedName>
    <definedName name="_xlnm.Print_Area" localSheetId="59">OTE!$A$2:$Q$49</definedName>
    <definedName name="_xlnm.Print_Area" localSheetId="139">OTESOP!$A$1:$X$57</definedName>
    <definedName name="_xlnm.Print_Area" localSheetId="2">Prices!$A$1:$M$188</definedName>
    <definedName name="_xlnm.Print_Area" localSheetId="96">PROPORTIONATES!$A$1:$K$37</definedName>
    <definedName name="_xlnm.Print_Area" localSheetId="60">PROX!$A$2:$Q$48</definedName>
    <definedName name="_xlnm.Print_Area" localSheetId="140">PROXSOP!$A$1:$X$60</definedName>
    <definedName name="_xlnm.Print_Area" localSheetId="61">PTT!$A$2:$Q$47</definedName>
    <definedName name="_xlnm.Print_Area" localSheetId="62">RAK!$A$2:$Q$47</definedName>
    <definedName name="_xlnm.Print_Area" localSheetId="65">SBAC!$A$2:$Q$47</definedName>
    <definedName name="_xlnm.Print_Area" localSheetId="66">SBKK!$A$2:$Q$47</definedName>
    <definedName name="_xlnm.Print_Area" localSheetId="6">Sectors!$A$1:$W$43</definedName>
    <definedName name="_xlnm.Print_Area" localSheetId="67">SINGTEL!$A$2:$Q$47</definedName>
    <definedName name="_xlnm.Print_Area" localSheetId="68">SITES!$A$2:$Q$47</definedName>
    <definedName name="_xlnm.Print_Area" localSheetId="69">SKT!$A$2:$Q$47</definedName>
    <definedName name="_xlnm.Print_Area" localSheetId="70">SPK!$A$2:$Q$47</definedName>
    <definedName name="_xlnm.Print_Area" localSheetId="71">'ST1'!$A$2:$Q$47</definedName>
    <definedName name="_xlnm.Print_Area" localSheetId="72">SWISS!$A$2:$Q$47</definedName>
    <definedName name="_xlnm.Print_Area" localSheetId="141">SWISSSOP!$A$1:$X$50</definedName>
    <definedName name="_xlnm.Print_Area" localSheetId="73">TAIWAN!$A$2:$Q$47</definedName>
    <definedName name="_xlnm.Print_Area" localSheetId="76">TEF!$A$2:$Q$47</definedName>
    <definedName name="_xlnm.Print_Area" localSheetId="142">TEFSOP!$A$1:$X$55</definedName>
    <definedName name="_xlnm.Print_Area" localSheetId="75">TELE2!$A$2:$Q$50</definedName>
    <definedName name="_xlnm.Print_Area" localSheetId="143">TELE2SOP!$A$1:$X$44</definedName>
    <definedName name="_xlnm.Print_Area" localSheetId="77">TELIA!$A$2:$Q$49</definedName>
    <definedName name="_xlnm.Print_Area" localSheetId="78">TI!$A$2:$Q$47</definedName>
    <definedName name="_xlnm.Print_Area" localSheetId="79">TIMP!$A$2:$Q$47</definedName>
    <definedName name="_xlnm.Print_Area" localSheetId="144">TISOP!$A$1:$X$40</definedName>
    <definedName name="_xlnm.Print_Area" localSheetId="80">TKC!$A$2:$Q$47</definedName>
    <definedName name="_xlnm.Print_Area" localSheetId="82">TKG!$A$2:$Q$47</definedName>
    <definedName name="_xlnm.Print_Area" localSheetId="81">TLS!$A$2:$Q$47</definedName>
    <definedName name="_xlnm.Print_Area" localSheetId="83">TMUS!$A$2:$Q$47</definedName>
    <definedName name="_xlnm.Print_Area" localSheetId="84">TNOR!$A$2:$Q$49</definedName>
    <definedName name="_xlnm.Print_Area" localSheetId="145">TNORSOP!$A$1:$X$68</definedName>
    <definedName name="_xlnm.Print_Area" localSheetId="5">'Tower Multiples'!$A$1:$V$138</definedName>
    <definedName name="_xlnm.Print_Area" localSheetId="86">TPG!$A$2:$Q$47</definedName>
    <definedName name="_xlnm.Print_Area" localSheetId="87">TRUECORP!$A$2:$Q$47</definedName>
    <definedName name="_xlnm.Print_Area" localSheetId="146">TSONSOP!$A$1:$X$87</definedName>
    <definedName name="_xlnm.Print_Area" localSheetId="88">TVIS!$A$2:$Q$47</definedName>
    <definedName name="_xlnm.Print_Area" localSheetId="89">UTDI!$A$2:$Q$49</definedName>
    <definedName name="_xlnm.Print_Area" localSheetId="147">UTDISOP!$A$1:$X$58</definedName>
    <definedName name="_xlnm.Print_Area" localSheetId="90">VIMP!$A$2:$Q$47</definedName>
    <definedName name="_xlnm.Print_Area" localSheetId="91">VIVO!$A$2:$Q$47</definedName>
    <definedName name="_xlnm.Print_Area" localSheetId="93">VOD!$A$2:$Q$47</definedName>
    <definedName name="_xlnm.Print_Area" localSheetId="92">VODA!$A$2:$Q$47</definedName>
    <definedName name="_xlnm.Print_Area" localSheetId="148">VODSOP!$A$1:$X$46</definedName>
    <definedName name="_xlnm.Print_Area" localSheetId="94">VZN!$A$2:$Q$47</definedName>
    <definedName name="_xlnm.Print_Area" localSheetId="104">'W.EUR AGG'!$A$3:$Q$46</definedName>
    <definedName name="_xlnm.Print_Area" localSheetId="105">'W.EUR AGG (ex Towers)'!$A$3:$Q$46</definedName>
    <definedName name="_xlnm.Print_Area" localSheetId="101">'W.EUR INCUMB'!$A$3:$Q$46</definedName>
    <definedName name="_xlnm.Print_Area" localSheetId="102">'W.EUR OTHER'!$A$3:$Q$46</definedName>
    <definedName name="_xlnm.Print_Area" localSheetId="103">'W.EUR TOWER'!$A$3:$Q$46</definedName>
    <definedName name="_xlnm.Print_Area" localSheetId="95">XLAX!$A$2:$Q$47</definedName>
    <definedName name="_xlnm.Print_Titles" localSheetId="3">'DM Multiples'!$1:$5</definedName>
    <definedName name="_xlnm.Print_Titles" localSheetId="4">'EM Multiples'!$1:$5</definedName>
    <definedName name="_xlnm.Print_Titles" localSheetId="2">Prices!$1:$5</definedName>
    <definedName name="_xlnm.Print_Titles" localSheetId="6">Sectors!$1:$5</definedName>
    <definedName name="_xlnm.Print_Titles" localSheetId="5">'Tower Multiples'!$1:$5</definedName>
    <definedName name="PROX_m1" localSheetId="60">PROX!$D$9:$G$10</definedName>
    <definedName name="PROX_m2" localSheetId="60">PROX!$D$12:$G$13</definedName>
    <definedName name="PROX_m3" localSheetId="60">PROX!$D$16:$G$17</definedName>
    <definedName name="PROX_m4" localSheetId="60">PROX!$L$25:$O$25</definedName>
    <definedName name="PROX_m5" localSheetId="60">PROX!$C$23:$G$33</definedName>
    <definedName name="proxvalue">PROXSOP!$X$51:$X$53</definedName>
    <definedName name="pttm1">PTT!$D$9:$G$10</definedName>
    <definedName name="pttm2">PTT!$D$12:$G$13</definedName>
    <definedName name="pttm3">PTT!$D$16:$G$17</definedName>
    <definedName name="pttm4">PTT!$L$25:$O$25</definedName>
    <definedName name="pttm5">PTT!$C$23:$G$33</definedName>
    <definedName name="puff" localSheetId="123" hidden="1">#REF!</definedName>
    <definedName name="puff" localSheetId="122" hidden="1">#REF!</definedName>
    <definedName name="puff" localSheetId="12" hidden="1">#REF!</definedName>
    <definedName name="puff" localSheetId="20" hidden="1">#REF!</definedName>
    <definedName name="puff" localSheetId="24" hidden="1">#REF!</definedName>
    <definedName name="puff" localSheetId="25" hidden="1">#REF!</definedName>
    <definedName name="puff" localSheetId="30" hidden="1">#REF!</definedName>
    <definedName name="puff" localSheetId="128" hidden="1">#REF!</definedName>
    <definedName name="puff" localSheetId="13" hidden="1">#REF!</definedName>
    <definedName name="puff" localSheetId="38" hidden="1">#REF!</definedName>
    <definedName name="puff" localSheetId="46" hidden="1">#REF!</definedName>
    <definedName name="puff" localSheetId="49" hidden="1">#REF!</definedName>
    <definedName name="puff" localSheetId="62" hidden="1">#REF!</definedName>
    <definedName name="puff" localSheetId="68" hidden="1">#REF!</definedName>
    <definedName name="puff" localSheetId="70" hidden="1">#REF!</definedName>
    <definedName name="puff" localSheetId="71" hidden="1">#REF!</definedName>
    <definedName name="puff" localSheetId="86" hidden="1">#REF!</definedName>
    <definedName name="puff" localSheetId="89" hidden="1">#REF!</definedName>
    <definedName name="puff" localSheetId="105" hidden="1">#REF!</definedName>
    <definedName name="puff" localSheetId="103" hidden="1">#REF!</definedName>
    <definedName name="puff" hidden="1">#REF!</definedName>
    <definedName name="put" localSheetId="123" hidden="1">#REF!</definedName>
    <definedName name="put" localSheetId="122" hidden="1">#REF!</definedName>
    <definedName name="put" localSheetId="12" hidden="1">#REF!</definedName>
    <definedName name="put" localSheetId="20" hidden="1">#REF!</definedName>
    <definedName name="put" localSheetId="24" hidden="1">#REF!</definedName>
    <definedName name="put" localSheetId="25" hidden="1">#REF!</definedName>
    <definedName name="put" localSheetId="30" hidden="1">#REF!</definedName>
    <definedName name="put" localSheetId="128" hidden="1">#REF!</definedName>
    <definedName name="put" localSheetId="13" hidden="1">#REF!</definedName>
    <definedName name="put" localSheetId="38" hidden="1">#REF!</definedName>
    <definedName name="put" localSheetId="46" hidden="1">#REF!</definedName>
    <definedName name="put" localSheetId="49" hidden="1">#REF!</definedName>
    <definedName name="put" localSheetId="62" hidden="1">#REF!</definedName>
    <definedName name="put" localSheetId="68" hidden="1">#REF!</definedName>
    <definedName name="put" localSheetId="70" hidden="1">#REF!</definedName>
    <definedName name="put" localSheetId="71" hidden="1">#REF!</definedName>
    <definedName name="put" localSheetId="86" hidden="1">#REF!</definedName>
    <definedName name="put" localSheetId="89" hidden="1">#REF!</definedName>
    <definedName name="put" localSheetId="105" hidden="1">#REF!</definedName>
    <definedName name="put" localSheetId="103" hidden="1">#REF!</definedName>
    <definedName name="put" hidden="1">#REF!</definedName>
    <definedName name="RAKm1">RAK!$D$9:$G$10</definedName>
    <definedName name="RAKm2">RAK!$D$12:$G$13</definedName>
    <definedName name="RAKm3">RAK!$D$12:$G$15</definedName>
    <definedName name="RAKm4">RAK!$L$25:$O$25</definedName>
    <definedName name="RAKm5">RAK!$C$23:$G$33</definedName>
    <definedName name="ratings_eu_incumb">Prices!$D$8:$E$19</definedName>
    <definedName name="ratings_eu_other">Prices!$D$22:$E$32</definedName>
    <definedName name="ratings_eu_towers">Prices!$D$35:$E$36</definedName>
    <definedName name="SAFm1">SAF!$D$9:$G$10</definedName>
    <definedName name="SAFm2">SAF!$D$12:$G$13</definedName>
    <definedName name="SAFm3">SAF!$D$16:$G$17</definedName>
    <definedName name="SAFm4">SAF!$L$25:$O$25</definedName>
    <definedName name="SAFm5">SAF!$C$23:$G$33</definedName>
    <definedName name="SATSm1">SATS!$D$9:$G$10</definedName>
    <definedName name="SATSm2">SATS!$D$12:$G$13</definedName>
    <definedName name="SATSm3">SATS!$D$16:$G$17</definedName>
    <definedName name="SATSm4">SATS!$L$25:$O$25</definedName>
    <definedName name="SATSm5">SATS!$C$23:$G$33</definedName>
    <definedName name="SATSm6">SATS!$D$14:$G$15</definedName>
    <definedName name="SBACm1" localSheetId="65">SBAC!$D$9:$G$10</definedName>
    <definedName name="SBACm2" localSheetId="65">SBAC!$D$12:$G$13</definedName>
    <definedName name="SBACm3" localSheetId="65">SBAC!$D$16:$G$17</definedName>
    <definedName name="SBACm4" localSheetId="65">SBAC!$L$25:$O$25</definedName>
    <definedName name="SBACm5" localSheetId="65">SBAC!$C$23:$G$33</definedName>
    <definedName name="SBACm6">SBAC!$D$14:$G$15</definedName>
    <definedName name="sbkkm1" localSheetId="62">RAK!$D$9:$G$10</definedName>
    <definedName name="sbkkm1">SBKK!$D$9:$G$10</definedName>
    <definedName name="sbkkm2" localSheetId="62">RAK!$D$12:$G$13</definedName>
    <definedName name="sbkkm2">SBKK!$D$12:$G$13</definedName>
    <definedName name="sbkkm3" localSheetId="62">RAK!$D$16:$G$17</definedName>
    <definedName name="sbkkm3">SBKK!$D$16:$G$17</definedName>
    <definedName name="sbkkm4" localSheetId="62">RAK!$L$25:$O$25</definedName>
    <definedName name="sbkkm4">SBKK!$L$25:$O$25</definedName>
    <definedName name="sbkkm5" localSheetId="62">RAK!$C$23:$G$33</definedName>
    <definedName name="sbkkm5">SBKK!$C$23:$G$33</definedName>
    <definedName name="SecretArchiveNumber" hidden="1">1</definedName>
    <definedName name="sencount" hidden="1">1</definedName>
    <definedName name="SINGTELm1">SINGTEL!$D$9:$G$10</definedName>
    <definedName name="SINGTELm2">SINGTEL!$D$12:$G$13</definedName>
    <definedName name="SINGTELm3">SINGTEL!$D$16:$G$17</definedName>
    <definedName name="SINGTELm4">SINGTEL!$L$25:$O$25</definedName>
    <definedName name="SINGTELm5">SINGTEL!$C$23:$G$33</definedName>
    <definedName name="SINGTELMM6">PROPORTIONATES!$G$45:$J$46</definedName>
    <definedName name="SINGTELMM7">PROPORTIONATES!$G$48:$J$49</definedName>
    <definedName name="SINGTELMM8">PROPORTIONATES!$G$52:$J$53</definedName>
    <definedName name="SINGTELMM9">PROPORTIONATES!$F$60:$J$62</definedName>
    <definedName name="SITESm1">SITES!$D$9:$G$10</definedName>
    <definedName name="SITESm2">SITES!$D$12:$G$14</definedName>
    <definedName name="SITESm3">SITES!$D$16:$G$17</definedName>
    <definedName name="SITESm4">SITES!$L$25:$O$25</definedName>
    <definedName name="SITESm5">SITES!$C$23:$G$33</definedName>
    <definedName name="SITESm6">SITES!$L$31:$O$32</definedName>
    <definedName name="SITEStwr1">SITES!$L$31:$O$31</definedName>
    <definedName name="SITEStwr2">SITES!$L$32:$O$32</definedName>
    <definedName name="SKTm1">SKT!$D$9:$G$10</definedName>
    <definedName name="SKTm2">SKT!$D$12:$G$13</definedName>
    <definedName name="SKTm3">SKT!$D$16:$G$17</definedName>
    <definedName name="SKTm4">SKT!$L$25:$O$25</definedName>
    <definedName name="SKTm5">SKT!$C$23:$G$33</definedName>
    <definedName name="sop" localSheetId="130">AXISOP!$A$5:$D$7</definedName>
    <definedName name="sop" localSheetId="131">BHARTSOP!$A$5:$D$7</definedName>
    <definedName name="sop" localSheetId="132">DTSOP!$A$5:$D$7</definedName>
    <definedName name="sop" localSheetId="134">IDEASOP!$A$5:$D$7</definedName>
    <definedName name="sop" localSheetId="135">KPNSOP!$A$5:$D$7</definedName>
    <definedName name="sop" localSheetId="136">MTNSOP!$A$5:$D$7</definedName>
    <definedName name="sop" localSheetId="138">ORASOP!$A$5:$D$7</definedName>
    <definedName name="sop" localSheetId="139">OTESOP!$A$5:$D$7</definedName>
    <definedName name="sop" localSheetId="140">PROXSOP!$A$5:$D$7</definedName>
    <definedName name="sop" localSheetId="141">SWISSSOP!$A$5:$D$7</definedName>
    <definedName name="sop" localSheetId="142">TEFSOP!$A$5:$D$7</definedName>
    <definedName name="sop" localSheetId="143">TELE2SOP!$A$5:$D$8</definedName>
    <definedName name="sop" localSheetId="144">TISOP!$A$5:$D$7</definedName>
    <definedName name="sop" localSheetId="145">TNORSOP!$A$5:$D$7</definedName>
    <definedName name="sop" localSheetId="146">TSONSOP!$A$5:$D$7</definedName>
    <definedName name="sparkrecpt">Prices!$D$57:$E$57</definedName>
    <definedName name="spiritrecpt">Prices!$D$69:$E$69</definedName>
    <definedName name="SPKm1">SPK!$D$9:$G$10</definedName>
    <definedName name="SPKm2">SPK!$D$12:$G$13</definedName>
    <definedName name="SPKm3">SPK!$D$14:$G$15</definedName>
    <definedName name="SPKm4">SPK!$D$16:$G$17</definedName>
    <definedName name="SPKm5">SPK!$L$25:$O$25</definedName>
    <definedName name="SPKm6">SPK!$C$23:$G$33</definedName>
    <definedName name="ST1m1">'ST1'!$D$9:$G$10</definedName>
    <definedName name="ST1m2">'ST1'!$D$12:$G$13</definedName>
    <definedName name="ST1m3">'ST1'!$D$14:$G$15</definedName>
    <definedName name="ST1m4">'ST1'!$D$16:$G$17</definedName>
    <definedName name="ST1m5">'ST1'!$L$25:$O$25</definedName>
    <definedName name="ST1m6">'ST1'!$C$23:$G$33</definedName>
    <definedName name="SWISS_m1">SWISS!$D$9:$G$10</definedName>
    <definedName name="SWISS_m2">SWISS!$D$12:$G$13</definedName>
    <definedName name="SWISS_m3">SWISS!$D$16:$G$17</definedName>
    <definedName name="SWISS_m4">SWISS!$L$25:$O$25</definedName>
    <definedName name="SWISS_m5">SWISS!$C$23:$G$33</definedName>
    <definedName name="TAIWANM1">TAIWAN!$D$9:$G$10</definedName>
    <definedName name="TAIWANM2">TAIWAN!$D$12:$G$13</definedName>
    <definedName name="TAIWANM3">TAIWAN!$D$16:$G$17</definedName>
    <definedName name="TAIWANM4">TAIWAN!$L$25:$O$25</definedName>
    <definedName name="TAIWANM5">TAIWAN!$C$23:$G$33</definedName>
    <definedName name="target1">Prices!$E$23:$E$32</definedName>
    <definedName name="TBIGm1">TBIG!$D$9:$G$10</definedName>
    <definedName name="TBIGm2">TBIG!$D$12:$G$13</definedName>
    <definedName name="TBIGm3">TBIG!$D$16:$G$17</definedName>
    <definedName name="TBIGm4">TBIG!$L$25:$O$25</definedName>
    <definedName name="TBIGm5">TBIG!$C$23:$G$33</definedName>
    <definedName name="TBIGtwr1">TBIG!$L$31:$O$31</definedName>
    <definedName name="TBIGtwr2">TBIG!$L$32:$O$32</definedName>
    <definedName name="TEF_m1">TEF!$D$9:$G$10</definedName>
    <definedName name="TEF_m2">TEF!$D$12:$G$13</definedName>
    <definedName name="TEF_m3">TEF!$D$16:$G$17</definedName>
    <definedName name="TEF_m4">TEF!$L$25:$O$25</definedName>
    <definedName name="TEF_m5">TEF!$C$23:$G$33</definedName>
    <definedName name="TELE2_m1">TELE2!$D$9:$G$10</definedName>
    <definedName name="TELE2_m2">TELE2!$D$12:$G$13</definedName>
    <definedName name="TELE2_m3">TELE2!$D$16:$G$17</definedName>
    <definedName name="TELE2_m4">TELE2!$L$25:$O$25</definedName>
    <definedName name="TELE2_m5">TELE2!$C$23:$G$33</definedName>
    <definedName name="tele2target">Prices!$E$29:$E$30</definedName>
    <definedName name="TELIA_m1">TELIA!$D$9:$G$10</definedName>
    <definedName name="TELIA_m2">TELIA!$D$12:$G$13</definedName>
    <definedName name="TELIA_m3">TELIA!$D$16:$G$17</definedName>
    <definedName name="TELIA_m4">TELIA!$L$25:$O$25</definedName>
    <definedName name="TELIA_m5">TELIA!$C$23:$G$33</definedName>
    <definedName name="telstrarec">Prices!$D$59</definedName>
    <definedName name="telstrarecpt">Prices!$D$59:$E$59</definedName>
    <definedName name="telstratgt">Prices!$E$59</definedName>
    <definedName name="TI_m1">TI!$D$9:$G$10</definedName>
    <definedName name="TI_m2">TI!$D$12:$G$13</definedName>
    <definedName name="TI_m3">TI!$D$16:$G$17</definedName>
    <definedName name="TI_m4">TI!$L$25:$O$25</definedName>
    <definedName name="TI_m5">TI!$C$23:$G$33</definedName>
    <definedName name="TIMPm1">TIMP!$D$9:$G$10</definedName>
    <definedName name="TIMPm2">TIMP!$D$12:$G$13</definedName>
    <definedName name="TIMPm3">TIMP!$D$16:$G$17</definedName>
    <definedName name="TIMPm4">TIMP!$L$25:$O$25</definedName>
    <definedName name="TIMPm5">TIMP!$C$23:$G$33</definedName>
    <definedName name="TKCm1">TKC!$D$9:$G$10</definedName>
    <definedName name="TKCm2">TKC!$D$12:$G$13</definedName>
    <definedName name="TKCm3">TKC!$D$16:$G$17</definedName>
    <definedName name="TKCm4">TKC!$L$25:$O$25</definedName>
    <definedName name="TKCm5">TKC!$C$23:$G$33</definedName>
    <definedName name="TKGm1" localSheetId="82">TKG!$D$9:$G$10</definedName>
    <definedName name="TKGm2" localSheetId="82">TKG!$D$12:$G$13</definedName>
    <definedName name="TKGm3" localSheetId="82">TKG!$D$16:$G$17</definedName>
    <definedName name="TKGm4" localSheetId="82">TKG!$L$25:$O$25</definedName>
    <definedName name="TKGm5" localSheetId="82">TKG!$C$23:$G$33</definedName>
    <definedName name="TLSm1">TLS!$D$9:$G$10</definedName>
    <definedName name="TLSm2">TLS!$D$12:$G$13</definedName>
    <definedName name="TLSm3">TLS!$D$14:$G$15</definedName>
    <definedName name="TLSm4">TLS!$D$16:$G$17</definedName>
    <definedName name="TLSm5">TLS!$L$25:$O$25</definedName>
    <definedName name="TLSm6">TLS!$C$23:$G$33</definedName>
    <definedName name="TMUSm1">TMUS!$D$9:$G$10</definedName>
    <definedName name="TMUSm2">TMUS!$D$12:$G$13</definedName>
    <definedName name="TMUSm3">TMUS!$D$16:$G$17</definedName>
    <definedName name="TMUSm4">TMUS!$L$25:$O$25</definedName>
    <definedName name="TMUSm5">TMUS!$C$23:$G$33</definedName>
    <definedName name="TMUSm6">TMUS!$D$14:$G$15</definedName>
    <definedName name="TNOR_m1">TNOR!$D$9:$G$10</definedName>
    <definedName name="TNOR_m2">TNOR!$D$12:$G$13</definedName>
    <definedName name="TNOR_m3">TNOR!$D$16:$G$17</definedName>
    <definedName name="TNOR_m4">TNOR!$L$25:$O$25</definedName>
    <definedName name="TNOR_m5">TNOR!$C$23:$G$33</definedName>
    <definedName name="towercomp">Prices!$B$35:$B$36</definedName>
    <definedName name="towertarget">Prices!$E$35:$E$36</definedName>
    <definedName name="TOWRM1" localSheetId="85">TOWR!$D$9:$G$10</definedName>
    <definedName name="TOWRM2" localSheetId="85">TOWR!$D$12:$G$13</definedName>
    <definedName name="TOWRM3" localSheetId="85">TOWR!$D$16:$G$17</definedName>
    <definedName name="TOWRM4" localSheetId="85">TOWR!$L$25:$O$25</definedName>
    <definedName name="TOWRM5" localSheetId="85">TOWR!$C$23:$G$33</definedName>
    <definedName name="TOWRtwr1">TOWR!$L$31:$O$31</definedName>
    <definedName name="TOWRtwr2">TOWR!$L$32:$O$32</definedName>
    <definedName name="TPGm1">TPG!$D$9:$G$10</definedName>
    <definedName name="TPGm2">TPG!$D$12:$G$13</definedName>
    <definedName name="TPGm3">TPG!$D$14:$G$15</definedName>
    <definedName name="TPGm4">TPG!$D$16:$G$17</definedName>
    <definedName name="TPGm5">TPG!$L$25:$O$25</definedName>
    <definedName name="TPGm6">TPG!$C$23:$G$33</definedName>
    <definedName name="tpgrecpt">Prices!$D$70:$E$70</definedName>
    <definedName name="TRUECORPm1" localSheetId="87">TRUECORP!$D$9:$G$10</definedName>
    <definedName name="TRUECORPm2" localSheetId="87">TRUECORP!$D$12:$G$13</definedName>
    <definedName name="TRUECORPm3" localSheetId="87">TRUECORP!$D$16:$G$17</definedName>
    <definedName name="TRUECORPm4" localSheetId="87">TRUECORP!$L$25:$O$25</definedName>
    <definedName name="TRUECORPm5" localSheetId="87">TRUECORP!$C$23:$G$33</definedName>
    <definedName name="TVISm1" localSheetId="88">TVIS!$D$9:$G$10</definedName>
    <definedName name="TVISm2" localSheetId="88">TVIS!$D$12:$G$13</definedName>
    <definedName name="TVISm3" localSheetId="88">TVIS!$D$16:$G$17</definedName>
    <definedName name="TVISm4" localSheetId="88">TVIS!$L$25:$O$25</definedName>
    <definedName name="TVISm5" localSheetId="88">TVIS!$C$23:$G$33</definedName>
    <definedName name="US_P1">Prices!$D$39:$E$41</definedName>
    <definedName name="US_P2">Prices!$D$44:$E$48</definedName>
    <definedName name="US_P3">Prices!$D$51:$E$53</definedName>
    <definedName name="UTDI_m1">UTDI!$D$9:$G$10</definedName>
    <definedName name="UTDI_m2">UTDI!$D$12:$G$13</definedName>
    <definedName name="UTDI_m3">UTDI!$D$16:$G$17</definedName>
    <definedName name="UTDI_m4">UTDI!$L$25:$O$25</definedName>
    <definedName name="UTDI_m5">UTDI!$C$23:$G$33</definedName>
    <definedName name="VIMPm1" localSheetId="90">VIMP!$D$9:$G$10</definedName>
    <definedName name="VIMPm2" localSheetId="90">VIMP!$D$12:$G$13</definedName>
    <definedName name="VIMPm3" localSheetId="90">VIMP!$D$16:$G$17</definedName>
    <definedName name="VIMPm4" localSheetId="90">VIMP!$L$25:$O$25</definedName>
    <definedName name="VIMPm5" localSheetId="90">VIMP!$C$23:$G$33</definedName>
    <definedName name="VIVOm1">VIVO!$D$9:$G$10</definedName>
    <definedName name="VIVOm2">VIVO!$D$12:$G$13</definedName>
    <definedName name="VIVOm3">VIVO!$D$16:$G$17</definedName>
    <definedName name="VIVOm4">VIVO!$L$25:$O$25</definedName>
    <definedName name="VIVOm5">VIVO!$C$23:$G$33</definedName>
    <definedName name="VOD_m1">VOD!$D$9:$G$10</definedName>
    <definedName name="VOD_m2">VOD!$D$12:$G$13</definedName>
    <definedName name="VOD_m3">VOD!$D$16:$G$17</definedName>
    <definedName name="VOD_m4">VOD!$L$25:$O$25</definedName>
    <definedName name="VOD_m5">VOD!$C$23:$G$33</definedName>
    <definedName name="VODAm1">VODA!$D$9:$G$10</definedName>
    <definedName name="VODAm2">VODA!$D$12:$G$13</definedName>
    <definedName name="VODAm3">VODA!$D$16:$G$17</definedName>
    <definedName name="VODAm4">VODA!$L$25:$O$25</definedName>
    <definedName name="VODAm5">VODA!$C$23:$G$33</definedName>
    <definedName name="vodpm6">PROPORTIONATES!$G$11:$J$12</definedName>
    <definedName name="vodpm7">PROPORTIONATES!$G$14:$J$15</definedName>
    <definedName name="vodpm8">PROPORTIONATES!$G$18:$J$19</definedName>
    <definedName name="vodpm9">PROPORTIONATES!$F$26:$J$28</definedName>
    <definedName name="vodtarget">Prices!$E$32</definedName>
    <definedName name="VZNm1">VZN!$D$9:$G$10</definedName>
    <definedName name="VZNm2">VZN!$D$12:$G$13</definedName>
    <definedName name="VZNm3">VZN!$D$16:$G$17</definedName>
    <definedName name="VZNm4">VZN!$L$25:$O$25</definedName>
    <definedName name="VZNm5">VZN!$C$23:$G$33</definedName>
    <definedName name="VZNm6">VZN!$D$14:$G$15</definedName>
    <definedName name="WE_EQ_MULTIPLES" localSheetId="3">'DM Multiples'!$C$120:$Z$174</definedName>
    <definedName name="WE_EQ_MULTIPLES" localSheetId="4">'EM Multiples'!$C$258:$Z$380</definedName>
    <definedName name="WE_EV_MULTIPLES" localSheetId="3">'DM Multiples'!$C$4:$AB$110</definedName>
    <definedName name="WE_EV_MULTIPLES" localSheetId="4">'EM Multiples'!$C$6:$AB$126</definedName>
    <definedName name="WE_GEARING" localSheetId="3">'DM Multiples'!$C$444:$Z$499</definedName>
    <definedName name="WE_GROWTH" localSheetId="3">'DM Multiples'!$C$285:$Z$335</definedName>
    <definedName name="WE_GROWTH" localSheetId="4">'EM Multiples'!$C$758:$Z$812</definedName>
    <definedName name="WE_MARGINS" localSheetId="3">'DM Multiples'!$C$338:$Z$386</definedName>
    <definedName name="WE_PROFIT" localSheetId="3">'DM Multiples'!$C$234:$Z$282</definedName>
    <definedName name="WE_PROFIT" localSheetId="4">'EM Multiples'!$C$516:$Z$752</definedName>
    <definedName name="WE_SIZE" localSheetId="3">'DM Multiples'!$C$500:$Z$673</definedName>
    <definedName name="WEurRatings">Prices!$D$8:$D$37</definedName>
    <definedName name="WEurTargets">Prices!$E$8:$E$37</definedName>
    <definedName name="wrn.PandL." localSheetId="71" hidden="1">{"P&amp;L",#N/A,FALSE,"annual"}</definedName>
    <definedName name="wrn.PandL." hidden="1">{"P&amp;L",#N/A,FALSE,"annual"}</definedName>
    <definedName name="wrn.Vodafone._.printout." localSheetId="71" hidden="1">{"Groupannual",#N/A,FALSE,"Groupannual";"VodMann",#N/A,FALSE,"VodMann";"Data",#N/A,FALSE,"Data";"Group International",#N/A,FALSE,"Group International";"BellAir",#N/A,FALSE,"BellAir";"DCF sum of parts",#N/A,FALSE,"DCF sum of parts";"licences",#N/A,FALSE,"licences"}</definedName>
    <definedName name="wrn.Vodafone._.printout." hidden="1">{"Groupannual",#N/A,FALSE,"Groupannual";"VodMann",#N/A,FALSE,"VodMann";"Data",#N/A,FALSE,"Data";"Group International",#N/A,FALSE,"Group International";"BellAir",#N/A,FALSE,"BellAir";"DCF sum of parts",#N/A,FALSE,"DCF sum of parts";"licences",#N/A,FALSE,"licences"}</definedName>
    <definedName name="xft" localSheetId="12" hidden="1">#REF!</definedName>
    <definedName name="xft" localSheetId="20" hidden="1">#REF!</definedName>
    <definedName name="xft" localSheetId="25" hidden="1">#REF!</definedName>
    <definedName name="xft" localSheetId="13" hidden="1">#REF!</definedName>
    <definedName name="xft" localSheetId="46" hidden="1">#REF!</definedName>
    <definedName name="xft" localSheetId="49" hidden="1">#REF!</definedName>
    <definedName name="xft" localSheetId="62" hidden="1">#REF!</definedName>
    <definedName name="xft" localSheetId="86" hidden="1">#REF!</definedName>
    <definedName name="xft" hidden="1">#REF!</definedName>
    <definedName name="xfttt" localSheetId="12" hidden="1">#REF!</definedName>
    <definedName name="xfttt" localSheetId="20" hidden="1">#REF!</definedName>
    <definedName name="xfttt" localSheetId="25" hidden="1">#REF!</definedName>
    <definedName name="xfttt" localSheetId="13" hidden="1">#REF!</definedName>
    <definedName name="xfttt" localSheetId="46" hidden="1">#REF!</definedName>
    <definedName name="xfttt" localSheetId="49" hidden="1">#REF!</definedName>
    <definedName name="xfttt" localSheetId="62" hidden="1">#REF!</definedName>
    <definedName name="xfttt" localSheetId="86" hidden="1">#REF!</definedName>
    <definedName name="xfttt" hidden="1">#REF!</definedName>
    <definedName name="XLAXm1">XLAX!$D$9:$G$10</definedName>
    <definedName name="XLAXm2">XLAX!$D$12:$G$13</definedName>
    <definedName name="XLAXm3">XLAX!$D$16:$G$17</definedName>
    <definedName name="XLAXm4">XLAX!$L$25:$O$25</definedName>
    <definedName name="XLAXm5">XLAX!$C$23:$G$33</definedName>
    <definedName name="xx" localSheetId="12" hidden="1">#REF!</definedName>
    <definedName name="xx" localSheetId="20" hidden="1">#REF!</definedName>
    <definedName name="xx" localSheetId="25" hidden="1">#REF!</definedName>
    <definedName name="xx" localSheetId="13" hidden="1">#REF!</definedName>
    <definedName name="xx" localSheetId="46" hidden="1">#REF!</definedName>
    <definedName name="xx" localSheetId="49" hidden="1">#REF!</definedName>
    <definedName name="xx" localSheetId="62" hidden="1">#REF!</definedName>
    <definedName name="xx" localSheetId="86" hidden="1">#REF!</definedName>
    <definedName name="xx" hidden="1">#REF!</definedName>
    <definedName name="yum" localSheetId="12" hidden="1">#REF!</definedName>
    <definedName name="yum" localSheetId="20" hidden="1">#REF!</definedName>
    <definedName name="yum" localSheetId="25" hidden="1">#REF!</definedName>
    <definedName name="yum" localSheetId="13" hidden="1">#REF!</definedName>
    <definedName name="yum" localSheetId="46" hidden="1">#REF!</definedName>
    <definedName name="yum" localSheetId="49" hidden="1">#REF!</definedName>
    <definedName name="yum" localSheetId="62" hidden="1">#REF!</definedName>
    <definedName name="yum" localSheetId="86" hidden="1">#REF!</definedName>
    <definedName name="yum" hidden="1">#REF!</definedName>
    <definedName name="yumyum" localSheetId="12" hidden="1">#REF!</definedName>
    <definedName name="yumyum" localSheetId="20" hidden="1">#REF!</definedName>
    <definedName name="yumyum" localSheetId="25" hidden="1">#REF!</definedName>
    <definedName name="yumyum" localSheetId="13" hidden="1">#REF!</definedName>
    <definedName name="yumyum" localSheetId="46" hidden="1">#REF!</definedName>
    <definedName name="yumyum" localSheetId="49" hidden="1">#REF!</definedName>
    <definedName name="yumyum" localSheetId="62" hidden="1">#REF!</definedName>
    <definedName name="yumyum" localSheetId="86" hidden="1">#REF!</definedName>
    <definedName name="yumyum" hidden="1">#REF!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7" i="5" l="1" a="1"/>
  <c r="L187" i="5" l="1"/>
  <c r="L186" i="5" a="1"/>
  <c r="L186" i="5" l="1"/>
  <c r="L185" i="5" a="1"/>
  <c r="L185" i="5" l="1"/>
  <c r="L184" i="5" a="1"/>
  <c r="L184" i="5" l="1"/>
  <c r="L183" i="5" a="1"/>
  <c r="L183" i="5" l="1"/>
  <c r="L182" i="5" a="1"/>
  <c r="L182" i="5" l="1"/>
  <c r="L181" i="5" a="1"/>
  <c r="L181" i="5" l="1"/>
  <c r="L180" i="5" a="1"/>
  <c r="L180" i="5" l="1"/>
  <c r="L179" i="5" a="1"/>
  <c r="L179" i="5" l="1"/>
  <c r="L178" i="5" a="1"/>
  <c r="L178" i="5" l="1"/>
  <c r="L177" i="5" a="1"/>
  <c r="L177" i="5" l="1"/>
  <c r="L176" i="5" a="1"/>
  <c r="L176" i="5" l="1"/>
  <c r="L175" i="5" a="1"/>
  <c r="L175" i="5" l="1"/>
  <c r="L174" i="5" a="1"/>
  <c r="L174" i="5" l="1"/>
  <c r="L173" i="5" a="1"/>
  <c r="L173" i="5" l="1"/>
  <c r="L172" i="5" a="1"/>
  <c r="L172" i="5" l="1"/>
  <c r="L171" i="5" a="1"/>
  <c r="L171" i="5" l="1"/>
  <c r="L170" i="5" a="1"/>
  <c r="L170" i="5" l="1"/>
  <c r="L169" i="5" a="1"/>
  <c r="L169" i="5" l="1"/>
  <c r="L168" i="5" a="1"/>
  <c r="L168" i="5" l="1"/>
  <c r="L167" i="5" a="1"/>
  <c r="L167" i="5" l="1"/>
  <c r="L166" i="5" a="1"/>
  <c r="L166" i="5" l="1"/>
  <c r="L165" i="5" a="1"/>
  <c r="L165" i="5" l="1"/>
  <c r="L164" i="5" a="1"/>
  <c r="L164" i="5" l="1"/>
  <c r="L163" i="5" a="1"/>
  <c r="L163" i="5" l="1"/>
  <c r="L162" i="5" a="1"/>
  <c r="L162" i="5" l="1"/>
  <c r="L161" i="5" a="1"/>
  <c r="L161" i="5" l="1"/>
  <c r="L160" i="5" a="1"/>
  <c r="L160" i="5" l="1"/>
  <c r="L159" i="5" a="1"/>
  <c r="L159" i="5" l="1"/>
  <c r="L158" i="5" a="1"/>
  <c r="L158" i="5" l="1"/>
  <c r="L157" i="5" a="1"/>
  <c r="L157" i="5" l="1"/>
  <c r="L156" i="5" a="1"/>
  <c r="L156" i="5" l="1"/>
  <c r="L155" i="5" a="1"/>
  <c r="L155" i="5" l="1"/>
  <c r="L154" i="5" a="1"/>
  <c r="L154" i="5" l="1"/>
  <c r="L153" i="5" a="1"/>
  <c r="L153" i="5" l="1"/>
  <c r="L152" i="5" a="1"/>
  <c r="L152" i="5" l="1"/>
  <c r="L151" i="5" a="1"/>
  <c r="L151" i="5" l="1"/>
  <c r="L150" i="5" a="1"/>
  <c r="L150" i="5" l="1"/>
  <c r="L149" i="5" a="1"/>
  <c r="L149" i="5" l="1"/>
  <c r="L148" i="5" a="1"/>
  <c r="L148" i="5" l="1"/>
  <c r="L145" i="5" a="1"/>
  <c r="L145" i="5" l="1"/>
  <c r="L144" i="5" a="1"/>
  <c r="L144" i="5" l="1"/>
  <c r="L141" i="5" a="1"/>
  <c r="L141" i="5" l="1"/>
  <c r="L138" i="5" a="1"/>
  <c r="L138" i="5" l="1"/>
  <c r="L137" i="5" a="1"/>
  <c r="L137" i="5" l="1"/>
  <c r="L136" i="5" a="1"/>
  <c r="L136" i="5" l="1"/>
  <c r="L135" i="5" a="1"/>
  <c r="L135" i="5" l="1"/>
  <c r="L132" i="5" a="1"/>
  <c r="L132" i="5" l="1"/>
  <c r="L131" i="5" a="1"/>
  <c r="L131" i="5" l="1"/>
  <c r="L130" i="5" a="1"/>
  <c r="L130" i="5" l="1"/>
  <c r="L127" i="5" a="1"/>
  <c r="L127" i="5" l="1"/>
  <c r="L126" i="5" a="1"/>
  <c r="L126" i="5" l="1"/>
  <c r="L125" i="5" a="1"/>
  <c r="L125" i="5" l="1"/>
  <c r="L124" i="5" a="1"/>
  <c r="L124" i="5" l="1"/>
  <c r="L123" i="5" a="1"/>
  <c r="L123" i="5" l="1"/>
  <c r="L120" i="5" a="1"/>
  <c r="L120" i="5" l="1"/>
  <c r="L117" i="5" a="1"/>
  <c r="L117" i="5" l="1"/>
  <c r="L114" i="5" a="1"/>
  <c r="L114" i="5" l="1"/>
  <c r="L113" i="5" a="1"/>
  <c r="L113" i="5" l="1"/>
  <c r="L112" i="5" a="1"/>
  <c r="L112" i="5" l="1"/>
  <c r="L111" i="5" a="1"/>
  <c r="L111" i="5" l="1"/>
  <c r="L110" i="5" a="1"/>
  <c r="L110" i="5" l="1"/>
  <c r="L108" i="5" a="1"/>
  <c r="L108" i="5" l="1"/>
  <c r="L105" i="5" a="1"/>
  <c r="L105" i="5" l="1"/>
  <c r="L104" i="5" a="1"/>
  <c r="L104" i="5" l="1"/>
  <c r="L101" i="5" a="1"/>
  <c r="L101" i="5" l="1"/>
  <c r="L100" i="5" a="1"/>
  <c r="L100" i="5" l="1"/>
  <c r="L99" i="5" a="1"/>
  <c r="L99" i="5" l="1"/>
  <c r="L98" i="5" a="1"/>
  <c r="L98" i="5" l="1"/>
  <c r="L97" i="5" a="1"/>
  <c r="L97" i="5" l="1"/>
  <c r="L94" i="5" a="1"/>
  <c r="L94" i="5" l="1"/>
  <c r="L93" i="5" a="1"/>
  <c r="L93" i="5" l="1"/>
  <c r="L92" i="5" a="1"/>
  <c r="L92" i="5" l="1"/>
  <c r="L91" i="5" a="1"/>
  <c r="L91" i="5" l="1"/>
  <c r="L90" i="5" a="1"/>
  <c r="L90" i="5" l="1"/>
  <c r="L89" i="5" a="1"/>
  <c r="L89" i="5" l="1"/>
  <c r="L88" i="5" a="1"/>
  <c r="L88" i="5" l="1"/>
  <c r="L87" i="5" a="1"/>
  <c r="L87" i="5" l="1"/>
  <c r="L86" i="5" a="1"/>
  <c r="L86" i="5" l="1"/>
  <c r="L85" i="5" a="1"/>
  <c r="L85" i="5" l="1"/>
  <c r="L84" i="5" a="1"/>
  <c r="L84" i="5" l="1"/>
  <c r="L83" i="5" a="1"/>
  <c r="L83" i="5" l="1"/>
  <c r="L82" i="5" a="1"/>
  <c r="L82" i="5" l="1"/>
  <c r="L81" i="5" a="1"/>
  <c r="L81" i="5" l="1"/>
  <c r="L80" i="5" a="1"/>
  <c r="L80" i="5" l="1"/>
  <c r="L77" i="5" a="1"/>
  <c r="L77" i="5" l="1"/>
  <c r="L76" i="5" a="1"/>
  <c r="L76" i="5" l="1"/>
  <c r="L75" i="5" a="1"/>
  <c r="L75" i="5" l="1"/>
  <c r="L74" i="5" a="1"/>
  <c r="L74" i="5" l="1"/>
  <c r="L71" i="5" a="1"/>
  <c r="L71" i="5" l="1"/>
  <c r="L70" i="5" a="1"/>
  <c r="L70" i="5" l="1"/>
  <c r="L69" i="5" a="1"/>
  <c r="L69" i="5" l="1"/>
  <c r="L68" i="5" a="1"/>
  <c r="L68" i="5" l="1"/>
  <c r="L65" i="5" a="1"/>
  <c r="L65" i="5" l="1"/>
  <c r="L64" i="5" a="1"/>
  <c r="L64" i="5" l="1"/>
  <c r="L63" i="5" a="1"/>
  <c r="L63" i="5" l="1"/>
  <c r="L60" i="5" a="1"/>
  <c r="L60" i="5" l="1"/>
  <c r="L59" i="5" a="1"/>
  <c r="L59" i="5" l="1"/>
  <c r="L58" i="5" a="1"/>
  <c r="L58" i="5" l="1"/>
  <c r="L57" i="5" a="1"/>
  <c r="L57" i="5" l="1"/>
  <c r="L56" i="5" a="1"/>
  <c r="L56" i="5" l="1"/>
  <c r="L53" i="5" a="1"/>
  <c r="L53" i="5" l="1"/>
  <c r="L52" i="5" a="1"/>
  <c r="L52" i="5" l="1"/>
  <c r="L51" i="5" a="1"/>
  <c r="L51" i="5" l="1"/>
  <c r="L48" i="5" a="1"/>
  <c r="L48" i="5" l="1"/>
  <c r="L47" i="5" a="1"/>
  <c r="L47" i="5" l="1"/>
  <c r="L46" i="5" a="1"/>
  <c r="L46" i="5" l="1"/>
  <c r="L45" i="5" a="1"/>
  <c r="L45" i="5" l="1"/>
  <c r="L44" i="5" a="1"/>
  <c r="L44" i="5" l="1"/>
  <c r="L41" i="5" a="1"/>
  <c r="L41" i="5" l="1"/>
  <c r="L40" i="5" a="1"/>
  <c r="L40" i="5" l="1"/>
  <c r="L39" i="5" a="1"/>
  <c r="L39" i="5" l="1"/>
  <c r="L36" i="5" a="1"/>
  <c r="L36" i="5" l="1"/>
  <c r="L35" i="5" a="1"/>
  <c r="L35" i="5" l="1"/>
  <c r="L32" i="5" a="1"/>
  <c r="L32" i="5" l="1"/>
  <c r="L31" i="5" a="1"/>
  <c r="L31" i="5" l="1"/>
  <c r="L30" i="5" a="1"/>
  <c r="L30" i="5" l="1"/>
  <c r="L29" i="5" a="1"/>
  <c r="L29" i="5" l="1"/>
  <c r="L28" i="5" a="1"/>
  <c r="L28" i="5" l="1"/>
  <c r="L27" i="5" a="1"/>
  <c r="L27" i="5" l="1"/>
  <c r="L26" i="5" a="1"/>
  <c r="L26" i="5" l="1"/>
  <c r="L25" i="5" a="1"/>
  <c r="L25" i="5" l="1"/>
  <c r="L24" i="5" a="1"/>
  <c r="L24" i="5" l="1"/>
  <c r="L23" i="5" a="1"/>
  <c r="L23" i="5" l="1"/>
  <c r="L22" i="5" a="1"/>
  <c r="L22" i="5" l="1"/>
  <c r="L19" i="5" a="1"/>
  <c r="L19" i="5" l="1"/>
  <c r="L18" i="5" a="1"/>
  <c r="L18" i="5" l="1"/>
  <c r="L17" i="5" a="1"/>
  <c r="L17" i="5" l="1"/>
  <c r="L16" i="5" a="1"/>
  <c r="L16" i="5" l="1"/>
  <c r="L15" i="5" a="1"/>
  <c r="L15" i="5" l="1"/>
  <c r="L14" i="5" a="1"/>
  <c r="L14" i="5" l="1"/>
  <c r="L13" i="5" a="1"/>
  <c r="L13" i="5" l="1"/>
  <c r="L12" i="5" a="1"/>
  <c r="L12" i="5" l="1"/>
  <c r="L11" i="5" a="1"/>
  <c r="L11" i="5" l="1"/>
  <c r="L10" i="5" a="1"/>
  <c r="L10" i="5" l="1"/>
  <c r="L9" i="5" a="1"/>
  <c r="L9" i="5" l="1"/>
  <c r="L8" i="5" a="1"/>
  <c r="L8" i="5" l="1"/>
  <c r="R702" i="246"/>
  <c r="Q702" i="246"/>
  <c r="P702" i="246"/>
  <c r="O702" i="246"/>
  <c r="J45" i="36" l="1"/>
  <c r="F16" i="32" l="1"/>
  <c r="J14" i="32"/>
  <c r="J13" i="32"/>
  <c r="E14" i="32"/>
  <c r="E13" i="32"/>
  <c r="E11" i="32"/>
  <c r="J21" i="32"/>
  <c r="J16" i="32" l="1"/>
  <c r="H16" i="32" s="1"/>
  <c r="E16" i="32" s="1"/>
  <c r="N15" i="70"/>
  <c r="N14" i="70"/>
  <c r="R14" i="70" s="1"/>
  <c r="N13" i="70"/>
  <c r="R13" i="70" s="1"/>
  <c r="E11" i="70"/>
  <c r="J16" i="70"/>
  <c r="H16" i="70" s="1"/>
  <c r="E16" i="70" s="1"/>
  <c r="J31" i="70"/>
  <c r="J20" i="124"/>
  <c r="J28" i="29"/>
  <c r="J42" i="28"/>
  <c r="N16" i="70" l="1"/>
  <c r="R15" i="70"/>
  <c r="R16" i="70" s="1"/>
  <c r="R37" i="28"/>
  <c r="P16" i="70" l="1"/>
  <c r="G17" i="223"/>
  <c r="F17" i="223"/>
  <c r="E17" i="223"/>
  <c r="D17" i="223"/>
  <c r="G16" i="223"/>
  <c r="F16" i="223"/>
  <c r="E16" i="223"/>
  <c r="D16" i="223"/>
  <c r="D15" i="223"/>
  <c r="D14" i="223"/>
  <c r="G13" i="223"/>
  <c r="F13" i="223"/>
  <c r="E13" i="223"/>
  <c r="D13" i="223"/>
  <c r="G12" i="223"/>
  <c r="F12" i="223"/>
  <c r="E12" i="223"/>
  <c r="D12" i="223"/>
  <c r="J12" i="164" l="1"/>
  <c r="I12" i="164"/>
  <c r="H12" i="164"/>
  <c r="G12" i="164"/>
  <c r="E22" i="34" l="1"/>
  <c r="J22" i="28" l="1"/>
  <c r="N22" i="28" l="1"/>
  <c r="G33" i="248"/>
  <c r="F33" i="248"/>
  <c r="E33" i="248"/>
  <c r="D33" i="248"/>
  <c r="C33" i="248"/>
  <c r="G32" i="248"/>
  <c r="F32" i="248"/>
  <c r="E32" i="248"/>
  <c r="D32" i="248"/>
  <c r="C32" i="248"/>
  <c r="G31" i="248"/>
  <c r="F31" i="248"/>
  <c r="E31" i="248"/>
  <c r="D31" i="248"/>
  <c r="C31" i="248"/>
  <c r="G30" i="248"/>
  <c r="F30" i="248"/>
  <c r="E30" i="248"/>
  <c r="D30" i="248"/>
  <c r="C30" i="248"/>
  <c r="G29" i="248"/>
  <c r="F29" i="248"/>
  <c r="E29" i="248"/>
  <c r="D29" i="248"/>
  <c r="C29" i="248"/>
  <c r="G28" i="248"/>
  <c r="F28" i="248"/>
  <c r="E28" i="248"/>
  <c r="D28" i="248"/>
  <c r="C28" i="248"/>
  <c r="G27" i="248"/>
  <c r="F27" i="248"/>
  <c r="E27" i="248"/>
  <c r="D27" i="248"/>
  <c r="C27" i="248"/>
  <c r="G26" i="248"/>
  <c r="F26" i="248"/>
  <c r="E26" i="248"/>
  <c r="D26" i="248"/>
  <c r="C26" i="248"/>
  <c r="G25" i="248"/>
  <c r="F25" i="248"/>
  <c r="E25" i="248"/>
  <c r="D25" i="248"/>
  <c r="C25" i="248"/>
  <c r="G24" i="248"/>
  <c r="F24" i="248"/>
  <c r="E24" i="248"/>
  <c r="D24" i="248"/>
  <c r="C24" i="248"/>
  <c r="G23" i="248"/>
  <c r="F23" i="248"/>
  <c r="E23" i="248"/>
  <c r="D23" i="248"/>
  <c r="C23" i="248"/>
  <c r="G17" i="248"/>
  <c r="F17" i="248"/>
  <c r="E17" i="248"/>
  <c r="D17" i="248"/>
  <c r="G16" i="248"/>
  <c r="F16" i="248"/>
  <c r="E16" i="248"/>
  <c r="D16" i="248"/>
  <c r="G15" i="248"/>
  <c r="F15" i="248"/>
  <c r="E15" i="248"/>
  <c r="D15" i="248"/>
  <c r="G14" i="248"/>
  <c r="F14" i="248"/>
  <c r="E14" i="248"/>
  <c r="D14" i="248"/>
  <c r="G13" i="248"/>
  <c r="F13" i="248"/>
  <c r="E13" i="248"/>
  <c r="D13" i="248"/>
  <c r="G12" i="248"/>
  <c r="F12" i="248"/>
  <c r="E12" i="248"/>
  <c r="D12" i="248"/>
  <c r="C9" i="214"/>
  <c r="G415" i="209" l="1"/>
  <c r="E415" i="209"/>
  <c r="D415" i="209"/>
  <c r="U415" i="209" s="1"/>
  <c r="R415" i="209"/>
  <c r="Q415" i="209"/>
  <c r="P415" i="209"/>
  <c r="O415" i="209"/>
  <c r="L415" i="209"/>
  <c r="K415" i="209"/>
  <c r="J415" i="209"/>
  <c r="I415" i="209"/>
  <c r="V415" i="209"/>
  <c r="G475" i="209"/>
  <c r="E475" i="209"/>
  <c r="D475" i="209"/>
  <c r="U475" i="209" s="1"/>
  <c r="R475" i="209"/>
  <c r="Q475" i="209"/>
  <c r="P475" i="209"/>
  <c r="O475" i="209"/>
  <c r="L475" i="209"/>
  <c r="K475" i="209"/>
  <c r="J475" i="209"/>
  <c r="I475" i="209"/>
  <c r="V475" i="209"/>
  <c r="G535" i="209"/>
  <c r="E535" i="209"/>
  <c r="D535" i="209"/>
  <c r="U535" i="209" s="1"/>
  <c r="R535" i="209"/>
  <c r="Q535" i="209"/>
  <c r="P535" i="209"/>
  <c r="O535" i="209"/>
  <c r="L535" i="209"/>
  <c r="K535" i="209"/>
  <c r="J535" i="209"/>
  <c r="I535" i="209"/>
  <c r="V535" i="209"/>
  <c r="G595" i="209"/>
  <c r="E595" i="209"/>
  <c r="D595" i="209"/>
  <c r="U595" i="209" s="1"/>
  <c r="R595" i="209"/>
  <c r="Q595" i="209"/>
  <c r="P595" i="209"/>
  <c r="O595" i="209"/>
  <c r="L595" i="209"/>
  <c r="K595" i="209"/>
  <c r="J595" i="209"/>
  <c r="I595" i="209"/>
  <c r="V595" i="209"/>
  <c r="G655" i="209"/>
  <c r="E655" i="209"/>
  <c r="D655" i="209"/>
  <c r="U655" i="209" s="1"/>
  <c r="V655" i="209"/>
  <c r="G715" i="209"/>
  <c r="E715" i="209"/>
  <c r="D715" i="209"/>
  <c r="U715" i="209" s="1"/>
  <c r="R715" i="209"/>
  <c r="Q715" i="209"/>
  <c r="P715" i="209"/>
  <c r="O715" i="209"/>
  <c r="V715" i="209"/>
  <c r="G775" i="209"/>
  <c r="E775" i="209"/>
  <c r="D775" i="209"/>
  <c r="U775" i="209" s="1"/>
  <c r="V775" i="209"/>
  <c r="G355" i="209"/>
  <c r="E355" i="209"/>
  <c r="D355" i="209"/>
  <c r="U355" i="209" s="1"/>
  <c r="R355" i="209"/>
  <c r="Q355" i="209"/>
  <c r="P355" i="209"/>
  <c r="O355" i="209"/>
  <c r="L355" i="209"/>
  <c r="K355" i="209"/>
  <c r="J355" i="209"/>
  <c r="I355" i="209"/>
  <c r="V355" i="209"/>
  <c r="R295" i="209"/>
  <c r="Q295" i="209"/>
  <c r="P295" i="209"/>
  <c r="O295" i="209"/>
  <c r="G295" i="209"/>
  <c r="E295" i="209"/>
  <c r="D295" i="209"/>
  <c r="U295" i="209" s="1"/>
  <c r="V295" i="209"/>
  <c r="G235" i="209"/>
  <c r="E235" i="209"/>
  <c r="D235" i="209"/>
  <c r="U235" i="209" s="1"/>
  <c r="V235" i="209"/>
  <c r="C9" i="364"/>
  <c r="G175" i="209"/>
  <c r="E175" i="209"/>
  <c r="D175" i="209"/>
  <c r="U175" i="209" s="1"/>
  <c r="V175" i="209"/>
  <c r="V115" i="209"/>
  <c r="G115" i="209"/>
  <c r="E115" i="209"/>
  <c r="D115" i="209"/>
  <c r="U115" i="209" s="1"/>
  <c r="G55" i="209"/>
  <c r="E55" i="209"/>
  <c r="D55" i="209"/>
  <c r="U55" i="209" s="1"/>
  <c r="V55" i="209"/>
  <c r="C9" i="220"/>
  <c r="S415" i="209" l="1"/>
  <c r="M415" i="209"/>
  <c r="S595" i="209"/>
  <c r="M535" i="209"/>
  <c r="S535" i="209"/>
  <c r="S475" i="209"/>
  <c r="S715" i="209"/>
  <c r="M595" i="209"/>
  <c r="F47" i="5"/>
  <c r="F55" i="209" l="1"/>
  <c r="F115" i="209"/>
  <c r="F535" i="209"/>
  <c r="F715" i="209"/>
  <c r="F355" i="209"/>
  <c r="F595" i="209"/>
  <c r="F175" i="209"/>
  <c r="F295" i="209"/>
  <c r="F775" i="209"/>
  <c r="F475" i="209"/>
  <c r="F655" i="209"/>
  <c r="F235" i="209"/>
  <c r="F415" i="209"/>
  <c r="G48" i="364" l="1"/>
  <c r="F48" i="364"/>
  <c r="E48" i="364"/>
  <c r="D48" i="364"/>
  <c r="H46" i="364"/>
  <c r="S655" i="209" s="1"/>
  <c r="H33" i="364"/>
  <c r="H32" i="364"/>
  <c r="M655" i="209" s="1"/>
  <c r="H31" i="364"/>
  <c r="H45" i="364" s="1"/>
  <c r="M175" i="209" s="1"/>
  <c r="H30" i="364"/>
  <c r="H44" i="364" s="1"/>
  <c r="S115" i="209" s="1"/>
  <c r="H29" i="364"/>
  <c r="H43" i="364" s="1"/>
  <c r="H28" i="364"/>
  <c r="H42" i="364" s="1"/>
  <c r="H27" i="364"/>
  <c r="H41" i="364" s="1"/>
  <c r="M235" i="209" s="1"/>
  <c r="H26" i="364"/>
  <c r="H40" i="364" s="1"/>
  <c r="M115" i="209" s="1"/>
  <c r="P25" i="364"/>
  <c r="H25" i="364"/>
  <c r="H24" i="364"/>
  <c r="H38" i="364" s="1"/>
  <c r="M55" i="209" s="1"/>
  <c r="H23" i="364"/>
  <c r="P20" i="364"/>
  <c r="F11" i="364"/>
  <c r="E11" i="364"/>
  <c r="D11" i="364"/>
  <c r="G11" i="364"/>
  <c r="L5" i="364" a="1"/>
  <c r="M7" i="364" s="1"/>
  <c r="D5" i="364" a="1"/>
  <c r="H21" i="364" s="1"/>
  <c r="P23" i="364" s="1"/>
  <c r="J29" i="34"/>
  <c r="E35" i="364" l="1"/>
  <c r="E45" i="364"/>
  <c r="J175" i="209" s="1"/>
  <c r="P655" i="209"/>
  <c r="J715" i="209"/>
  <c r="J655" i="209"/>
  <c r="F45" i="364"/>
  <c r="K175" i="209" s="1"/>
  <c r="Q655" i="209"/>
  <c r="K715" i="209"/>
  <c r="K655" i="209"/>
  <c r="M475" i="209"/>
  <c r="M295" i="209"/>
  <c r="M355" i="209"/>
  <c r="H37" i="364"/>
  <c r="S235" i="209" s="1"/>
  <c r="S295" i="209"/>
  <c r="D5" i="364"/>
  <c r="D35" i="364" s="1"/>
  <c r="H39" i="364"/>
  <c r="S55" i="209" s="1"/>
  <c r="S355" i="209"/>
  <c r="R655" i="209"/>
  <c r="L715" i="209"/>
  <c r="L655" i="209"/>
  <c r="D18" i="364"/>
  <c r="I775" i="209" s="1"/>
  <c r="O655" i="209"/>
  <c r="I715" i="209"/>
  <c r="I655" i="209"/>
  <c r="E18" i="364"/>
  <c r="F18" i="364"/>
  <c r="O26" i="364"/>
  <c r="G45" i="364"/>
  <c r="L175" i="209" s="1"/>
  <c r="G46" i="364"/>
  <c r="G44" i="364"/>
  <c r="R115" i="209" s="1"/>
  <c r="G18" i="364"/>
  <c r="L775" i="209" s="1"/>
  <c r="O7" i="364"/>
  <c r="L26" i="364"/>
  <c r="O775" i="209" s="1"/>
  <c r="G35" i="364"/>
  <c r="E46" i="364"/>
  <c r="H47" i="364"/>
  <c r="S175" i="209" s="1"/>
  <c r="D44" i="364"/>
  <c r="O115" i="209" s="1"/>
  <c r="N7" i="364"/>
  <c r="F35" i="364"/>
  <c r="D46" i="364"/>
  <c r="E7" i="364"/>
  <c r="P7" i="364"/>
  <c r="E21" i="364"/>
  <c r="M23" i="364" s="1"/>
  <c r="M26" i="364"/>
  <c r="H35" i="364"/>
  <c r="F46" i="364"/>
  <c r="E44" i="364"/>
  <c r="P115" i="209" s="1"/>
  <c r="L5" i="364"/>
  <c r="L7" i="364" s="1"/>
  <c r="F44" i="364"/>
  <c r="Q115" i="209" s="1"/>
  <c r="F7" i="364"/>
  <c r="F21" i="364"/>
  <c r="N23" i="364" s="1"/>
  <c r="N26" i="364"/>
  <c r="D45" i="364"/>
  <c r="I175" i="209" s="1"/>
  <c r="G7" i="364"/>
  <c r="G21" i="364"/>
  <c r="O23" i="364" s="1"/>
  <c r="H7" i="364"/>
  <c r="F155"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4" i="5"/>
  <c r="F153" i="5"/>
  <c r="F152" i="5"/>
  <c r="F151" i="5"/>
  <c r="F150" i="5"/>
  <c r="F149" i="5"/>
  <c r="F148" i="5"/>
  <c r="G16" i="44" l="1"/>
  <c r="G17" i="44"/>
  <c r="G13" i="44"/>
  <c r="E13" i="44"/>
  <c r="D13" i="44"/>
  <c r="G12" i="44"/>
  <c r="F17" i="44"/>
  <c r="F13" i="44"/>
  <c r="F16" i="44"/>
  <c r="F12" i="44"/>
  <c r="E16" i="44"/>
  <c r="E12" i="44"/>
  <c r="D16" i="44"/>
  <c r="D12" i="44"/>
  <c r="E17" i="44"/>
  <c r="D17" i="44"/>
  <c r="G33" i="44"/>
  <c r="D32" i="44"/>
  <c r="F30" i="44"/>
  <c r="C29" i="44"/>
  <c r="E27" i="44"/>
  <c r="G25" i="44"/>
  <c r="D24" i="44"/>
  <c r="F33" i="44"/>
  <c r="C32" i="44"/>
  <c r="G28" i="44"/>
  <c r="F25" i="44"/>
  <c r="F24" i="44"/>
  <c r="E33" i="44"/>
  <c r="G31" i="44"/>
  <c r="D30" i="44"/>
  <c r="F28" i="44"/>
  <c r="C27" i="44"/>
  <c r="E25" i="44"/>
  <c r="G23" i="44"/>
  <c r="F23" i="44"/>
  <c r="F29" i="44"/>
  <c r="D23" i="44"/>
  <c r="C31" i="44"/>
  <c r="C23" i="44"/>
  <c r="D33" i="44"/>
  <c r="F31" i="44"/>
  <c r="C30" i="44"/>
  <c r="E28" i="44"/>
  <c r="G26" i="44"/>
  <c r="D25" i="44"/>
  <c r="D31" i="44"/>
  <c r="E26" i="44"/>
  <c r="M25" i="44"/>
  <c r="E29" i="44"/>
  <c r="O25" i="44"/>
  <c r="C33" i="44"/>
  <c r="E31" i="44"/>
  <c r="G29" i="44"/>
  <c r="D28" i="44"/>
  <c r="F26" i="44"/>
  <c r="C25" i="44"/>
  <c r="E23" i="44"/>
  <c r="N25" i="44"/>
  <c r="G32" i="44"/>
  <c r="C28" i="44"/>
  <c r="G24" i="44"/>
  <c r="F32" i="44"/>
  <c r="G27" i="44"/>
  <c r="L25" i="44"/>
  <c r="E32" i="44"/>
  <c r="G30" i="44"/>
  <c r="D29" i="44"/>
  <c r="F27" i="44"/>
  <c r="C26" i="44"/>
  <c r="E24" i="44"/>
  <c r="E30" i="44"/>
  <c r="D27" i="44"/>
  <c r="C24" i="44"/>
  <c r="D26" i="44"/>
  <c r="D39" i="364"/>
  <c r="O55" i="209" s="1"/>
  <c r="M775" i="209"/>
  <c r="D42" i="364"/>
  <c r="I295" i="209" s="1"/>
  <c r="D40" i="364"/>
  <c r="I115" i="209" s="1"/>
  <c r="D38" i="364"/>
  <c r="I55" i="209" s="1"/>
  <c r="D37" i="364"/>
  <c r="O235" i="209" s="1"/>
  <c r="F41" i="364"/>
  <c r="K235" i="209" s="1"/>
  <c r="K775" i="209"/>
  <c r="E42" i="364"/>
  <c r="J295" i="209" s="1"/>
  <c r="J775" i="209"/>
  <c r="D21" i="364"/>
  <c r="L23" i="364" s="1"/>
  <c r="F38" i="364"/>
  <c r="K55" i="209" s="1"/>
  <c r="D7" i="364"/>
  <c r="F43" i="364"/>
  <c r="F47" i="364" s="1"/>
  <c r="Q175" i="209" s="1"/>
  <c r="Q775" i="209"/>
  <c r="E43" i="364"/>
  <c r="E47" i="364" s="1"/>
  <c r="P175" i="209" s="1"/>
  <c r="P775" i="209"/>
  <c r="D41" i="364"/>
  <c r="I235" i="209" s="1"/>
  <c r="G43" i="364"/>
  <c r="G47" i="364" s="1"/>
  <c r="R175" i="209" s="1"/>
  <c r="R775" i="209"/>
  <c r="S775" i="209" s="1"/>
  <c r="M715" i="209"/>
  <c r="E41" i="364"/>
  <c r="J235" i="209" s="1"/>
  <c r="E40" i="364"/>
  <c r="J115" i="209" s="1"/>
  <c r="E37" i="364"/>
  <c r="P235" i="209" s="1"/>
  <c r="E38" i="364"/>
  <c r="J55" i="209" s="1"/>
  <c r="F40" i="364"/>
  <c r="K115" i="209" s="1"/>
  <c r="F39" i="364"/>
  <c r="Q55" i="209" s="1"/>
  <c r="E39" i="364"/>
  <c r="P55" i="209" s="1"/>
  <c r="F37" i="364"/>
  <c r="Q235" i="209" s="1"/>
  <c r="F42" i="364"/>
  <c r="K295" i="209" s="1"/>
  <c r="G40" i="364"/>
  <c r="L115" i="209" s="1"/>
  <c r="G39" i="364"/>
  <c r="R55" i="209" s="1"/>
  <c r="G38" i="364"/>
  <c r="L55" i="209" s="1"/>
  <c r="G41" i="364"/>
  <c r="L235" i="209" s="1"/>
  <c r="G42" i="364"/>
  <c r="L295" i="209" s="1"/>
  <c r="G37" i="364"/>
  <c r="R235" i="209" s="1"/>
  <c r="P26" i="364"/>
  <c r="D43" i="364"/>
  <c r="H18" i="364"/>
  <c r="L5" i="173" a="1"/>
  <c r="L5" i="173" s="1"/>
  <c r="L5" i="170" a="1"/>
  <c r="L5" i="170" s="1"/>
  <c r="L5" i="175" a="1"/>
  <c r="L5" i="175" s="1"/>
  <c r="L5" i="327" a="1"/>
  <c r="L5" i="327" s="1"/>
  <c r="L5" i="328" a="1"/>
  <c r="L5" i="328" s="1"/>
  <c r="L5" i="229" a="1"/>
  <c r="L5" i="229" s="1"/>
  <c r="L5" i="171" a="1"/>
  <c r="L5" i="171" s="1"/>
  <c r="L5" i="172" a="1"/>
  <c r="L5" i="172" s="1"/>
  <c r="L5" i="309" a="1"/>
  <c r="L5" i="309" s="1"/>
  <c r="L5" i="361" a="1"/>
  <c r="L5" i="361" s="1"/>
  <c r="L5" i="174" a="1"/>
  <c r="L5" i="174" s="1"/>
  <c r="L5" i="231" a="1"/>
  <c r="L5" i="231" s="1"/>
  <c r="D5" i="173" a="1"/>
  <c r="D5" i="173" s="1"/>
  <c r="D5" i="170" a="1"/>
  <c r="D5" i="170" s="1"/>
  <c r="D5" i="175" a="1"/>
  <c r="D5" i="175" s="1"/>
  <c r="D5" i="327" a="1"/>
  <c r="D5" i="327" s="1"/>
  <c r="D5" i="328" a="1"/>
  <c r="D5" i="328" s="1"/>
  <c r="D5" i="229" a="1"/>
  <c r="D5" i="229" s="1"/>
  <c r="D5" i="171" a="1"/>
  <c r="D5" i="171" s="1"/>
  <c r="D5" i="172" a="1"/>
  <c r="D5" i="172" s="1"/>
  <c r="D5" i="309" a="1"/>
  <c r="D5" i="309" s="1"/>
  <c r="D5" i="361" a="1"/>
  <c r="D5" i="361" s="1"/>
  <c r="D5" i="174" a="1"/>
  <c r="D5" i="174" s="1"/>
  <c r="D5" i="231" a="1"/>
  <c r="D5" i="231" s="1"/>
  <c r="L5" i="226" a="1"/>
  <c r="L5" i="226" s="1"/>
  <c r="D5" i="226" a="1"/>
  <c r="D5" i="226" s="1"/>
  <c r="L5" i="223" a="1"/>
  <c r="L5" i="223" s="1"/>
  <c r="D5" i="223" a="1"/>
  <c r="D5" i="223" s="1"/>
  <c r="L5" i="84" a="1"/>
  <c r="L5" i="84" s="1"/>
  <c r="D5" i="84" a="1"/>
  <c r="D5" i="84" s="1"/>
  <c r="L5" i="104" a="1"/>
  <c r="L5" i="104" s="1"/>
  <c r="D5" i="104" a="1"/>
  <c r="D5" i="104" s="1"/>
  <c r="L5" i="103" a="1"/>
  <c r="L5" i="103" s="1"/>
  <c r="D5" i="103" a="1"/>
  <c r="D5" i="103" s="1"/>
  <c r="L5" i="184" a="1"/>
  <c r="L5" i="184" s="1"/>
  <c r="D5" i="184" a="1"/>
  <c r="D5" i="184" s="1"/>
  <c r="L5" i="308" a="1"/>
  <c r="L5" i="308" s="1"/>
  <c r="D5" i="308" a="1"/>
  <c r="D5" i="308" s="1"/>
  <c r="L5" i="186" a="1"/>
  <c r="L5" i="186" s="1"/>
  <c r="D5" i="186" a="1"/>
  <c r="D5" i="186" s="1"/>
  <c r="L5" i="185" a="1"/>
  <c r="L5" i="185" s="1"/>
  <c r="D5" i="185" a="1"/>
  <c r="D5" i="185" s="1"/>
  <c r="L5" i="228" a="1"/>
  <c r="L5" i="228" s="1"/>
  <c r="D5" i="228" a="1"/>
  <c r="D5" i="228" s="1"/>
  <c r="L5" i="225" a="1"/>
  <c r="L5" i="225" s="1"/>
  <c r="D5" i="225" a="1"/>
  <c r="D5" i="225" s="1"/>
  <c r="L5" i="212" a="1"/>
  <c r="L5" i="212" s="1"/>
  <c r="D5" i="212" a="1"/>
  <c r="D5" i="212" s="1"/>
  <c r="L5" i="330" a="1"/>
  <c r="L5" i="330" s="1"/>
  <c r="D5" i="330" a="1"/>
  <c r="D5" i="330" s="1"/>
  <c r="L5" i="58" a="1"/>
  <c r="L5" i="58" s="1"/>
  <c r="D5" i="58" a="1"/>
  <c r="D5" i="58" s="1"/>
  <c r="L5" i="326" a="1"/>
  <c r="L5" i="326" s="1"/>
  <c r="D5" i="326" a="1"/>
  <c r="D5" i="326" s="1"/>
  <c r="L5" i="44" a="1"/>
  <c r="L5" i="44" s="1"/>
  <c r="D5" i="44" a="1"/>
  <c r="D5" i="44" s="1"/>
  <c r="L5" i="18" a="1"/>
  <c r="L5" i="18" s="1"/>
  <c r="D5" i="18" a="1"/>
  <c r="D5" i="18" s="1"/>
  <c r="L5" i="250" a="1"/>
  <c r="L5" i="250" s="1"/>
  <c r="D5" i="250" a="1"/>
  <c r="D5" i="250" s="1"/>
  <c r="D5" i="291" a="1"/>
  <c r="D5" i="291" s="1"/>
  <c r="L5" i="291" a="1"/>
  <c r="L5" i="291" s="1"/>
  <c r="L5" i="247" a="1"/>
  <c r="L5" i="247" s="1"/>
  <c r="L5" i="248" a="1"/>
  <c r="L5" i="248" s="1"/>
  <c r="D5" i="248" a="1"/>
  <c r="D5" i="248" s="1"/>
  <c r="D5" i="247" a="1"/>
  <c r="D5" i="247" s="1"/>
  <c r="G17" i="225"/>
  <c r="F17" i="225"/>
  <c r="E17" i="225"/>
  <c r="D17" i="225"/>
  <c r="G16" i="225"/>
  <c r="F16" i="225"/>
  <c r="E16" i="225"/>
  <c r="D16" i="225"/>
  <c r="D15" i="225"/>
  <c r="D14" i="225"/>
  <c r="G13" i="225"/>
  <c r="F13" i="225"/>
  <c r="E13" i="225"/>
  <c r="D13" i="225"/>
  <c r="G12" i="225"/>
  <c r="F12" i="225"/>
  <c r="E12" i="225"/>
  <c r="D12" i="225"/>
  <c r="O25" i="225"/>
  <c r="N25" i="225"/>
  <c r="M25" i="225"/>
  <c r="L25" i="225"/>
  <c r="G33" i="225"/>
  <c r="F33" i="225"/>
  <c r="E33" i="225"/>
  <c r="D33" i="225"/>
  <c r="C33" i="225"/>
  <c r="G32" i="225"/>
  <c r="F32" i="225"/>
  <c r="E32" i="225"/>
  <c r="D32" i="225"/>
  <c r="C32" i="225"/>
  <c r="G31" i="225"/>
  <c r="F31" i="225"/>
  <c r="E31" i="225"/>
  <c r="D31" i="225"/>
  <c r="C31" i="225"/>
  <c r="G30" i="225"/>
  <c r="F30" i="225"/>
  <c r="E30" i="225"/>
  <c r="D30" i="225"/>
  <c r="C30" i="225"/>
  <c r="G29" i="225"/>
  <c r="F29" i="225"/>
  <c r="E29" i="225"/>
  <c r="D29" i="225"/>
  <c r="C29" i="225"/>
  <c r="G28" i="225"/>
  <c r="F28" i="225"/>
  <c r="E28" i="225"/>
  <c r="D28" i="225"/>
  <c r="C28" i="225"/>
  <c r="G27" i="225"/>
  <c r="F27" i="225"/>
  <c r="E27" i="225"/>
  <c r="D27" i="225"/>
  <c r="C27" i="225"/>
  <c r="G26" i="225"/>
  <c r="F26" i="225"/>
  <c r="E26" i="225"/>
  <c r="D26" i="225"/>
  <c r="C26" i="225"/>
  <c r="G25" i="225"/>
  <c r="F25" i="225"/>
  <c r="E25" i="225"/>
  <c r="D25" i="225"/>
  <c r="C25" i="225"/>
  <c r="G24" i="225"/>
  <c r="F24" i="225"/>
  <c r="E24" i="225"/>
  <c r="D24" i="225"/>
  <c r="C24" i="225"/>
  <c r="G23" i="225"/>
  <c r="F23" i="225"/>
  <c r="E23" i="225"/>
  <c r="D23" i="225"/>
  <c r="C23" i="225"/>
  <c r="O25" i="212"/>
  <c r="N25" i="212"/>
  <c r="M25" i="212"/>
  <c r="L25" i="212"/>
  <c r="G33" i="212"/>
  <c r="F33" i="212"/>
  <c r="E33" i="212"/>
  <c r="D33" i="212"/>
  <c r="C33" i="212"/>
  <c r="G32" i="212"/>
  <c r="F32" i="212"/>
  <c r="E32" i="212"/>
  <c r="D32" i="212"/>
  <c r="C32" i="212"/>
  <c r="G31" i="212"/>
  <c r="F31" i="212"/>
  <c r="E31" i="212"/>
  <c r="D31" i="212"/>
  <c r="C31" i="212"/>
  <c r="G30" i="212"/>
  <c r="F30" i="212"/>
  <c r="E30" i="212"/>
  <c r="D30" i="212"/>
  <c r="C30" i="212"/>
  <c r="G29" i="212"/>
  <c r="F29" i="212"/>
  <c r="E29" i="212"/>
  <c r="D29" i="212"/>
  <c r="C29" i="212"/>
  <c r="G28" i="212"/>
  <c r="F28" i="212"/>
  <c r="E28" i="212"/>
  <c r="D28" i="212"/>
  <c r="C28" i="212"/>
  <c r="G27" i="212"/>
  <c r="F27" i="212"/>
  <c r="E27" i="212"/>
  <c r="D27" i="212"/>
  <c r="C27" i="212"/>
  <c r="G26" i="212"/>
  <c r="F26" i="212"/>
  <c r="E26" i="212"/>
  <c r="D26" i="212"/>
  <c r="C26" i="212"/>
  <c r="G25" i="212"/>
  <c r="F25" i="212"/>
  <c r="E25" i="212"/>
  <c r="D25" i="212"/>
  <c r="C25" i="212"/>
  <c r="G24" i="212"/>
  <c r="F24" i="212"/>
  <c r="E24" i="212"/>
  <c r="D24" i="212"/>
  <c r="C24" i="212"/>
  <c r="G23" i="212"/>
  <c r="F23" i="212"/>
  <c r="E23" i="212"/>
  <c r="D23" i="212"/>
  <c r="C23" i="212"/>
  <c r="G17" i="212"/>
  <c r="F17" i="212"/>
  <c r="E17" i="212"/>
  <c r="D17" i="212"/>
  <c r="G16" i="212"/>
  <c r="F16" i="212"/>
  <c r="E16" i="212"/>
  <c r="D16" i="212"/>
  <c r="D15" i="212"/>
  <c r="D14" i="212"/>
  <c r="G13" i="212"/>
  <c r="F13" i="212"/>
  <c r="E13" i="212"/>
  <c r="D13" i="212"/>
  <c r="G12" i="212"/>
  <c r="F12" i="212"/>
  <c r="E12" i="212"/>
  <c r="D12" i="212"/>
  <c r="D47" i="364" l="1"/>
  <c r="O175" i="209" s="1"/>
  <c r="J22" i="80"/>
  <c r="J27" i="36" l="1"/>
  <c r="N27" i="36" s="1"/>
  <c r="R27" i="36" s="1"/>
  <c r="E27" i="36"/>
  <c r="J28" i="36"/>
  <c r="N28" i="36" s="1"/>
  <c r="R28" i="36" s="1"/>
  <c r="E28" i="36"/>
  <c r="J24" i="30" l="1"/>
  <c r="J20" i="155"/>
  <c r="D12" i="185" l="1"/>
  <c r="E12" i="185"/>
  <c r="F12" i="185"/>
  <c r="G12" i="185"/>
  <c r="D13" i="185"/>
  <c r="E13" i="185"/>
  <c r="F13" i="185"/>
  <c r="G13" i="185"/>
  <c r="D14" i="185"/>
  <c r="D15" i="185"/>
  <c r="D16" i="185"/>
  <c r="E16" i="185"/>
  <c r="F16" i="185"/>
  <c r="G16" i="185"/>
  <c r="D17" i="185"/>
  <c r="E17" i="185"/>
  <c r="F17" i="185"/>
  <c r="G17" i="185"/>
  <c r="C23" i="185"/>
  <c r="D23" i="185"/>
  <c r="E23" i="185"/>
  <c r="F23" i="185"/>
  <c r="G23" i="185"/>
  <c r="C24" i="185"/>
  <c r="D24" i="185"/>
  <c r="E24" i="185"/>
  <c r="F24" i="185"/>
  <c r="G24" i="185"/>
  <c r="C25" i="185"/>
  <c r="D25" i="185"/>
  <c r="E25" i="185"/>
  <c r="F25" i="185"/>
  <c r="G25" i="185"/>
  <c r="C26" i="185"/>
  <c r="D26" i="185"/>
  <c r="E26" i="185"/>
  <c r="F26" i="185"/>
  <c r="G26" i="185"/>
  <c r="C27" i="185"/>
  <c r="D27" i="185"/>
  <c r="E27" i="185"/>
  <c r="F27" i="185"/>
  <c r="G27" i="185"/>
  <c r="C28" i="185"/>
  <c r="D28" i="185"/>
  <c r="E28" i="185"/>
  <c r="F28" i="185"/>
  <c r="G28" i="185"/>
  <c r="C29" i="185"/>
  <c r="D29" i="185"/>
  <c r="E29" i="185"/>
  <c r="F29" i="185"/>
  <c r="G29" i="185"/>
  <c r="C30" i="185"/>
  <c r="D30" i="185"/>
  <c r="E30" i="185"/>
  <c r="F30" i="185"/>
  <c r="G30" i="185"/>
  <c r="C31" i="185"/>
  <c r="D31" i="185"/>
  <c r="E31" i="185"/>
  <c r="F31" i="185"/>
  <c r="G31" i="185"/>
  <c r="C32" i="185"/>
  <c r="D32" i="185"/>
  <c r="E32" i="185"/>
  <c r="F32" i="185"/>
  <c r="G32" i="185"/>
  <c r="C33" i="185"/>
  <c r="D33" i="185"/>
  <c r="E33" i="185"/>
  <c r="F33" i="185"/>
  <c r="G33" i="185"/>
  <c r="AA7" i="292" l="1"/>
  <c r="I7" i="292"/>
  <c r="V7" i="292"/>
  <c r="U7" i="292"/>
  <c r="T7" i="292"/>
  <c r="S7" i="292"/>
  <c r="R7" i="292"/>
  <c r="G7" i="292"/>
  <c r="F7" i="292"/>
  <c r="E7" i="292"/>
  <c r="D7" i="292"/>
  <c r="C7" i="292"/>
  <c r="U5" i="294"/>
  <c r="T5" i="294"/>
  <c r="S5" i="294"/>
  <c r="R5" i="294"/>
  <c r="P5" i="294"/>
  <c r="O5" i="294"/>
  <c r="N5" i="294"/>
  <c r="M5" i="294"/>
  <c r="K5" i="294"/>
  <c r="J5" i="294"/>
  <c r="I5" i="294"/>
  <c r="H5" i="294"/>
  <c r="O5" i="246" a="1"/>
  <c r="O5" i="246" s="1"/>
  <c r="I5" i="246" a="1"/>
  <c r="I5" i="246" s="1"/>
  <c r="O5" i="209" a="1"/>
  <c r="O5" i="209" s="1"/>
  <c r="I5" i="209" a="1"/>
  <c r="I5" i="209" s="1"/>
  <c r="C9" i="194"/>
  <c r="G11" i="194" s="1"/>
  <c r="R660" i="246" s="1"/>
  <c r="C9" i="160"/>
  <c r="C9" i="126"/>
  <c r="C9" i="151"/>
  <c r="G11" i="151" s="1"/>
  <c r="C9" i="188"/>
  <c r="E11" i="188" s="1"/>
  <c r="E45" i="188" s="1"/>
  <c r="J168" i="246" s="1"/>
  <c r="C9" i="204"/>
  <c r="G11" i="204" s="1"/>
  <c r="C9" i="141"/>
  <c r="G11" i="141" s="1"/>
  <c r="C9" i="137"/>
  <c r="F11" i="137" s="1"/>
  <c r="K667" i="246" s="1"/>
  <c r="C9" i="195"/>
  <c r="C9" i="189"/>
  <c r="G11" i="189" s="1"/>
  <c r="L731" i="246" s="1"/>
  <c r="C9" i="146"/>
  <c r="C9" i="203"/>
  <c r="G11" i="203" s="1"/>
  <c r="C9" i="183"/>
  <c r="D11" i="183" s="1"/>
  <c r="D44" i="183" s="1"/>
  <c r="O115" i="246" s="1"/>
  <c r="C9" i="270"/>
  <c r="G11" i="270" s="1"/>
  <c r="O25" i="226"/>
  <c r="N25" i="226"/>
  <c r="M25" i="226"/>
  <c r="L25" i="226"/>
  <c r="G33" i="226"/>
  <c r="F33" i="226"/>
  <c r="E33" i="226"/>
  <c r="D33" i="226"/>
  <c r="C33" i="226"/>
  <c r="G32" i="226"/>
  <c r="F32" i="226"/>
  <c r="E32" i="226"/>
  <c r="D32" i="226"/>
  <c r="H32" i="226" s="1"/>
  <c r="M674" i="246" s="1"/>
  <c r="C32" i="226"/>
  <c r="G31" i="226"/>
  <c r="F31" i="226"/>
  <c r="G36" i="292" s="1"/>
  <c r="E31" i="226"/>
  <c r="D31" i="226"/>
  <c r="C31" i="226"/>
  <c r="G30" i="226"/>
  <c r="F30" i="226"/>
  <c r="E36" i="292" s="1"/>
  <c r="E30" i="226"/>
  <c r="D30" i="226"/>
  <c r="C30" i="226"/>
  <c r="G29" i="226"/>
  <c r="F29" i="226"/>
  <c r="E29" i="226"/>
  <c r="D29" i="226"/>
  <c r="C29" i="226"/>
  <c r="G28" i="226"/>
  <c r="F28" i="226"/>
  <c r="E28" i="226"/>
  <c r="D28" i="226"/>
  <c r="C28" i="226"/>
  <c r="G27" i="226"/>
  <c r="F27" i="226"/>
  <c r="E27" i="226"/>
  <c r="D27" i="226"/>
  <c r="C27" i="226"/>
  <c r="G26" i="226"/>
  <c r="F26" i="226"/>
  <c r="F36" i="292" s="1"/>
  <c r="E26" i="226"/>
  <c r="D26" i="226"/>
  <c r="C26" i="226"/>
  <c r="G25" i="226"/>
  <c r="F25" i="226"/>
  <c r="E25" i="226"/>
  <c r="D25" i="226"/>
  <c r="C25" i="226"/>
  <c r="G24" i="226"/>
  <c r="F24" i="226"/>
  <c r="E24" i="226"/>
  <c r="D24" i="226"/>
  <c r="C24" i="226"/>
  <c r="G23" i="226"/>
  <c r="F23" i="226"/>
  <c r="C36" i="292" s="1"/>
  <c r="E23" i="226"/>
  <c r="D23" i="226"/>
  <c r="C23" i="226"/>
  <c r="E14" i="194"/>
  <c r="F14" i="194" s="1"/>
  <c r="E15" i="194"/>
  <c r="F15" i="194" s="1"/>
  <c r="E14" i="126"/>
  <c r="F14" i="126" s="1"/>
  <c r="N11" i="129"/>
  <c r="R11" i="129" s="1"/>
  <c r="N12" i="129"/>
  <c r="R12" i="129" s="1"/>
  <c r="N13" i="129"/>
  <c r="R13" i="129" s="1"/>
  <c r="N14" i="129"/>
  <c r="R14" i="129" s="1"/>
  <c r="T14" i="129" s="1"/>
  <c r="N15" i="129"/>
  <c r="R15" i="129" s="1"/>
  <c r="T15" i="129" s="1"/>
  <c r="N16" i="129"/>
  <c r="R16" i="129" s="1"/>
  <c r="N17" i="129"/>
  <c r="R17" i="129" s="1"/>
  <c r="N18" i="129"/>
  <c r="R18" i="129" s="1"/>
  <c r="T18" i="129" s="1"/>
  <c r="N19" i="129"/>
  <c r="R19" i="129" s="1"/>
  <c r="E15" i="151"/>
  <c r="F15" i="151" s="1"/>
  <c r="G15" i="151" s="1"/>
  <c r="E14" i="204"/>
  <c r="F14" i="204" s="1"/>
  <c r="G14" i="204" s="1"/>
  <c r="E15" i="204"/>
  <c r="F15" i="204" s="1"/>
  <c r="G15" i="204" s="1"/>
  <c r="D14" i="141"/>
  <c r="E14" i="141" s="1"/>
  <c r="D15" i="141"/>
  <c r="E15" i="141" s="1"/>
  <c r="F15" i="141" s="1"/>
  <c r="G15" i="141" s="1"/>
  <c r="E14" i="137"/>
  <c r="F14" i="137" s="1"/>
  <c r="G14" i="137" s="1"/>
  <c r="E15" i="137"/>
  <c r="F15" i="137" s="1"/>
  <c r="G15" i="137" s="1"/>
  <c r="E14" i="195"/>
  <c r="F14" i="195" s="1"/>
  <c r="G14" i="195" s="1"/>
  <c r="E15" i="195"/>
  <c r="F15" i="195" s="1"/>
  <c r="G15" i="195" s="1"/>
  <c r="E14" i="189"/>
  <c r="F14" i="189" s="1"/>
  <c r="G14" i="189" s="1"/>
  <c r="E15" i="189"/>
  <c r="F15" i="189" s="1"/>
  <c r="G15" i="189" s="1"/>
  <c r="E15" i="146"/>
  <c r="F15" i="146" s="1"/>
  <c r="G15" i="146" s="1"/>
  <c r="E14" i="203"/>
  <c r="F14" i="203" s="1"/>
  <c r="E15" i="203"/>
  <c r="F15" i="203" s="1"/>
  <c r="G15" i="203" s="1"/>
  <c r="E14" i="183"/>
  <c r="F14" i="183" s="1"/>
  <c r="G14" i="183" s="1"/>
  <c r="E15" i="183"/>
  <c r="F15" i="183" s="1"/>
  <c r="G15" i="183" s="1"/>
  <c r="E14" i="270"/>
  <c r="F14" i="270" s="1"/>
  <c r="G14" i="270" s="1"/>
  <c r="E15" i="270"/>
  <c r="F15" i="270" s="1"/>
  <c r="G15" i="270" s="1"/>
  <c r="G17" i="226"/>
  <c r="F17" i="226"/>
  <c r="E17" i="226"/>
  <c r="D17" i="226"/>
  <c r="G16" i="226"/>
  <c r="F16" i="226"/>
  <c r="E16" i="226"/>
  <c r="D16" i="226"/>
  <c r="G13" i="226"/>
  <c r="F13" i="226"/>
  <c r="E13" i="226"/>
  <c r="D13" i="226"/>
  <c r="G12" i="226"/>
  <c r="R736" i="246" s="1"/>
  <c r="F12" i="226"/>
  <c r="E12" i="226"/>
  <c r="P736" i="246" s="1"/>
  <c r="D12" i="226"/>
  <c r="O736" i="246" s="1"/>
  <c r="J40" i="49"/>
  <c r="H15" i="49"/>
  <c r="E15" i="49" s="1"/>
  <c r="H14" i="49"/>
  <c r="E14" i="49" s="1"/>
  <c r="H13" i="49"/>
  <c r="E13" i="49" s="1"/>
  <c r="H12" i="49"/>
  <c r="E12" i="49" s="1"/>
  <c r="H11" i="49"/>
  <c r="E11" i="49" s="1"/>
  <c r="L19" i="340"/>
  <c r="N17" i="340"/>
  <c r="R17" i="340" s="1"/>
  <c r="T17" i="340" s="1"/>
  <c r="J14" i="340"/>
  <c r="N14" i="340" s="1"/>
  <c r="J12" i="340"/>
  <c r="N12" i="340" s="1"/>
  <c r="J11" i="340"/>
  <c r="N11" i="340" s="1"/>
  <c r="R11" i="340" s="1"/>
  <c r="T11" i="340" s="1"/>
  <c r="L13" i="34"/>
  <c r="L12" i="34"/>
  <c r="N31" i="27"/>
  <c r="N30" i="27"/>
  <c r="E15" i="16"/>
  <c r="F15" i="16" s="1"/>
  <c r="G15" i="16" s="1"/>
  <c r="E14" i="16"/>
  <c r="F14" i="16" s="1"/>
  <c r="G14" i="16" s="1"/>
  <c r="O25" i="326"/>
  <c r="N25" i="326"/>
  <c r="M25" i="326"/>
  <c r="L25" i="326"/>
  <c r="G33" i="326"/>
  <c r="F33" i="326"/>
  <c r="E33" i="326"/>
  <c r="D33" i="326"/>
  <c r="C33" i="326"/>
  <c r="G32" i="326"/>
  <c r="F32" i="326"/>
  <c r="E32" i="326"/>
  <c r="D32" i="326"/>
  <c r="H32" i="326" s="1"/>
  <c r="C32" i="326"/>
  <c r="G31" i="326"/>
  <c r="F31" i="326"/>
  <c r="G12" i="292" s="1"/>
  <c r="E31" i="326"/>
  <c r="D31" i="326"/>
  <c r="C31" i="326"/>
  <c r="G30" i="326"/>
  <c r="F30" i="326"/>
  <c r="E12" i="292" s="1"/>
  <c r="E30" i="326"/>
  <c r="D30" i="326"/>
  <c r="C30" i="326"/>
  <c r="G29" i="326"/>
  <c r="F29" i="326"/>
  <c r="E29" i="326"/>
  <c r="D29" i="326"/>
  <c r="C29" i="326"/>
  <c r="G28" i="326"/>
  <c r="F28" i="326"/>
  <c r="E28" i="326"/>
  <c r="D28" i="326"/>
  <c r="C28" i="326"/>
  <c r="G27" i="326"/>
  <c r="F27" i="326"/>
  <c r="E27" i="326"/>
  <c r="D27" i="326"/>
  <c r="C27" i="326"/>
  <c r="G26" i="326"/>
  <c r="F26" i="326"/>
  <c r="F12" i="292" s="1"/>
  <c r="E26" i="326"/>
  <c r="D26" i="326"/>
  <c r="C26" i="326"/>
  <c r="G25" i="326"/>
  <c r="F25" i="326"/>
  <c r="E25" i="326"/>
  <c r="D25" i="326"/>
  <c r="C25" i="326"/>
  <c r="G24" i="326"/>
  <c r="F24" i="326"/>
  <c r="D12" i="292" s="1"/>
  <c r="E24" i="326"/>
  <c r="D24" i="326"/>
  <c r="C24" i="326"/>
  <c r="G23" i="326"/>
  <c r="F23" i="326"/>
  <c r="C12" i="292" s="1"/>
  <c r="E23" i="326"/>
  <c r="D23" i="326"/>
  <c r="C23" i="326"/>
  <c r="G17" i="326"/>
  <c r="F17" i="326"/>
  <c r="E17" i="326"/>
  <c r="D17" i="326"/>
  <c r="G16" i="326"/>
  <c r="F16" i="326"/>
  <c r="E16" i="326"/>
  <c r="D16" i="326"/>
  <c r="G15" i="326"/>
  <c r="F15" i="326"/>
  <c r="E15" i="326"/>
  <c r="D15" i="326"/>
  <c r="G14" i="326"/>
  <c r="F14" i="326"/>
  <c r="E14" i="326"/>
  <c r="D14" i="326"/>
  <c r="G13" i="326"/>
  <c r="F13" i="326"/>
  <c r="E13" i="326"/>
  <c r="D13" i="326"/>
  <c r="G12" i="326"/>
  <c r="F12" i="326"/>
  <c r="N12" i="292" s="1"/>
  <c r="E12" i="326"/>
  <c r="D12" i="326"/>
  <c r="E12" i="155"/>
  <c r="E13" i="155"/>
  <c r="E11" i="155"/>
  <c r="E14" i="80"/>
  <c r="E13" i="80"/>
  <c r="E12" i="80"/>
  <c r="E11" i="80"/>
  <c r="L16" i="124"/>
  <c r="J27" i="124"/>
  <c r="J33" i="30"/>
  <c r="L19" i="30"/>
  <c r="E12" i="30"/>
  <c r="E11" i="30"/>
  <c r="R20" i="70"/>
  <c r="R21" i="70"/>
  <c r="R22" i="70"/>
  <c r="R23" i="70"/>
  <c r="L18" i="70"/>
  <c r="L17" i="32"/>
  <c r="L36" i="36"/>
  <c r="E15" i="29"/>
  <c r="E14" i="29"/>
  <c r="E13" i="29"/>
  <c r="E12" i="29"/>
  <c r="E11" i="29"/>
  <c r="N18" i="34"/>
  <c r="R18" i="34" s="1"/>
  <c r="J43" i="70"/>
  <c r="N18" i="28"/>
  <c r="R18" i="28" s="1"/>
  <c r="N14" i="36"/>
  <c r="N13" i="36"/>
  <c r="T13" i="36" s="1"/>
  <c r="J39" i="29"/>
  <c r="J35" i="37"/>
  <c r="N35" i="37" s="1"/>
  <c r="R35" i="37" s="1"/>
  <c r="T35" i="37" s="1"/>
  <c r="F13" i="30"/>
  <c r="N26" i="34"/>
  <c r="R26" i="34" s="1"/>
  <c r="P20" i="295"/>
  <c r="P20" i="296"/>
  <c r="B21" i="363"/>
  <c r="D14" i="123"/>
  <c r="T44" i="33"/>
  <c r="T43" i="33"/>
  <c r="T42" i="33"/>
  <c r="T41" i="33"/>
  <c r="O25" i="185"/>
  <c r="N25" i="185"/>
  <c r="M25" i="185"/>
  <c r="L25" i="185"/>
  <c r="P697" i="246"/>
  <c r="O449" i="246"/>
  <c r="K133" i="294"/>
  <c r="J133" i="294"/>
  <c r="I133" i="294"/>
  <c r="H133" i="294"/>
  <c r="U114" i="294"/>
  <c r="T114" i="294"/>
  <c r="S114" i="294"/>
  <c r="R114" i="294"/>
  <c r="P114" i="294"/>
  <c r="O114" i="294"/>
  <c r="N114" i="294"/>
  <c r="M114" i="294"/>
  <c r="K114" i="294"/>
  <c r="J114" i="294"/>
  <c r="I114" i="294"/>
  <c r="H114" i="294"/>
  <c r="U95" i="294"/>
  <c r="T95" i="294"/>
  <c r="S95" i="294"/>
  <c r="R95" i="294"/>
  <c r="P95" i="294"/>
  <c r="O95" i="294"/>
  <c r="N95" i="294"/>
  <c r="M95" i="294"/>
  <c r="K95" i="294"/>
  <c r="J95" i="294"/>
  <c r="I95" i="294"/>
  <c r="H95" i="294"/>
  <c r="U76" i="294"/>
  <c r="T76" i="294"/>
  <c r="S76" i="294"/>
  <c r="R76" i="294"/>
  <c r="F19" i="294"/>
  <c r="F38" i="294" s="1"/>
  <c r="F57" i="294" s="1"/>
  <c r="F76" i="294" s="1"/>
  <c r="F95" i="294" s="1"/>
  <c r="F114" i="294" s="1"/>
  <c r="F133" i="294" s="1"/>
  <c r="D19" i="294"/>
  <c r="D38" i="294" s="1"/>
  <c r="D57" i="294" s="1"/>
  <c r="D76" i="294" s="1"/>
  <c r="D95" i="294" s="1"/>
  <c r="D114" i="294" s="1"/>
  <c r="D133" i="294" s="1"/>
  <c r="C19" i="294"/>
  <c r="C38" i="294" s="1"/>
  <c r="C57" i="294" s="1"/>
  <c r="C76" i="294" s="1"/>
  <c r="C95" i="294" s="1"/>
  <c r="C114" i="294" s="1"/>
  <c r="C133" i="294" s="1"/>
  <c r="O256" i="246"/>
  <c r="J28" i="32"/>
  <c r="E43" i="37"/>
  <c r="E37" i="37"/>
  <c r="E36" i="37"/>
  <c r="E31" i="37"/>
  <c r="E27" i="37"/>
  <c r="E24" i="37"/>
  <c r="E23" i="37"/>
  <c r="E20" i="37"/>
  <c r="E19" i="37"/>
  <c r="E16" i="37"/>
  <c r="E15" i="37"/>
  <c r="E12" i="37"/>
  <c r="E11" i="37"/>
  <c r="E39" i="36"/>
  <c r="E29" i="36"/>
  <c r="E23" i="36"/>
  <c r="E22" i="36"/>
  <c r="E20" i="36"/>
  <c r="E17" i="36"/>
  <c r="E16" i="36"/>
  <c r="E11" i="36"/>
  <c r="E10" i="36"/>
  <c r="E26" i="28"/>
  <c r="E23" i="28"/>
  <c r="E21" i="28"/>
  <c r="E16" i="28"/>
  <c r="E15" i="28"/>
  <c r="E13" i="28"/>
  <c r="J28" i="28"/>
  <c r="N28" i="28" s="1"/>
  <c r="J45" i="34"/>
  <c r="N27" i="34"/>
  <c r="R27" i="34" s="1"/>
  <c r="N25" i="34"/>
  <c r="R25" i="34" s="1"/>
  <c r="N24" i="34"/>
  <c r="N23" i="34"/>
  <c r="R23" i="34" s="1"/>
  <c r="T23" i="34" s="1"/>
  <c r="N21" i="34"/>
  <c r="R21" i="34" s="1"/>
  <c r="E21" i="34"/>
  <c r="N14" i="34"/>
  <c r="R14" i="34" s="1"/>
  <c r="T14" i="34" s="1"/>
  <c r="E14" i="34"/>
  <c r="E15" i="34"/>
  <c r="E16" i="34"/>
  <c r="J12" i="155"/>
  <c r="N12" i="155" s="1"/>
  <c r="O25" i="103"/>
  <c r="N25" i="103"/>
  <c r="M25" i="103"/>
  <c r="L25" i="103"/>
  <c r="P25" i="103" s="1"/>
  <c r="G33" i="103"/>
  <c r="F33" i="103"/>
  <c r="E33" i="103"/>
  <c r="D33" i="103"/>
  <c r="C33" i="103"/>
  <c r="G32" i="103"/>
  <c r="F32" i="103"/>
  <c r="E32" i="103"/>
  <c r="D32" i="103"/>
  <c r="C32" i="103"/>
  <c r="G31" i="103"/>
  <c r="D31" i="103"/>
  <c r="F31" i="103"/>
  <c r="G26" i="292" s="1"/>
  <c r="E31" i="103"/>
  <c r="C31" i="103"/>
  <c r="G30" i="103"/>
  <c r="F30" i="103"/>
  <c r="E30" i="103"/>
  <c r="D30" i="103"/>
  <c r="C30" i="103"/>
  <c r="G29" i="103"/>
  <c r="F29" i="103"/>
  <c r="E29" i="103"/>
  <c r="D29" i="103"/>
  <c r="C29" i="103"/>
  <c r="G28" i="103"/>
  <c r="F28" i="103"/>
  <c r="E28" i="103"/>
  <c r="D28" i="103"/>
  <c r="C28" i="103"/>
  <c r="G27" i="103"/>
  <c r="F27" i="103"/>
  <c r="E27" i="103"/>
  <c r="D27" i="103"/>
  <c r="C27" i="103"/>
  <c r="G26" i="103"/>
  <c r="F26" i="103"/>
  <c r="F26" i="292" s="1"/>
  <c r="E26" i="103"/>
  <c r="D26" i="103"/>
  <c r="C26" i="103"/>
  <c r="G25" i="103"/>
  <c r="F25" i="103"/>
  <c r="E25" i="103"/>
  <c r="D25" i="103"/>
  <c r="C25" i="103"/>
  <c r="G24" i="103"/>
  <c r="F24" i="103"/>
  <c r="D26" i="292" s="1"/>
  <c r="E24" i="103"/>
  <c r="D24" i="103"/>
  <c r="C24" i="103"/>
  <c r="G23" i="103"/>
  <c r="D23" i="103"/>
  <c r="F23" i="103"/>
  <c r="C26" i="292" s="1"/>
  <c r="E23" i="103"/>
  <c r="C23" i="103"/>
  <c r="G17" i="103"/>
  <c r="F17" i="103"/>
  <c r="E17" i="103"/>
  <c r="D17" i="103"/>
  <c r="G16" i="103"/>
  <c r="F16" i="103"/>
  <c r="E16" i="103"/>
  <c r="D16" i="103"/>
  <c r="D15" i="103"/>
  <c r="D14" i="103"/>
  <c r="G13" i="103"/>
  <c r="F13" i="103"/>
  <c r="E13" i="103"/>
  <c r="D13" i="103"/>
  <c r="G12" i="103"/>
  <c r="F12" i="103"/>
  <c r="N26" i="292" s="1"/>
  <c r="E12" i="103"/>
  <c r="D12" i="103"/>
  <c r="C11" i="164"/>
  <c r="R32" i="27"/>
  <c r="J44" i="27" s="1"/>
  <c r="C33" i="223"/>
  <c r="C32" i="223"/>
  <c r="C31" i="223"/>
  <c r="C30" i="223"/>
  <c r="C29" i="223"/>
  <c r="C28" i="223"/>
  <c r="C27" i="223"/>
  <c r="C26" i="223"/>
  <c r="C25" i="223"/>
  <c r="C24" i="223"/>
  <c r="C23" i="223"/>
  <c r="L530" i="209"/>
  <c r="I530" i="209"/>
  <c r="R710" i="209"/>
  <c r="O710" i="209"/>
  <c r="D29" i="246"/>
  <c r="D91" i="246" s="1"/>
  <c r="D153" i="246" s="1"/>
  <c r="D215" i="246" s="1"/>
  <c r="D277" i="246" s="1"/>
  <c r="D339" i="246" s="1"/>
  <c r="D401" i="246" s="1"/>
  <c r="D463" i="246" s="1"/>
  <c r="D525" i="246" s="1"/>
  <c r="D587" i="246" s="1"/>
  <c r="D649" i="246" s="1"/>
  <c r="D711" i="246" s="1"/>
  <c r="D773" i="246" s="1"/>
  <c r="D68" i="36"/>
  <c r="J32" i="36" s="1"/>
  <c r="J58" i="37"/>
  <c r="J34" i="37"/>
  <c r="N34" i="37" s="1"/>
  <c r="R34" i="37" s="1"/>
  <c r="T34" i="37" s="1"/>
  <c r="C9" i="362"/>
  <c r="G11" i="362" s="1"/>
  <c r="G18" i="362" s="1"/>
  <c r="G40" i="362" s="1"/>
  <c r="K57" i="294" s="1"/>
  <c r="G48" i="362"/>
  <c r="F48" i="362"/>
  <c r="E48" i="362"/>
  <c r="D48" i="362"/>
  <c r="H46" i="362"/>
  <c r="H33" i="362"/>
  <c r="H32" i="362"/>
  <c r="H31" i="362"/>
  <c r="H45" i="362" s="1"/>
  <c r="H30" i="362"/>
  <c r="H44" i="362" s="1"/>
  <c r="H29" i="362"/>
  <c r="H43" i="362" s="1"/>
  <c r="H28" i="362"/>
  <c r="H42" i="362" s="1"/>
  <c r="H27" i="362"/>
  <c r="H41" i="362" s="1"/>
  <c r="H26" i="362"/>
  <c r="H40" i="362" s="1"/>
  <c r="P25" i="362"/>
  <c r="H25" i="362"/>
  <c r="H39" i="362" s="1"/>
  <c r="H24" i="362"/>
  <c r="H38" i="362" s="1"/>
  <c r="H23" i="362"/>
  <c r="H37" i="362" s="1"/>
  <c r="P20" i="362"/>
  <c r="I101" i="5"/>
  <c r="F101" i="5"/>
  <c r="E19" i="294" s="1"/>
  <c r="E38" i="294" s="1"/>
  <c r="E57" i="294" s="1"/>
  <c r="E76" i="294" s="1"/>
  <c r="E95" i="294" s="1"/>
  <c r="E114" i="294" s="1"/>
  <c r="E133" i="294" s="1"/>
  <c r="K135" i="294"/>
  <c r="J135" i="294"/>
  <c r="I135" i="294"/>
  <c r="H135" i="294"/>
  <c r="U116" i="294"/>
  <c r="T116" i="294"/>
  <c r="S116" i="294"/>
  <c r="R116" i="294"/>
  <c r="P116" i="294"/>
  <c r="O116" i="294"/>
  <c r="N116" i="294"/>
  <c r="M116" i="294"/>
  <c r="K116" i="294"/>
  <c r="J116" i="294"/>
  <c r="I116" i="294"/>
  <c r="H116" i="294"/>
  <c r="U97" i="294"/>
  <c r="T97" i="294"/>
  <c r="S97" i="294"/>
  <c r="R97" i="294"/>
  <c r="P97" i="294"/>
  <c r="O97" i="294"/>
  <c r="N97" i="294"/>
  <c r="M97" i="294"/>
  <c r="K97" i="294"/>
  <c r="J97" i="294"/>
  <c r="I97" i="294"/>
  <c r="H97" i="294"/>
  <c r="U78" i="294"/>
  <c r="T78" i="294"/>
  <c r="S78" i="294"/>
  <c r="R78" i="294"/>
  <c r="F21" i="294"/>
  <c r="F40" i="294" s="1"/>
  <c r="F59" i="294" s="1"/>
  <c r="F78" i="294" s="1"/>
  <c r="F97" i="294" s="1"/>
  <c r="F116" i="294" s="1"/>
  <c r="F135" i="294" s="1"/>
  <c r="D21" i="294"/>
  <c r="D40" i="294" s="1"/>
  <c r="D59" i="294" s="1"/>
  <c r="D78" i="294" s="1"/>
  <c r="D97" i="294" s="1"/>
  <c r="D116" i="294" s="1"/>
  <c r="D135" i="294" s="1"/>
  <c r="C21" i="294"/>
  <c r="C40" i="294" s="1"/>
  <c r="C59" i="294" s="1"/>
  <c r="C78" i="294" s="1"/>
  <c r="C97" i="294" s="1"/>
  <c r="C116" i="294" s="1"/>
  <c r="C135" i="294" s="1"/>
  <c r="P20" i="360"/>
  <c r="M25" i="361"/>
  <c r="N25" i="361"/>
  <c r="O25" i="361"/>
  <c r="L25" i="361"/>
  <c r="P25" i="361" s="1"/>
  <c r="P20" i="361"/>
  <c r="G33" i="361"/>
  <c r="F33" i="361"/>
  <c r="E33" i="361"/>
  <c r="D33" i="361"/>
  <c r="G32" i="361"/>
  <c r="F32" i="361"/>
  <c r="E32" i="361"/>
  <c r="D32" i="361"/>
  <c r="G31" i="361"/>
  <c r="F31" i="361"/>
  <c r="E31" i="361"/>
  <c r="D31" i="361"/>
  <c r="G30" i="361"/>
  <c r="F30" i="361"/>
  <c r="E30" i="361"/>
  <c r="D30" i="361"/>
  <c r="G29" i="361"/>
  <c r="F29" i="361"/>
  <c r="E29" i="361"/>
  <c r="D29" i="361"/>
  <c r="G28" i="361"/>
  <c r="F28" i="361"/>
  <c r="E28" i="361"/>
  <c r="D28" i="361"/>
  <c r="G27" i="361"/>
  <c r="F27" i="361"/>
  <c r="E27" i="361"/>
  <c r="D27" i="361"/>
  <c r="G26" i="361"/>
  <c r="F26" i="361"/>
  <c r="E26" i="361"/>
  <c r="D26" i="361"/>
  <c r="G25" i="361"/>
  <c r="F25" i="361"/>
  <c r="E25" i="361"/>
  <c r="D25" i="361"/>
  <c r="G24" i="361"/>
  <c r="F24" i="361"/>
  <c r="E24" i="361"/>
  <c r="D24" i="361"/>
  <c r="G23" i="361"/>
  <c r="F23" i="361"/>
  <c r="E23" i="361"/>
  <c r="D23" i="361"/>
  <c r="E12" i="361"/>
  <c r="F12" i="361"/>
  <c r="G12" i="361"/>
  <c r="E13" i="361"/>
  <c r="F13" i="361"/>
  <c r="G13" i="361"/>
  <c r="E14" i="361"/>
  <c r="F14" i="361"/>
  <c r="G14" i="361"/>
  <c r="E15" i="361"/>
  <c r="F15" i="361"/>
  <c r="G15" i="361"/>
  <c r="E16" i="361"/>
  <c r="F16" i="361"/>
  <c r="G16" i="361"/>
  <c r="E17" i="361"/>
  <c r="F17" i="361"/>
  <c r="G17" i="361"/>
  <c r="D17" i="361"/>
  <c r="D16" i="361"/>
  <c r="D15" i="361"/>
  <c r="D14" i="361"/>
  <c r="D13" i="361"/>
  <c r="D12" i="361"/>
  <c r="C33" i="361"/>
  <c r="C32" i="361"/>
  <c r="C31" i="361"/>
  <c r="C30" i="361"/>
  <c r="C29" i="361"/>
  <c r="C28" i="361"/>
  <c r="C27" i="361"/>
  <c r="C26" i="361"/>
  <c r="C25" i="361"/>
  <c r="C24" i="361"/>
  <c r="C23" i="361"/>
  <c r="C9" i="360"/>
  <c r="D11" i="360" s="1"/>
  <c r="D18" i="360" s="1"/>
  <c r="R135" i="294" s="1"/>
  <c r="G48" i="360"/>
  <c r="F48" i="360"/>
  <c r="E48" i="360"/>
  <c r="D48" i="360"/>
  <c r="H46" i="360"/>
  <c r="H33" i="360"/>
  <c r="H32" i="360"/>
  <c r="H31" i="360"/>
  <c r="H45" i="360" s="1"/>
  <c r="H30" i="360"/>
  <c r="H44" i="360" s="1"/>
  <c r="H29" i="360"/>
  <c r="H43" i="360" s="1"/>
  <c r="H28" i="360"/>
  <c r="H42" i="360" s="1"/>
  <c r="H27" i="360"/>
  <c r="H41" i="360" s="1"/>
  <c r="H26" i="360"/>
  <c r="H40" i="360" s="1"/>
  <c r="P25" i="360"/>
  <c r="H25" i="360"/>
  <c r="H39" i="360" s="1"/>
  <c r="H24" i="360"/>
  <c r="H38" i="360" s="1"/>
  <c r="H23" i="360"/>
  <c r="H37" i="360" s="1"/>
  <c r="I120" i="5"/>
  <c r="F120" i="5"/>
  <c r="E21" i="294" s="1"/>
  <c r="E40" i="294" s="1"/>
  <c r="E59" i="294" s="1"/>
  <c r="E78" i="294" s="1"/>
  <c r="E97" i="294" s="1"/>
  <c r="E116" i="294" s="1"/>
  <c r="E135" i="294" s="1"/>
  <c r="C101" i="209"/>
  <c r="C161" i="209" s="1"/>
  <c r="C221" i="209" s="1"/>
  <c r="C281" i="209" s="1"/>
  <c r="C341" i="209" s="1"/>
  <c r="C401" i="209" s="1"/>
  <c r="C461" i="209" s="1"/>
  <c r="C521" i="209" s="1"/>
  <c r="C581" i="209" s="1"/>
  <c r="C641" i="209" s="1"/>
  <c r="C701" i="209" s="1"/>
  <c r="C761" i="209" s="1"/>
  <c r="C104" i="209"/>
  <c r="C164" i="209" s="1"/>
  <c r="C224" i="209" s="1"/>
  <c r="V224" i="209" s="1"/>
  <c r="V284" i="209" s="1"/>
  <c r="V344" i="209" s="1"/>
  <c r="V404" i="209" s="1"/>
  <c r="V464" i="209" s="1"/>
  <c r="V524" i="209" s="1"/>
  <c r="V584" i="209" s="1"/>
  <c r="V644" i="209" s="1"/>
  <c r="V704" i="209" s="1"/>
  <c r="V764" i="209" s="1"/>
  <c r="C464" i="209"/>
  <c r="C524" i="209" s="1"/>
  <c r="C584" i="209" s="1"/>
  <c r="C644" i="209" s="1"/>
  <c r="C704" i="209" s="1"/>
  <c r="C764" i="209" s="1"/>
  <c r="P20" i="345"/>
  <c r="P20" i="356"/>
  <c r="P20" i="337"/>
  <c r="P20" i="79"/>
  <c r="P20" i="338"/>
  <c r="P20" i="105"/>
  <c r="P20" i="290"/>
  <c r="P20" i="196"/>
  <c r="P20" i="72"/>
  <c r="P20" i="289"/>
  <c r="P20" i="288"/>
  <c r="J16" i="30"/>
  <c r="E15" i="124"/>
  <c r="E12" i="124"/>
  <c r="E11" i="124"/>
  <c r="R708" i="246"/>
  <c r="Q708" i="246"/>
  <c r="P708" i="246"/>
  <c r="O708" i="246"/>
  <c r="I584" i="246"/>
  <c r="R584" i="246"/>
  <c r="Q584" i="246"/>
  <c r="P584" i="246"/>
  <c r="O584" i="246"/>
  <c r="L584" i="246"/>
  <c r="K584" i="246"/>
  <c r="J584" i="246"/>
  <c r="I522" i="246"/>
  <c r="R522" i="246"/>
  <c r="Q522" i="246"/>
  <c r="P522" i="246"/>
  <c r="O522" i="246"/>
  <c r="L522" i="246"/>
  <c r="K522" i="246"/>
  <c r="J522" i="246"/>
  <c r="I460" i="246"/>
  <c r="R460" i="246"/>
  <c r="Q460" i="246"/>
  <c r="P460" i="246"/>
  <c r="O460" i="246"/>
  <c r="L460" i="246"/>
  <c r="K460" i="246"/>
  <c r="J460" i="246"/>
  <c r="I398" i="246"/>
  <c r="R398" i="246"/>
  <c r="Q398" i="246"/>
  <c r="P398" i="246"/>
  <c r="O398" i="246"/>
  <c r="L398" i="246"/>
  <c r="K398" i="246"/>
  <c r="J398" i="246"/>
  <c r="I336" i="246"/>
  <c r="R336" i="246"/>
  <c r="Q336" i="246"/>
  <c r="P336" i="246"/>
  <c r="O336" i="246"/>
  <c r="L336" i="246"/>
  <c r="K336" i="246"/>
  <c r="J336" i="246"/>
  <c r="R274" i="246"/>
  <c r="Q274" i="246"/>
  <c r="P274" i="246"/>
  <c r="O274" i="246"/>
  <c r="V88" i="246"/>
  <c r="V150" i="246" s="1"/>
  <c r="V212" i="246" s="1"/>
  <c r="V274" i="246" s="1"/>
  <c r="V336" i="246" s="1"/>
  <c r="V398" i="246" s="1"/>
  <c r="V460" i="246" s="1"/>
  <c r="V522" i="246" s="1"/>
  <c r="V584" i="246" s="1"/>
  <c r="V646" i="246" s="1"/>
  <c r="V708" i="246" s="1"/>
  <c r="C88" i="246"/>
  <c r="C150" i="246" s="1"/>
  <c r="C212" i="246" s="1"/>
  <c r="C274" i="246" s="1"/>
  <c r="C336" i="246" s="1"/>
  <c r="C398" i="246" s="1"/>
  <c r="C460" i="246" s="1"/>
  <c r="C522" i="246" s="1"/>
  <c r="C584" i="246" s="1"/>
  <c r="C646" i="246" s="1"/>
  <c r="C708" i="246" s="1"/>
  <c r="C770" i="246" s="1"/>
  <c r="G26" i="246"/>
  <c r="G88" i="246" s="1"/>
  <c r="G150" i="246" s="1"/>
  <c r="G212" i="246" s="1"/>
  <c r="G274" i="246" s="1"/>
  <c r="G336" i="246" s="1"/>
  <c r="G398" i="246" s="1"/>
  <c r="G460" i="246" s="1"/>
  <c r="G522" i="246" s="1"/>
  <c r="G584" i="246" s="1"/>
  <c r="G646" i="246" s="1"/>
  <c r="G708" i="246" s="1"/>
  <c r="G770" i="246" s="1"/>
  <c r="E26" i="246"/>
  <c r="E88" i="246" s="1"/>
  <c r="E150" i="246" s="1"/>
  <c r="E212" i="246" s="1"/>
  <c r="E274" i="246" s="1"/>
  <c r="E336" i="246" s="1"/>
  <c r="E398" i="246" s="1"/>
  <c r="E460" i="246" s="1"/>
  <c r="E522" i="246" s="1"/>
  <c r="E584" i="246" s="1"/>
  <c r="E646" i="246" s="1"/>
  <c r="E708" i="246" s="1"/>
  <c r="E770" i="246" s="1"/>
  <c r="D26" i="246"/>
  <c r="U26" i="246" s="1"/>
  <c r="U88" i="246" s="1"/>
  <c r="U150" i="246" s="1"/>
  <c r="U212" i="246" s="1"/>
  <c r="U274" i="246" s="1"/>
  <c r="U336" i="246" s="1"/>
  <c r="U398" i="246" s="1"/>
  <c r="U460" i="246" s="1"/>
  <c r="U522" i="246" s="1"/>
  <c r="U584" i="246" s="1"/>
  <c r="U646" i="246" s="1"/>
  <c r="U708" i="246" s="1"/>
  <c r="C33" i="104"/>
  <c r="C32" i="104"/>
  <c r="C31" i="104"/>
  <c r="C30" i="104"/>
  <c r="C29" i="104"/>
  <c r="C28" i="104"/>
  <c r="C27" i="104"/>
  <c r="C26" i="104"/>
  <c r="C25" i="104"/>
  <c r="C24" i="104"/>
  <c r="C23" i="104"/>
  <c r="G33" i="104"/>
  <c r="F33" i="104"/>
  <c r="E33" i="104"/>
  <c r="D33" i="104"/>
  <c r="G32" i="104"/>
  <c r="F32" i="104"/>
  <c r="E32" i="104"/>
  <c r="D32" i="104"/>
  <c r="G31" i="104"/>
  <c r="F31" i="104"/>
  <c r="E31" i="104"/>
  <c r="D31" i="104"/>
  <c r="G30" i="104"/>
  <c r="F30" i="104"/>
  <c r="E27" i="292" s="1"/>
  <c r="E30" i="104"/>
  <c r="D30" i="104"/>
  <c r="G29" i="104"/>
  <c r="F29" i="104"/>
  <c r="E29" i="104"/>
  <c r="D29" i="104"/>
  <c r="G28" i="104"/>
  <c r="F28" i="104"/>
  <c r="E28" i="104"/>
  <c r="D28" i="104"/>
  <c r="G27" i="104"/>
  <c r="F27" i="104"/>
  <c r="E27" i="104"/>
  <c r="D27" i="104"/>
  <c r="G26" i="104"/>
  <c r="F26" i="104"/>
  <c r="E26" i="104"/>
  <c r="D26" i="104"/>
  <c r="G25" i="104"/>
  <c r="F25" i="104"/>
  <c r="E25" i="104"/>
  <c r="D25" i="104"/>
  <c r="G24" i="104"/>
  <c r="F24" i="104"/>
  <c r="E24" i="104"/>
  <c r="D24" i="104"/>
  <c r="G23" i="104"/>
  <c r="F23" i="104"/>
  <c r="E23" i="104"/>
  <c r="D23" i="104"/>
  <c r="G17" i="104"/>
  <c r="F17" i="104"/>
  <c r="E17" i="104"/>
  <c r="D17" i="104"/>
  <c r="G16" i="104"/>
  <c r="F16" i="104"/>
  <c r="E16" i="104"/>
  <c r="D16" i="104"/>
  <c r="G13" i="104"/>
  <c r="F13" i="104"/>
  <c r="E13" i="104"/>
  <c r="D13" i="104"/>
  <c r="G12" i="104"/>
  <c r="F12" i="104"/>
  <c r="N27" i="292" s="1"/>
  <c r="E12" i="104"/>
  <c r="D12" i="104"/>
  <c r="O715" i="246" s="1"/>
  <c r="C9" i="359"/>
  <c r="F11" i="359" s="1"/>
  <c r="F46" i="359" s="1"/>
  <c r="I108" i="5"/>
  <c r="F108" i="5"/>
  <c r="F26" i="246" s="1"/>
  <c r="F88" i="246" s="1"/>
  <c r="F150" i="246" s="1"/>
  <c r="F212" i="246" s="1"/>
  <c r="F274" i="246" s="1"/>
  <c r="F336" i="246" s="1"/>
  <c r="F398" i="246" s="1"/>
  <c r="F460" i="246" s="1"/>
  <c r="F522" i="246" s="1"/>
  <c r="F584" i="246" s="1"/>
  <c r="F646" i="246" s="1"/>
  <c r="F708" i="246" s="1"/>
  <c r="F770" i="246" s="1"/>
  <c r="G48" i="359"/>
  <c r="F48" i="359"/>
  <c r="E48" i="359"/>
  <c r="D48" i="359"/>
  <c r="H46" i="359"/>
  <c r="S646" i="246" s="1"/>
  <c r="H33" i="359"/>
  <c r="H32" i="359"/>
  <c r="M646" i="246" s="1"/>
  <c r="H31" i="359"/>
  <c r="H45" i="359" s="1"/>
  <c r="M150" i="246" s="1"/>
  <c r="H30" i="359"/>
  <c r="H44" i="359" s="1"/>
  <c r="S88" i="246" s="1"/>
  <c r="H29" i="359"/>
  <c r="H28" i="359"/>
  <c r="H42" i="359" s="1"/>
  <c r="M274" i="246" s="1"/>
  <c r="H27" i="359"/>
  <c r="H41" i="359" s="1"/>
  <c r="M212" i="246" s="1"/>
  <c r="H26" i="359"/>
  <c r="H40" i="359" s="1"/>
  <c r="M88" i="246" s="1"/>
  <c r="P25" i="359"/>
  <c r="H25" i="359"/>
  <c r="H39" i="359" s="1"/>
  <c r="S26" i="246" s="1"/>
  <c r="H24" i="359"/>
  <c r="H38" i="359" s="1"/>
  <c r="M26" i="246" s="1"/>
  <c r="H23" i="359"/>
  <c r="H37" i="359" s="1"/>
  <c r="S212" i="246" s="1"/>
  <c r="P20" i="359"/>
  <c r="N18" i="49"/>
  <c r="R36" i="28"/>
  <c r="R38" i="28" s="1"/>
  <c r="R24" i="70"/>
  <c r="T24" i="70" s="1"/>
  <c r="J15" i="124"/>
  <c r="O25" i="247"/>
  <c r="N25" i="247"/>
  <c r="M25" i="247"/>
  <c r="L25" i="247"/>
  <c r="C33" i="247"/>
  <c r="C32" i="247"/>
  <c r="C31" i="247"/>
  <c r="C30" i="247"/>
  <c r="C29" i="247"/>
  <c r="C28" i="247"/>
  <c r="C27" i="247"/>
  <c r="C26" i="247"/>
  <c r="C25" i="247"/>
  <c r="C24" i="247"/>
  <c r="C23" i="247"/>
  <c r="D48" i="29"/>
  <c r="G13" i="246"/>
  <c r="G75" i="246" s="1"/>
  <c r="G137" i="246" s="1"/>
  <c r="G199" i="246" s="1"/>
  <c r="G261" i="246" s="1"/>
  <c r="G323" i="246" s="1"/>
  <c r="G385" i="246" s="1"/>
  <c r="G447" i="246" s="1"/>
  <c r="G509" i="246" s="1"/>
  <c r="G571" i="246" s="1"/>
  <c r="G633" i="246" s="1"/>
  <c r="G695" i="246" s="1"/>
  <c r="G757" i="246" s="1"/>
  <c r="E13" i="246"/>
  <c r="E75" i="246" s="1"/>
  <c r="E137" i="246" s="1"/>
  <c r="E199" i="246" s="1"/>
  <c r="E261" i="246" s="1"/>
  <c r="E323" i="246" s="1"/>
  <c r="E385" i="246" s="1"/>
  <c r="E447" i="246" s="1"/>
  <c r="E509" i="246" s="1"/>
  <c r="E571" i="246" s="1"/>
  <c r="E633" i="246" s="1"/>
  <c r="E695" i="246" s="1"/>
  <c r="E757" i="246" s="1"/>
  <c r="D13" i="246"/>
  <c r="U13" i="246" s="1"/>
  <c r="U75" i="246" s="1"/>
  <c r="U137" i="246" s="1"/>
  <c r="U199" i="246" s="1"/>
  <c r="U261" i="246" s="1"/>
  <c r="U323" i="246" s="1"/>
  <c r="U385" i="246" s="1"/>
  <c r="U447" i="246" s="1"/>
  <c r="U509" i="246" s="1"/>
  <c r="U571" i="246" s="1"/>
  <c r="U633" i="246" s="1"/>
  <c r="U695" i="246" s="1"/>
  <c r="G44" i="209"/>
  <c r="G104" i="209" s="1"/>
  <c r="G164" i="209" s="1"/>
  <c r="G224" i="209" s="1"/>
  <c r="G284" i="209" s="1"/>
  <c r="G344" i="209" s="1"/>
  <c r="G404" i="209" s="1"/>
  <c r="G464" i="209" s="1"/>
  <c r="G524" i="209" s="1"/>
  <c r="G584" i="209" s="1"/>
  <c r="G644" i="209" s="1"/>
  <c r="G704" i="209" s="1"/>
  <c r="G764" i="209" s="1"/>
  <c r="D47" i="33"/>
  <c r="D63" i="28"/>
  <c r="D45" i="33"/>
  <c r="D62" i="28"/>
  <c r="D46" i="33"/>
  <c r="R677" i="209"/>
  <c r="R701" i="209"/>
  <c r="I145" i="5"/>
  <c r="I144" i="5"/>
  <c r="I168" i="5"/>
  <c r="I187" i="5"/>
  <c r="I186" i="5"/>
  <c r="I185" i="5"/>
  <c r="I184" i="5"/>
  <c r="I183" i="5"/>
  <c r="I182" i="5"/>
  <c r="I181" i="5"/>
  <c r="I180" i="5"/>
  <c r="I179" i="5"/>
  <c r="I178" i="5"/>
  <c r="I177" i="5"/>
  <c r="I176" i="5"/>
  <c r="I175" i="5"/>
  <c r="I174" i="5"/>
  <c r="I173" i="5"/>
  <c r="I172" i="5"/>
  <c r="I171" i="5"/>
  <c r="I170" i="5"/>
  <c r="I169" i="5"/>
  <c r="I167" i="5"/>
  <c r="I166" i="5"/>
  <c r="I165" i="5"/>
  <c r="I164" i="5"/>
  <c r="I163" i="5"/>
  <c r="I162" i="5"/>
  <c r="I161" i="5"/>
  <c r="I160" i="5"/>
  <c r="I159" i="5"/>
  <c r="I158" i="5"/>
  <c r="I157" i="5"/>
  <c r="I156" i="5"/>
  <c r="I155" i="5"/>
  <c r="I154" i="5"/>
  <c r="I153" i="5"/>
  <c r="I152" i="5"/>
  <c r="I151" i="5"/>
  <c r="I150" i="5"/>
  <c r="I149" i="5"/>
  <c r="I148" i="5"/>
  <c r="I141" i="5"/>
  <c r="I138" i="5"/>
  <c r="I137" i="5"/>
  <c r="I136" i="5"/>
  <c r="I135" i="5"/>
  <c r="I132" i="5"/>
  <c r="I131" i="5"/>
  <c r="I130" i="5"/>
  <c r="I127" i="5"/>
  <c r="I126" i="5"/>
  <c r="I125" i="5"/>
  <c r="I124" i="5"/>
  <c r="I123" i="5"/>
  <c r="I117" i="5"/>
  <c r="I114" i="5"/>
  <c r="I113" i="5"/>
  <c r="I112" i="5"/>
  <c r="I111" i="5"/>
  <c r="I110" i="5"/>
  <c r="I109" i="5"/>
  <c r="I105" i="5"/>
  <c r="I104" i="5"/>
  <c r="I100" i="5"/>
  <c r="I99" i="5"/>
  <c r="I98" i="5"/>
  <c r="I97" i="5"/>
  <c r="I94" i="5"/>
  <c r="I93" i="5"/>
  <c r="I92" i="5"/>
  <c r="I91" i="5"/>
  <c r="I90" i="5"/>
  <c r="I89" i="5"/>
  <c r="I88" i="5"/>
  <c r="I87" i="5"/>
  <c r="I86" i="5"/>
  <c r="I85" i="5"/>
  <c r="I84" i="5"/>
  <c r="I83" i="5"/>
  <c r="I82" i="5"/>
  <c r="I81" i="5"/>
  <c r="I80" i="5"/>
  <c r="I77" i="5"/>
  <c r="I76" i="5"/>
  <c r="I75" i="5"/>
  <c r="I74" i="5"/>
  <c r="I71" i="5"/>
  <c r="I70" i="5"/>
  <c r="I69" i="5"/>
  <c r="I68" i="5"/>
  <c r="I65" i="5"/>
  <c r="I64" i="5"/>
  <c r="I63" i="5"/>
  <c r="I60" i="5"/>
  <c r="I59" i="5"/>
  <c r="I58" i="5"/>
  <c r="I57" i="5"/>
  <c r="I56" i="5"/>
  <c r="I53" i="5"/>
  <c r="I52" i="5"/>
  <c r="I51" i="5"/>
  <c r="I44" i="5"/>
  <c r="I46" i="5"/>
  <c r="I45" i="5"/>
  <c r="I39" i="5"/>
  <c r="I41" i="5"/>
  <c r="I40" i="5"/>
  <c r="I36" i="5"/>
  <c r="I35" i="5"/>
  <c r="I27" i="5"/>
  <c r="I26" i="5"/>
  <c r="I25" i="5"/>
  <c r="I24" i="5"/>
  <c r="I31" i="5"/>
  <c r="I22" i="5"/>
  <c r="I32" i="5"/>
  <c r="I28" i="5"/>
  <c r="I30" i="5"/>
  <c r="I29" i="5"/>
  <c r="I23" i="5"/>
  <c r="I19" i="5"/>
  <c r="I18" i="5"/>
  <c r="I17" i="5"/>
  <c r="I16" i="5"/>
  <c r="I15" i="5"/>
  <c r="I14" i="5"/>
  <c r="I13" i="5"/>
  <c r="I12" i="5"/>
  <c r="I11" i="5"/>
  <c r="I10" i="5"/>
  <c r="I9" i="5"/>
  <c r="I8" i="5"/>
  <c r="J43" i="49"/>
  <c r="J20" i="49"/>
  <c r="N20" i="49" s="1"/>
  <c r="E20" i="49"/>
  <c r="J19" i="49"/>
  <c r="N19" i="49" s="1"/>
  <c r="E19" i="49"/>
  <c r="N13" i="49"/>
  <c r="R13" i="49" s="1"/>
  <c r="T13" i="49" s="1"/>
  <c r="N12" i="49"/>
  <c r="R12" i="49" s="1"/>
  <c r="J36" i="340"/>
  <c r="J21" i="340"/>
  <c r="N21" i="340" s="1"/>
  <c r="J15" i="340"/>
  <c r="N15" i="340" s="1"/>
  <c r="R15" i="340" s="1"/>
  <c r="D75" i="37"/>
  <c r="J62" i="37"/>
  <c r="L38" i="37"/>
  <c r="J43" i="37"/>
  <c r="N43" i="37" s="1"/>
  <c r="R43" i="37" s="1"/>
  <c r="R44" i="37" s="1"/>
  <c r="J55" i="37" s="1"/>
  <c r="J37" i="37"/>
  <c r="N37" i="37" s="1"/>
  <c r="J36" i="37"/>
  <c r="N36" i="37" s="1"/>
  <c r="R36" i="37" s="1"/>
  <c r="T36" i="37" s="1"/>
  <c r="J31" i="37"/>
  <c r="N28" i="37"/>
  <c r="R28" i="37" s="1"/>
  <c r="J27" i="37"/>
  <c r="J29" i="37" s="1"/>
  <c r="L24" i="37"/>
  <c r="J24" i="37"/>
  <c r="J23" i="37"/>
  <c r="J20" i="37"/>
  <c r="J19" i="37"/>
  <c r="N19" i="37" s="1"/>
  <c r="R19" i="37" s="1"/>
  <c r="J16" i="37"/>
  <c r="N16" i="37" s="1"/>
  <c r="J15" i="37"/>
  <c r="J12" i="37"/>
  <c r="N12" i="37" s="1"/>
  <c r="J11" i="37"/>
  <c r="N11" i="37" s="1"/>
  <c r="R11" i="37" s="1"/>
  <c r="D67" i="36"/>
  <c r="D66" i="36"/>
  <c r="D65" i="36"/>
  <c r="D63" i="36"/>
  <c r="J41" i="36" s="1"/>
  <c r="N41" i="36" s="1"/>
  <c r="R41" i="36" s="1"/>
  <c r="J59" i="36"/>
  <c r="J55" i="36"/>
  <c r="J39" i="36"/>
  <c r="N39" i="36" s="1"/>
  <c r="R39" i="36" s="1"/>
  <c r="J29" i="36"/>
  <c r="N29" i="36" s="1"/>
  <c r="R29" i="36" s="1"/>
  <c r="J23" i="36"/>
  <c r="J22" i="36"/>
  <c r="J20" i="36"/>
  <c r="N20" i="36" s="1"/>
  <c r="J17" i="36"/>
  <c r="J16" i="36"/>
  <c r="N16" i="36" s="1"/>
  <c r="R16" i="36" s="1"/>
  <c r="T16" i="36" s="1"/>
  <c r="J11" i="36"/>
  <c r="N11" i="36" s="1"/>
  <c r="R11" i="36" s="1"/>
  <c r="J10" i="36"/>
  <c r="N10" i="36" s="1"/>
  <c r="J38" i="33"/>
  <c r="J37" i="33"/>
  <c r="L14" i="33"/>
  <c r="J14" i="33"/>
  <c r="J17" i="33" s="1"/>
  <c r="J27" i="33" s="1"/>
  <c r="N13" i="33"/>
  <c r="N12" i="33"/>
  <c r="R12" i="33" s="1"/>
  <c r="T12" i="33" s="1"/>
  <c r="N11" i="33"/>
  <c r="R11" i="33" s="1"/>
  <c r="F11" i="33"/>
  <c r="E11" i="33"/>
  <c r="T48" i="80"/>
  <c r="T47" i="80"/>
  <c r="T46" i="80"/>
  <c r="T45" i="80"/>
  <c r="J34" i="80"/>
  <c r="J29" i="80"/>
  <c r="J14" i="80"/>
  <c r="N14" i="80" s="1"/>
  <c r="R14" i="80" s="1"/>
  <c r="J13" i="80"/>
  <c r="N13" i="80" s="1"/>
  <c r="R13" i="80" s="1"/>
  <c r="J12" i="80"/>
  <c r="J11" i="80"/>
  <c r="J49" i="34"/>
  <c r="L31" i="34"/>
  <c r="N28" i="34"/>
  <c r="R28" i="34" s="1"/>
  <c r="T28" i="34" s="1"/>
  <c r="N15" i="34"/>
  <c r="R15" i="34" s="1"/>
  <c r="T15" i="34" s="1"/>
  <c r="R13" i="34"/>
  <c r="J17" i="34"/>
  <c r="J31" i="34" s="1"/>
  <c r="J34" i="34" s="1"/>
  <c r="N16" i="34"/>
  <c r="R12" i="34"/>
  <c r="N11" i="34"/>
  <c r="R11" i="34" s="1"/>
  <c r="T11" i="34" s="1"/>
  <c r="E11" i="34"/>
  <c r="J32" i="32"/>
  <c r="J26" i="32"/>
  <c r="N16" i="32"/>
  <c r="R16" i="32" s="1"/>
  <c r="J11" i="32"/>
  <c r="J48" i="70"/>
  <c r="H27" i="70" s="1"/>
  <c r="N27" i="70" s="1"/>
  <c r="R27" i="70" s="1"/>
  <c r="R28" i="70" s="1"/>
  <c r="D14" i="125" s="1"/>
  <c r="E14" i="125" s="1"/>
  <c r="F14" i="125" s="1"/>
  <c r="G14" i="125" s="1"/>
  <c r="J11" i="70"/>
  <c r="N11" i="70" s="1"/>
  <c r="R11" i="70" s="1"/>
  <c r="J39" i="30"/>
  <c r="N18" i="30"/>
  <c r="R18" i="30" s="1"/>
  <c r="T18" i="30" s="1"/>
  <c r="N15" i="30"/>
  <c r="R15" i="30" s="1"/>
  <c r="T15" i="30" s="1"/>
  <c r="J12" i="30"/>
  <c r="J11" i="30"/>
  <c r="N11" i="30" s="1"/>
  <c r="R11" i="30" s="1"/>
  <c r="T11" i="30" s="1"/>
  <c r="J59" i="28"/>
  <c r="J54" i="28"/>
  <c r="J26" i="28"/>
  <c r="N26" i="28" s="1"/>
  <c r="R26" i="28" s="1"/>
  <c r="J23" i="28"/>
  <c r="N23" i="28" s="1"/>
  <c r="R22" i="28"/>
  <c r="J21" i="28"/>
  <c r="J16" i="28"/>
  <c r="N16" i="28" s="1"/>
  <c r="R16" i="28" s="1"/>
  <c r="J15" i="28"/>
  <c r="N15" i="28" s="1"/>
  <c r="R15" i="28" s="1"/>
  <c r="T15" i="28" s="1"/>
  <c r="J13" i="28"/>
  <c r="N12" i="28"/>
  <c r="R12" i="28" s="1"/>
  <c r="N11" i="28"/>
  <c r="J32" i="155"/>
  <c r="T41" i="155"/>
  <c r="T40" i="155"/>
  <c r="J27" i="155"/>
  <c r="L14" i="155"/>
  <c r="J13" i="155"/>
  <c r="N13" i="155" s="1"/>
  <c r="R13" i="155" s="1"/>
  <c r="T13" i="155" s="1"/>
  <c r="J11" i="155"/>
  <c r="N11" i="155" s="1"/>
  <c r="J38" i="100"/>
  <c r="J22" i="100"/>
  <c r="L18" i="100" s="1"/>
  <c r="J17" i="100"/>
  <c r="N17" i="100" s="1"/>
  <c r="R17" i="100" s="1"/>
  <c r="E17" i="100"/>
  <c r="J16" i="100"/>
  <c r="N16" i="100" s="1"/>
  <c r="R16" i="100" s="1"/>
  <c r="E16" i="100"/>
  <c r="J15" i="100"/>
  <c r="N15" i="100" s="1"/>
  <c r="R15" i="100" s="1"/>
  <c r="E15" i="100"/>
  <c r="J14" i="100"/>
  <c r="E14" i="100"/>
  <c r="J13" i="100"/>
  <c r="N13" i="100" s="1"/>
  <c r="R13" i="100" s="1"/>
  <c r="T13" i="100" s="1"/>
  <c r="E13" i="100"/>
  <c r="J12" i="100"/>
  <c r="N12" i="100" s="1"/>
  <c r="R12" i="100" s="1"/>
  <c r="T12" i="100" s="1"/>
  <c r="E12" i="100"/>
  <c r="J11" i="100"/>
  <c r="N11" i="100" s="1"/>
  <c r="E11" i="100"/>
  <c r="J44" i="29"/>
  <c r="R24" i="29"/>
  <c r="J21" i="29"/>
  <c r="N21" i="29" s="1"/>
  <c r="R21" i="29" s="1"/>
  <c r="J15" i="29"/>
  <c r="N15" i="29" s="1"/>
  <c r="R15" i="29" s="1"/>
  <c r="J14" i="29"/>
  <c r="N14" i="29" s="1"/>
  <c r="R14" i="29" s="1"/>
  <c r="J13" i="29"/>
  <c r="N13" i="29" s="1"/>
  <c r="R13" i="29" s="1"/>
  <c r="J12" i="29"/>
  <c r="N12" i="29" s="1"/>
  <c r="J11" i="29"/>
  <c r="N11" i="29" s="1"/>
  <c r="R11" i="29" s="1"/>
  <c r="J29" i="142"/>
  <c r="J24" i="142"/>
  <c r="J22" i="142"/>
  <c r="J20" i="142"/>
  <c r="L13" i="142" s="1"/>
  <c r="J12" i="142"/>
  <c r="E12" i="142"/>
  <c r="J11" i="142"/>
  <c r="E11" i="142"/>
  <c r="J31" i="124"/>
  <c r="J12" i="124"/>
  <c r="N12" i="124" s="1"/>
  <c r="J11" i="124"/>
  <c r="D54" i="27"/>
  <c r="J50" i="27"/>
  <c r="J46" i="27"/>
  <c r="J26" i="27"/>
  <c r="N26" i="27" s="1"/>
  <c r="R26" i="27" s="1"/>
  <c r="E26" i="27"/>
  <c r="J25" i="27"/>
  <c r="N25" i="27" s="1"/>
  <c r="E25" i="27"/>
  <c r="J24" i="27"/>
  <c r="N24" i="27" s="1"/>
  <c r="R24" i="27" s="1"/>
  <c r="T24" i="27" s="1"/>
  <c r="E24" i="27"/>
  <c r="N23" i="27"/>
  <c r="J20" i="27"/>
  <c r="E20" i="27"/>
  <c r="J19" i="27"/>
  <c r="N19" i="27" s="1"/>
  <c r="R19" i="27" s="1"/>
  <c r="E19" i="27"/>
  <c r="J18" i="27"/>
  <c r="E18" i="27"/>
  <c r="J17" i="27"/>
  <c r="N17" i="27" s="1"/>
  <c r="R17" i="27" s="1"/>
  <c r="E17" i="27"/>
  <c r="J16" i="27"/>
  <c r="E16" i="27"/>
  <c r="J15" i="27"/>
  <c r="N15" i="27" s="1"/>
  <c r="R15" i="27" s="1"/>
  <c r="T15" i="27" s="1"/>
  <c r="E15" i="27"/>
  <c r="J14" i="27"/>
  <c r="N14" i="27" s="1"/>
  <c r="R14" i="27" s="1"/>
  <c r="E14" i="27"/>
  <c r="J13" i="27"/>
  <c r="N13" i="27" s="1"/>
  <c r="J11" i="27"/>
  <c r="N11" i="27" s="1"/>
  <c r="R11" i="27" s="1"/>
  <c r="T11" i="27" s="1"/>
  <c r="E11" i="27"/>
  <c r="T50" i="129"/>
  <c r="T49" i="129"/>
  <c r="T48" i="129"/>
  <c r="T47" i="129"/>
  <c r="T46" i="129"/>
  <c r="T45" i="129"/>
  <c r="T44" i="129"/>
  <c r="T43" i="129"/>
  <c r="T42" i="129"/>
  <c r="J34" i="129"/>
  <c r="J29" i="129"/>
  <c r="J24" i="129"/>
  <c r="L20" i="129" s="1"/>
  <c r="J20" i="129"/>
  <c r="J23" i="129" s="1"/>
  <c r="H17" i="129"/>
  <c r="E17" i="129" s="1"/>
  <c r="H16" i="129"/>
  <c r="E16" i="129" s="1"/>
  <c r="H15" i="129"/>
  <c r="E15" i="129" s="1"/>
  <c r="H14" i="129"/>
  <c r="E14" i="129" s="1"/>
  <c r="H13" i="129"/>
  <c r="E13" i="129" s="1"/>
  <c r="H12" i="129"/>
  <c r="E12" i="129" s="1"/>
  <c r="H11" i="129"/>
  <c r="E11" i="129" s="1"/>
  <c r="T56" i="161"/>
  <c r="T55" i="161"/>
  <c r="D44" i="161"/>
  <c r="T54" i="161"/>
  <c r="D43" i="161"/>
  <c r="T53" i="161"/>
  <c r="T52" i="161"/>
  <c r="T51" i="161"/>
  <c r="T50" i="161"/>
  <c r="T49" i="161"/>
  <c r="J38" i="161"/>
  <c r="T48" i="161"/>
  <c r="J33" i="161"/>
  <c r="J28" i="161"/>
  <c r="L19" i="161" s="1"/>
  <c r="N24" i="161"/>
  <c r="R24" i="161" s="1"/>
  <c r="E24" i="161"/>
  <c r="N23" i="161"/>
  <c r="R23" i="161" s="1"/>
  <c r="E23" i="161"/>
  <c r="J19" i="161"/>
  <c r="J27" i="161" s="1"/>
  <c r="N18" i="161"/>
  <c r="N17" i="161"/>
  <c r="H17" i="161"/>
  <c r="E17" i="161" s="1"/>
  <c r="N16" i="161"/>
  <c r="R16" i="161" s="1"/>
  <c r="H16" i="161"/>
  <c r="E16" i="161" s="1"/>
  <c r="N15" i="161"/>
  <c r="R15" i="161" s="1"/>
  <c r="H15" i="161"/>
  <c r="E15" i="161" s="1"/>
  <c r="N14" i="161"/>
  <c r="R14" i="161" s="1"/>
  <c r="H14" i="161"/>
  <c r="E14" i="161" s="1"/>
  <c r="N13" i="161"/>
  <c r="H13" i="161"/>
  <c r="E13" i="161" s="1"/>
  <c r="N12" i="161"/>
  <c r="R12" i="161" s="1"/>
  <c r="H12" i="161"/>
  <c r="E12" i="161" s="1"/>
  <c r="N11" i="161"/>
  <c r="R11" i="161" s="1"/>
  <c r="H11" i="161"/>
  <c r="E11" i="161" s="1"/>
  <c r="P20" i="174"/>
  <c r="P20" i="309"/>
  <c r="P20" i="172"/>
  <c r="P20" i="171"/>
  <c r="P20" i="229"/>
  <c r="P20" i="328"/>
  <c r="P20" i="327"/>
  <c r="P20" i="175"/>
  <c r="P20" i="170"/>
  <c r="P20" i="173"/>
  <c r="P20" i="231"/>
  <c r="P20" i="226"/>
  <c r="G33" i="223"/>
  <c r="F33" i="223"/>
  <c r="E33" i="223"/>
  <c r="D33" i="223"/>
  <c r="G32" i="223"/>
  <c r="F32" i="223"/>
  <c r="E32" i="223"/>
  <c r="D32" i="223"/>
  <c r="G31" i="223"/>
  <c r="F31" i="223"/>
  <c r="G35" i="292" s="1"/>
  <c r="E31" i="223"/>
  <c r="D31" i="223"/>
  <c r="G30" i="223"/>
  <c r="G30" i="173" s="1"/>
  <c r="F30" i="223"/>
  <c r="E35" i="292" s="1"/>
  <c r="E30" i="223"/>
  <c r="E30" i="173" s="1"/>
  <c r="D30" i="223"/>
  <c r="G29" i="223"/>
  <c r="F29" i="223"/>
  <c r="E29" i="223"/>
  <c r="D29" i="223"/>
  <c r="G28" i="223"/>
  <c r="F28" i="223"/>
  <c r="E28" i="223"/>
  <c r="D28" i="223"/>
  <c r="G27" i="223"/>
  <c r="F27" i="223"/>
  <c r="E27" i="223"/>
  <c r="D27" i="223"/>
  <c r="G26" i="223"/>
  <c r="F26" i="223"/>
  <c r="E26" i="223"/>
  <c r="D26" i="223"/>
  <c r="O25" i="223"/>
  <c r="N25" i="223"/>
  <c r="M25" i="223"/>
  <c r="L25" i="223"/>
  <c r="G25" i="223"/>
  <c r="F25" i="223"/>
  <c r="E25" i="223"/>
  <c r="D25" i="223"/>
  <c r="G24" i="223"/>
  <c r="F24" i="223"/>
  <c r="E24" i="223"/>
  <c r="D24" i="223"/>
  <c r="G23" i="223"/>
  <c r="F23" i="223"/>
  <c r="E23" i="223"/>
  <c r="D23" i="223"/>
  <c r="P20" i="223"/>
  <c r="F13" i="173"/>
  <c r="P704" i="246"/>
  <c r="O704" i="246"/>
  <c r="P20" i="84"/>
  <c r="O25" i="104"/>
  <c r="N25" i="104"/>
  <c r="M25" i="104"/>
  <c r="L25" i="104"/>
  <c r="P25" i="104" s="1"/>
  <c r="P20" i="104"/>
  <c r="P20" i="103"/>
  <c r="P20" i="184"/>
  <c r="G33" i="308"/>
  <c r="G33" i="309" s="1"/>
  <c r="F33" i="308"/>
  <c r="E33" i="308"/>
  <c r="D33" i="308"/>
  <c r="C33" i="308"/>
  <c r="C33" i="309" s="1"/>
  <c r="G32" i="308"/>
  <c r="G32" i="309" s="1"/>
  <c r="F32" i="308"/>
  <c r="F32" i="309" s="1"/>
  <c r="E32" i="308"/>
  <c r="E32" i="309" s="1"/>
  <c r="D32" i="308"/>
  <c r="D32" i="309" s="1"/>
  <c r="C32" i="308"/>
  <c r="G31" i="308"/>
  <c r="G29" i="308"/>
  <c r="G29" i="309" s="1"/>
  <c r="F31" i="308"/>
  <c r="G32" i="292" s="1"/>
  <c r="E31" i="308"/>
  <c r="D31" i="308"/>
  <c r="C31" i="308"/>
  <c r="C31" i="309" s="1"/>
  <c r="G30" i="308"/>
  <c r="G30" i="309" s="1"/>
  <c r="F30" i="308"/>
  <c r="E32" i="292" s="1"/>
  <c r="E30" i="308"/>
  <c r="E30" i="309" s="1"/>
  <c r="D30" i="308"/>
  <c r="C30" i="308"/>
  <c r="C30" i="309" s="1"/>
  <c r="F29" i="308"/>
  <c r="F29" i="309" s="1"/>
  <c r="E29" i="308"/>
  <c r="E29" i="309" s="1"/>
  <c r="D29" i="308"/>
  <c r="D29" i="309" s="1"/>
  <c r="C29" i="308"/>
  <c r="C29" i="309" s="1"/>
  <c r="G28" i="308"/>
  <c r="F28" i="308"/>
  <c r="E28" i="308"/>
  <c r="D28" i="308"/>
  <c r="D28" i="309" s="1"/>
  <c r="C28" i="308"/>
  <c r="C28" i="309" s="1"/>
  <c r="G27" i="308"/>
  <c r="G27" i="309" s="1"/>
  <c r="F27" i="308"/>
  <c r="F27" i="309" s="1"/>
  <c r="E27" i="308"/>
  <c r="E27" i="309" s="1"/>
  <c r="D27" i="308"/>
  <c r="C27" i="308"/>
  <c r="G26" i="308"/>
  <c r="F26" i="308"/>
  <c r="F26" i="309" s="1"/>
  <c r="E26" i="308"/>
  <c r="E26" i="309" s="1"/>
  <c r="D26" i="308"/>
  <c r="D26" i="309" s="1"/>
  <c r="C26" i="308"/>
  <c r="C26" i="309" s="1"/>
  <c r="O25" i="308"/>
  <c r="O25" i="309" s="1"/>
  <c r="N25" i="308"/>
  <c r="M25" i="308"/>
  <c r="M25" i="309" s="1"/>
  <c r="L25" i="308"/>
  <c r="G25" i="308"/>
  <c r="F25" i="308"/>
  <c r="E25" i="308"/>
  <c r="D25" i="308"/>
  <c r="D25" i="309" s="1"/>
  <c r="C25" i="308"/>
  <c r="G24" i="308"/>
  <c r="F24" i="308"/>
  <c r="E24" i="308"/>
  <c r="D24" i="308"/>
  <c r="D24" i="309" s="1"/>
  <c r="C24" i="308"/>
  <c r="C24" i="309" s="1"/>
  <c r="G23" i="308"/>
  <c r="G23" i="309" s="1"/>
  <c r="F23" i="308"/>
  <c r="C32" i="292" s="1"/>
  <c r="E23" i="308"/>
  <c r="D23" i="308"/>
  <c r="D23" i="309" s="1"/>
  <c r="C23" i="308"/>
  <c r="C23" i="309" s="1"/>
  <c r="P20" i="308"/>
  <c r="G17" i="308"/>
  <c r="G17" i="309" s="1"/>
  <c r="F17" i="308"/>
  <c r="F17" i="309" s="1"/>
  <c r="E17" i="308"/>
  <c r="E17" i="309" s="1"/>
  <c r="D17" i="308"/>
  <c r="D17" i="309" s="1"/>
  <c r="G16" i="308"/>
  <c r="G16" i="309" s="1"/>
  <c r="F16" i="308"/>
  <c r="E16" i="308"/>
  <c r="E16" i="309" s="1"/>
  <c r="D16" i="308"/>
  <c r="D16" i="309" s="1"/>
  <c r="D15" i="308"/>
  <c r="D15" i="309" s="1"/>
  <c r="G14" i="308"/>
  <c r="G14" i="309" s="1"/>
  <c r="F14" i="308"/>
  <c r="F14" i="309" s="1"/>
  <c r="E14" i="308"/>
  <c r="E14" i="309" s="1"/>
  <c r="D14" i="308"/>
  <c r="D14" i="309" s="1"/>
  <c r="G13" i="308"/>
  <c r="F13" i="308"/>
  <c r="F13" i="309" s="1"/>
  <c r="E13" i="308"/>
  <c r="E13" i="309" s="1"/>
  <c r="D13" i="308"/>
  <c r="D13" i="309" s="1"/>
  <c r="G12" i="308"/>
  <c r="G12" i="309" s="1"/>
  <c r="F12" i="308"/>
  <c r="N32" i="292" s="1"/>
  <c r="E12" i="308"/>
  <c r="P742" i="246" s="1"/>
  <c r="D12" i="308"/>
  <c r="O742" i="246" s="1"/>
  <c r="G33" i="186"/>
  <c r="F33" i="186"/>
  <c r="E33" i="186"/>
  <c r="D33" i="186"/>
  <c r="C33" i="186"/>
  <c r="G32" i="186"/>
  <c r="F32" i="186"/>
  <c r="E32" i="186"/>
  <c r="D32" i="186"/>
  <c r="C32" i="186"/>
  <c r="G31" i="186"/>
  <c r="F31" i="186"/>
  <c r="G31" i="292" s="1"/>
  <c r="E31" i="186"/>
  <c r="D31" i="186"/>
  <c r="D31" i="184" s="1"/>
  <c r="C31" i="186"/>
  <c r="G30" i="186"/>
  <c r="F30" i="186"/>
  <c r="E30" i="186"/>
  <c r="E30" i="184" s="1"/>
  <c r="D30" i="186"/>
  <c r="C30" i="186"/>
  <c r="C30" i="184" s="1"/>
  <c r="G29" i="186"/>
  <c r="F29" i="186"/>
  <c r="E29" i="186"/>
  <c r="D29" i="186"/>
  <c r="C29" i="186"/>
  <c r="G28" i="186"/>
  <c r="F28" i="186"/>
  <c r="E28" i="186"/>
  <c r="D28" i="186"/>
  <c r="C28" i="186"/>
  <c r="G27" i="186"/>
  <c r="F27" i="186"/>
  <c r="E27" i="186"/>
  <c r="D27" i="186"/>
  <c r="C27" i="186"/>
  <c r="G26" i="186"/>
  <c r="F26" i="186"/>
  <c r="F31" i="292" s="1"/>
  <c r="E26" i="186"/>
  <c r="D26" i="186"/>
  <c r="C26" i="186"/>
  <c r="O25" i="186"/>
  <c r="N25" i="186"/>
  <c r="M25" i="186"/>
  <c r="L25" i="186"/>
  <c r="G25" i="186"/>
  <c r="F25" i="186"/>
  <c r="E25" i="186"/>
  <c r="D25" i="186"/>
  <c r="C25" i="186"/>
  <c r="G24" i="186"/>
  <c r="F24" i="186"/>
  <c r="E24" i="186"/>
  <c r="D24" i="186"/>
  <c r="C24" i="186"/>
  <c r="G23" i="186"/>
  <c r="F23" i="186"/>
  <c r="C31" i="292" s="1"/>
  <c r="E23" i="186"/>
  <c r="D23" i="186"/>
  <c r="C23" i="186"/>
  <c r="P20" i="186"/>
  <c r="G17" i="186"/>
  <c r="F17" i="186"/>
  <c r="E17" i="186"/>
  <c r="D17" i="186"/>
  <c r="G16" i="186"/>
  <c r="F16" i="186"/>
  <c r="E16" i="186"/>
  <c r="D16" i="186"/>
  <c r="D15" i="186"/>
  <c r="D14" i="186"/>
  <c r="G13" i="186"/>
  <c r="F13" i="186"/>
  <c r="E13" i="186"/>
  <c r="D13" i="186"/>
  <c r="G12" i="186"/>
  <c r="F12" i="186"/>
  <c r="Q720" i="246" s="1"/>
  <c r="E12" i="186"/>
  <c r="D12" i="186"/>
  <c r="E30" i="292"/>
  <c r="D30" i="292"/>
  <c r="P20" i="185"/>
  <c r="P20" i="228"/>
  <c r="P20" i="225"/>
  <c r="G20" i="292"/>
  <c r="E20" i="292"/>
  <c r="P25" i="212"/>
  <c r="P20" i="212"/>
  <c r="P20" i="330"/>
  <c r="P20" i="58"/>
  <c r="P20" i="326"/>
  <c r="P20" i="44"/>
  <c r="P20" i="18"/>
  <c r="P20" i="250"/>
  <c r="G33" i="291"/>
  <c r="F33" i="291"/>
  <c r="E33" i="291"/>
  <c r="D33" i="291"/>
  <c r="C33" i="291"/>
  <c r="G32" i="291"/>
  <c r="F32" i="291"/>
  <c r="E32" i="291"/>
  <c r="D32" i="291"/>
  <c r="C32" i="291"/>
  <c r="G31" i="291"/>
  <c r="F31" i="291"/>
  <c r="G17" i="292" s="1"/>
  <c r="E31" i="291"/>
  <c r="D31" i="291"/>
  <c r="C31" i="291"/>
  <c r="G30" i="291"/>
  <c r="F30" i="291"/>
  <c r="E17" i="292" s="1"/>
  <c r="E30" i="291"/>
  <c r="D30" i="291"/>
  <c r="C30" i="291"/>
  <c r="G29" i="291"/>
  <c r="F29" i="291"/>
  <c r="E29" i="291"/>
  <c r="D29" i="291"/>
  <c r="C29" i="291"/>
  <c r="G28" i="291"/>
  <c r="F28" i="291"/>
  <c r="E28" i="291"/>
  <c r="D28" i="291"/>
  <c r="C28" i="291"/>
  <c r="G27" i="291"/>
  <c r="F27" i="291"/>
  <c r="E27" i="291"/>
  <c r="D27" i="291"/>
  <c r="C27" i="291"/>
  <c r="G26" i="291"/>
  <c r="F26" i="291"/>
  <c r="F17" i="292" s="1"/>
  <c r="E26" i="291"/>
  <c r="D26" i="291"/>
  <c r="C26" i="291"/>
  <c r="O25" i="291"/>
  <c r="N25" i="291"/>
  <c r="M25" i="291"/>
  <c r="L25" i="291"/>
  <c r="P25" i="291" s="1"/>
  <c r="G25" i="291"/>
  <c r="F25" i="291"/>
  <c r="E25" i="291"/>
  <c r="D25" i="291"/>
  <c r="C25" i="291"/>
  <c r="G24" i="291"/>
  <c r="D24" i="291"/>
  <c r="F24" i="291"/>
  <c r="D17" i="292" s="1"/>
  <c r="E24" i="291"/>
  <c r="C24" i="291"/>
  <c r="G23" i="291"/>
  <c r="F23" i="291"/>
  <c r="C17" i="292" s="1"/>
  <c r="E23" i="291"/>
  <c r="D23" i="291"/>
  <c r="C23" i="291"/>
  <c r="P20" i="291"/>
  <c r="G17" i="291"/>
  <c r="F17" i="291"/>
  <c r="E17" i="291"/>
  <c r="D17" i="291"/>
  <c r="G16" i="291"/>
  <c r="F16" i="291"/>
  <c r="E16" i="291"/>
  <c r="D16" i="291"/>
  <c r="G15" i="291"/>
  <c r="F15" i="291"/>
  <c r="E15" i="291"/>
  <c r="D15" i="291"/>
  <c r="G14" i="291"/>
  <c r="F14" i="291"/>
  <c r="E14" i="291"/>
  <c r="D14" i="291"/>
  <c r="G13" i="291"/>
  <c r="F13" i="291"/>
  <c r="E13" i="291"/>
  <c r="D13" i="291"/>
  <c r="G12" i="291"/>
  <c r="F12" i="291"/>
  <c r="N17" i="292" s="1"/>
  <c r="E12" i="291"/>
  <c r="D12" i="291"/>
  <c r="E16" i="292"/>
  <c r="K597" i="209"/>
  <c r="F16" i="292"/>
  <c r="O25" i="248"/>
  <c r="N25" i="248"/>
  <c r="M25" i="248"/>
  <c r="L25" i="248"/>
  <c r="P25" i="248" s="1"/>
  <c r="L357" i="209"/>
  <c r="D16" i="292"/>
  <c r="J357" i="209"/>
  <c r="K417" i="209"/>
  <c r="P20" i="248"/>
  <c r="N16" i="292"/>
  <c r="P717" i="209"/>
  <c r="O717" i="209"/>
  <c r="G33" i="247"/>
  <c r="F33" i="247"/>
  <c r="E33" i="247"/>
  <c r="D33" i="247"/>
  <c r="G32" i="247"/>
  <c r="F32" i="247"/>
  <c r="E32" i="247"/>
  <c r="D32" i="247"/>
  <c r="G31" i="247"/>
  <c r="F31" i="247"/>
  <c r="G15" i="292" s="1"/>
  <c r="E31" i="247"/>
  <c r="D31" i="247"/>
  <c r="G30" i="247"/>
  <c r="F30" i="247"/>
  <c r="E30" i="247"/>
  <c r="D30" i="247"/>
  <c r="G29" i="247"/>
  <c r="F29" i="247"/>
  <c r="E29" i="247"/>
  <c r="D29" i="247"/>
  <c r="G28" i="247"/>
  <c r="F28" i="247"/>
  <c r="E28" i="247"/>
  <c r="D28" i="247"/>
  <c r="G27" i="247"/>
  <c r="F27" i="247"/>
  <c r="E27" i="247"/>
  <c r="D27" i="247"/>
  <c r="G26" i="247"/>
  <c r="F26" i="247"/>
  <c r="E26" i="247"/>
  <c r="D26" i="247"/>
  <c r="G25" i="247"/>
  <c r="F25" i="247"/>
  <c r="K504" i="209" s="1"/>
  <c r="E25" i="247"/>
  <c r="D25" i="247"/>
  <c r="E23" i="247"/>
  <c r="G24" i="247"/>
  <c r="F24" i="247"/>
  <c r="D15" i="292" s="1"/>
  <c r="E24" i="247"/>
  <c r="D24" i="247"/>
  <c r="G23" i="247"/>
  <c r="F23" i="247"/>
  <c r="D23" i="247"/>
  <c r="P20" i="247"/>
  <c r="G17" i="247"/>
  <c r="F17" i="247"/>
  <c r="E17" i="247"/>
  <c r="D17" i="247"/>
  <c r="G16" i="247"/>
  <c r="F16" i="247"/>
  <c r="E16" i="247"/>
  <c r="D16" i="247"/>
  <c r="G15" i="247"/>
  <c r="F15" i="247"/>
  <c r="E15" i="247"/>
  <c r="D15" i="247"/>
  <c r="G14" i="247"/>
  <c r="F14" i="247"/>
  <c r="E14" i="247"/>
  <c r="D14" i="247"/>
  <c r="G13" i="247"/>
  <c r="F13" i="247"/>
  <c r="E13" i="247"/>
  <c r="D13" i="247"/>
  <c r="G12" i="247"/>
  <c r="F12" i="247"/>
  <c r="E12" i="247"/>
  <c r="D12" i="247"/>
  <c r="K62" i="164"/>
  <c r="K69" i="164" s="1"/>
  <c r="K28" i="164"/>
  <c r="K35" i="164" s="1"/>
  <c r="K61" i="164"/>
  <c r="K68" i="164" s="1"/>
  <c r="K27" i="164"/>
  <c r="K34" i="164" s="1"/>
  <c r="K60" i="164"/>
  <c r="K67" i="164" s="1"/>
  <c r="K26" i="164"/>
  <c r="K33" i="164" s="1"/>
  <c r="C45" i="164"/>
  <c r="G47" i="164" s="1"/>
  <c r="G54" i="164" s="1"/>
  <c r="G69" i="164" s="1"/>
  <c r="G48" i="183"/>
  <c r="F48" i="183"/>
  <c r="E48" i="183"/>
  <c r="D48" i="183"/>
  <c r="H46" i="183"/>
  <c r="S673" i="246" s="1"/>
  <c r="H33" i="183"/>
  <c r="H32" i="183"/>
  <c r="M673" i="246" s="1"/>
  <c r="H31" i="183"/>
  <c r="H45" i="183" s="1"/>
  <c r="M177" i="246" s="1"/>
  <c r="H30" i="183"/>
  <c r="H44" i="183" s="1"/>
  <c r="S115" i="246" s="1"/>
  <c r="H29" i="183"/>
  <c r="H47" i="183" s="1"/>
  <c r="S177" i="246" s="1"/>
  <c r="H28" i="183"/>
  <c r="H42" i="183" s="1"/>
  <c r="M301" i="246" s="1"/>
  <c r="H27" i="183"/>
  <c r="H41" i="183" s="1"/>
  <c r="M239" i="246" s="1"/>
  <c r="H26" i="183"/>
  <c r="H40" i="183" s="1"/>
  <c r="M115" i="246" s="1"/>
  <c r="P25" i="183"/>
  <c r="H25" i="183"/>
  <c r="H39" i="183" s="1"/>
  <c r="S53" i="246" s="1"/>
  <c r="H24" i="183"/>
  <c r="H23" i="183"/>
  <c r="H37" i="183" s="1"/>
  <c r="S239" i="246" s="1"/>
  <c r="P20" i="183"/>
  <c r="G48" i="213"/>
  <c r="F48" i="213"/>
  <c r="E48" i="213"/>
  <c r="D48" i="213"/>
  <c r="H46" i="213"/>
  <c r="S623" i="209" s="1"/>
  <c r="H33" i="213"/>
  <c r="H32" i="213"/>
  <c r="M623" i="209" s="1"/>
  <c r="H31" i="213"/>
  <c r="H45" i="213" s="1"/>
  <c r="M143" i="209" s="1"/>
  <c r="H30" i="213"/>
  <c r="H44" i="213" s="1"/>
  <c r="S83" i="209" s="1"/>
  <c r="H29" i="213"/>
  <c r="H43" i="213" s="1"/>
  <c r="H28" i="213"/>
  <c r="H42" i="213" s="1"/>
  <c r="M263" i="209" s="1"/>
  <c r="H27" i="213"/>
  <c r="H41" i="213" s="1"/>
  <c r="M203" i="209" s="1"/>
  <c r="H26" i="213"/>
  <c r="H40" i="213" s="1"/>
  <c r="M83" i="209" s="1"/>
  <c r="P25" i="213"/>
  <c r="H25" i="213"/>
  <c r="H39" i="213" s="1"/>
  <c r="S23" i="209" s="1"/>
  <c r="H24" i="213"/>
  <c r="H38" i="213" s="1"/>
  <c r="M23" i="209" s="1"/>
  <c r="H23" i="213"/>
  <c r="H37" i="213" s="1"/>
  <c r="S203" i="209" s="1"/>
  <c r="P20" i="213"/>
  <c r="G11" i="213"/>
  <c r="O26" i="213" s="1"/>
  <c r="F11" i="213"/>
  <c r="F45" i="213" s="1"/>
  <c r="K143" i="209" s="1"/>
  <c r="E11" i="213"/>
  <c r="E46" i="213" s="1"/>
  <c r="D11" i="213"/>
  <c r="G48" i="39"/>
  <c r="F48" i="39"/>
  <c r="E48" i="39"/>
  <c r="D48" i="39"/>
  <c r="H46" i="39"/>
  <c r="S641" i="209" s="1"/>
  <c r="H33" i="39"/>
  <c r="H32" i="39"/>
  <c r="M641" i="209" s="1"/>
  <c r="H31" i="39"/>
  <c r="H45" i="39" s="1"/>
  <c r="M161" i="209" s="1"/>
  <c r="H30" i="39"/>
  <c r="H44" i="39" s="1"/>
  <c r="S101" i="209" s="1"/>
  <c r="H29" i="39"/>
  <c r="H47" i="39" s="1"/>
  <c r="S161" i="209" s="1"/>
  <c r="H28" i="39"/>
  <c r="H42" i="39" s="1"/>
  <c r="M281" i="209" s="1"/>
  <c r="H27" i="39"/>
  <c r="H41" i="39" s="1"/>
  <c r="M221" i="209" s="1"/>
  <c r="H26" i="39"/>
  <c r="H40" i="39" s="1"/>
  <c r="M101" i="209" s="1"/>
  <c r="P25" i="39"/>
  <c r="H25" i="39"/>
  <c r="H39" i="39" s="1"/>
  <c r="S41" i="209" s="1"/>
  <c r="H24" i="39"/>
  <c r="H23" i="39"/>
  <c r="H37" i="39" s="1"/>
  <c r="S221" i="209" s="1"/>
  <c r="P20" i="39"/>
  <c r="C9" i="39"/>
  <c r="G11" i="39" s="1"/>
  <c r="G48" i="176"/>
  <c r="F48" i="176"/>
  <c r="E48" i="176"/>
  <c r="D48" i="176"/>
  <c r="H46" i="176"/>
  <c r="S652" i="246" s="1"/>
  <c r="H33" i="176"/>
  <c r="H32" i="176"/>
  <c r="M652" i="246" s="1"/>
  <c r="H31" i="176"/>
  <c r="H45" i="176" s="1"/>
  <c r="M156" i="246" s="1"/>
  <c r="H30" i="176"/>
  <c r="H44" i="176" s="1"/>
  <c r="S94" i="246" s="1"/>
  <c r="H29" i="176"/>
  <c r="H47" i="176" s="1"/>
  <c r="S156" i="246" s="1"/>
  <c r="H28" i="176"/>
  <c r="H42" i="176" s="1"/>
  <c r="M280" i="246" s="1"/>
  <c r="H27" i="176"/>
  <c r="H41" i="176" s="1"/>
  <c r="M218" i="246" s="1"/>
  <c r="H26" i="176"/>
  <c r="H40" i="176" s="1"/>
  <c r="M94" i="246" s="1"/>
  <c r="P25" i="176"/>
  <c r="H25" i="176"/>
  <c r="H39" i="176" s="1"/>
  <c r="S32" i="246" s="1"/>
  <c r="H24" i="176"/>
  <c r="H38" i="176" s="1"/>
  <c r="M32" i="246" s="1"/>
  <c r="H23" i="176"/>
  <c r="S280" i="246" s="1"/>
  <c r="P20" i="176"/>
  <c r="E15" i="176"/>
  <c r="F15" i="176" s="1"/>
  <c r="E14" i="176"/>
  <c r="F14" i="176" s="1"/>
  <c r="G14" i="176" s="1"/>
  <c r="C9" i="176"/>
  <c r="G48" i="190"/>
  <c r="F48" i="190"/>
  <c r="E48" i="190"/>
  <c r="D48" i="190"/>
  <c r="H46" i="190"/>
  <c r="S633" i="246" s="1"/>
  <c r="H33" i="190"/>
  <c r="H32" i="190"/>
  <c r="M633" i="246" s="1"/>
  <c r="H31" i="190"/>
  <c r="H45" i="190" s="1"/>
  <c r="M137" i="246" s="1"/>
  <c r="H30" i="190"/>
  <c r="H44" i="190" s="1"/>
  <c r="S75" i="246" s="1"/>
  <c r="H29" i="190"/>
  <c r="H47" i="190" s="1"/>
  <c r="S137" i="246" s="1"/>
  <c r="H28" i="190"/>
  <c r="H42" i="190" s="1"/>
  <c r="M261" i="246" s="1"/>
  <c r="H27" i="190"/>
  <c r="H41" i="190" s="1"/>
  <c r="M199" i="246" s="1"/>
  <c r="H26" i="190"/>
  <c r="H40" i="190" s="1"/>
  <c r="M75" i="246" s="1"/>
  <c r="P25" i="190"/>
  <c r="H25" i="190"/>
  <c r="H39" i="190" s="1"/>
  <c r="S13" i="246" s="1"/>
  <c r="H24" i="190"/>
  <c r="H23" i="190"/>
  <c r="H37" i="190" s="1"/>
  <c r="S199" i="246" s="1"/>
  <c r="P20" i="190"/>
  <c r="E15" i="190"/>
  <c r="F15" i="190" s="1"/>
  <c r="G15" i="190" s="1"/>
  <c r="E14" i="190"/>
  <c r="F14" i="190" s="1"/>
  <c r="G14" i="190" s="1"/>
  <c r="C9" i="190"/>
  <c r="E11" i="190" s="1"/>
  <c r="E46" i="190" s="1"/>
  <c r="G48" i="101"/>
  <c r="F48" i="101"/>
  <c r="E48" i="101"/>
  <c r="D48" i="101"/>
  <c r="H46" i="101"/>
  <c r="S651" i="246" s="1"/>
  <c r="H33" i="101"/>
  <c r="H32" i="101"/>
  <c r="M651" i="246" s="1"/>
  <c r="H31" i="101"/>
  <c r="H45" i="101" s="1"/>
  <c r="M155" i="246" s="1"/>
  <c r="H30" i="101"/>
  <c r="H44" i="101" s="1"/>
  <c r="S93" i="246" s="1"/>
  <c r="H29" i="101"/>
  <c r="H28" i="101"/>
  <c r="H42" i="101" s="1"/>
  <c r="M279" i="246" s="1"/>
  <c r="H27" i="101"/>
  <c r="H41" i="101" s="1"/>
  <c r="M217" i="246" s="1"/>
  <c r="H26" i="101"/>
  <c r="H40" i="101" s="1"/>
  <c r="M93" i="246" s="1"/>
  <c r="P25" i="101"/>
  <c r="H25" i="101"/>
  <c r="H39" i="101" s="1"/>
  <c r="S31" i="246" s="1"/>
  <c r="H24" i="101"/>
  <c r="H38" i="101" s="1"/>
  <c r="M31" i="246" s="1"/>
  <c r="H23" i="101"/>
  <c r="H37" i="101" s="1"/>
  <c r="S217" i="246" s="1"/>
  <c r="P20" i="101"/>
  <c r="C9" i="101"/>
  <c r="F11" i="101" s="1"/>
  <c r="Q651" i="246" s="1"/>
  <c r="G48" i="337"/>
  <c r="F48" i="337"/>
  <c r="E48" i="337"/>
  <c r="D48" i="337"/>
  <c r="H46" i="337"/>
  <c r="S640" i="209" s="1"/>
  <c r="H33" i="337"/>
  <c r="H32" i="337"/>
  <c r="M640" i="209" s="1"/>
  <c r="H31" i="337"/>
  <c r="H45" i="337" s="1"/>
  <c r="M160" i="209" s="1"/>
  <c r="H30" i="337"/>
  <c r="H44" i="337" s="1"/>
  <c r="S100" i="209" s="1"/>
  <c r="H29" i="337"/>
  <c r="H47" i="337" s="1"/>
  <c r="S160" i="209" s="1"/>
  <c r="H28" i="337"/>
  <c r="H42" i="337" s="1"/>
  <c r="M280" i="209" s="1"/>
  <c r="H27" i="337"/>
  <c r="H41" i="337" s="1"/>
  <c r="M220" i="209" s="1"/>
  <c r="H26" i="337"/>
  <c r="H40" i="337" s="1"/>
  <c r="M100" i="209" s="1"/>
  <c r="P25" i="337"/>
  <c r="H25" i="337"/>
  <c r="H24" i="337"/>
  <c r="H38" i="337" s="1"/>
  <c r="M40" i="209" s="1"/>
  <c r="H23" i="337"/>
  <c r="S280" i="209" s="1"/>
  <c r="C9" i="337"/>
  <c r="E11" i="337" s="1"/>
  <c r="G48" i="284"/>
  <c r="F48" i="284"/>
  <c r="E48" i="284"/>
  <c r="D48" i="284"/>
  <c r="H46" i="284"/>
  <c r="S634" i="246" s="1"/>
  <c r="H33" i="284"/>
  <c r="H32" i="284"/>
  <c r="M634" i="246" s="1"/>
  <c r="H31" i="284"/>
  <c r="H45" i="284" s="1"/>
  <c r="M138" i="246" s="1"/>
  <c r="H30" i="284"/>
  <c r="H44" i="284" s="1"/>
  <c r="S76" i="246" s="1"/>
  <c r="H29" i="284"/>
  <c r="H47" i="284" s="1"/>
  <c r="S138" i="246" s="1"/>
  <c r="H28" i="284"/>
  <c r="H42" i="284" s="1"/>
  <c r="M262" i="246" s="1"/>
  <c r="H27" i="284"/>
  <c r="H41" i="284" s="1"/>
  <c r="M200" i="246" s="1"/>
  <c r="H26" i="284"/>
  <c r="H40" i="284" s="1"/>
  <c r="M76" i="246" s="1"/>
  <c r="P25" i="284"/>
  <c r="H25" i="284"/>
  <c r="H39" i="284" s="1"/>
  <c r="S14" i="246" s="1"/>
  <c r="H24" i="284"/>
  <c r="H38" i="284" s="1"/>
  <c r="M14" i="246" s="1"/>
  <c r="H23" i="284"/>
  <c r="H37" i="284" s="1"/>
  <c r="S200" i="246" s="1"/>
  <c r="P20" i="284"/>
  <c r="C9" i="284"/>
  <c r="G48" i="6"/>
  <c r="F48" i="6"/>
  <c r="E48" i="6"/>
  <c r="D48" i="6"/>
  <c r="H46" i="6"/>
  <c r="S618" i="209" s="1"/>
  <c r="H33" i="6"/>
  <c r="H32" i="6"/>
  <c r="M618" i="209" s="1"/>
  <c r="H31" i="6"/>
  <c r="H45" i="6" s="1"/>
  <c r="M138" i="209" s="1"/>
  <c r="H30" i="6"/>
  <c r="H44" i="6" s="1"/>
  <c r="S78" i="209" s="1"/>
  <c r="H29" i="6"/>
  <c r="H43" i="6" s="1"/>
  <c r="H28" i="6"/>
  <c r="H42" i="6" s="1"/>
  <c r="M258" i="209" s="1"/>
  <c r="H27" i="6"/>
  <c r="H41" i="6" s="1"/>
  <c r="M198" i="209" s="1"/>
  <c r="H26" i="6"/>
  <c r="H40" i="6" s="1"/>
  <c r="M78" i="209" s="1"/>
  <c r="P25" i="6"/>
  <c r="H25" i="6"/>
  <c r="S318" i="209" s="1"/>
  <c r="H24" i="6"/>
  <c r="H38" i="6" s="1"/>
  <c r="M18" i="209" s="1"/>
  <c r="H23" i="6"/>
  <c r="P20" i="6"/>
  <c r="C9" i="6"/>
  <c r="G11" i="6" s="1"/>
  <c r="G48" i="270"/>
  <c r="F48" i="270"/>
  <c r="E48" i="270"/>
  <c r="D48" i="270"/>
  <c r="H46" i="270"/>
  <c r="S672" i="246" s="1"/>
  <c r="H33" i="270"/>
  <c r="H32" i="270"/>
  <c r="M672" i="246" s="1"/>
  <c r="H31" i="270"/>
  <c r="H45" i="270" s="1"/>
  <c r="M176" i="246" s="1"/>
  <c r="H30" i="270"/>
  <c r="H44" i="270" s="1"/>
  <c r="S114" i="246" s="1"/>
  <c r="H29" i="270"/>
  <c r="H47" i="270" s="1"/>
  <c r="S176" i="246" s="1"/>
  <c r="H28" i="270"/>
  <c r="H42" i="270" s="1"/>
  <c r="M300" i="246" s="1"/>
  <c r="H27" i="270"/>
  <c r="H41" i="270" s="1"/>
  <c r="M238" i="246" s="1"/>
  <c r="H26" i="270"/>
  <c r="H40" i="270" s="1"/>
  <c r="M114" i="246" s="1"/>
  <c r="P25" i="270"/>
  <c r="H25" i="270"/>
  <c r="H39" i="270" s="1"/>
  <c r="S52" i="246" s="1"/>
  <c r="H24" i="270"/>
  <c r="M362" i="246" s="1"/>
  <c r="H23" i="270"/>
  <c r="H37" i="270" s="1"/>
  <c r="S238" i="246" s="1"/>
  <c r="G48" i="345"/>
  <c r="F48" i="345"/>
  <c r="E48" i="345"/>
  <c r="D48" i="345"/>
  <c r="H46" i="345"/>
  <c r="S649" i="209" s="1"/>
  <c r="H33" i="345"/>
  <c r="H32" i="345"/>
  <c r="M649" i="209" s="1"/>
  <c r="H31" i="345"/>
  <c r="H45" i="345" s="1"/>
  <c r="M169" i="209" s="1"/>
  <c r="H30" i="345"/>
  <c r="H44" i="345" s="1"/>
  <c r="S109" i="209" s="1"/>
  <c r="H29" i="345"/>
  <c r="H43" i="345" s="1"/>
  <c r="H28" i="345"/>
  <c r="H42" i="345" s="1"/>
  <c r="M289" i="209" s="1"/>
  <c r="H27" i="345"/>
  <c r="H41" i="345" s="1"/>
  <c r="M229" i="209" s="1"/>
  <c r="H26" i="345"/>
  <c r="H40" i="345" s="1"/>
  <c r="M109" i="209" s="1"/>
  <c r="P25" i="345"/>
  <c r="H25" i="345"/>
  <c r="H39" i="345" s="1"/>
  <c r="S49" i="209" s="1"/>
  <c r="H24" i="345"/>
  <c r="H38" i="345" s="1"/>
  <c r="M49" i="209" s="1"/>
  <c r="H23" i="345"/>
  <c r="S289" i="209" s="1"/>
  <c r="C9" i="345"/>
  <c r="E11" i="345" s="1"/>
  <c r="G48" i="295"/>
  <c r="F48" i="295"/>
  <c r="E48" i="295"/>
  <c r="D48" i="295"/>
  <c r="H46" i="295"/>
  <c r="H33" i="295"/>
  <c r="H32" i="295"/>
  <c r="H31" i="295"/>
  <c r="H45" i="295" s="1"/>
  <c r="H30" i="295"/>
  <c r="H44" i="295" s="1"/>
  <c r="H29" i="295"/>
  <c r="H47" i="295" s="1"/>
  <c r="H28" i="295"/>
  <c r="H42" i="295" s="1"/>
  <c r="H27" i="295"/>
  <c r="H41" i="295" s="1"/>
  <c r="H26" i="295"/>
  <c r="H40" i="295" s="1"/>
  <c r="P25" i="295"/>
  <c r="H25" i="295"/>
  <c r="H39" i="295" s="1"/>
  <c r="H24" i="295"/>
  <c r="H38" i="295" s="1"/>
  <c r="H23" i="295"/>
  <c r="H37" i="295" s="1"/>
  <c r="C9" i="295"/>
  <c r="F11" i="295" s="1"/>
  <c r="O131" i="294" s="1"/>
  <c r="G48" i="7"/>
  <c r="F48" i="7"/>
  <c r="E48" i="7"/>
  <c r="D48" i="7"/>
  <c r="H46" i="7"/>
  <c r="S617" i="209" s="1"/>
  <c r="H33" i="7"/>
  <c r="H32" i="7"/>
  <c r="M617" i="209" s="1"/>
  <c r="H31" i="7"/>
  <c r="H45" i="7" s="1"/>
  <c r="M137" i="209" s="1"/>
  <c r="H30" i="7"/>
  <c r="H44" i="7" s="1"/>
  <c r="S77" i="209" s="1"/>
  <c r="H29" i="7"/>
  <c r="H47" i="7" s="1"/>
  <c r="S137" i="209" s="1"/>
  <c r="H28" i="7"/>
  <c r="H42" i="7" s="1"/>
  <c r="M257" i="209" s="1"/>
  <c r="H27" i="7"/>
  <c r="H41" i="7" s="1"/>
  <c r="M197" i="209" s="1"/>
  <c r="H26" i="7"/>
  <c r="H40" i="7" s="1"/>
  <c r="M77" i="209" s="1"/>
  <c r="P25" i="7"/>
  <c r="H25" i="7"/>
  <c r="S317" i="209" s="1"/>
  <c r="H24" i="7"/>
  <c r="H38" i="7" s="1"/>
  <c r="M17" i="209" s="1"/>
  <c r="H23" i="7"/>
  <c r="P20" i="7"/>
  <c r="C9" i="7"/>
  <c r="G48" i="105"/>
  <c r="F48" i="105"/>
  <c r="E48" i="105"/>
  <c r="D48" i="105"/>
  <c r="H33" i="105"/>
  <c r="H32" i="105"/>
  <c r="H46" i="105" s="1"/>
  <c r="S622" i="209" s="1"/>
  <c r="H31" i="105"/>
  <c r="H45" i="105" s="1"/>
  <c r="M142" i="209" s="1"/>
  <c r="H30" i="105"/>
  <c r="H44" i="105" s="1"/>
  <c r="S82" i="209" s="1"/>
  <c r="H29" i="105"/>
  <c r="H28" i="105"/>
  <c r="H42" i="105" s="1"/>
  <c r="M262" i="209" s="1"/>
  <c r="H27" i="105"/>
  <c r="H41" i="105" s="1"/>
  <c r="M202" i="209" s="1"/>
  <c r="H26" i="105"/>
  <c r="H40" i="105" s="1"/>
  <c r="M82" i="209" s="1"/>
  <c r="P25" i="105"/>
  <c r="H25" i="105"/>
  <c r="H39" i="105" s="1"/>
  <c r="S22" i="209" s="1"/>
  <c r="H24" i="105"/>
  <c r="M322" i="209" s="1"/>
  <c r="H23" i="105"/>
  <c r="H37" i="105" s="1"/>
  <c r="S202" i="209" s="1"/>
  <c r="C9" i="105"/>
  <c r="G48" i="91"/>
  <c r="F48" i="91"/>
  <c r="E48" i="91"/>
  <c r="D48" i="91"/>
  <c r="H46" i="91"/>
  <c r="S628" i="246" s="1"/>
  <c r="H33" i="91"/>
  <c r="H32" i="91"/>
  <c r="M628" i="246" s="1"/>
  <c r="H31" i="91"/>
  <c r="H45" i="91" s="1"/>
  <c r="M132" i="246" s="1"/>
  <c r="H30" i="91"/>
  <c r="H44" i="91" s="1"/>
  <c r="S70" i="246" s="1"/>
  <c r="H29" i="91"/>
  <c r="H47" i="91" s="1"/>
  <c r="S132" i="246" s="1"/>
  <c r="H28" i="91"/>
  <c r="H42" i="91" s="1"/>
  <c r="M256" i="246" s="1"/>
  <c r="H27" i="91"/>
  <c r="H41" i="91" s="1"/>
  <c r="M194" i="246" s="1"/>
  <c r="H26" i="91"/>
  <c r="H40" i="91" s="1"/>
  <c r="M70" i="246" s="1"/>
  <c r="P25" i="91"/>
  <c r="H25" i="91"/>
  <c r="H24" i="91"/>
  <c r="H38" i="91" s="1"/>
  <c r="M8" i="246" s="1"/>
  <c r="H23" i="91"/>
  <c r="H37" i="91" s="1"/>
  <c r="S194" i="246" s="1"/>
  <c r="E15" i="91"/>
  <c r="F15" i="91" s="1"/>
  <c r="G15" i="91" s="1"/>
  <c r="G15" i="103" s="1"/>
  <c r="E14" i="91"/>
  <c r="E14" i="103" s="1"/>
  <c r="C9" i="91"/>
  <c r="D11" i="91" s="1"/>
  <c r="G48" i="216"/>
  <c r="F48" i="216"/>
  <c r="E48" i="216"/>
  <c r="D48" i="216"/>
  <c r="H46" i="216"/>
  <c r="S629" i="209" s="1"/>
  <c r="H33" i="216"/>
  <c r="H32" i="216"/>
  <c r="M629" i="209" s="1"/>
  <c r="H31" i="216"/>
  <c r="H45" i="216" s="1"/>
  <c r="M149" i="209" s="1"/>
  <c r="H30" i="216"/>
  <c r="H44" i="216" s="1"/>
  <c r="S89" i="209" s="1"/>
  <c r="H29" i="216"/>
  <c r="H43" i="216" s="1"/>
  <c r="H28" i="216"/>
  <c r="H42" i="216" s="1"/>
  <c r="M269" i="209" s="1"/>
  <c r="H27" i="216"/>
  <c r="H41" i="216" s="1"/>
  <c r="M209" i="209" s="1"/>
  <c r="H26" i="216"/>
  <c r="H40" i="216" s="1"/>
  <c r="M89" i="209" s="1"/>
  <c r="P25" i="216"/>
  <c r="H25" i="216"/>
  <c r="H39" i="216" s="1"/>
  <c r="S29" i="209" s="1"/>
  <c r="H24" i="216"/>
  <c r="H38" i="216" s="1"/>
  <c r="M29" i="209" s="1"/>
  <c r="H23" i="216"/>
  <c r="H37" i="216" s="1"/>
  <c r="S209" i="209" s="1"/>
  <c r="P20" i="216"/>
  <c r="C9" i="216"/>
  <c r="G48" i="118"/>
  <c r="F48" i="118"/>
  <c r="E48" i="118"/>
  <c r="D48" i="118"/>
  <c r="H46" i="118"/>
  <c r="S650" i="246" s="1"/>
  <c r="H33" i="118"/>
  <c r="H32" i="118"/>
  <c r="M650" i="246" s="1"/>
  <c r="H31" i="118"/>
  <c r="H45" i="118" s="1"/>
  <c r="M154" i="246" s="1"/>
  <c r="H30" i="118"/>
  <c r="H44" i="118" s="1"/>
  <c r="S92" i="246" s="1"/>
  <c r="H29" i="118"/>
  <c r="H47" i="118" s="1"/>
  <c r="S154" i="246" s="1"/>
  <c r="H28" i="118"/>
  <c r="H42" i="118" s="1"/>
  <c r="M278" i="246" s="1"/>
  <c r="H27" i="118"/>
  <c r="H41" i="118" s="1"/>
  <c r="M216" i="246" s="1"/>
  <c r="H26" i="118"/>
  <c r="H40" i="118" s="1"/>
  <c r="M92" i="246" s="1"/>
  <c r="P25" i="118"/>
  <c r="H25" i="118"/>
  <c r="H39" i="118" s="1"/>
  <c r="S30" i="246" s="1"/>
  <c r="H24" i="118"/>
  <c r="H38" i="118" s="1"/>
  <c r="M30" i="246" s="1"/>
  <c r="H23" i="118"/>
  <c r="H37" i="118" s="1"/>
  <c r="S216" i="246" s="1"/>
  <c r="P20" i="118"/>
  <c r="D14" i="104"/>
  <c r="C9" i="118"/>
  <c r="F11" i="118" s="1"/>
  <c r="N26" i="118" s="1"/>
  <c r="F43" i="118" s="1"/>
  <c r="F47" i="118" s="1"/>
  <c r="Q154" i="246" s="1"/>
  <c r="G48" i="191"/>
  <c r="F48" i="191"/>
  <c r="E48" i="191"/>
  <c r="D48" i="191"/>
  <c r="H46" i="191"/>
  <c r="S657" i="246" s="1"/>
  <c r="H33" i="191"/>
  <c r="H32" i="191"/>
  <c r="M657" i="246" s="1"/>
  <c r="H31" i="191"/>
  <c r="H45" i="191" s="1"/>
  <c r="M161" i="246" s="1"/>
  <c r="H30" i="191"/>
  <c r="H44" i="191" s="1"/>
  <c r="S99" i="246" s="1"/>
  <c r="H29" i="191"/>
  <c r="H47" i="191" s="1"/>
  <c r="S161" i="246" s="1"/>
  <c r="H28" i="191"/>
  <c r="H42" i="191" s="1"/>
  <c r="M285" i="246" s="1"/>
  <c r="H27" i="191"/>
  <c r="H41" i="191" s="1"/>
  <c r="M223" i="246" s="1"/>
  <c r="H26" i="191"/>
  <c r="H40" i="191" s="1"/>
  <c r="M99" i="246" s="1"/>
  <c r="P25" i="191"/>
  <c r="H25" i="191"/>
  <c r="H39" i="191" s="1"/>
  <c r="S37" i="246" s="1"/>
  <c r="H24" i="191"/>
  <c r="H38" i="191" s="1"/>
  <c r="M37" i="246" s="1"/>
  <c r="H23" i="191"/>
  <c r="H37" i="191" s="1"/>
  <c r="S223" i="246" s="1"/>
  <c r="P20" i="191"/>
  <c r="E15" i="191"/>
  <c r="F15" i="191" s="1"/>
  <c r="G15" i="191" s="1"/>
  <c r="E14" i="191"/>
  <c r="G11" i="191"/>
  <c r="G45" i="191" s="1"/>
  <c r="L161" i="246" s="1"/>
  <c r="F11" i="191"/>
  <c r="F46" i="191" s="1"/>
  <c r="E11" i="191"/>
  <c r="M26" i="191" s="1"/>
  <c r="E43" i="191" s="1"/>
  <c r="E47" i="191" s="1"/>
  <c r="P161" i="246" s="1"/>
  <c r="D11" i="191"/>
  <c r="D44" i="191" s="1"/>
  <c r="O99" i="246" s="1"/>
  <c r="G48" i="10"/>
  <c r="F48" i="10"/>
  <c r="E48" i="10"/>
  <c r="D48" i="10"/>
  <c r="H33" i="10"/>
  <c r="H32" i="10"/>
  <c r="H46" i="10" s="1"/>
  <c r="S615" i="209" s="1"/>
  <c r="H31" i="10"/>
  <c r="H45" i="10" s="1"/>
  <c r="M135" i="209" s="1"/>
  <c r="H30" i="10"/>
  <c r="H44" i="10" s="1"/>
  <c r="S75" i="209" s="1"/>
  <c r="H29" i="10"/>
  <c r="H47" i="10" s="1"/>
  <c r="S135" i="209" s="1"/>
  <c r="H28" i="10"/>
  <c r="H42" i="10" s="1"/>
  <c r="M255" i="209" s="1"/>
  <c r="H27" i="10"/>
  <c r="H41" i="10" s="1"/>
  <c r="M195" i="209" s="1"/>
  <c r="H26" i="10"/>
  <c r="H40" i="10" s="1"/>
  <c r="M75" i="209" s="1"/>
  <c r="P25" i="10"/>
  <c r="H25" i="10"/>
  <c r="H39" i="10" s="1"/>
  <c r="S15" i="209" s="1"/>
  <c r="H24" i="10"/>
  <c r="H38" i="10" s="1"/>
  <c r="M15" i="209" s="1"/>
  <c r="H23" i="10"/>
  <c r="H37" i="10" s="1"/>
  <c r="S195" i="209" s="1"/>
  <c r="P20" i="10"/>
  <c r="C10" i="10"/>
  <c r="C9" i="10"/>
  <c r="G48" i="9"/>
  <c r="F48" i="9"/>
  <c r="E48" i="9"/>
  <c r="D48" i="9"/>
  <c r="H46" i="9"/>
  <c r="S616" i="209" s="1"/>
  <c r="H33" i="9"/>
  <c r="H32" i="9"/>
  <c r="M616" i="209" s="1"/>
  <c r="H31" i="9"/>
  <c r="H45" i="9" s="1"/>
  <c r="M136" i="209" s="1"/>
  <c r="H30" i="9"/>
  <c r="H44" i="9" s="1"/>
  <c r="S76" i="209" s="1"/>
  <c r="H29" i="9"/>
  <c r="H47" i="9" s="1"/>
  <c r="S136" i="209" s="1"/>
  <c r="H28" i="9"/>
  <c r="H42" i="9" s="1"/>
  <c r="M256" i="209" s="1"/>
  <c r="H27" i="9"/>
  <c r="H41" i="9" s="1"/>
  <c r="M196" i="209" s="1"/>
  <c r="H26" i="9"/>
  <c r="H40" i="9" s="1"/>
  <c r="M76" i="209" s="1"/>
  <c r="P25" i="9"/>
  <c r="H25" i="9"/>
  <c r="H39" i="9" s="1"/>
  <c r="S16" i="209" s="1"/>
  <c r="H24" i="9"/>
  <c r="H38" i="9" s="1"/>
  <c r="M16" i="209" s="1"/>
  <c r="H23" i="9"/>
  <c r="P20" i="9"/>
  <c r="C9" i="9"/>
  <c r="F11" i="9" s="1"/>
  <c r="G48" i="79"/>
  <c r="F48" i="79"/>
  <c r="E48" i="79"/>
  <c r="D48" i="79"/>
  <c r="H46" i="79"/>
  <c r="S639" i="209" s="1"/>
  <c r="H33" i="79"/>
  <c r="H32" i="79"/>
  <c r="M639" i="209" s="1"/>
  <c r="H31" i="79"/>
  <c r="H45" i="79" s="1"/>
  <c r="M159" i="209" s="1"/>
  <c r="H30" i="79"/>
  <c r="H44" i="79" s="1"/>
  <c r="S99" i="209" s="1"/>
  <c r="H29" i="79"/>
  <c r="H47" i="79" s="1"/>
  <c r="S159" i="209" s="1"/>
  <c r="H28" i="79"/>
  <c r="H42" i="79" s="1"/>
  <c r="M279" i="209" s="1"/>
  <c r="H27" i="79"/>
  <c r="H41" i="79" s="1"/>
  <c r="M219" i="209" s="1"/>
  <c r="H26" i="79"/>
  <c r="H40" i="79" s="1"/>
  <c r="M99" i="209" s="1"/>
  <c r="P25" i="79"/>
  <c r="H25" i="79"/>
  <c r="H39" i="79" s="1"/>
  <c r="S39" i="209" s="1"/>
  <c r="H24" i="79"/>
  <c r="H38" i="79" s="1"/>
  <c r="M39" i="209" s="1"/>
  <c r="H23" i="79"/>
  <c r="H37" i="79" s="1"/>
  <c r="S219" i="209" s="1"/>
  <c r="C10" i="79"/>
  <c r="C9" i="79"/>
  <c r="G48" i="296"/>
  <c r="F48" i="296"/>
  <c r="E48" i="296"/>
  <c r="D48" i="296"/>
  <c r="H46" i="296"/>
  <c r="H33" i="296"/>
  <c r="H32" i="296"/>
  <c r="H31" i="296"/>
  <c r="H45" i="296" s="1"/>
  <c r="H30" i="296"/>
  <c r="H44" i="296" s="1"/>
  <c r="H29" i="296"/>
  <c r="H47" i="296" s="1"/>
  <c r="H28" i="296"/>
  <c r="H42" i="296" s="1"/>
  <c r="H27" i="296"/>
  <c r="H41" i="296" s="1"/>
  <c r="H26" i="296"/>
  <c r="H40" i="296" s="1"/>
  <c r="P25" i="296"/>
  <c r="H25" i="296"/>
  <c r="H39" i="296" s="1"/>
  <c r="H24" i="296"/>
  <c r="H38" i="296" s="1"/>
  <c r="H23" i="296"/>
  <c r="H37" i="296" s="1"/>
  <c r="C9" i="296"/>
  <c r="G48" i="203"/>
  <c r="F48" i="203"/>
  <c r="E48" i="203"/>
  <c r="D48" i="203"/>
  <c r="H46" i="203"/>
  <c r="S671" i="246" s="1"/>
  <c r="H33" i="203"/>
  <c r="H32" i="203"/>
  <c r="M671" i="246" s="1"/>
  <c r="H31" i="203"/>
  <c r="H45" i="203" s="1"/>
  <c r="M175" i="246" s="1"/>
  <c r="H30" i="203"/>
  <c r="H44" i="203" s="1"/>
  <c r="S113" i="246" s="1"/>
  <c r="H29" i="203"/>
  <c r="H47" i="203" s="1"/>
  <c r="S175" i="246" s="1"/>
  <c r="H28" i="203"/>
  <c r="H42" i="203" s="1"/>
  <c r="M299" i="246" s="1"/>
  <c r="H27" i="203"/>
  <c r="H41" i="203" s="1"/>
  <c r="M237" i="246" s="1"/>
  <c r="H26" i="203"/>
  <c r="H40" i="203" s="1"/>
  <c r="M113" i="246" s="1"/>
  <c r="P25" i="203"/>
  <c r="H25" i="203"/>
  <c r="H24" i="203"/>
  <c r="H38" i="203" s="1"/>
  <c r="M51" i="246" s="1"/>
  <c r="H23" i="203"/>
  <c r="H37" i="203" s="1"/>
  <c r="S237" i="246" s="1"/>
  <c r="P20" i="203"/>
  <c r="G48" i="11"/>
  <c r="F48" i="11"/>
  <c r="E48" i="11"/>
  <c r="D48" i="11"/>
  <c r="H46" i="11"/>
  <c r="S614" i="209" s="1"/>
  <c r="H33" i="11"/>
  <c r="H32" i="11"/>
  <c r="M614" i="209" s="1"/>
  <c r="H31" i="11"/>
  <c r="H45" i="11" s="1"/>
  <c r="M134" i="209" s="1"/>
  <c r="H30" i="11"/>
  <c r="H44" i="11" s="1"/>
  <c r="S74" i="209" s="1"/>
  <c r="H29" i="11"/>
  <c r="H47" i="11" s="1"/>
  <c r="S134" i="209" s="1"/>
  <c r="H28" i="11"/>
  <c r="H42" i="11" s="1"/>
  <c r="M254" i="209" s="1"/>
  <c r="H27" i="11"/>
  <c r="H41" i="11" s="1"/>
  <c r="M194" i="209" s="1"/>
  <c r="H26" i="11"/>
  <c r="H40" i="11" s="1"/>
  <c r="M74" i="209" s="1"/>
  <c r="P25" i="11"/>
  <c r="H25" i="11"/>
  <c r="H39" i="11" s="1"/>
  <c r="S14" i="209" s="1"/>
  <c r="H24" i="11"/>
  <c r="H38" i="11" s="1"/>
  <c r="M14" i="209" s="1"/>
  <c r="H23" i="11"/>
  <c r="S254" i="209" s="1"/>
  <c r="P20" i="11"/>
  <c r="D14" i="11"/>
  <c r="E14" i="11" s="1"/>
  <c r="F14" i="11" s="1"/>
  <c r="G14" i="11" s="1"/>
  <c r="C9" i="11"/>
  <c r="G48" i="344"/>
  <c r="F48" i="344"/>
  <c r="E48" i="344"/>
  <c r="D48" i="344"/>
  <c r="H46" i="344"/>
  <c r="H33" i="344"/>
  <c r="H32" i="344"/>
  <c r="H31" i="344"/>
  <c r="H45" i="344" s="1"/>
  <c r="H30" i="344"/>
  <c r="H44" i="344" s="1"/>
  <c r="H29" i="344"/>
  <c r="H47" i="344" s="1"/>
  <c r="H28" i="344"/>
  <c r="H42" i="344" s="1"/>
  <c r="H27" i="344"/>
  <c r="H41" i="344" s="1"/>
  <c r="H26" i="344"/>
  <c r="H40" i="344" s="1"/>
  <c r="P25" i="344"/>
  <c r="H25" i="344"/>
  <c r="H39" i="344" s="1"/>
  <c r="H24" i="344"/>
  <c r="H38" i="344" s="1"/>
  <c r="H23" i="344"/>
  <c r="H37" i="344" s="1"/>
  <c r="C9" i="344"/>
  <c r="G11" i="344" s="1"/>
  <c r="G18" i="344" s="1"/>
  <c r="G48" i="334"/>
  <c r="F48" i="334"/>
  <c r="E48" i="334"/>
  <c r="D48" i="334"/>
  <c r="H46" i="334"/>
  <c r="S627" i="209" s="1"/>
  <c r="H33" i="334"/>
  <c r="H32" i="334"/>
  <c r="M627" i="209" s="1"/>
  <c r="H31" i="334"/>
  <c r="H45" i="334" s="1"/>
  <c r="M147" i="209" s="1"/>
  <c r="H30" i="334"/>
  <c r="H44" i="334" s="1"/>
  <c r="S87" i="209" s="1"/>
  <c r="H29" i="334"/>
  <c r="H47" i="334" s="1"/>
  <c r="S147" i="209" s="1"/>
  <c r="H28" i="334"/>
  <c r="H42" i="334" s="1"/>
  <c r="M267" i="209" s="1"/>
  <c r="H27" i="334"/>
  <c r="H41" i="334" s="1"/>
  <c r="M207" i="209" s="1"/>
  <c r="H26" i="334"/>
  <c r="H40" i="334" s="1"/>
  <c r="M87" i="209" s="1"/>
  <c r="P25" i="334"/>
  <c r="H25" i="334"/>
  <c r="H39" i="334" s="1"/>
  <c r="S27" i="209" s="1"/>
  <c r="H24" i="334"/>
  <c r="H23" i="334"/>
  <c r="P20" i="334"/>
  <c r="C9" i="334"/>
  <c r="F11" i="334" s="1"/>
  <c r="F46" i="334" s="1"/>
  <c r="G48" i="146"/>
  <c r="F48" i="146"/>
  <c r="E48" i="146"/>
  <c r="D48" i="146"/>
  <c r="H46" i="146"/>
  <c r="S670" i="246" s="1"/>
  <c r="H33" i="146"/>
  <c r="H32" i="146"/>
  <c r="M670" i="246" s="1"/>
  <c r="H31" i="146"/>
  <c r="H45" i="146" s="1"/>
  <c r="M174" i="246" s="1"/>
  <c r="H30" i="146"/>
  <c r="H44" i="146" s="1"/>
  <c r="S112" i="246" s="1"/>
  <c r="H29" i="146"/>
  <c r="H43" i="146" s="1"/>
  <c r="H28" i="146"/>
  <c r="H42" i="146" s="1"/>
  <c r="M298" i="246" s="1"/>
  <c r="H27" i="146"/>
  <c r="H41" i="146" s="1"/>
  <c r="M236" i="246" s="1"/>
  <c r="H26" i="146"/>
  <c r="H40" i="146" s="1"/>
  <c r="M112" i="246" s="1"/>
  <c r="P25" i="146"/>
  <c r="H25" i="146"/>
  <c r="H39" i="146" s="1"/>
  <c r="S50" i="246" s="1"/>
  <c r="H24" i="146"/>
  <c r="H38" i="146" s="1"/>
  <c r="M50" i="246" s="1"/>
  <c r="H23" i="146"/>
  <c r="H37" i="146" s="1"/>
  <c r="S236" i="246" s="1"/>
  <c r="P20" i="146"/>
  <c r="G48" i="333"/>
  <c r="F48" i="333"/>
  <c r="E48" i="333"/>
  <c r="D48" i="333"/>
  <c r="H46" i="333"/>
  <c r="H33" i="333"/>
  <c r="H32" i="333"/>
  <c r="H31" i="333"/>
  <c r="H45" i="333" s="1"/>
  <c r="H30" i="333"/>
  <c r="H44" i="333" s="1"/>
  <c r="H29" i="333"/>
  <c r="H43" i="333" s="1"/>
  <c r="H28" i="333"/>
  <c r="H42" i="333" s="1"/>
  <c r="H27" i="333"/>
  <c r="H41" i="333" s="1"/>
  <c r="H26" i="333"/>
  <c r="H40" i="333" s="1"/>
  <c r="P25" i="333"/>
  <c r="H25" i="333"/>
  <c r="H39" i="333" s="1"/>
  <c r="H24" i="333"/>
  <c r="H38" i="333" s="1"/>
  <c r="H23" i="333"/>
  <c r="H37" i="333" s="1"/>
  <c r="C9" i="333"/>
  <c r="D11" i="333" s="1"/>
  <c r="G48" i="162"/>
  <c r="F48" i="162"/>
  <c r="E48" i="162"/>
  <c r="D48" i="162"/>
  <c r="H46" i="162"/>
  <c r="S628" i="209" s="1"/>
  <c r="H33" i="162"/>
  <c r="H32" i="162"/>
  <c r="M628" i="209" s="1"/>
  <c r="H31" i="162"/>
  <c r="H45" i="162" s="1"/>
  <c r="M148" i="209" s="1"/>
  <c r="H30" i="162"/>
  <c r="H44" i="162" s="1"/>
  <c r="S88" i="209" s="1"/>
  <c r="H29" i="162"/>
  <c r="H47" i="162" s="1"/>
  <c r="S148" i="209" s="1"/>
  <c r="H28" i="162"/>
  <c r="H42" i="162" s="1"/>
  <c r="M268" i="209" s="1"/>
  <c r="H27" i="162"/>
  <c r="H41" i="162" s="1"/>
  <c r="M208" i="209" s="1"/>
  <c r="H26" i="162"/>
  <c r="H40" i="162" s="1"/>
  <c r="M88" i="209" s="1"/>
  <c r="P25" i="162"/>
  <c r="H25" i="162"/>
  <c r="S328" i="209" s="1"/>
  <c r="H24" i="162"/>
  <c r="M328" i="209" s="1"/>
  <c r="H23" i="162"/>
  <c r="P20" i="162"/>
  <c r="E14" i="162"/>
  <c r="F14" i="162" s="1"/>
  <c r="C9" i="162"/>
  <c r="G11" i="162" s="1"/>
  <c r="G48" i="178"/>
  <c r="F48" i="178"/>
  <c r="E48" i="178"/>
  <c r="D48" i="178"/>
  <c r="H46" i="178"/>
  <c r="S648" i="209" s="1"/>
  <c r="H33" i="178"/>
  <c r="H32" i="178"/>
  <c r="M648" i="209" s="1"/>
  <c r="H31" i="178"/>
  <c r="H45" i="178" s="1"/>
  <c r="M168" i="209" s="1"/>
  <c r="H30" i="178"/>
  <c r="H44" i="178" s="1"/>
  <c r="S108" i="209" s="1"/>
  <c r="H29" i="178"/>
  <c r="H47" i="178" s="1"/>
  <c r="S168" i="209" s="1"/>
  <c r="H28" i="178"/>
  <c r="H42" i="178" s="1"/>
  <c r="M288" i="209" s="1"/>
  <c r="H27" i="178"/>
  <c r="H41" i="178" s="1"/>
  <c r="M228" i="209" s="1"/>
  <c r="H26" i="178"/>
  <c r="H40" i="178" s="1"/>
  <c r="M108" i="209" s="1"/>
  <c r="P25" i="178"/>
  <c r="H25" i="178"/>
  <c r="H39" i="178" s="1"/>
  <c r="S48" i="209" s="1"/>
  <c r="H24" i="178"/>
  <c r="H38" i="178" s="1"/>
  <c r="M48" i="209" s="1"/>
  <c r="H23" i="178"/>
  <c r="H37" i="178" s="1"/>
  <c r="S228" i="209" s="1"/>
  <c r="P20" i="178"/>
  <c r="E15" i="178"/>
  <c r="E15" i="225" s="1"/>
  <c r="E14" i="178"/>
  <c r="E14" i="225" s="1"/>
  <c r="C9" i="178"/>
  <c r="F11" i="178" s="1"/>
  <c r="G48" i="290"/>
  <c r="F48" i="290"/>
  <c r="E48" i="290"/>
  <c r="D48" i="290"/>
  <c r="H33" i="290"/>
  <c r="H32" i="290"/>
  <c r="H31" i="290"/>
  <c r="H45" i="290" s="1"/>
  <c r="H30" i="290"/>
  <c r="H44" i="290" s="1"/>
  <c r="H29" i="290"/>
  <c r="H43" i="290" s="1"/>
  <c r="H28" i="290"/>
  <c r="H42" i="290" s="1"/>
  <c r="H27" i="290"/>
  <c r="H41" i="290" s="1"/>
  <c r="H26" i="290"/>
  <c r="H40" i="290" s="1"/>
  <c r="P25" i="290"/>
  <c r="H25" i="290"/>
  <c r="H39" i="290" s="1"/>
  <c r="H24" i="290"/>
  <c r="H38" i="290" s="1"/>
  <c r="H23" i="290"/>
  <c r="H37" i="290" s="1"/>
  <c r="C9" i="290"/>
  <c r="E11" i="290" s="1"/>
  <c r="E45" i="290" s="1"/>
  <c r="N51" i="294" s="1"/>
  <c r="G48" i="271"/>
  <c r="F48" i="271"/>
  <c r="E48" i="271"/>
  <c r="D48" i="271"/>
  <c r="H46" i="271"/>
  <c r="S649" i="246" s="1"/>
  <c r="H33" i="271"/>
  <c r="H32" i="271"/>
  <c r="M649" i="246" s="1"/>
  <c r="H31" i="271"/>
  <c r="H45" i="271" s="1"/>
  <c r="M153" i="246" s="1"/>
  <c r="H30" i="271"/>
  <c r="H44" i="271" s="1"/>
  <c r="S91" i="246" s="1"/>
  <c r="H29" i="271"/>
  <c r="H47" i="271" s="1"/>
  <c r="S153" i="246" s="1"/>
  <c r="H28" i="271"/>
  <c r="H42" i="271" s="1"/>
  <c r="M277" i="246" s="1"/>
  <c r="H27" i="271"/>
  <c r="H41" i="271" s="1"/>
  <c r="M215" i="246" s="1"/>
  <c r="H26" i="271"/>
  <c r="H40" i="271" s="1"/>
  <c r="M91" i="246" s="1"/>
  <c r="P25" i="271"/>
  <c r="H25" i="271"/>
  <c r="H39" i="271" s="1"/>
  <c r="S29" i="246" s="1"/>
  <c r="H24" i="271"/>
  <c r="M339" i="246" s="1"/>
  <c r="H23" i="271"/>
  <c r="H37" i="271" s="1"/>
  <c r="S215" i="246" s="1"/>
  <c r="P20" i="271"/>
  <c r="C9" i="271"/>
  <c r="F11" i="271" s="1"/>
  <c r="F18" i="271" s="1"/>
  <c r="F38" i="271" s="1"/>
  <c r="K29" i="246" s="1"/>
  <c r="G52" i="353"/>
  <c r="F52" i="353"/>
  <c r="E52" i="353"/>
  <c r="D52" i="353"/>
  <c r="G48" i="353"/>
  <c r="F48" i="353"/>
  <c r="E48" i="353"/>
  <c r="D48" i="353"/>
  <c r="H46" i="353"/>
  <c r="S647" i="209" s="1"/>
  <c r="H33" i="353"/>
  <c r="H32" i="353"/>
  <c r="M647" i="209" s="1"/>
  <c r="H31" i="353"/>
  <c r="H45" i="353" s="1"/>
  <c r="M167" i="209" s="1"/>
  <c r="H30" i="353"/>
  <c r="H44" i="353" s="1"/>
  <c r="S107" i="209" s="1"/>
  <c r="H29" i="353"/>
  <c r="H43" i="353" s="1"/>
  <c r="H28" i="353"/>
  <c r="H42" i="353" s="1"/>
  <c r="M287" i="209" s="1"/>
  <c r="H27" i="353"/>
  <c r="H41" i="353" s="1"/>
  <c r="M227" i="209" s="1"/>
  <c r="H26" i="353"/>
  <c r="H40" i="353" s="1"/>
  <c r="M107" i="209" s="1"/>
  <c r="P25" i="353"/>
  <c r="H25" i="353"/>
  <c r="H39" i="353" s="1"/>
  <c r="S47" i="209" s="1"/>
  <c r="H24" i="353"/>
  <c r="H23" i="353"/>
  <c r="H37" i="353" s="1"/>
  <c r="S227" i="209" s="1"/>
  <c r="P20" i="353"/>
  <c r="C9" i="353"/>
  <c r="E11" i="353" s="1"/>
  <c r="E46" i="353" s="1"/>
  <c r="G48" i="139"/>
  <c r="F48" i="139"/>
  <c r="E48" i="139"/>
  <c r="D48" i="139"/>
  <c r="H46" i="139"/>
  <c r="S641" i="246" s="1"/>
  <c r="H33" i="139"/>
  <c r="H32" i="139"/>
  <c r="M641" i="246" s="1"/>
  <c r="H31" i="139"/>
  <c r="H45" i="139" s="1"/>
  <c r="M145" i="246" s="1"/>
  <c r="H30" i="139"/>
  <c r="H44" i="139" s="1"/>
  <c r="S83" i="246" s="1"/>
  <c r="H29" i="139"/>
  <c r="H47" i="139" s="1"/>
  <c r="S145" i="246" s="1"/>
  <c r="H28" i="139"/>
  <c r="H42" i="139" s="1"/>
  <c r="M269" i="246" s="1"/>
  <c r="H27" i="139"/>
  <c r="H41" i="139" s="1"/>
  <c r="M207" i="246" s="1"/>
  <c r="H26" i="139"/>
  <c r="H40" i="139" s="1"/>
  <c r="M83" i="246" s="1"/>
  <c r="P25" i="139"/>
  <c r="H25" i="139"/>
  <c r="H39" i="139" s="1"/>
  <c r="S21" i="246" s="1"/>
  <c r="H24" i="139"/>
  <c r="H38" i="139" s="1"/>
  <c r="M21" i="246" s="1"/>
  <c r="H23" i="139"/>
  <c r="S269" i="246" s="1"/>
  <c r="P20" i="139"/>
  <c r="C9" i="139"/>
  <c r="G11" i="139" s="1"/>
  <c r="G48" i="125"/>
  <c r="F48" i="125"/>
  <c r="E48" i="125"/>
  <c r="D48" i="125"/>
  <c r="H46" i="125"/>
  <c r="S613" i="209" s="1"/>
  <c r="H33" i="125"/>
  <c r="H32" i="125"/>
  <c r="M613" i="209" s="1"/>
  <c r="H31" i="125"/>
  <c r="H45" i="125" s="1"/>
  <c r="M133" i="209" s="1"/>
  <c r="H30" i="125"/>
  <c r="H44" i="125" s="1"/>
  <c r="S73" i="209" s="1"/>
  <c r="H29" i="125"/>
  <c r="H43" i="125" s="1"/>
  <c r="H28" i="125"/>
  <c r="H42" i="125" s="1"/>
  <c r="M253" i="209" s="1"/>
  <c r="H27" i="125"/>
  <c r="H41" i="125" s="1"/>
  <c r="M193" i="209" s="1"/>
  <c r="H26" i="125"/>
  <c r="H40" i="125" s="1"/>
  <c r="M73" i="209" s="1"/>
  <c r="P25" i="125"/>
  <c r="H25" i="125"/>
  <c r="H39" i="125" s="1"/>
  <c r="S13" i="209" s="1"/>
  <c r="H24" i="125"/>
  <c r="H38" i="125" s="1"/>
  <c r="M13" i="209" s="1"/>
  <c r="H23" i="125"/>
  <c r="H37" i="125" s="1"/>
  <c r="S193" i="209" s="1"/>
  <c r="P20" i="125"/>
  <c r="C9" i="125"/>
  <c r="F11" i="125" s="1"/>
  <c r="K613" i="209" s="1"/>
  <c r="G48" i="13"/>
  <c r="F48" i="13"/>
  <c r="E48" i="13"/>
  <c r="D48" i="13"/>
  <c r="H46" i="13"/>
  <c r="S612" i="209" s="1"/>
  <c r="H33" i="13"/>
  <c r="H32" i="13"/>
  <c r="M612" i="209" s="1"/>
  <c r="H31" i="13"/>
  <c r="H45" i="13" s="1"/>
  <c r="M132" i="209" s="1"/>
  <c r="H30" i="13"/>
  <c r="H44" i="13" s="1"/>
  <c r="S72" i="209" s="1"/>
  <c r="H29" i="13"/>
  <c r="H47" i="13" s="1"/>
  <c r="S132" i="209" s="1"/>
  <c r="H28" i="13"/>
  <c r="H42" i="13" s="1"/>
  <c r="M252" i="209" s="1"/>
  <c r="H27" i="13"/>
  <c r="H41" i="13" s="1"/>
  <c r="M192" i="209" s="1"/>
  <c r="H26" i="13"/>
  <c r="H40" i="13" s="1"/>
  <c r="M72" i="209" s="1"/>
  <c r="P25" i="13"/>
  <c r="H25" i="13"/>
  <c r="H39" i="13" s="1"/>
  <c r="S12" i="209" s="1"/>
  <c r="H24" i="13"/>
  <c r="H38" i="13" s="1"/>
  <c r="M12" i="209" s="1"/>
  <c r="H23" i="13"/>
  <c r="H37" i="13" s="1"/>
  <c r="S192" i="209" s="1"/>
  <c r="P20" i="13"/>
  <c r="E14" i="13"/>
  <c r="F14" i="13" s="1"/>
  <c r="G14" i="13" s="1"/>
  <c r="C9" i="13"/>
  <c r="F11" i="13" s="1"/>
  <c r="F45" i="13" s="1"/>
  <c r="K132" i="209" s="1"/>
  <c r="G48" i="192"/>
  <c r="F48" i="192"/>
  <c r="E48" i="192"/>
  <c r="D48" i="192"/>
  <c r="H46" i="192"/>
  <c r="S632" i="246" s="1"/>
  <c r="H33" i="192"/>
  <c r="H32" i="192"/>
  <c r="M632" i="246" s="1"/>
  <c r="H31" i="192"/>
  <c r="H45" i="192" s="1"/>
  <c r="M136" i="246" s="1"/>
  <c r="H30" i="192"/>
  <c r="H44" i="192" s="1"/>
  <c r="S74" i="246" s="1"/>
  <c r="H29" i="192"/>
  <c r="H43" i="192" s="1"/>
  <c r="H28" i="192"/>
  <c r="H42" i="192" s="1"/>
  <c r="M260" i="246" s="1"/>
  <c r="H27" i="192"/>
  <c r="H41" i="192" s="1"/>
  <c r="M198" i="246" s="1"/>
  <c r="H26" i="192"/>
  <c r="H40" i="192" s="1"/>
  <c r="M74" i="246" s="1"/>
  <c r="P25" i="192"/>
  <c r="H25" i="192"/>
  <c r="H39" i="192" s="1"/>
  <c r="S12" i="246" s="1"/>
  <c r="H24" i="192"/>
  <c r="H38" i="192" s="1"/>
  <c r="M12" i="246" s="1"/>
  <c r="H23" i="192"/>
  <c r="H37" i="192" s="1"/>
  <c r="S198" i="246" s="1"/>
  <c r="P20" i="192"/>
  <c r="C10" i="192"/>
  <c r="C9" i="192"/>
  <c r="G48" i="215"/>
  <c r="F48" i="215"/>
  <c r="E48" i="215"/>
  <c r="D48" i="215"/>
  <c r="H46" i="215"/>
  <c r="S626" i="209" s="1"/>
  <c r="H33" i="215"/>
  <c r="H32" i="215"/>
  <c r="M626" i="209" s="1"/>
  <c r="H31" i="215"/>
  <c r="H45" i="215" s="1"/>
  <c r="M146" i="209" s="1"/>
  <c r="H30" i="215"/>
  <c r="H44" i="215" s="1"/>
  <c r="S86" i="209" s="1"/>
  <c r="H29" i="215"/>
  <c r="H47" i="215" s="1"/>
  <c r="S146" i="209" s="1"/>
  <c r="H28" i="215"/>
  <c r="H42" i="215" s="1"/>
  <c r="M266" i="209" s="1"/>
  <c r="H27" i="215"/>
  <c r="H41" i="215" s="1"/>
  <c r="M206" i="209" s="1"/>
  <c r="H26" i="215"/>
  <c r="H40" i="215" s="1"/>
  <c r="M86" i="209" s="1"/>
  <c r="P25" i="215"/>
  <c r="H25" i="215"/>
  <c r="H39" i="215" s="1"/>
  <c r="S26" i="209" s="1"/>
  <c r="H24" i="215"/>
  <c r="M326" i="209" s="1"/>
  <c r="H23" i="215"/>
  <c r="H37" i="215" s="1"/>
  <c r="S206" i="209" s="1"/>
  <c r="P20" i="215"/>
  <c r="C9" i="215"/>
  <c r="G48" i="196"/>
  <c r="F48" i="196"/>
  <c r="E48" i="196"/>
  <c r="D48" i="196"/>
  <c r="H46" i="196"/>
  <c r="S637" i="209" s="1"/>
  <c r="H33" i="196"/>
  <c r="H32" i="196"/>
  <c r="M637" i="209" s="1"/>
  <c r="H31" i="196"/>
  <c r="H45" i="196" s="1"/>
  <c r="M157" i="209" s="1"/>
  <c r="H30" i="196"/>
  <c r="H44" i="196" s="1"/>
  <c r="S97" i="209" s="1"/>
  <c r="H29" i="196"/>
  <c r="H47" i="196" s="1"/>
  <c r="S157" i="209" s="1"/>
  <c r="H28" i="196"/>
  <c r="H42" i="196" s="1"/>
  <c r="M277" i="209" s="1"/>
  <c r="H27" i="196"/>
  <c r="H41" i="196" s="1"/>
  <c r="M217" i="209" s="1"/>
  <c r="H26" i="196"/>
  <c r="H40" i="196" s="1"/>
  <c r="M97" i="209" s="1"/>
  <c r="P25" i="196"/>
  <c r="H25" i="196"/>
  <c r="S337" i="209" s="1"/>
  <c r="H24" i="196"/>
  <c r="H23" i="196"/>
  <c r="H37" i="196" s="1"/>
  <c r="S217" i="209" s="1"/>
  <c r="E15" i="196"/>
  <c r="F15" i="196" s="1"/>
  <c r="G15" i="196" s="1"/>
  <c r="E14" i="196"/>
  <c r="F14" i="196" s="1"/>
  <c r="G14" i="196" s="1"/>
  <c r="C9" i="196"/>
  <c r="F11" i="196" s="1"/>
  <c r="F46" i="196" s="1"/>
  <c r="G48" i="97"/>
  <c r="F48" i="97"/>
  <c r="E48" i="97"/>
  <c r="D48" i="97"/>
  <c r="H46" i="97"/>
  <c r="S647" i="246" s="1"/>
  <c r="H33" i="97"/>
  <c r="H32" i="97"/>
  <c r="M647" i="246" s="1"/>
  <c r="H31" i="97"/>
  <c r="H45" i="97" s="1"/>
  <c r="M151" i="246" s="1"/>
  <c r="H30" i="97"/>
  <c r="H44" i="97" s="1"/>
  <c r="S89" i="246" s="1"/>
  <c r="H29" i="97"/>
  <c r="H43" i="97" s="1"/>
  <c r="H28" i="97"/>
  <c r="H42" i="97" s="1"/>
  <c r="M275" i="246" s="1"/>
  <c r="H27" i="97"/>
  <c r="H41" i="97" s="1"/>
  <c r="M213" i="246" s="1"/>
  <c r="H26" i="97"/>
  <c r="H40" i="97" s="1"/>
  <c r="M89" i="246" s="1"/>
  <c r="P25" i="97"/>
  <c r="H25" i="97"/>
  <c r="S337" i="246" s="1"/>
  <c r="H24" i="97"/>
  <c r="M337" i="246" s="1"/>
  <c r="H23" i="97"/>
  <c r="H37" i="97" s="1"/>
  <c r="S213" i="246" s="1"/>
  <c r="P20" i="97"/>
  <c r="C9" i="97"/>
  <c r="D11" i="97" s="1"/>
  <c r="D46" i="97" s="1"/>
  <c r="G48" i="154"/>
  <c r="F48" i="154"/>
  <c r="E48" i="154"/>
  <c r="D48" i="154"/>
  <c r="H33" i="154"/>
  <c r="H32" i="154"/>
  <c r="H46" i="154" s="1"/>
  <c r="S638" i="209" s="1"/>
  <c r="H31" i="154"/>
  <c r="H45" i="154" s="1"/>
  <c r="M158" i="209" s="1"/>
  <c r="H30" i="154"/>
  <c r="H44" i="154" s="1"/>
  <c r="S98" i="209" s="1"/>
  <c r="H29" i="154"/>
  <c r="H28" i="154"/>
  <c r="H42" i="154" s="1"/>
  <c r="M278" i="209" s="1"/>
  <c r="H27" i="154"/>
  <c r="H41" i="154" s="1"/>
  <c r="M218" i="209" s="1"/>
  <c r="H26" i="154"/>
  <c r="H40" i="154" s="1"/>
  <c r="M98" i="209" s="1"/>
  <c r="P25" i="154"/>
  <c r="H25" i="154"/>
  <c r="H39" i="154" s="1"/>
  <c r="S38" i="209" s="1"/>
  <c r="H24" i="154"/>
  <c r="H38" i="154" s="1"/>
  <c r="M38" i="209" s="1"/>
  <c r="H23" i="154"/>
  <c r="H37" i="154" s="1"/>
  <c r="S218" i="209" s="1"/>
  <c r="P20" i="154"/>
  <c r="D14" i="154"/>
  <c r="E14" i="154" s="1"/>
  <c r="F14" i="154" s="1"/>
  <c r="G14" i="154" s="1"/>
  <c r="C9" i="154"/>
  <c r="G48" i="99"/>
  <c r="F48" i="99"/>
  <c r="E48" i="99"/>
  <c r="D48" i="99"/>
  <c r="H46" i="99"/>
  <c r="S648" i="246" s="1"/>
  <c r="H33" i="99"/>
  <c r="H32" i="99"/>
  <c r="M648" i="246" s="1"/>
  <c r="H31" i="99"/>
  <c r="H45" i="99" s="1"/>
  <c r="M152" i="246" s="1"/>
  <c r="H30" i="99"/>
  <c r="H44" i="99" s="1"/>
  <c r="S90" i="246" s="1"/>
  <c r="H29" i="99"/>
  <c r="H47" i="99" s="1"/>
  <c r="S152" i="246" s="1"/>
  <c r="H28" i="99"/>
  <c r="H42" i="99" s="1"/>
  <c r="M276" i="246" s="1"/>
  <c r="H27" i="99"/>
  <c r="H41" i="99" s="1"/>
  <c r="M214" i="246" s="1"/>
  <c r="H26" i="99"/>
  <c r="H40" i="99" s="1"/>
  <c r="M90" i="246" s="1"/>
  <c r="P25" i="99"/>
  <c r="H25" i="99"/>
  <c r="H39" i="99" s="1"/>
  <c r="S28" i="246" s="1"/>
  <c r="H24" i="99"/>
  <c r="H38" i="99" s="1"/>
  <c r="M28" i="246" s="1"/>
  <c r="H23" i="99"/>
  <c r="H37" i="99" s="1"/>
  <c r="S214" i="246" s="1"/>
  <c r="P20" i="99"/>
  <c r="C9" i="99"/>
  <c r="G48" i="95"/>
  <c r="F48" i="95"/>
  <c r="E48" i="95"/>
  <c r="D48" i="95"/>
  <c r="H46" i="95"/>
  <c r="S656" i="246" s="1"/>
  <c r="H33" i="95"/>
  <c r="H32" i="95"/>
  <c r="M656" i="246" s="1"/>
  <c r="H31" i="95"/>
  <c r="H45" i="95" s="1"/>
  <c r="M160" i="246" s="1"/>
  <c r="H30" i="95"/>
  <c r="H44" i="95" s="1"/>
  <c r="S98" i="246" s="1"/>
  <c r="H29" i="95"/>
  <c r="H47" i="95" s="1"/>
  <c r="S160" i="246" s="1"/>
  <c r="H28" i="95"/>
  <c r="H42" i="95" s="1"/>
  <c r="M284" i="246" s="1"/>
  <c r="H27" i="95"/>
  <c r="H41" i="95" s="1"/>
  <c r="M222" i="246" s="1"/>
  <c r="H26" i="95"/>
  <c r="H40" i="95" s="1"/>
  <c r="M98" i="246" s="1"/>
  <c r="P25" i="95"/>
  <c r="H25" i="95"/>
  <c r="S346" i="246" s="1"/>
  <c r="H24" i="95"/>
  <c r="H38" i="95" s="1"/>
  <c r="M36" i="246" s="1"/>
  <c r="H23" i="95"/>
  <c r="H37" i="95" s="1"/>
  <c r="S222" i="246" s="1"/>
  <c r="P20" i="95"/>
  <c r="E15" i="95"/>
  <c r="E14" i="95"/>
  <c r="F14" i="95" s="1"/>
  <c r="G14" i="95" s="1"/>
  <c r="C9" i="95"/>
  <c r="G48" i="354"/>
  <c r="F48" i="354"/>
  <c r="E48" i="354"/>
  <c r="D48" i="354"/>
  <c r="H46" i="354"/>
  <c r="H33" i="354"/>
  <c r="H32" i="354"/>
  <c r="H31" i="354"/>
  <c r="H45" i="354" s="1"/>
  <c r="H30" i="354"/>
  <c r="H44" i="354" s="1"/>
  <c r="H29" i="354"/>
  <c r="H47" i="354" s="1"/>
  <c r="H28" i="354"/>
  <c r="H42" i="354" s="1"/>
  <c r="H27" i="354"/>
  <c r="H41" i="354" s="1"/>
  <c r="H26" i="354"/>
  <c r="H40" i="354" s="1"/>
  <c r="P25" i="354"/>
  <c r="H25" i="354"/>
  <c r="H39" i="354" s="1"/>
  <c r="H24" i="354"/>
  <c r="H38" i="354" s="1"/>
  <c r="H23" i="354"/>
  <c r="H37" i="354" s="1"/>
  <c r="P20" i="354"/>
  <c r="C9" i="354"/>
  <c r="D11" i="354" s="1"/>
  <c r="L26" i="354" s="1"/>
  <c r="D43" i="354" s="1"/>
  <c r="D47" i="354" s="1"/>
  <c r="G48" i="307"/>
  <c r="F48" i="307"/>
  <c r="E48" i="307"/>
  <c r="D48" i="307"/>
  <c r="H46" i="307"/>
  <c r="S678" i="246" s="1"/>
  <c r="H33" i="307"/>
  <c r="H32" i="307"/>
  <c r="M678" i="246" s="1"/>
  <c r="H31" i="307"/>
  <c r="H45" i="307" s="1"/>
  <c r="M182" i="246" s="1"/>
  <c r="H30" i="307"/>
  <c r="H44" i="307" s="1"/>
  <c r="S120" i="246" s="1"/>
  <c r="H29" i="307"/>
  <c r="H47" i="307" s="1"/>
  <c r="S182" i="246" s="1"/>
  <c r="H28" i="307"/>
  <c r="H42" i="307" s="1"/>
  <c r="M306" i="246" s="1"/>
  <c r="H27" i="307"/>
  <c r="H41" i="307" s="1"/>
  <c r="M244" i="246" s="1"/>
  <c r="H26" i="307"/>
  <c r="H40" i="307" s="1"/>
  <c r="M120" i="246" s="1"/>
  <c r="P25" i="307"/>
  <c r="H25" i="307"/>
  <c r="H39" i="307" s="1"/>
  <c r="S58" i="246" s="1"/>
  <c r="H24" i="307"/>
  <c r="H38" i="307" s="1"/>
  <c r="M58" i="246" s="1"/>
  <c r="H23" i="307"/>
  <c r="H37" i="307" s="1"/>
  <c r="S244" i="246" s="1"/>
  <c r="P20" i="307"/>
  <c r="C9" i="307"/>
  <c r="G48" i="189"/>
  <c r="F48" i="189"/>
  <c r="E48" i="189"/>
  <c r="D48" i="189"/>
  <c r="H46" i="189"/>
  <c r="S669" i="246" s="1"/>
  <c r="H33" i="189"/>
  <c r="H32" i="189"/>
  <c r="M669" i="246" s="1"/>
  <c r="H31" i="189"/>
  <c r="H45" i="189" s="1"/>
  <c r="M173" i="246" s="1"/>
  <c r="H30" i="189"/>
  <c r="H44" i="189" s="1"/>
  <c r="S111" i="246" s="1"/>
  <c r="H29" i="189"/>
  <c r="H47" i="189" s="1"/>
  <c r="S173" i="246" s="1"/>
  <c r="H28" i="189"/>
  <c r="H42" i="189" s="1"/>
  <c r="M297" i="246" s="1"/>
  <c r="H27" i="189"/>
  <c r="H41" i="189" s="1"/>
  <c r="M235" i="246" s="1"/>
  <c r="H26" i="189"/>
  <c r="H40" i="189" s="1"/>
  <c r="M111" i="246" s="1"/>
  <c r="P25" i="189"/>
  <c r="H25" i="189"/>
  <c r="H24" i="189"/>
  <c r="H38" i="189" s="1"/>
  <c r="M49" i="246" s="1"/>
  <c r="H23" i="189"/>
  <c r="S297" i="246" s="1"/>
  <c r="P20" i="189"/>
  <c r="G48" i="356"/>
  <c r="F48" i="356"/>
  <c r="E48" i="356"/>
  <c r="D48" i="356"/>
  <c r="H46" i="356"/>
  <c r="S646" i="209" s="1"/>
  <c r="H33" i="356"/>
  <c r="H32" i="356"/>
  <c r="M646" i="209" s="1"/>
  <c r="H31" i="356"/>
  <c r="H45" i="356" s="1"/>
  <c r="M166" i="209" s="1"/>
  <c r="H30" i="356"/>
  <c r="H44" i="356" s="1"/>
  <c r="S106" i="209" s="1"/>
  <c r="H29" i="356"/>
  <c r="H47" i="356" s="1"/>
  <c r="S166" i="209" s="1"/>
  <c r="H28" i="356"/>
  <c r="H42" i="356" s="1"/>
  <c r="M286" i="209" s="1"/>
  <c r="H27" i="356"/>
  <c r="H41" i="356" s="1"/>
  <c r="M226" i="209" s="1"/>
  <c r="H26" i="356"/>
  <c r="H40" i="356" s="1"/>
  <c r="M106" i="209" s="1"/>
  <c r="P25" i="356"/>
  <c r="H25" i="356"/>
  <c r="H39" i="356" s="1"/>
  <c r="S46" i="209" s="1"/>
  <c r="H24" i="356"/>
  <c r="H38" i="356" s="1"/>
  <c r="M46" i="209" s="1"/>
  <c r="H23" i="356"/>
  <c r="S286" i="209" s="1"/>
  <c r="C9" i="356"/>
  <c r="D11" i="356" s="1"/>
  <c r="I706" i="209" s="1"/>
  <c r="G48" i="313"/>
  <c r="F48" i="313"/>
  <c r="E48" i="313"/>
  <c r="D48" i="313"/>
  <c r="H46" i="313"/>
  <c r="S679" i="246" s="1"/>
  <c r="M679" i="246"/>
  <c r="H31" i="313"/>
  <c r="H45" i="313" s="1"/>
  <c r="M183" i="246" s="1"/>
  <c r="H30" i="313"/>
  <c r="H44" i="313" s="1"/>
  <c r="S121" i="246" s="1"/>
  <c r="H29" i="313"/>
  <c r="H47" i="313" s="1"/>
  <c r="S183" i="246" s="1"/>
  <c r="H28" i="313"/>
  <c r="H42" i="313" s="1"/>
  <c r="M307" i="246" s="1"/>
  <c r="H27" i="313"/>
  <c r="H41" i="313" s="1"/>
  <c r="M245" i="246" s="1"/>
  <c r="H26" i="313"/>
  <c r="H40" i="313" s="1"/>
  <c r="M121" i="246" s="1"/>
  <c r="H25" i="313"/>
  <c r="H39" i="313" s="1"/>
  <c r="S59" i="246" s="1"/>
  <c r="P25" i="313"/>
  <c r="H24" i="313"/>
  <c r="H38" i="313" s="1"/>
  <c r="M59" i="246" s="1"/>
  <c r="H23" i="313"/>
  <c r="H37" i="313" s="1"/>
  <c r="S245" i="246" s="1"/>
  <c r="E15" i="313"/>
  <c r="E15" i="308" s="1"/>
  <c r="E15" i="309" s="1"/>
  <c r="C9" i="313"/>
  <c r="F11" i="313" s="1"/>
  <c r="Q679" i="246" s="1"/>
  <c r="G48" i="72"/>
  <c r="F48" i="72"/>
  <c r="E48" i="72"/>
  <c r="D48" i="72"/>
  <c r="H46" i="72"/>
  <c r="S636" i="209" s="1"/>
  <c r="H33" i="72"/>
  <c r="H32" i="72"/>
  <c r="M636" i="209" s="1"/>
  <c r="H31" i="72"/>
  <c r="H45" i="72" s="1"/>
  <c r="M156" i="209" s="1"/>
  <c r="H30" i="72"/>
  <c r="H44" i="72" s="1"/>
  <c r="S96" i="209" s="1"/>
  <c r="H29" i="72"/>
  <c r="H47" i="72" s="1"/>
  <c r="S156" i="209" s="1"/>
  <c r="H28" i="72"/>
  <c r="H42" i="72" s="1"/>
  <c r="M276" i="209" s="1"/>
  <c r="H27" i="72"/>
  <c r="H41" i="72" s="1"/>
  <c r="M216" i="209" s="1"/>
  <c r="H26" i="72"/>
  <c r="H40" i="72" s="1"/>
  <c r="M96" i="209" s="1"/>
  <c r="P25" i="72"/>
  <c r="H25" i="72"/>
  <c r="H39" i="72" s="1"/>
  <c r="S36" i="209" s="1"/>
  <c r="H24" i="72"/>
  <c r="H38" i="72" s="1"/>
  <c r="M36" i="209" s="1"/>
  <c r="H23" i="72"/>
  <c r="C10" i="72"/>
  <c r="C9" i="72"/>
  <c r="G48" i="195"/>
  <c r="F48" i="195"/>
  <c r="E48" i="195"/>
  <c r="D48" i="195"/>
  <c r="H46" i="195"/>
  <c r="S668" i="246" s="1"/>
  <c r="H33" i="195"/>
  <c r="H32" i="195"/>
  <c r="M668" i="246" s="1"/>
  <c r="H31" i="195"/>
  <c r="H45" i="195" s="1"/>
  <c r="M172" i="246" s="1"/>
  <c r="H30" i="195"/>
  <c r="H44" i="195" s="1"/>
  <c r="S110" i="246" s="1"/>
  <c r="H29" i="195"/>
  <c r="H47" i="195" s="1"/>
  <c r="S172" i="246" s="1"/>
  <c r="H28" i="195"/>
  <c r="H42" i="195" s="1"/>
  <c r="M296" i="246" s="1"/>
  <c r="H27" i="195"/>
  <c r="H41" i="195" s="1"/>
  <c r="M234" i="246" s="1"/>
  <c r="H26" i="195"/>
  <c r="H40" i="195" s="1"/>
  <c r="M110" i="246" s="1"/>
  <c r="P25" i="195"/>
  <c r="H25" i="195"/>
  <c r="H39" i="195" s="1"/>
  <c r="S48" i="246" s="1"/>
  <c r="H24" i="195"/>
  <c r="M358" i="246" s="1"/>
  <c r="H23" i="195"/>
  <c r="S296" i="246" s="1"/>
  <c r="P20" i="195"/>
  <c r="G48" i="187"/>
  <c r="F48" i="187"/>
  <c r="E48" i="187"/>
  <c r="D48" i="187"/>
  <c r="H46" i="187"/>
  <c r="S640" i="246" s="1"/>
  <c r="H33" i="187"/>
  <c r="H32" i="187"/>
  <c r="M640" i="246" s="1"/>
  <c r="H31" i="187"/>
  <c r="H45" i="187" s="1"/>
  <c r="M144" i="246" s="1"/>
  <c r="H30" i="187"/>
  <c r="H44" i="187" s="1"/>
  <c r="S82" i="246" s="1"/>
  <c r="H29" i="187"/>
  <c r="H47" i="187" s="1"/>
  <c r="S144" i="246" s="1"/>
  <c r="H28" i="187"/>
  <c r="H42" i="187" s="1"/>
  <c r="M268" i="246" s="1"/>
  <c r="H27" i="187"/>
  <c r="H41" i="187" s="1"/>
  <c r="M206" i="246" s="1"/>
  <c r="H26" i="187"/>
  <c r="H40" i="187" s="1"/>
  <c r="M82" i="246" s="1"/>
  <c r="P25" i="187"/>
  <c r="H25" i="187"/>
  <c r="H39" i="187" s="1"/>
  <c r="S20" i="246" s="1"/>
  <c r="H24" i="187"/>
  <c r="H38" i="187" s="1"/>
  <c r="M20" i="246" s="1"/>
  <c r="H23" i="187"/>
  <c r="H37" i="187" s="1"/>
  <c r="S206" i="246" s="1"/>
  <c r="P20" i="187"/>
  <c r="C9" i="187"/>
  <c r="G48" i="14"/>
  <c r="F48" i="14"/>
  <c r="E48" i="14"/>
  <c r="D48" i="14"/>
  <c r="H33" i="14"/>
  <c r="H32" i="14"/>
  <c r="H46" i="14" s="1"/>
  <c r="S610" i="209" s="1"/>
  <c r="H31" i="14"/>
  <c r="H45" i="14" s="1"/>
  <c r="M130" i="209" s="1"/>
  <c r="H30" i="14"/>
  <c r="H44" i="14" s="1"/>
  <c r="S70" i="209" s="1"/>
  <c r="H29" i="14"/>
  <c r="H47" i="14" s="1"/>
  <c r="S130" i="209" s="1"/>
  <c r="H28" i="14"/>
  <c r="H42" i="14" s="1"/>
  <c r="M250" i="209" s="1"/>
  <c r="H27" i="14"/>
  <c r="H41" i="14" s="1"/>
  <c r="M190" i="209" s="1"/>
  <c r="H26" i="14"/>
  <c r="H40" i="14" s="1"/>
  <c r="M70" i="209" s="1"/>
  <c r="P25" i="14"/>
  <c r="H25" i="14"/>
  <c r="H39" i="14" s="1"/>
  <c r="S10" i="209" s="1"/>
  <c r="H24" i="14"/>
  <c r="H38" i="14" s="1"/>
  <c r="M10" i="209" s="1"/>
  <c r="H23" i="14"/>
  <c r="H37" i="14" s="1"/>
  <c r="S190" i="209" s="1"/>
  <c r="P20" i="14"/>
  <c r="C9" i="14"/>
  <c r="G48" i="219"/>
  <c r="F48" i="219"/>
  <c r="E48" i="219"/>
  <c r="D48" i="219"/>
  <c r="H46" i="219"/>
  <c r="S645" i="209" s="1"/>
  <c r="H33" i="219"/>
  <c r="H32" i="219"/>
  <c r="M645" i="209" s="1"/>
  <c r="H31" i="219"/>
  <c r="H45" i="219" s="1"/>
  <c r="M165" i="209" s="1"/>
  <c r="H30" i="219"/>
  <c r="H44" i="219" s="1"/>
  <c r="S105" i="209" s="1"/>
  <c r="H29" i="219"/>
  <c r="H47" i="219" s="1"/>
  <c r="S165" i="209" s="1"/>
  <c r="H28" i="219"/>
  <c r="H42" i="219" s="1"/>
  <c r="M285" i="209" s="1"/>
  <c r="H27" i="219"/>
  <c r="H41" i="219" s="1"/>
  <c r="M225" i="209" s="1"/>
  <c r="H26" i="219"/>
  <c r="H40" i="219" s="1"/>
  <c r="M105" i="209" s="1"/>
  <c r="P25" i="219"/>
  <c r="H25" i="219"/>
  <c r="H39" i="219" s="1"/>
  <c r="S45" i="209" s="1"/>
  <c r="H24" i="219"/>
  <c r="H38" i="219" s="1"/>
  <c r="M45" i="209" s="1"/>
  <c r="H23" i="219"/>
  <c r="H37" i="219" s="1"/>
  <c r="S225" i="209" s="1"/>
  <c r="P20" i="219"/>
  <c r="C9" i="219"/>
  <c r="D11" i="219" s="1"/>
  <c r="G48" i="137"/>
  <c r="F48" i="137"/>
  <c r="E48" i="137"/>
  <c r="D48" i="137"/>
  <c r="H46" i="137"/>
  <c r="S667" i="246" s="1"/>
  <c r="H33" i="137"/>
  <c r="H32" i="137"/>
  <c r="M667" i="246" s="1"/>
  <c r="H31" i="137"/>
  <c r="H45" i="137" s="1"/>
  <c r="M171" i="246" s="1"/>
  <c r="H30" i="137"/>
  <c r="H44" i="137" s="1"/>
  <c r="S109" i="246" s="1"/>
  <c r="H29" i="137"/>
  <c r="H28" i="137"/>
  <c r="H42" i="137" s="1"/>
  <c r="M295" i="246" s="1"/>
  <c r="H27" i="137"/>
  <c r="H41" i="137" s="1"/>
  <c r="M233" i="246" s="1"/>
  <c r="H26" i="137"/>
  <c r="H40" i="137" s="1"/>
  <c r="M109" i="246" s="1"/>
  <c r="P25" i="137"/>
  <c r="H25" i="137"/>
  <c r="H39" i="137" s="1"/>
  <c r="S47" i="246" s="1"/>
  <c r="H24" i="137"/>
  <c r="H38" i="137" s="1"/>
  <c r="M47" i="246" s="1"/>
  <c r="H23" i="137"/>
  <c r="H37" i="137" s="1"/>
  <c r="S233" i="246" s="1"/>
  <c r="P20" i="137"/>
  <c r="G48" i="325"/>
  <c r="F48" i="325"/>
  <c r="E48" i="325"/>
  <c r="D48" i="325"/>
  <c r="H46" i="325"/>
  <c r="H33" i="325"/>
  <c r="H32" i="325"/>
  <c r="H31" i="325"/>
  <c r="H45" i="325" s="1"/>
  <c r="H30" i="325"/>
  <c r="H44" i="325" s="1"/>
  <c r="H29" i="325"/>
  <c r="H43" i="325" s="1"/>
  <c r="H28" i="325"/>
  <c r="H42" i="325" s="1"/>
  <c r="H27" i="325"/>
  <c r="H41" i="325" s="1"/>
  <c r="H26" i="325"/>
  <c r="H40" i="325" s="1"/>
  <c r="P25" i="325"/>
  <c r="H25" i="325"/>
  <c r="H39" i="325" s="1"/>
  <c r="H24" i="325"/>
  <c r="H38" i="325" s="1"/>
  <c r="H23" i="325"/>
  <c r="H37" i="325" s="1"/>
  <c r="P20" i="325"/>
  <c r="C9" i="325"/>
  <c r="E11" i="325" s="1"/>
  <c r="E44" i="325" s="1"/>
  <c r="S28" i="294" s="1"/>
  <c r="G48" i="141"/>
  <c r="F48" i="141"/>
  <c r="E48" i="141"/>
  <c r="D48" i="141"/>
  <c r="H46" i="141"/>
  <c r="S666" i="246" s="1"/>
  <c r="H33" i="141"/>
  <c r="H32" i="141"/>
  <c r="M666" i="246" s="1"/>
  <c r="H31" i="141"/>
  <c r="H45" i="141" s="1"/>
  <c r="M170" i="246" s="1"/>
  <c r="H30" i="141"/>
  <c r="H44" i="141" s="1"/>
  <c r="S108" i="246" s="1"/>
  <c r="H29" i="141"/>
  <c r="H47" i="141" s="1"/>
  <c r="S170" i="246" s="1"/>
  <c r="H28" i="141"/>
  <c r="H42" i="141" s="1"/>
  <c r="M294" i="246" s="1"/>
  <c r="H27" i="141"/>
  <c r="H41" i="141" s="1"/>
  <c r="M232" i="246" s="1"/>
  <c r="H26" i="141"/>
  <c r="H40" i="141" s="1"/>
  <c r="M108" i="246" s="1"/>
  <c r="P25" i="141"/>
  <c r="H25" i="141"/>
  <c r="H39" i="141" s="1"/>
  <c r="S46" i="246" s="1"/>
  <c r="H24" i="141"/>
  <c r="H38" i="141" s="1"/>
  <c r="M46" i="246" s="1"/>
  <c r="H23" i="141"/>
  <c r="H37" i="141" s="1"/>
  <c r="S232" i="246" s="1"/>
  <c r="P20" i="141"/>
  <c r="G48" i="315"/>
  <c r="F48" i="315"/>
  <c r="E48" i="315"/>
  <c r="D48" i="315"/>
  <c r="H46" i="315"/>
  <c r="S644" i="209" s="1"/>
  <c r="H33" i="315"/>
  <c r="H32" i="315"/>
  <c r="M644" i="209" s="1"/>
  <c r="H31" i="315"/>
  <c r="H45" i="315" s="1"/>
  <c r="M164" i="209" s="1"/>
  <c r="H30" i="315"/>
  <c r="H44" i="315" s="1"/>
  <c r="S104" i="209" s="1"/>
  <c r="H29" i="315"/>
  <c r="H47" i="315" s="1"/>
  <c r="S164" i="209" s="1"/>
  <c r="H28" i="315"/>
  <c r="H42" i="315" s="1"/>
  <c r="M284" i="209" s="1"/>
  <c r="H27" i="315"/>
  <c r="H41" i="315" s="1"/>
  <c r="M224" i="209" s="1"/>
  <c r="H26" i="315"/>
  <c r="H40" i="315" s="1"/>
  <c r="M104" i="209" s="1"/>
  <c r="P25" i="315"/>
  <c r="H25" i="315"/>
  <c r="H39" i="315" s="1"/>
  <c r="S44" i="209" s="1"/>
  <c r="H24" i="315"/>
  <c r="H38" i="315" s="1"/>
  <c r="M44" i="209" s="1"/>
  <c r="H23" i="315"/>
  <c r="C9" i="315"/>
  <c r="G11" i="315" s="1"/>
  <c r="L644" i="209" s="1"/>
  <c r="G48" i="4"/>
  <c r="F48" i="4"/>
  <c r="E48" i="4"/>
  <c r="D48" i="4"/>
  <c r="H46" i="4"/>
  <c r="S611" i="209" s="1"/>
  <c r="H33" i="4"/>
  <c r="H32" i="4"/>
  <c r="M611" i="209" s="1"/>
  <c r="H31" i="4"/>
  <c r="H45" i="4" s="1"/>
  <c r="M131" i="209" s="1"/>
  <c r="H30" i="4"/>
  <c r="H44" i="4" s="1"/>
  <c r="S71" i="209" s="1"/>
  <c r="H29" i="4"/>
  <c r="H47" i="4" s="1"/>
  <c r="S131" i="209" s="1"/>
  <c r="H28" i="4"/>
  <c r="H42" i="4" s="1"/>
  <c r="M251" i="209" s="1"/>
  <c r="H27" i="4"/>
  <c r="H41" i="4" s="1"/>
  <c r="M191" i="209" s="1"/>
  <c r="H26" i="4"/>
  <c r="H40" i="4" s="1"/>
  <c r="M71" i="209" s="1"/>
  <c r="P25" i="4"/>
  <c r="H25" i="4"/>
  <c r="H39" i="4" s="1"/>
  <c r="S11" i="209" s="1"/>
  <c r="H24" i="4"/>
  <c r="H38" i="4" s="1"/>
  <c r="M11" i="209" s="1"/>
  <c r="H23" i="4"/>
  <c r="H37" i="4" s="1"/>
  <c r="S191" i="209" s="1"/>
  <c r="P20" i="4"/>
  <c r="C9" i="4"/>
  <c r="D11" i="4" s="1"/>
  <c r="D44" i="4" s="1"/>
  <c r="O71" i="209" s="1"/>
  <c r="G48" i="204"/>
  <c r="F48" i="204"/>
  <c r="E48" i="204"/>
  <c r="D48" i="204"/>
  <c r="H46" i="204"/>
  <c r="S665" i="246" s="1"/>
  <c r="H33" i="204"/>
  <c r="H32" i="204"/>
  <c r="M665" i="246" s="1"/>
  <c r="H31" i="204"/>
  <c r="H45" i="204" s="1"/>
  <c r="M169" i="246" s="1"/>
  <c r="H30" i="204"/>
  <c r="H44" i="204" s="1"/>
  <c r="S107" i="246" s="1"/>
  <c r="H29" i="204"/>
  <c r="H47" i="204" s="1"/>
  <c r="S169" i="246" s="1"/>
  <c r="H28" i="204"/>
  <c r="H42" i="204" s="1"/>
  <c r="M293" i="246" s="1"/>
  <c r="H27" i="204"/>
  <c r="H41" i="204" s="1"/>
  <c r="M231" i="246" s="1"/>
  <c r="H26" i="204"/>
  <c r="H40" i="204" s="1"/>
  <c r="M107" i="246" s="1"/>
  <c r="P25" i="204"/>
  <c r="H25" i="204"/>
  <c r="H39" i="204" s="1"/>
  <c r="S45" i="246" s="1"/>
  <c r="H24" i="204"/>
  <c r="H38" i="204" s="1"/>
  <c r="M45" i="246" s="1"/>
  <c r="H23" i="204"/>
  <c r="H37" i="204" s="1"/>
  <c r="S231" i="246" s="1"/>
  <c r="P20" i="204"/>
  <c r="G48" i="279"/>
  <c r="F48" i="279"/>
  <c r="E48" i="279"/>
  <c r="D48" i="279"/>
  <c r="H46" i="279"/>
  <c r="S655" i="246" s="1"/>
  <c r="H33" i="279"/>
  <c r="H32" i="279"/>
  <c r="M655" i="246" s="1"/>
  <c r="H31" i="279"/>
  <c r="H45" i="279" s="1"/>
  <c r="M159" i="246" s="1"/>
  <c r="H30" i="279"/>
  <c r="H44" i="279" s="1"/>
  <c r="S97" i="246" s="1"/>
  <c r="H29" i="279"/>
  <c r="H47" i="279" s="1"/>
  <c r="S159" i="246" s="1"/>
  <c r="H28" i="279"/>
  <c r="H42" i="279" s="1"/>
  <c r="M283" i="246" s="1"/>
  <c r="H27" i="279"/>
  <c r="H41" i="279" s="1"/>
  <c r="M221" i="246" s="1"/>
  <c r="H26" i="279"/>
  <c r="H40" i="279" s="1"/>
  <c r="M97" i="246" s="1"/>
  <c r="P25" i="279"/>
  <c r="H25" i="279"/>
  <c r="H39" i="279" s="1"/>
  <c r="S35" i="246" s="1"/>
  <c r="H24" i="279"/>
  <c r="H38" i="279" s="1"/>
  <c r="M35" i="246" s="1"/>
  <c r="H23" i="279"/>
  <c r="H37" i="279" s="1"/>
  <c r="S221" i="246" s="1"/>
  <c r="P20" i="279"/>
  <c r="C9" i="279"/>
  <c r="E11" i="279" s="1"/>
  <c r="E44" i="279" s="1"/>
  <c r="P97" i="246" s="1"/>
  <c r="G48" i="123"/>
  <c r="F48" i="123"/>
  <c r="E48" i="123"/>
  <c r="D48" i="123"/>
  <c r="H46" i="123"/>
  <c r="S635" i="209" s="1"/>
  <c r="H33" i="123"/>
  <c r="H32" i="123"/>
  <c r="M635" i="209" s="1"/>
  <c r="H31" i="123"/>
  <c r="H45" i="123" s="1"/>
  <c r="M155" i="209" s="1"/>
  <c r="H30" i="123"/>
  <c r="H44" i="123" s="1"/>
  <c r="S95" i="209" s="1"/>
  <c r="H29" i="123"/>
  <c r="H47" i="123" s="1"/>
  <c r="S155" i="209" s="1"/>
  <c r="H28" i="123"/>
  <c r="H42" i="123" s="1"/>
  <c r="M275" i="209" s="1"/>
  <c r="H27" i="123"/>
  <c r="H41" i="123" s="1"/>
  <c r="M215" i="209" s="1"/>
  <c r="H26" i="123"/>
  <c r="H40" i="123" s="1"/>
  <c r="M95" i="209" s="1"/>
  <c r="P25" i="123"/>
  <c r="H25" i="123"/>
  <c r="H24" i="123"/>
  <c r="H38" i="123" s="1"/>
  <c r="M35" i="209" s="1"/>
  <c r="H23" i="123"/>
  <c r="H37" i="123" s="1"/>
  <c r="S215" i="209" s="1"/>
  <c r="P20" i="123"/>
  <c r="C9" i="123"/>
  <c r="F11" i="123" s="1"/>
  <c r="K635" i="209" s="1"/>
  <c r="G48" i="15"/>
  <c r="F48" i="15"/>
  <c r="E48" i="15"/>
  <c r="D48" i="15"/>
  <c r="H46" i="15"/>
  <c r="S609" i="209" s="1"/>
  <c r="H33" i="15"/>
  <c r="H32" i="15"/>
  <c r="M609" i="209" s="1"/>
  <c r="H31" i="15"/>
  <c r="H45" i="15" s="1"/>
  <c r="M129" i="209" s="1"/>
  <c r="H30" i="15"/>
  <c r="H44" i="15" s="1"/>
  <c r="S69" i="209" s="1"/>
  <c r="H29" i="15"/>
  <c r="H47" i="15" s="1"/>
  <c r="S129" i="209" s="1"/>
  <c r="H28" i="15"/>
  <c r="H42" i="15" s="1"/>
  <c r="M249" i="209" s="1"/>
  <c r="H27" i="15"/>
  <c r="H41" i="15" s="1"/>
  <c r="M189" i="209" s="1"/>
  <c r="H26" i="15"/>
  <c r="H40" i="15" s="1"/>
  <c r="M69" i="209" s="1"/>
  <c r="P25" i="15"/>
  <c r="H25" i="15"/>
  <c r="H39" i="15" s="1"/>
  <c r="S9" i="209" s="1"/>
  <c r="H24" i="15"/>
  <c r="M309" i="209" s="1"/>
  <c r="H23" i="15"/>
  <c r="H37" i="15" s="1"/>
  <c r="S189" i="209" s="1"/>
  <c r="P20" i="15"/>
  <c r="C9" i="15"/>
  <c r="G48" i="338"/>
  <c r="F48" i="338"/>
  <c r="E48" i="338"/>
  <c r="D48" i="338"/>
  <c r="H46" i="338"/>
  <c r="S634" i="209" s="1"/>
  <c r="H33" i="338"/>
  <c r="H32" i="338"/>
  <c r="M634" i="209" s="1"/>
  <c r="H31" i="338"/>
  <c r="H45" i="338" s="1"/>
  <c r="M154" i="209" s="1"/>
  <c r="H30" i="338"/>
  <c r="H44" i="338" s="1"/>
  <c r="S94" i="209" s="1"/>
  <c r="H29" i="338"/>
  <c r="H47" i="338" s="1"/>
  <c r="S154" i="209" s="1"/>
  <c r="H28" i="338"/>
  <c r="H42" i="338" s="1"/>
  <c r="M274" i="209" s="1"/>
  <c r="H27" i="338"/>
  <c r="H41" i="338" s="1"/>
  <c r="M214" i="209" s="1"/>
  <c r="H26" i="338"/>
  <c r="H40" i="338" s="1"/>
  <c r="M94" i="209" s="1"/>
  <c r="P25" i="338"/>
  <c r="H25" i="338"/>
  <c r="H39" i="338" s="1"/>
  <c r="S34" i="209" s="1"/>
  <c r="H24" i="338"/>
  <c r="H38" i="338" s="1"/>
  <c r="M34" i="209" s="1"/>
  <c r="H23" i="338"/>
  <c r="H37" i="338" s="1"/>
  <c r="S214" i="209" s="1"/>
  <c r="C9" i="338"/>
  <c r="F11" i="338" s="1"/>
  <c r="G48" i="241"/>
  <c r="F48" i="241"/>
  <c r="E48" i="241"/>
  <c r="D48" i="241"/>
  <c r="H33" i="241"/>
  <c r="H32" i="241"/>
  <c r="H31" i="241"/>
  <c r="H45" i="241" s="1"/>
  <c r="M176" i="209" s="1"/>
  <c r="H30" i="241"/>
  <c r="H44" i="241" s="1"/>
  <c r="S116" i="209" s="1"/>
  <c r="H29" i="241"/>
  <c r="H43" i="241" s="1"/>
  <c r="H28" i="241"/>
  <c r="H42" i="241" s="1"/>
  <c r="M356" i="209" s="1"/>
  <c r="H27" i="241"/>
  <c r="H41" i="241" s="1"/>
  <c r="M236" i="209" s="1"/>
  <c r="H26" i="241"/>
  <c r="H40" i="241" s="1"/>
  <c r="M116" i="209" s="1"/>
  <c r="P25" i="241"/>
  <c r="H25" i="241"/>
  <c r="H24" i="241"/>
  <c r="H38" i="241" s="1"/>
  <c r="M56" i="209" s="1"/>
  <c r="H23" i="241"/>
  <c r="H37" i="241" s="1"/>
  <c r="S236" i="209" s="1"/>
  <c r="P20" i="241"/>
  <c r="C9" i="241"/>
  <c r="E11" i="241" s="1"/>
  <c r="G48" i="188"/>
  <c r="F48" i="188"/>
  <c r="E48" i="188"/>
  <c r="D48" i="188"/>
  <c r="H46" i="188"/>
  <c r="S664" i="246" s="1"/>
  <c r="H33" i="188"/>
  <c r="H32" i="188"/>
  <c r="M664" i="246" s="1"/>
  <c r="H31" i="188"/>
  <c r="H45" i="188" s="1"/>
  <c r="M168" i="246" s="1"/>
  <c r="H30" i="188"/>
  <c r="H44" i="188" s="1"/>
  <c r="S106" i="246" s="1"/>
  <c r="H29" i="188"/>
  <c r="H47" i="188" s="1"/>
  <c r="S168" i="246" s="1"/>
  <c r="H28" i="188"/>
  <c r="H42" i="188" s="1"/>
  <c r="M292" i="246" s="1"/>
  <c r="H27" i="188"/>
  <c r="H41" i="188" s="1"/>
  <c r="M230" i="246" s="1"/>
  <c r="H26" i="188"/>
  <c r="H40" i="188" s="1"/>
  <c r="M106" i="246" s="1"/>
  <c r="P25" i="188"/>
  <c r="H25" i="188"/>
  <c r="H39" i="188" s="1"/>
  <c r="S44" i="246" s="1"/>
  <c r="H24" i="188"/>
  <c r="H38" i="188" s="1"/>
  <c r="M44" i="246" s="1"/>
  <c r="H23" i="188"/>
  <c r="H37" i="188" s="1"/>
  <c r="S230" i="246" s="1"/>
  <c r="P20" i="188"/>
  <c r="G48" i="166"/>
  <c r="F48" i="166"/>
  <c r="E48" i="166"/>
  <c r="D48" i="166"/>
  <c r="H46" i="166"/>
  <c r="S638" i="246" s="1"/>
  <c r="H33" i="166"/>
  <c r="H32" i="166"/>
  <c r="M638" i="246" s="1"/>
  <c r="H31" i="166"/>
  <c r="H45" i="166" s="1"/>
  <c r="M142" i="246" s="1"/>
  <c r="H30" i="166"/>
  <c r="H44" i="166" s="1"/>
  <c r="S80" i="246" s="1"/>
  <c r="H29" i="166"/>
  <c r="H47" i="166" s="1"/>
  <c r="S142" i="246" s="1"/>
  <c r="H28" i="166"/>
  <c r="H42" i="166" s="1"/>
  <c r="M266" i="246" s="1"/>
  <c r="H27" i="166"/>
  <c r="H41" i="166" s="1"/>
  <c r="M204" i="246" s="1"/>
  <c r="H26" i="166"/>
  <c r="H40" i="166" s="1"/>
  <c r="M80" i="246" s="1"/>
  <c r="P25" i="166"/>
  <c r="H25" i="166"/>
  <c r="H39" i="166" s="1"/>
  <c r="S18" i="246" s="1"/>
  <c r="H24" i="166"/>
  <c r="H38" i="166" s="1"/>
  <c r="M18" i="246" s="1"/>
  <c r="H23" i="166"/>
  <c r="H37" i="166" s="1"/>
  <c r="S204" i="246" s="1"/>
  <c r="P20" i="166"/>
  <c r="E15" i="166"/>
  <c r="F15" i="166" s="1"/>
  <c r="G15" i="166" s="1"/>
  <c r="C9" i="166"/>
  <c r="D11" i="166" s="1"/>
  <c r="I638" i="246" s="1"/>
  <c r="G48" i="165"/>
  <c r="F48" i="165"/>
  <c r="E48" i="165"/>
  <c r="D48" i="165"/>
  <c r="H46" i="165"/>
  <c r="S637" i="246" s="1"/>
  <c r="H33" i="165"/>
  <c r="H32" i="165"/>
  <c r="M637" i="246" s="1"/>
  <c r="H31" i="165"/>
  <c r="H45" i="165" s="1"/>
  <c r="M141" i="246" s="1"/>
  <c r="H30" i="165"/>
  <c r="H44" i="165" s="1"/>
  <c r="S79" i="246" s="1"/>
  <c r="H29" i="165"/>
  <c r="H47" i="165" s="1"/>
  <c r="S141" i="246" s="1"/>
  <c r="H28" i="165"/>
  <c r="H42" i="165" s="1"/>
  <c r="M265" i="246" s="1"/>
  <c r="H27" i="165"/>
  <c r="H41" i="165" s="1"/>
  <c r="M203" i="246" s="1"/>
  <c r="H26" i="165"/>
  <c r="H40" i="165" s="1"/>
  <c r="M79" i="246" s="1"/>
  <c r="P25" i="165"/>
  <c r="H25" i="165"/>
  <c r="H39" i="165" s="1"/>
  <c r="S17" i="246" s="1"/>
  <c r="H24" i="165"/>
  <c r="H38" i="165" s="1"/>
  <c r="M17" i="246" s="1"/>
  <c r="H23" i="165"/>
  <c r="H37" i="165" s="1"/>
  <c r="S203" i="246" s="1"/>
  <c r="P20" i="165"/>
  <c r="C9" i="165"/>
  <c r="E11" i="165" s="1"/>
  <c r="G48" i="151"/>
  <c r="F48" i="151"/>
  <c r="E48" i="151"/>
  <c r="D48" i="151"/>
  <c r="H46" i="151"/>
  <c r="S663" i="246" s="1"/>
  <c r="H33" i="151"/>
  <c r="H32" i="151"/>
  <c r="M663" i="246" s="1"/>
  <c r="H31" i="151"/>
  <c r="H45" i="151" s="1"/>
  <c r="M167" i="246" s="1"/>
  <c r="H30" i="151"/>
  <c r="H44" i="151" s="1"/>
  <c r="S105" i="246" s="1"/>
  <c r="H29" i="151"/>
  <c r="H47" i="151" s="1"/>
  <c r="S167" i="246" s="1"/>
  <c r="H28" i="151"/>
  <c r="H42" i="151" s="1"/>
  <c r="M291" i="246" s="1"/>
  <c r="H27" i="151"/>
  <c r="H41" i="151" s="1"/>
  <c r="M229" i="246" s="1"/>
  <c r="H26" i="151"/>
  <c r="H40" i="151" s="1"/>
  <c r="M105" i="246" s="1"/>
  <c r="P25" i="151"/>
  <c r="H25" i="151"/>
  <c r="H39" i="151" s="1"/>
  <c r="S43" i="246" s="1"/>
  <c r="H24" i="151"/>
  <c r="H38" i="151" s="1"/>
  <c r="M43" i="246" s="1"/>
  <c r="H23" i="151"/>
  <c r="H37" i="151" s="1"/>
  <c r="S229" i="246" s="1"/>
  <c r="P20" i="151"/>
  <c r="G48" i="355"/>
  <c r="F48" i="355"/>
  <c r="E48" i="355"/>
  <c r="D48" i="355"/>
  <c r="H46" i="355"/>
  <c r="H33" i="355"/>
  <c r="H32" i="355"/>
  <c r="H31" i="355"/>
  <c r="H45" i="355" s="1"/>
  <c r="H30" i="355"/>
  <c r="H44" i="355" s="1"/>
  <c r="H29" i="355"/>
  <c r="H47" i="355" s="1"/>
  <c r="H28" i="355"/>
  <c r="H42" i="355" s="1"/>
  <c r="H27" i="355"/>
  <c r="H41" i="355" s="1"/>
  <c r="H26" i="355"/>
  <c r="H40" i="355" s="1"/>
  <c r="P25" i="355"/>
  <c r="H25" i="355"/>
  <c r="H39" i="355" s="1"/>
  <c r="H24" i="355"/>
  <c r="H38" i="355" s="1"/>
  <c r="H23" i="355"/>
  <c r="H37" i="355" s="1"/>
  <c r="P20" i="355"/>
  <c r="C9" i="355"/>
  <c r="G48" i="324"/>
  <c r="F48" i="324"/>
  <c r="E48" i="324"/>
  <c r="D48" i="324"/>
  <c r="H46" i="324"/>
  <c r="H33" i="324"/>
  <c r="H32" i="324"/>
  <c r="H48" i="324" s="1"/>
  <c r="H31" i="324"/>
  <c r="H45" i="324" s="1"/>
  <c r="H30" i="324"/>
  <c r="H44" i="324" s="1"/>
  <c r="H29" i="324"/>
  <c r="H43" i="324" s="1"/>
  <c r="H28" i="324"/>
  <c r="H42" i="324" s="1"/>
  <c r="H27" i="324"/>
  <c r="H41" i="324" s="1"/>
  <c r="H26" i="324"/>
  <c r="H40" i="324" s="1"/>
  <c r="P25" i="324"/>
  <c r="H25" i="324"/>
  <c r="H39" i="324" s="1"/>
  <c r="H24" i="324"/>
  <c r="H38" i="324" s="1"/>
  <c r="H23" i="324"/>
  <c r="H37" i="324" s="1"/>
  <c r="P20" i="324"/>
  <c r="C9" i="324"/>
  <c r="F11" i="324" s="1"/>
  <c r="F18" i="324" s="1"/>
  <c r="T122" i="294" s="1"/>
  <c r="G48" i="220"/>
  <c r="F48" i="220"/>
  <c r="E48" i="220"/>
  <c r="D48" i="220"/>
  <c r="H46" i="220"/>
  <c r="S654" i="209" s="1"/>
  <c r="H33" i="220"/>
  <c r="H32" i="220"/>
  <c r="M654" i="209" s="1"/>
  <c r="H31" i="220"/>
  <c r="H45" i="220" s="1"/>
  <c r="M174" i="209" s="1"/>
  <c r="H30" i="220"/>
  <c r="H44" i="220" s="1"/>
  <c r="S114" i="209" s="1"/>
  <c r="H29" i="220"/>
  <c r="H47" i="220" s="1"/>
  <c r="S174" i="209" s="1"/>
  <c r="H28" i="220"/>
  <c r="H42" i="220" s="1"/>
  <c r="M294" i="209" s="1"/>
  <c r="H27" i="220"/>
  <c r="H41" i="220" s="1"/>
  <c r="M234" i="209" s="1"/>
  <c r="H26" i="220"/>
  <c r="H40" i="220" s="1"/>
  <c r="M114" i="209" s="1"/>
  <c r="P25" i="220"/>
  <c r="H25" i="220"/>
  <c r="S354" i="209" s="1"/>
  <c r="H24" i="220"/>
  <c r="H38" i="220" s="1"/>
  <c r="M54" i="209" s="1"/>
  <c r="H23" i="220"/>
  <c r="P20" i="220"/>
  <c r="E11" i="220"/>
  <c r="G48" i="202"/>
  <c r="F48" i="202"/>
  <c r="E48" i="202"/>
  <c r="D48" i="202"/>
  <c r="H46" i="202"/>
  <c r="S639" i="246" s="1"/>
  <c r="H33" i="202"/>
  <c r="H32" i="202"/>
  <c r="M639" i="246" s="1"/>
  <c r="H31" i="202"/>
  <c r="H45" i="202" s="1"/>
  <c r="M143" i="246" s="1"/>
  <c r="H30" i="202"/>
  <c r="H44" i="202" s="1"/>
  <c r="S81" i="246" s="1"/>
  <c r="H29" i="202"/>
  <c r="H43" i="202" s="1"/>
  <c r="H28" i="202"/>
  <c r="H42" i="202" s="1"/>
  <c r="M267" i="246" s="1"/>
  <c r="H27" i="202"/>
  <c r="H41" i="202" s="1"/>
  <c r="M205" i="246" s="1"/>
  <c r="H26" i="202"/>
  <c r="H40" i="202" s="1"/>
  <c r="M81" i="246" s="1"/>
  <c r="P25" i="202"/>
  <c r="H25" i="202"/>
  <c r="H39" i="202" s="1"/>
  <c r="S19" i="246" s="1"/>
  <c r="H24" i="202"/>
  <c r="H38" i="202" s="1"/>
  <c r="M19" i="246" s="1"/>
  <c r="H23" i="202"/>
  <c r="H37" i="202" s="1"/>
  <c r="S205" i="246" s="1"/>
  <c r="P20" i="202"/>
  <c r="E15" i="202"/>
  <c r="F15" i="202" s="1"/>
  <c r="G15" i="202" s="1"/>
  <c r="E14" i="202"/>
  <c r="F14" i="202" s="1"/>
  <c r="G14" i="202" s="1"/>
  <c r="C9" i="202"/>
  <c r="F11" i="202" s="1"/>
  <c r="F44" i="202" s="1"/>
  <c r="Q81" i="246" s="1"/>
  <c r="G48" i="221"/>
  <c r="F48" i="221"/>
  <c r="E48" i="221"/>
  <c r="D48" i="221"/>
  <c r="H46" i="221"/>
  <c r="S653" i="209" s="1"/>
  <c r="H33" i="221"/>
  <c r="H32" i="221"/>
  <c r="M653" i="209" s="1"/>
  <c r="H31" i="221"/>
  <c r="H45" i="221" s="1"/>
  <c r="M173" i="209" s="1"/>
  <c r="H30" i="221"/>
  <c r="H44" i="221" s="1"/>
  <c r="S113" i="209" s="1"/>
  <c r="H29" i="221"/>
  <c r="H47" i="221" s="1"/>
  <c r="S173" i="209" s="1"/>
  <c r="H28" i="221"/>
  <c r="H42" i="221" s="1"/>
  <c r="M293" i="209" s="1"/>
  <c r="H27" i="221"/>
  <c r="H41" i="221" s="1"/>
  <c r="M233" i="209" s="1"/>
  <c r="H26" i="221"/>
  <c r="H40" i="221" s="1"/>
  <c r="M113" i="209" s="1"/>
  <c r="P25" i="221"/>
  <c r="H25" i="221"/>
  <c r="H39" i="221" s="1"/>
  <c r="S53" i="209" s="1"/>
  <c r="H24" i="221"/>
  <c r="H23" i="221"/>
  <c r="H37" i="221" s="1"/>
  <c r="S233" i="209" s="1"/>
  <c r="P20" i="221"/>
  <c r="C9" i="221"/>
  <c r="G48" i="349"/>
  <c r="F48" i="349"/>
  <c r="E48" i="349"/>
  <c r="D48" i="349"/>
  <c r="H46" i="349"/>
  <c r="H33" i="349"/>
  <c r="H32" i="349"/>
  <c r="H31" i="349"/>
  <c r="H45" i="349" s="1"/>
  <c r="H30" i="349"/>
  <c r="H44" i="349" s="1"/>
  <c r="H29" i="349"/>
  <c r="H47" i="349" s="1"/>
  <c r="H28" i="349"/>
  <c r="H42" i="349" s="1"/>
  <c r="H27" i="349"/>
  <c r="H41" i="349" s="1"/>
  <c r="H26" i="349"/>
  <c r="H40" i="349" s="1"/>
  <c r="P25" i="349"/>
  <c r="H25" i="349"/>
  <c r="H39" i="349" s="1"/>
  <c r="H24" i="349"/>
  <c r="H38" i="349" s="1"/>
  <c r="H23" i="349"/>
  <c r="H37" i="349" s="1"/>
  <c r="P20" i="349"/>
  <c r="C9" i="349"/>
  <c r="G48" i="289"/>
  <c r="F48" i="289"/>
  <c r="E48" i="289"/>
  <c r="D48" i="289"/>
  <c r="H46" i="289"/>
  <c r="H33" i="289"/>
  <c r="H32" i="289"/>
  <c r="H31" i="289"/>
  <c r="H45" i="289" s="1"/>
  <c r="H30" i="289"/>
  <c r="H44" i="289" s="1"/>
  <c r="H29" i="289"/>
  <c r="H47" i="289" s="1"/>
  <c r="H28" i="289"/>
  <c r="H42" i="289" s="1"/>
  <c r="H27" i="289"/>
  <c r="H41" i="289" s="1"/>
  <c r="H26" i="289"/>
  <c r="H40" i="289" s="1"/>
  <c r="P25" i="289"/>
  <c r="H25" i="289"/>
  <c r="H39" i="289" s="1"/>
  <c r="H24" i="289"/>
  <c r="H38" i="289" s="1"/>
  <c r="H23" i="289"/>
  <c r="H37" i="289" s="1"/>
  <c r="C9" i="289"/>
  <c r="G11" i="289" s="1"/>
  <c r="G44" i="289" s="1"/>
  <c r="U31" i="294" s="1"/>
  <c r="G48" i="16"/>
  <c r="F48" i="16"/>
  <c r="E48" i="16"/>
  <c r="D48" i="16"/>
  <c r="H46" i="16"/>
  <c r="S608" i="209" s="1"/>
  <c r="H33" i="16"/>
  <c r="H32" i="16"/>
  <c r="M608" i="209" s="1"/>
  <c r="H31" i="16"/>
  <c r="H45" i="16" s="1"/>
  <c r="M128" i="209" s="1"/>
  <c r="H30" i="16"/>
  <c r="H44" i="16" s="1"/>
  <c r="S68" i="209" s="1"/>
  <c r="H29" i="16"/>
  <c r="H47" i="16" s="1"/>
  <c r="S128" i="209" s="1"/>
  <c r="H28" i="16"/>
  <c r="H42" i="16" s="1"/>
  <c r="M248" i="209" s="1"/>
  <c r="H27" i="16"/>
  <c r="H41" i="16" s="1"/>
  <c r="M188" i="209" s="1"/>
  <c r="H26" i="16"/>
  <c r="H40" i="16" s="1"/>
  <c r="M68" i="209" s="1"/>
  <c r="P25" i="16"/>
  <c r="H25" i="16"/>
  <c r="H39" i="16" s="1"/>
  <c r="S8" i="209" s="1"/>
  <c r="H24" i="16"/>
  <c r="H38" i="16" s="1"/>
  <c r="M8" i="209" s="1"/>
  <c r="H23" i="16"/>
  <c r="H37" i="16" s="1"/>
  <c r="S188" i="209" s="1"/>
  <c r="P20" i="16"/>
  <c r="C9" i="16"/>
  <c r="D11" i="16" s="1"/>
  <c r="G48" i="293"/>
  <c r="F48" i="293"/>
  <c r="E48" i="293"/>
  <c r="D48" i="293"/>
  <c r="H46" i="293"/>
  <c r="H33" i="293"/>
  <c r="H32" i="293"/>
  <c r="H31" i="293"/>
  <c r="H45" i="293" s="1"/>
  <c r="H30" i="293"/>
  <c r="H44" i="293" s="1"/>
  <c r="H29" i="293"/>
  <c r="H47" i="293" s="1"/>
  <c r="H28" i="293"/>
  <c r="H42" i="293" s="1"/>
  <c r="H27" i="293"/>
  <c r="H41" i="293" s="1"/>
  <c r="H26" i="293"/>
  <c r="H40" i="293" s="1"/>
  <c r="P25" i="293"/>
  <c r="H25" i="293"/>
  <c r="H39" i="293" s="1"/>
  <c r="H24" i="293"/>
  <c r="H38" i="293" s="1"/>
  <c r="H23" i="293"/>
  <c r="H37" i="293" s="1"/>
  <c r="P20" i="293"/>
  <c r="C9" i="293"/>
  <c r="F11" i="293" s="1"/>
  <c r="F45" i="293" s="1"/>
  <c r="O53" i="294" s="1"/>
  <c r="G48" i="126"/>
  <c r="F48" i="126"/>
  <c r="E48" i="126"/>
  <c r="D48" i="126"/>
  <c r="H46" i="126"/>
  <c r="S662" i="246" s="1"/>
  <c r="H33" i="126"/>
  <c r="H32" i="126"/>
  <c r="M662" i="246" s="1"/>
  <c r="H31" i="126"/>
  <c r="H45" i="126" s="1"/>
  <c r="M166" i="246" s="1"/>
  <c r="H30" i="126"/>
  <c r="H44" i="126" s="1"/>
  <c r="S104" i="246" s="1"/>
  <c r="H29" i="126"/>
  <c r="H28" i="126"/>
  <c r="H42" i="126" s="1"/>
  <c r="M290" i="246" s="1"/>
  <c r="H27" i="126"/>
  <c r="H41" i="126" s="1"/>
  <c r="M228" i="246" s="1"/>
  <c r="H26" i="126"/>
  <c r="H40" i="126" s="1"/>
  <c r="M104" i="246" s="1"/>
  <c r="P25" i="126"/>
  <c r="H25" i="126"/>
  <c r="S352" i="246" s="1"/>
  <c r="H24" i="126"/>
  <c r="H38" i="126" s="1"/>
  <c r="M42" i="246" s="1"/>
  <c r="H23" i="126"/>
  <c r="H37" i="126" s="1"/>
  <c r="S228" i="246" s="1"/>
  <c r="P20" i="126"/>
  <c r="G48" i="160"/>
  <c r="F48" i="160"/>
  <c r="E48" i="160"/>
  <c r="D48" i="160"/>
  <c r="H46" i="160"/>
  <c r="S661" i="246" s="1"/>
  <c r="H33" i="160"/>
  <c r="H32" i="160"/>
  <c r="M661" i="246" s="1"/>
  <c r="H31" i="160"/>
  <c r="H45" i="160" s="1"/>
  <c r="M165" i="246" s="1"/>
  <c r="H30" i="160"/>
  <c r="H44" i="160" s="1"/>
  <c r="S103" i="246" s="1"/>
  <c r="H29" i="160"/>
  <c r="H47" i="160" s="1"/>
  <c r="S165" i="246" s="1"/>
  <c r="H28" i="160"/>
  <c r="H42" i="160" s="1"/>
  <c r="M289" i="246" s="1"/>
  <c r="H27" i="160"/>
  <c r="H41" i="160" s="1"/>
  <c r="M227" i="246" s="1"/>
  <c r="H26" i="160"/>
  <c r="H40" i="160" s="1"/>
  <c r="M103" i="246" s="1"/>
  <c r="P25" i="160"/>
  <c r="H25" i="160"/>
  <c r="H39" i="160" s="1"/>
  <c r="S41" i="246" s="1"/>
  <c r="H24" i="160"/>
  <c r="H23" i="160"/>
  <c r="H37" i="160" s="1"/>
  <c r="S227" i="246" s="1"/>
  <c r="P20" i="160"/>
  <c r="G48" i="214"/>
  <c r="F48" i="214"/>
  <c r="E48" i="214"/>
  <c r="D48" i="214"/>
  <c r="H46" i="214"/>
  <c r="S621" i="209" s="1"/>
  <c r="H33" i="214"/>
  <c r="H32" i="214"/>
  <c r="M621" i="209" s="1"/>
  <c r="H31" i="214"/>
  <c r="H45" i="214" s="1"/>
  <c r="M141" i="209" s="1"/>
  <c r="H30" i="214"/>
  <c r="H44" i="214" s="1"/>
  <c r="S81" i="209" s="1"/>
  <c r="H29" i="214"/>
  <c r="H47" i="214" s="1"/>
  <c r="S141" i="209" s="1"/>
  <c r="H28" i="214"/>
  <c r="H42" i="214" s="1"/>
  <c r="M261" i="209" s="1"/>
  <c r="H27" i="214"/>
  <c r="H41" i="214" s="1"/>
  <c r="M201" i="209" s="1"/>
  <c r="H26" i="214"/>
  <c r="H40" i="214" s="1"/>
  <c r="M81" i="209" s="1"/>
  <c r="P25" i="214"/>
  <c r="H25" i="214"/>
  <c r="S321" i="209" s="1"/>
  <c r="H24" i="214"/>
  <c r="H38" i="214" s="1"/>
  <c r="M21" i="209" s="1"/>
  <c r="H23" i="214"/>
  <c r="H37" i="214" s="1"/>
  <c r="S201" i="209" s="1"/>
  <c r="P20" i="214"/>
  <c r="G48" i="347"/>
  <c r="F48" i="347"/>
  <c r="E48" i="347"/>
  <c r="D48" i="347"/>
  <c r="H46" i="347"/>
  <c r="S652" i="209" s="1"/>
  <c r="H33" i="347"/>
  <c r="H32" i="347"/>
  <c r="M652" i="209" s="1"/>
  <c r="H31" i="347"/>
  <c r="H45" i="347" s="1"/>
  <c r="M172" i="209" s="1"/>
  <c r="H30" i="347"/>
  <c r="H44" i="347" s="1"/>
  <c r="S112" i="209" s="1"/>
  <c r="H29" i="347"/>
  <c r="H47" i="347" s="1"/>
  <c r="S172" i="209" s="1"/>
  <c r="H28" i="347"/>
  <c r="H42" i="347" s="1"/>
  <c r="M292" i="209" s="1"/>
  <c r="H27" i="347"/>
  <c r="H41" i="347" s="1"/>
  <c r="M232" i="209" s="1"/>
  <c r="H26" i="347"/>
  <c r="H40" i="347" s="1"/>
  <c r="M112" i="209" s="1"/>
  <c r="P25" i="347"/>
  <c r="H25" i="347"/>
  <c r="H39" i="347" s="1"/>
  <c r="S52" i="209" s="1"/>
  <c r="H24" i="347"/>
  <c r="H38" i="347" s="1"/>
  <c r="M52" i="209" s="1"/>
  <c r="H23" i="347"/>
  <c r="P20" i="347"/>
  <c r="C9" i="347"/>
  <c r="D11" i="347" s="1"/>
  <c r="G48" i="156"/>
  <c r="F48" i="156"/>
  <c r="E48" i="156"/>
  <c r="D48" i="156"/>
  <c r="H46" i="156"/>
  <c r="S631" i="246" s="1"/>
  <c r="H33" i="156"/>
  <c r="H32" i="156"/>
  <c r="M631" i="246" s="1"/>
  <c r="H31" i="156"/>
  <c r="H45" i="156" s="1"/>
  <c r="M135" i="246" s="1"/>
  <c r="H30" i="156"/>
  <c r="H44" i="156" s="1"/>
  <c r="S73" i="246" s="1"/>
  <c r="H29" i="156"/>
  <c r="H47" i="156" s="1"/>
  <c r="S135" i="246" s="1"/>
  <c r="H28" i="156"/>
  <c r="H42" i="156" s="1"/>
  <c r="M259" i="246" s="1"/>
  <c r="H27" i="156"/>
  <c r="H41" i="156" s="1"/>
  <c r="M197" i="246" s="1"/>
  <c r="H26" i="156"/>
  <c r="H40" i="156" s="1"/>
  <c r="M73" i="246" s="1"/>
  <c r="P25" i="156"/>
  <c r="H25" i="156"/>
  <c r="H39" i="156" s="1"/>
  <c r="S11" i="246" s="1"/>
  <c r="H24" i="156"/>
  <c r="M321" i="246" s="1"/>
  <c r="H23" i="156"/>
  <c r="H37" i="156" s="1"/>
  <c r="S197" i="246" s="1"/>
  <c r="P20" i="156"/>
  <c r="C9" i="156"/>
  <c r="G48" i="288"/>
  <c r="F48" i="288"/>
  <c r="E48" i="288"/>
  <c r="D48" i="288"/>
  <c r="H46" i="288"/>
  <c r="H33" i="288"/>
  <c r="H32" i="288"/>
  <c r="H31" i="288"/>
  <c r="H45" i="288" s="1"/>
  <c r="H30" i="288"/>
  <c r="H44" i="288" s="1"/>
  <c r="H29" i="288"/>
  <c r="H47" i="288" s="1"/>
  <c r="H28" i="288"/>
  <c r="H42" i="288" s="1"/>
  <c r="H27" i="288"/>
  <c r="H41" i="288" s="1"/>
  <c r="H26" i="288"/>
  <c r="H40" i="288" s="1"/>
  <c r="P25" i="288"/>
  <c r="H25" i="288"/>
  <c r="H39" i="288" s="1"/>
  <c r="H24" i="288"/>
  <c r="H38" i="288" s="1"/>
  <c r="H23" i="288"/>
  <c r="H37" i="288" s="1"/>
  <c r="C9" i="288"/>
  <c r="F11" i="288" s="1"/>
  <c r="F18" i="288" s="1"/>
  <c r="F39" i="288" s="1"/>
  <c r="O30" i="294" s="1"/>
  <c r="G48" i="194"/>
  <c r="F48" i="194"/>
  <c r="E48" i="194"/>
  <c r="D48" i="194"/>
  <c r="H46" i="194"/>
  <c r="S660" i="246" s="1"/>
  <c r="H33" i="194"/>
  <c r="H32" i="194"/>
  <c r="M660" i="246" s="1"/>
  <c r="H31" i="194"/>
  <c r="H45" i="194" s="1"/>
  <c r="M164" i="246" s="1"/>
  <c r="H30" i="194"/>
  <c r="H44" i="194" s="1"/>
  <c r="S102" i="246" s="1"/>
  <c r="H29" i="194"/>
  <c r="H47" i="194" s="1"/>
  <c r="S164" i="246" s="1"/>
  <c r="H28" i="194"/>
  <c r="H42" i="194" s="1"/>
  <c r="M288" i="246" s="1"/>
  <c r="H27" i="194"/>
  <c r="H41" i="194" s="1"/>
  <c r="M226" i="246" s="1"/>
  <c r="H26" i="194"/>
  <c r="H40" i="194" s="1"/>
  <c r="M102" i="246" s="1"/>
  <c r="P25" i="194"/>
  <c r="H25" i="194"/>
  <c r="H39" i="194" s="1"/>
  <c r="S40" i="246" s="1"/>
  <c r="H24" i="194"/>
  <c r="H38" i="194" s="1"/>
  <c r="M40" i="246" s="1"/>
  <c r="H23" i="194"/>
  <c r="S288" i="246" s="1"/>
  <c r="P20" i="194"/>
  <c r="K137" i="294"/>
  <c r="J137" i="294"/>
  <c r="I137" i="294"/>
  <c r="H137" i="294"/>
  <c r="K132" i="294"/>
  <c r="J132" i="294"/>
  <c r="I132" i="294"/>
  <c r="H132" i="294"/>
  <c r="K131" i="294"/>
  <c r="J131" i="294"/>
  <c r="I131" i="294"/>
  <c r="H131" i="294"/>
  <c r="K130" i="294"/>
  <c r="J130" i="294"/>
  <c r="I130" i="294"/>
  <c r="H130" i="294"/>
  <c r="K129" i="294"/>
  <c r="J129" i="294"/>
  <c r="I129" i="294"/>
  <c r="H129" i="294"/>
  <c r="K127" i="294"/>
  <c r="J127" i="294"/>
  <c r="I127" i="294"/>
  <c r="H127" i="294"/>
  <c r="K126" i="294"/>
  <c r="J126" i="294"/>
  <c r="I126" i="294"/>
  <c r="H126" i="294"/>
  <c r="K125" i="294"/>
  <c r="J125" i="294"/>
  <c r="I125" i="294"/>
  <c r="H125" i="294"/>
  <c r="K123" i="294"/>
  <c r="J123" i="294"/>
  <c r="I123" i="294"/>
  <c r="H123" i="294"/>
  <c r="K122" i="294"/>
  <c r="J122" i="294"/>
  <c r="I122" i="294"/>
  <c r="H122" i="294"/>
  <c r="U118" i="294"/>
  <c r="T118" i="294"/>
  <c r="S118" i="294"/>
  <c r="R118" i="294"/>
  <c r="P118" i="294"/>
  <c r="O118" i="294"/>
  <c r="N118" i="294"/>
  <c r="M118" i="294"/>
  <c r="K118" i="294"/>
  <c r="J118" i="294"/>
  <c r="I118" i="294"/>
  <c r="H118" i="294"/>
  <c r="U113" i="294"/>
  <c r="T113" i="294"/>
  <c r="S113" i="294"/>
  <c r="R113" i="294"/>
  <c r="P113" i="294"/>
  <c r="O113" i="294"/>
  <c r="N113" i="294"/>
  <c r="M113" i="294"/>
  <c r="K113" i="294"/>
  <c r="J113" i="294"/>
  <c r="I113" i="294"/>
  <c r="H113" i="294"/>
  <c r="U112" i="294"/>
  <c r="T112" i="294"/>
  <c r="S112" i="294"/>
  <c r="R112" i="294"/>
  <c r="P112" i="294"/>
  <c r="O112" i="294"/>
  <c r="N112" i="294"/>
  <c r="M112" i="294"/>
  <c r="K112" i="294"/>
  <c r="J112" i="294"/>
  <c r="I112" i="294"/>
  <c r="H112" i="294"/>
  <c r="U111" i="294"/>
  <c r="T111" i="294"/>
  <c r="S111" i="294"/>
  <c r="R111" i="294"/>
  <c r="P111" i="294"/>
  <c r="O111" i="294"/>
  <c r="N111" i="294"/>
  <c r="M111" i="294"/>
  <c r="K111" i="294"/>
  <c r="J111" i="294"/>
  <c r="I111" i="294"/>
  <c r="H111" i="294"/>
  <c r="U110" i="294"/>
  <c r="T110" i="294"/>
  <c r="S110" i="294"/>
  <c r="R110" i="294"/>
  <c r="P110" i="294"/>
  <c r="O110" i="294"/>
  <c r="N110" i="294"/>
  <c r="M110" i="294"/>
  <c r="K110" i="294"/>
  <c r="J110" i="294"/>
  <c r="I110" i="294"/>
  <c r="H110" i="294"/>
  <c r="U108" i="294"/>
  <c r="T108" i="294"/>
  <c r="S108" i="294"/>
  <c r="R108" i="294"/>
  <c r="P108" i="294"/>
  <c r="O108" i="294"/>
  <c r="N108" i="294"/>
  <c r="M108" i="294"/>
  <c r="K108" i="294"/>
  <c r="J108" i="294"/>
  <c r="I108" i="294"/>
  <c r="H108" i="294"/>
  <c r="U107" i="294"/>
  <c r="T107" i="294"/>
  <c r="S107" i="294"/>
  <c r="R107" i="294"/>
  <c r="P107" i="294"/>
  <c r="O107" i="294"/>
  <c r="N107" i="294"/>
  <c r="M107" i="294"/>
  <c r="K107" i="294"/>
  <c r="J107" i="294"/>
  <c r="I107" i="294"/>
  <c r="H107" i="294"/>
  <c r="U106" i="294"/>
  <c r="T106" i="294"/>
  <c r="S106" i="294"/>
  <c r="R106" i="294"/>
  <c r="P106" i="294"/>
  <c r="O106" i="294"/>
  <c r="N106" i="294"/>
  <c r="M106" i="294"/>
  <c r="K106" i="294"/>
  <c r="J106" i="294"/>
  <c r="I106" i="294"/>
  <c r="H106" i="294"/>
  <c r="U104" i="294"/>
  <c r="T104" i="294"/>
  <c r="S104" i="294"/>
  <c r="R104" i="294"/>
  <c r="P104" i="294"/>
  <c r="O104" i="294"/>
  <c r="N104" i="294"/>
  <c r="M104" i="294"/>
  <c r="K104" i="294"/>
  <c r="J104" i="294"/>
  <c r="I104" i="294"/>
  <c r="H104" i="294"/>
  <c r="U103" i="294"/>
  <c r="T103" i="294"/>
  <c r="S103" i="294"/>
  <c r="R103" i="294"/>
  <c r="P103" i="294"/>
  <c r="O103" i="294"/>
  <c r="N103" i="294"/>
  <c r="M103" i="294"/>
  <c r="K103" i="294"/>
  <c r="J103" i="294"/>
  <c r="I103" i="294"/>
  <c r="H103" i="294"/>
  <c r="U99" i="294"/>
  <c r="T99" i="294"/>
  <c r="S99" i="294"/>
  <c r="R99" i="294"/>
  <c r="P99" i="294"/>
  <c r="O99" i="294"/>
  <c r="N99" i="294"/>
  <c r="M99" i="294"/>
  <c r="K99" i="294"/>
  <c r="J99" i="294"/>
  <c r="I99" i="294"/>
  <c r="H99" i="294"/>
  <c r="U94" i="294"/>
  <c r="T94" i="294"/>
  <c r="S94" i="294"/>
  <c r="R94" i="294"/>
  <c r="P94" i="294"/>
  <c r="O94" i="294"/>
  <c r="N94" i="294"/>
  <c r="M94" i="294"/>
  <c r="K94" i="294"/>
  <c r="J94" i="294"/>
  <c r="I94" i="294"/>
  <c r="H94" i="294"/>
  <c r="U93" i="294"/>
  <c r="T93" i="294"/>
  <c r="S93" i="294"/>
  <c r="R93" i="294"/>
  <c r="P93" i="294"/>
  <c r="O93" i="294"/>
  <c r="N93" i="294"/>
  <c r="M93" i="294"/>
  <c r="K93" i="294"/>
  <c r="J93" i="294"/>
  <c r="I93" i="294"/>
  <c r="H93" i="294"/>
  <c r="U92" i="294"/>
  <c r="T92" i="294"/>
  <c r="S92" i="294"/>
  <c r="R92" i="294"/>
  <c r="P92" i="294"/>
  <c r="O92" i="294"/>
  <c r="N92" i="294"/>
  <c r="M92" i="294"/>
  <c r="K92" i="294"/>
  <c r="J92" i="294"/>
  <c r="I92" i="294"/>
  <c r="H92" i="294"/>
  <c r="U91" i="294"/>
  <c r="T91" i="294"/>
  <c r="S91" i="294"/>
  <c r="R91" i="294"/>
  <c r="P91" i="294"/>
  <c r="O91" i="294"/>
  <c r="N91" i="294"/>
  <c r="M91" i="294"/>
  <c r="K91" i="294"/>
  <c r="J91" i="294"/>
  <c r="I91" i="294"/>
  <c r="H91" i="294"/>
  <c r="U89" i="294"/>
  <c r="T89" i="294"/>
  <c r="S89" i="294"/>
  <c r="R89" i="294"/>
  <c r="P89" i="294"/>
  <c r="O89" i="294"/>
  <c r="N89" i="294"/>
  <c r="M89" i="294"/>
  <c r="K89" i="294"/>
  <c r="J89" i="294"/>
  <c r="I89" i="294"/>
  <c r="H89" i="294"/>
  <c r="U88" i="294"/>
  <c r="T88" i="294"/>
  <c r="S88" i="294"/>
  <c r="R88" i="294"/>
  <c r="P88" i="294"/>
  <c r="O88" i="294"/>
  <c r="N88" i="294"/>
  <c r="M88" i="294"/>
  <c r="K88" i="294"/>
  <c r="J88" i="294"/>
  <c r="I88" i="294"/>
  <c r="H88" i="294"/>
  <c r="U87" i="294"/>
  <c r="T87" i="294"/>
  <c r="S87" i="294"/>
  <c r="R87" i="294"/>
  <c r="P87" i="294"/>
  <c r="O87" i="294"/>
  <c r="N87" i="294"/>
  <c r="M87" i="294"/>
  <c r="K87" i="294"/>
  <c r="J87" i="294"/>
  <c r="I87" i="294"/>
  <c r="H87" i="294"/>
  <c r="U85" i="294"/>
  <c r="T85" i="294"/>
  <c r="S85" i="294"/>
  <c r="R85" i="294"/>
  <c r="P85" i="294"/>
  <c r="O85" i="294"/>
  <c r="N85" i="294"/>
  <c r="M85" i="294"/>
  <c r="K85" i="294"/>
  <c r="J85" i="294"/>
  <c r="I85" i="294"/>
  <c r="H85" i="294"/>
  <c r="U84" i="294"/>
  <c r="T84" i="294"/>
  <c r="S84" i="294"/>
  <c r="R84" i="294"/>
  <c r="P84" i="294"/>
  <c r="O84" i="294"/>
  <c r="N84" i="294"/>
  <c r="M84" i="294"/>
  <c r="K84" i="294"/>
  <c r="J84" i="294"/>
  <c r="I84" i="294"/>
  <c r="H84" i="294"/>
  <c r="U80" i="294"/>
  <c r="T80" i="294"/>
  <c r="S80" i="294"/>
  <c r="R80" i="294"/>
  <c r="U75" i="294"/>
  <c r="T75" i="294"/>
  <c r="S75" i="294"/>
  <c r="R75" i="294"/>
  <c r="U74" i="294"/>
  <c r="T74" i="294"/>
  <c r="S74" i="294"/>
  <c r="R74" i="294"/>
  <c r="U73" i="294"/>
  <c r="T73" i="294"/>
  <c r="S73" i="294"/>
  <c r="R73" i="294"/>
  <c r="U72" i="294"/>
  <c r="T72" i="294"/>
  <c r="S72" i="294"/>
  <c r="R72" i="294"/>
  <c r="U70" i="294"/>
  <c r="T70" i="294"/>
  <c r="S70" i="294"/>
  <c r="R70" i="294"/>
  <c r="U69" i="294"/>
  <c r="T69" i="294"/>
  <c r="S69" i="294"/>
  <c r="R69" i="294"/>
  <c r="U68" i="294"/>
  <c r="T68" i="294"/>
  <c r="S68" i="294"/>
  <c r="R68" i="294"/>
  <c r="U66" i="294"/>
  <c r="T66" i="294"/>
  <c r="S66" i="294"/>
  <c r="R66" i="294"/>
  <c r="U65" i="294"/>
  <c r="T65" i="294"/>
  <c r="S65" i="294"/>
  <c r="R65" i="294"/>
  <c r="B61" i="294"/>
  <c r="B80" i="294" s="1"/>
  <c r="B99" i="294" s="1"/>
  <c r="B118" i="294" s="1"/>
  <c r="B137" i="294" s="1"/>
  <c r="B56" i="294"/>
  <c r="B75" i="294" s="1"/>
  <c r="B94" i="294" s="1"/>
  <c r="B113" i="294" s="1"/>
  <c r="B132" i="294" s="1"/>
  <c r="B55" i="294"/>
  <c r="B74" i="294" s="1"/>
  <c r="B93" i="294" s="1"/>
  <c r="B112" i="294" s="1"/>
  <c r="B131" i="294" s="1"/>
  <c r="B54" i="294"/>
  <c r="B73" i="294" s="1"/>
  <c r="B92" i="294" s="1"/>
  <c r="B111" i="294" s="1"/>
  <c r="B130" i="294" s="1"/>
  <c r="B53" i="294"/>
  <c r="B72" i="294" s="1"/>
  <c r="B91" i="294" s="1"/>
  <c r="B110" i="294" s="1"/>
  <c r="B129" i="294" s="1"/>
  <c r="B51" i="294"/>
  <c r="B70" i="294" s="1"/>
  <c r="B89" i="294" s="1"/>
  <c r="B108" i="294" s="1"/>
  <c r="B127" i="294" s="1"/>
  <c r="B50" i="294"/>
  <c r="B69" i="294" s="1"/>
  <c r="B88" i="294" s="1"/>
  <c r="B107" i="294" s="1"/>
  <c r="B126" i="294" s="1"/>
  <c r="B49" i="294"/>
  <c r="B68" i="294" s="1"/>
  <c r="B87" i="294" s="1"/>
  <c r="B106" i="294" s="1"/>
  <c r="B125" i="294" s="1"/>
  <c r="B47" i="294"/>
  <c r="B66" i="294" s="1"/>
  <c r="B85" i="294" s="1"/>
  <c r="B104" i="294" s="1"/>
  <c r="B123" i="294" s="1"/>
  <c r="B46" i="294"/>
  <c r="B65" i="294" s="1"/>
  <c r="B84" i="294" s="1"/>
  <c r="B103" i="294" s="1"/>
  <c r="B122" i="294" s="1"/>
  <c r="B40" i="294"/>
  <c r="B59" i="294" s="1"/>
  <c r="B78" i="294" s="1"/>
  <c r="B97" i="294" s="1"/>
  <c r="B116" i="294" s="1"/>
  <c r="B135" i="294" s="1"/>
  <c r="F23" i="294"/>
  <c r="F42" i="294" s="1"/>
  <c r="F61" i="294" s="1"/>
  <c r="F80" i="294" s="1"/>
  <c r="F99" i="294" s="1"/>
  <c r="F118" i="294" s="1"/>
  <c r="F137" i="294" s="1"/>
  <c r="D23" i="294"/>
  <c r="D42" i="294" s="1"/>
  <c r="D61" i="294" s="1"/>
  <c r="D80" i="294" s="1"/>
  <c r="D99" i="294" s="1"/>
  <c r="D118" i="294" s="1"/>
  <c r="D137" i="294" s="1"/>
  <c r="C23" i="294"/>
  <c r="C42" i="294" s="1"/>
  <c r="C61" i="294" s="1"/>
  <c r="C80" i="294" s="1"/>
  <c r="C99" i="294" s="1"/>
  <c r="C118" i="294" s="1"/>
  <c r="C137" i="294" s="1"/>
  <c r="F18" i="294"/>
  <c r="F37" i="294" s="1"/>
  <c r="F56" i="294" s="1"/>
  <c r="F75" i="294" s="1"/>
  <c r="F94" i="294" s="1"/>
  <c r="F113" i="294" s="1"/>
  <c r="F132" i="294" s="1"/>
  <c r="D18" i="294"/>
  <c r="D37" i="294" s="1"/>
  <c r="D56" i="294" s="1"/>
  <c r="D75" i="294" s="1"/>
  <c r="D94" i="294" s="1"/>
  <c r="D113" i="294" s="1"/>
  <c r="D132" i="294" s="1"/>
  <c r="C18" i="294"/>
  <c r="C37" i="294" s="1"/>
  <c r="C56" i="294" s="1"/>
  <c r="C75" i="294" s="1"/>
  <c r="C94" i="294" s="1"/>
  <c r="C113" i="294" s="1"/>
  <c r="C132" i="294" s="1"/>
  <c r="F17" i="294"/>
  <c r="F36" i="294" s="1"/>
  <c r="F55" i="294" s="1"/>
  <c r="F74" i="294" s="1"/>
  <c r="F93" i="294" s="1"/>
  <c r="F112" i="294" s="1"/>
  <c r="F131" i="294" s="1"/>
  <c r="D17" i="294"/>
  <c r="D36" i="294" s="1"/>
  <c r="D55" i="294" s="1"/>
  <c r="D74" i="294" s="1"/>
  <c r="D93" i="294" s="1"/>
  <c r="D112" i="294" s="1"/>
  <c r="D131" i="294" s="1"/>
  <c r="C17" i="294"/>
  <c r="C36" i="294" s="1"/>
  <c r="C55" i="294" s="1"/>
  <c r="C74" i="294" s="1"/>
  <c r="C93" i="294" s="1"/>
  <c r="C112" i="294" s="1"/>
  <c r="C131" i="294" s="1"/>
  <c r="F16" i="294"/>
  <c r="F35" i="294" s="1"/>
  <c r="F54" i="294" s="1"/>
  <c r="F73" i="294" s="1"/>
  <c r="F92" i="294" s="1"/>
  <c r="F111" i="294" s="1"/>
  <c r="F130" i="294" s="1"/>
  <c r="D16" i="294"/>
  <c r="D35" i="294" s="1"/>
  <c r="D54" i="294" s="1"/>
  <c r="D73" i="294" s="1"/>
  <c r="D92" i="294" s="1"/>
  <c r="D111" i="294" s="1"/>
  <c r="D130" i="294" s="1"/>
  <c r="C16" i="294"/>
  <c r="C35" i="294" s="1"/>
  <c r="C54" i="294" s="1"/>
  <c r="C73" i="294" s="1"/>
  <c r="C92" i="294" s="1"/>
  <c r="C111" i="294" s="1"/>
  <c r="C130" i="294" s="1"/>
  <c r="F15" i="294"/>
  <c r="F34" i="294" s="1"/>
  <c r="F53" i="294" s="1"/>
  <c r="F72" i="294" s="1"/>
  <c r="F91" i="294" s="1"/>
  <c r="F110" i="294" s="1"/>
  <c r="F129" i="294" s="1"/>
  <c r="D15" i="294"/>
  <c r="D34" i="294" s="1"/>
  <c r="D53" i="294" s="1"/>
  <c r="D72" i="294" s="1"/>
  <c r="D91" i="294" s="1"/>
  <c r="D110" i="294" s="1"/>
  <c r="D129" i="294" s="1"/>
  <c r="C15" i="294"/>
  <c r="C34" i="294" s="1"/>
  <c r="C53" i="294" s="1"/>
  <c r="C72" i="294" s="1"/>
  <c r="C91" i="294" s="1"/>
  <c r="C110" i="294" s="1"/>
  <c r="C129" i="294" s="1"/>
  <c r="F13" i="294"/>
  <c r="F32" i="294" s="1"/>
  <c r="F51" i="294" s="1"/>
  <c r="F70" i="294" s="1"/>
  <c r="F89" i="294" s="1"/>
  <c r="F108" i="294" s="1"/>
  <c r="F127" i="294" s="1"/>
  <c r="D13" i="294"/>
  <c r="D32" i="294" s="1"/>
  <c r="D51" i="294" s="1"/>
  <c r="D70" i="294" s="1"/>
  <c r="D89" i="294" s="1"/>
  <c r="D108" i="294" s="1"/>
  <c r="D127" i="294" s="1"/>
  <c r="C13" i="294"/>
  <c r="C32" i="294" s="1"/>
  <c r="C51" i="294" s="1"/>
  <c r="C70" i="294" s="1"/>
  <c r="C89" i="294" s="1"/>
  <c r="C108" i="294" s="1"/>
  <c r="C127" i="294" s="1"/>
  <c r="F12" i="294"/>
  <c r="F31" i="294" s="1"/>
  <c r="F50" i="294" s="1"/>
  <c r="F69" i="294" s="1"/>
  <c r="F88" i="294" s="1"/>
  <c r="F107" i="294" s="1"/>
  <c r="F126" i="294" s="1"/>
  <c r="D12" i="294"/>
  <c r="D31" i="294" s="1"/>
  <c r="D50" i="294" s="1"/>
  <c r="D69" i="294" s="1"/>
  <c r="D88" i="294" s="1"/>
  <c r="D107" i="294" s="1"/>
  <c r="D126" i="294" s="1"/>
  <c r="C12" i="294"/>
  <c r="C31" i="294" s="1"/>
  <c r="C50" i="294" s="1"/>
  <c r="C69" i="294" s="1"/>
  <c r="C88" i="294" s="1"/>
  <c r="C107" i="294" s="1"/>
  <c r="C126" i="294" s="1"/>
  <c r="F11" i="294"/>
  <c r="F30" i="294" s="1"/>
  <c r="F49" i="294" s="1"/>
  <c r="F68" i="294" s="1"/>
  <c r="F87" i="294" s="1"/>
  <c r="F106" i="294" s="1"/>
  <c r="F125" i="294" s="1"/>
  <c r="D11" i="294"/>
  <c r="D30" i="294" s="1"/>
  <c r="D49" i="294" s="1"/>
  <c r="D68" i="294" s="1"/>
  <c r="D87" i="294" s="1"/>
  <c r="D106" i="294" s="1"/>
  <c r="D125" i="294" s="1"/>
  <c r="C11" i="294"/>
  <c r="C30" i="294" s="1"/>
  <c r="C49" i="294" s="1"/>
  <c r="C68" i="294" s="1"/>
  <c r="C87" i="294" s="1"/>
  <c r="C106" i="294" s="1"/>
  <c r="C125" i="294" s="1"/>
  <c r="F9" i="294"/>
  <c r="F28" i="294" s="1"/>
  <c r="F47" i="294" s="1"/>
  <c r="F66" i="294" s="1"/>
  <c r="F85" i="294" s="1"/>
  <c r="F104" i="294" s="1"/>
  <c r="F123" i="294" s="1"/>
  <c r="D9" i="294"/>
  <c r="D28" i="294" s="1"/>
  <c r="D47" i="294" s="1"/>
  <c r="D66" i="294" s="1"/>
  <c r="D85" i="294" s="1"/>
  <c r="D104" i="294" s="1"/>
  <c r="D123" i="294" s="1"/>
  <c r="C9" i="294"/>
  <c r="C28" i="294" s="1"/>
  <c r="C47" i="294" s="1"/>
  <c r="C66" i="294" s="1"/>
  <c r="C85" i="294" s="1"/>
  <c r="C104" i="294" s="1"/>
  <c r="C123" i="294" s="1"/>
  <c r="F8" i="294"/>
  <c r="F27" i="294" s="1"/>
  <c r="F46" i="294" s="1"/>
  <c r="F65" i="294" s="1"/>
  <c r="F84" i="294" s="1"/>
  <c r="F103" i="294" s="1"/>
  <c r="F122" i="294" s="1"/>
  <c r="D8" i="294"/>
  <c r="D27" i="294" s="1"/>
  <c r="D46" i="294" s="1"/>
  <c r="D65" i="294" s="1"/>
  <c r="D84" i="294" s="1"/>
  <c r="D103" i="294" s="1"/>
  <c r="D122" i="294" s="1"/>
  <c r="C8" i="294"/>
  <c r="C27" i="294" s="1"/>
  <c r="C46" i="294" s="1"/>
  <c r="C65" i="294" s="1"/>
  <c r="C84" i="294" s="1"/>
  <c r="C103" i="294" s="1"/>
  <c r="C122" i="294" s="1"/>
  <c r="G803" i="246"/>
  <c r="E803" i="246"/>
  <c r="D803" i="246"/>
  <c r="G802" i="246"/>
  <c r="E802" i="246"/>
  <c r="D802" i="246"/>
  <c r="V742" i="246"/>
  <c r="V741" i="246"/>
  <c r="R741" i="246"/>
  <c r="Q741" i="246"/>
  <c r="P741" i="246"/>
  <c r="O741" i="246"/>
  <c r="G741" i="246"/>
  <c r="E741" i="246"/>
  <c r="D741" i="246"/>
  <c r="U741" i="246" s="1"/>
  <c r="V740" i="246"/>
  <c r="R740" i="246"/>
  <c r="Q740" i="246"/>
  <c r="P740" i="246"/>
  <c r="O740" i="246"/>
  <c r="G740" i="246"/>
  <c r="E740" i="246"/>
  <c r="D740" i="246"/>
  <c r="U740" i="246" s="1"/>
  <c r="R735" i="246"/>
  <c r="Q735" i="246"/>
  <c r="P735" i="246"/>
  <c r="O735" i="246"/>
  <c r="R734" i="246"/>
  <c r="Q734" i="246"/>
  <c r="P734" i="246"/>
  <c r="O734" i="246"/>
  <c r="R733" i="246"/>
  <c r="Q733" i="246"/>
  <c r="P733" i="246"/>
  <c r="O733" i="246"/>
  <c r="R732" i="246"/>
  <c r="Q732" i="246"/>
  <c r="P732" i="246"/>
  <c r="O732" i="246"/>
  <c r="R731" i="246"/>
  <c r="Q731" i="246"/>
  <c r="P731" i="246"/>
  <c r="O731" i="246"/>
  <c r="R730" i="246"/>
  <c r="Q730" i="246"/>
  <c r="P730" i="246"/>
  <c r="O730" i="246"/>
  <c r="R729" i="246"/>
  <c r="Q729" i="246"/>
  <c r="P729" i="246"/>
  <c r="O729" i="246"/>
  <c r="R728" i="246"/>
  <c r="Q728" i="246"/>
  <c r="P728" i="246"/>
  <c r="O728" i="246"/>
  <c r="R727" i="246"/>
  <c r="Q727" i="246"/>
  <c r="P727" i="246"/>
  <c r="O727" i="246"/>
  <c r="R726" i="246"/>
  <c r="Q726" i="246"/>
  <c r="P726" i="246"/>
  <c r="O726" i="246"/>
  <c r="R725" i="246"/>
  <c r="Q725" i="246"/>
  <c r="P725" i="246"/>
  <c r="O725" i="246"/>
  <c r="R724" i="246"/>
  <c r="Q724" i="246"/>
  <c r="P724" i="246"/>
  <c r="O724" i="246"/>
  <c r="R723" i="246"/>
  <c r="Q723" i="246"/>
  <c r="P723" i="246"/>
  <c r="O723" i="246"/>
  <c r="R722" i="246"/>
  <c r="Q722" i="246"/>
  <c r="P722" i="246"/>
  <c r="O722" i="246"/>
  <c r="R719" i="246"/>
  <c r="Q719" i="246"/>
  <c r="P719" i="246"/>
  <c r="O719" i="246"/>
  <c r="R718" i="246"/>
  <c r="Q718" i="246"/>
  <c r="P718" i="246"/>
  <c r="O718" i="246"/>
  <c r="R717" i="246"/>
  <c r="Q717" i="246"/>
  <c r="P717" i="246"/>
  <c r="O717" i="246"/>
  <c r="R714" i="246"/>
  <c r="Q714" i="246"/>
  <c r="P714" i="246"/>
  <c r="O714" i="246"/>
  <c r="R713" i="246"/>
  <c r="Q713" i="246"/>
  <c r="P713" i="246"/>
  <c r="O713" i="246"/>
  <c r="R712" i="246"/>
  <c r="Q712" i="246"/>
  <c r="P712" i="246"/>
  <c r="O712" i="246"/>
  <c r="R711" i="246"/>
  <c r="Q711" i="246"/>
  <c r="P711" i="246"/>
  <c r="O711" i="246"/>
  <c r="R710" i="246"/>
  <c r="Q710" i="246"/>
  <c r="P710" i="246"/>
  <c r="O710" i="246"/>
  <c r="R709" i="246"/>
  <c r="Q709" i="246"/>
  <c r="P709" i="246"/>
  <c r="O709" i="246"/>
  <c r="R703" i="246"/>
  <c r="Q703" i="246"/>
  <c r="P703" i="246"/>
  <c r="O703" i="246"/>
  <c r="R701" i="246"/>
  <c r="Q701" i="246"/>
  <c r="P701" i="246"/>
  <c r="O701" i="246"/>
  <c r="R700" i="246"/>
  <c r="Q700" i="246"/>
  <c r="P700" i="246"/>
  <c r="O700" i="246"/>
  <c r="R699" i="246"/>
  <c r="Q699" i="246"/>
  <c r="P699" i="246"/>
  <c r="O699" i="246"/>
  <c r="R696" i="246"/>
  <c r="Q696" i="246"/>
  <c r="P696" i="246"/>
  <c r="O696" i="246"/>
  <c r="R695" i="246"/>
  <c r="Q695" i="246"/>
  <c r="P695" i="246"/>
  <c r="O695" i="246"/>
  <c r="R694" i="246"/>
  <c r="Q694" i="246"/>
  <c r="P694" i="246"/>
  <c r="O694" i="246"/>
  <c r="R693" i="246"/>
  <c r="Q693" i="246"/>
  <c r="P693" i="246"/>
  <c r="O693" i="246"/>
  <c r="R690" i="246"/>
  <c r="Q690" i="246"/>
  <c r="P690" i="246"/>
  <c r="O690" i="246"/>
  <c r="V680" i="246"/>
  <c r="M680" i="246"/>
  <c r="V679" i="246"/>
  <c r="G679" i="246"/>
  <c r="E679" i="246"/>
  <c r="D679" i="246"/>
  <c r="U679" i="246" s="1"/>
  <c r="V678" i="246"/>
  <c r="G678" i="246"/>
  <c r="E678" i="246"/>
  <c r="D678" i="246"/>
  <c r="U678" i="246" s="1"/>
  <c r="V618" i="246"/>
  <c r="V617" i="246"/>
  <c r="R617" i="246"/>
  <c r="Q617" i="246"/>
  <c r="P617" i="246"/>
  <c r="O617" i="246"/>
  <c r="L617" i="246"/>
  <c r="K617" i="246"/>
  <c r="J617" i="246"/>
  <c r="I617" i="246"/>
  <c r="G617" i="246"/>
  <c r="E617" i="246"/>
  <c r="D617" i="246"/>
  <c r="U617" i="246" s="1"/>
  <c r="V616" i="246"/>
  <c r="R616" i="246"/>
  <c r="Q616" i="246"/>
  <c r="P616" i="246"/>
  <c r="O616" i="246"/>
  <c r="L616" i="246"/>
  <c r="K616" i="246"/>
  <c r="J616" i="246"/>
  <c r="I616" i="246"/>
  <c r="G616" i="246"/>
  <c r="E616" i="246"/>
  <c r="D616" i="246"/>
  <c r="U616" i="246" s="1"/>
  <c r="R611" i="246"/>
  <c r="Q611" i="246"/>
  <c r="P611" i="246"/>
  <c r="O611" i="246"/>
  <c r="L611" i="246"/>
  <c r="K611" i="246"/>
  <c r="J611" i="246"/>
  <c r="I611" i="246"/>
  <c r="R610" i="246"/>
  <c r="Q610" i="246"/>
  <c r="P610" i="246"/>
  <c r="O610" i="246"/>
  <c r="L610" i="246"/>
  <c r="K610" i="246"/>
  <c r="J610" i="246"/>
  <c r="I610" i="246"/>
  <c r="R609" i="246"/>
  <c r="O609" i="246"/>
  <c r="Q609" i="246"/>
  <c r="P609" i="246"/>
  <c r="L609" i="246"/>
  <c r="K609" i="246"/>
  <c r="J609" i="246"/>
  <c r="I609" i="246"/>
  <c r="R608" i="246"/>
  <c r="Q608" i="246"/>
  <c r="P608" i="246"/>
  <c r="O608" i="246"/>
  <c r="L608" i="246"/>
  <c r="K608" i="246"/>
  <c r="J608" i="246"/>
  <c r="I608" i="246"/>
  <c r="R607" i="246"/>
  <c r="Q607" i="246"/>
  <c r="P607" i="246"/>
  <c r="O607" i="246"/>
  <c r="L607" i="246"/>
  <c r="K607" i="246"/>
  <c r="J607" i="246"/>
  <c r="I607" i="246"/>
  <c r="R606" i="246"/>
  <c r="Q606" i="246"/>
  <c r="P606" i="246"/>
  <c r="O606" i="246"/>
  <c r="L606" i="246"/>
  <c r="K606" i="246"/>
  <c r="J606" i="246"/>
  <c r="I606" i="246"/>
  <c r="R605" i="246"/>
  <c r="Q605" i="246"/>
  <c r="P605" i="246"/>
  <c r="O605" i="246"/>
  <c r="L605" i="246"/>
  <c r="K605" i="246"/>
  <c r="J605" i="246"/>
  <c r="I605" i="246"/>
  <c r="R604" i="246"/>
  <c r="Q604" i="246"/>
  <c r="P604" i="246"/>
  <c r="O604" i="246"/>
  <c r="L604" i="246"/>
  <c r="K604" i="246"/>
  <c r="J604" i="246"/>
  <c r="I604" i="246"/>
  <c r="R603" i="246"/>
  <c r="Q603" i="246"/>
  <c r="P603" i="246"/>
  <c r="O603" i="246"/>
  <c r="L603" i="246"/>
  <c r="K603" i="246"/>
  <c r="J603" i="246"/>
  <c r="I603" i="246"/>
  <c r="R602" i="246"/>
  <c r="Q602" i="246"/>
  <c r="P602" i="246"/>
  <c r="O602" i="246"/>
  <c r="L602" i="246"/>
  <c r="K602" i="246"/>
  <c r="J602" i="246"/>
  <c r="I602" i="246"/>
  <c r="R601" i="246"/>
  <c r="Q601" i="246"/>
  <c r="P601" i="246"/>
  <c r="O601" i="246"/>
  <c r="L601" i="246"/>
  <c r="K601" i="246"/>
  <c r="J601" i="246"/>
  <c r="I601" i="246"/>
  <c r="R600" i="246"/>
  <c r="Q600" i="246"/>
  <c r="P600" i="246"/>
  <c r="O600" i="246"/>
  <c r="L600" i="246"/>
  <c r="K600" i="246"/>
  <c r="J600" i="246"/>
  <c r="I600" i="246"/>
  <c r="R599" i="246"/>
  <c r="Q599" i="246"/>
  <c r="P599" i="246"/>
  <c r="O599" i="246"/>
  <c r="L599" i="246"/>
  <c r="K599" i="246"/>
  <c r="J599" i="246"/>
  <c r="I599" i="246"/>
  <c r="R598" i="246"/>
  <c r="Q598" i="246"/>
  <c r="P598" i="246"/>
  <c r="O598" i="246"/>
  <c r="L598" i="246"/>
  <c r="K598" i="246"/>
  <c r="J598" i="246"/>
  <c r="I598" i="246"/>
  <c r="R595" i="246"/>
  <c r="Q595" i="246"/>
  <c r="P595" i="246"/>
  <c r="O595" i="246"/>
  <c r="L595" i="246"/>
  <c r="K595" i="246"/>
  <c r="J595" i="246"/>
  <c r="I595" i="246"/>
  <c r="R594" i="246"/>
  <c r="Q594" i="246"/>
  <c r="P594" i="246"/>
  <c r="O594" i="246"/>
  <c r="L594" i="246"/>
  <c r="K594" i="246"/>
  <c r="J594" i="246"/>
  <c r="I594" i="246"/>
  <c r="R593" i="246"/>
  <c r="Q593" i="246"/>
  <c r="P593" i="246"/>
  <c r="O593" i="246"/>
  <c r="L593" i="246"/>
  <c r="K593" i="246"/>
  <c r="J593" i="246"/>
  <c r="I593" i="246"/>
  <c r="R590" i="246"/>
  <c r="Q590" i="246"/>
  <c r="P590" i="246"/>
  <c r="O590" i="246"/>
  <c r="L590" i="246"/>
  <c r="K590" i="246"/>
  <c r="J590" i="246"/>
  <c r="I590" i="246"/>
  <c r="R589" i="246"/>
  <c r="Q589" i="246"/>
  <c r="P589" i="246"/>
  <c r="O589" i="246"/>
  <c r="L589" i="246"/>
  <c r="K589" i="246"/>
  <c r="J589" i="246"/>
  <c r="I589" i="246"/>
  <c r="R588" i="246"/>
  <c r="Q588" i="246"/>
  <c r="P588" i="246"/>
  <c r="O588" i="246"/>
  <c r="L588" i="246"/>
  <c r="K588" i="246"/>
  <c r="J588" i="246"/>
  <c r="I588" i="246"/>
  <c r="R587" i="246"/>
  <c r="Q587" i="246"/>
  <c r="P587" i="246"/>
  <c r="O587" i="246"/>
  <c r="L587" i="246"/>
  <c r="K587" i="246"/>
  <c r="J587" i="246"/>
  <c r="I587" i="246"/>
  <c r="R586" i="246"/>
  <c r="Q586" i="246"/>
  <c r="P586" i="246"/>
  <c r="O586" i="246"/>
  <c r="L586" i="246"/>
  <c r="K586" i="246"/>
  <c r="J586" i="246"/>
  <c r="I586" i="246"/>
  <c r="R585" i="246"/>
  <c r="O585" i="246"/>
  <c r="Q585" i="246"/>
  <c r="P585" i="246"/>
  <c r="L585" i="246"/>
  <c r="K585" i="246"/>
  <c r="J585" i="246"/>
  <c r="I585" i="246"/>
  <c r="R579" i="246"/>
  <c r="Q579" i="246"/>
  <c r="P579" i="246"/>
  <c r="O579" i="246"/>
  <c r="L579" i="246"/>
  <c r="K579" i="246"/>
  <c r="J579" i="246"/>
  <c r="I579" i="246"/>
  <c r="R578" i="246"/>
  <c r="O578" i="246"/>
  <c r="Q578" i="246"/>
  <c r="P578" i="246"/>
  <c r="L578" i="246"/>
  <c r="K578" i="246"/>
  <c r="J578" i="246"/>
  <c r="I578" i="246"/>
  <c r="R577" i="246"/>
  <c r="Q577" i="246"/>
  <c r="P577" i="246"/>
  <c r="O577" i="246"/>
  <c r="L577" i="246"/>
  <c r="K577" i="246"/>
  <c r="J577" i="246"/>
  <c r="I577" i="246"/>
  <c r="R576" i="246"/>
  <c r="Q576" i="246"/>
  <c r="P576" i="246"/>
  <c r="O576" i="246"/>
  <c r="L576" i="246"/>
  <c r="K576" i="246"/>
  <c r="J576" i="246"/>
  <c r="I576" i="246"/>
  <c r="R575" i="246"/>
  <c r="Q575" i="246"/>
  <c r="P575" i="246"/>
  <c r="O575" i="246"/>
  <c r="L575" i="246"/>
  <c r="K575" i="246"/>
  <c r="J575" i="246"/>
  <c r="I575" i="246"/>
  <c r="R572" i="246"/>
  <c r="Q572" i="246"/>
  <c r="P572" i="246"/>
  <c r="O572" i="246"/>
  <c r="L572" i="246"/>
  <c r="K572" i="246"/>
  <c r="J572" i="246"/>
  <c r="I572" i="246"/>
  <c r="R571" i="246"/>
  <c r="Q571" i="246"/>
  <c r="P571" i="246"/>
  <c r="O571" i="246"/>
  <c r="L571" i="246"/>
  <c r="K571" i="246"/>
  <c r="J571" i="246"/>
  <c r="I571" i="246"/>
  <c r="R570" i="246"/>
  <c r="Q570" i="246"/>
  <c r="P570" i="246"/>
  <c r="O570" i="246"/>
  <c r="L570" i="246"/>
  <c r="K570" i="246"/>
  <c r="J570" i="246"/>
  <c r="I570" i="246"/>
  <c r="R569" i="246"/>
  <c r="O569" i="246"/>
  <c r="Q569" i="246"/>
  <c r="P569" i="246"/>
  <c r="L569" i="246"/>
  <c r="K569" i="246"/>
  <c r="J569" i="246"/>
  <c r="I569" i="246"/>
  <c r="R566" i="246"/>
  <c r="O566" i="246"/>
  <c r="Q566" i="246"/>
  <c r="P566" i="246"/>
  <c r="L566" i="246"/>
  <c r="K566" i="246"/>
  <c r="J566" i="246"/>
  <c r="I566" i="246"/>
  <c r="V556" i="246"/>
  <c r="V555" i="246"/>
  <c r="R555" i="246"/>
  <c r="Q555" i="246"/>
  <c r="P555" i="246"/>
  <c r="O555" i="246"/>
  <c r="L555" i="246"/>
  <c r="K555" i="246"/>
  <c r="J555" i="246"/>
  <c r="I555" i="246"/>
  <c r="G555" i="246"/>
  <c r="E555" i="246"/>
  <c r="D555" i="246"/>
  <c r="U555" i="246" s="1"/>
  <c r="V554" i="246"/>
  <c r="R554" i="246"/>
  <c r="Q554" i="246"/>
  <c r="P554" i="246"/>
  <c r="O554" i="246"/>
  <c r="L554" i="246"/>
  <c r="K554" i="246"/>
  <c r="J554" i="246"/>
  <c r="I554" i="246"/>
  <c r="G554" i="246"/>
  <c r="E554" i="246"/>
  <c r="D554" i="246"/>
  <c r="U554" i="246" s="1"/>
  <c r="R549" i="246"/>
  <c r="Q549" i="246"/>
  <c r="P549" i="246"/>
  <c r="O549" i="246"/>
  <c r="L549" i="246"/>
  <c r="K549" i="246"/>
  <c r="J549" i="246"/>
  <c r="I549" i="246"/>
  <c r="R548" i="246"/>
  <c r="Q548" i="246"/>
  <c r="P548" i="246"/>
  <c r="O548" i="246"/>
  <c r="L548" i="246"/>
  <c r="K548" i="246"/>
  <c r="J548" i="246"/>
  <c r="I548" i="246"/>
  <c r="R547" i="246"/>
  <c r="Q547" i="246"/>
  <c r="P547" i="246"/>
  <c r="O547" i="246"/>
  <c r="L547" i="246"/>
  <c r="K547" i="246"/>
  <c r="J547" i="246"/>
  <c r="I547" i="246"/>
  <c r="R546" i="246"/>
  <c r="Q546" i="246"/>
  <c r="P546" i="246"/>
  <c r="O546" i="246"/>
  <c r="L546" i="246"/>
  <c r="K546" i="246"/>
  <c r="J546" i="246"/>
  <c r="I546" i="246"/>
  <c r="R545" i="246"/>
  <c r="Q545" i="246"/>
  <c r="P545" i="246"/>
  <c r="O545" i="246"/>
  <c r="L545" i="246"/>
  <c r="K545" i="246"/>
  <c r="J545" i="246"/>
  <c r="I545" i="246"/>
  <c r="R544" i="246"/>
  <c r="Q544" i="246"/>
  <c r="P544" i="246"/>
  <c r="O544" i="246"/>
  <c r="L544" i="246"/>
  <c r="K544" i="246"/>
  <c r="J544" i="246"/>
  <c r="I544" i="246"/>
  <c r="R543" i="246"/>
  <c r="Q543" i="246"/>
  <c r="P543" i="246"/>
  <c r="O543" i="246"/>
  <c r="L543" i="246"/>
  <c r="K543" i="246"/>
  <c r="J543" i="246"/>
  <c r="I543" i="246"/>
  <c r="R542" i="246"/>
  <c r="Q542" i="246"/>
  <c r="P542" i="246"/>
  <c r="O542" i="246"/>
  <c r="L542" i="246"/>
  <c r="K542" i="246"/>
  <c r="J542" i="246"/>
  <c r="I542" i="246"/>
  <c r="R541" i="246"/>
  <c r="Q541" i="246"/>
  <c r="P541" i="246"/>
  <c r="O541" i="246"/>
  <c r="L541" i="246"/>
  <c r="K541" i="246"/>
  <c r="J541" i="246"/>
  <c r="I541" i="246"/>
  <c r="R540" i="246"/>
  <c r="Q540" i="246"/>
  <c r="P540" i="246"/>
  <c r="O540" i="246"/>
  <c r="L540" i="246"/>
  <c r="K540" i="246"/>
  <c r="J540" i="246"/>
  <c r="I540" i="246"/>
  <c r="R539" i="246"/>
  <c r="Q539" i="246"/>
  <c r="P539" i="246"/>
  <c r="O539" i="246"/>
  <c r="L539" i="246"/>
  <c r="K539" i="246"/>
  <c r="J539" i="246"/>
  <c r="I539" i="246"/>
  <c r="R538" i="246"/>
  <c r="Q538" i="246"/>
  <c r="P538" i="246"/>
  <c r="O538" i="246"/>
  <c r="L538" i="246"/>
  <c r="K538" i="246"/>
  <c r="J538" i="246"/>
  <c r="I538" i="246"/>
  <c r="R537" i="246"/>
  <c r="Q537" i="246"/>
  <c r="P537" i="246"/>
  <c r="O537" i="246"/>
  <c r="L537" i="246"/>
  <c r="K537" i="246"/>
  <c r="J537" i="246"/>
  <c r="I537" i="246"/>
  <c r="R536" i="246"/>
  <c r="Q536" i="246"/>
  <c r="P536" i="246"/>
  <c r="O536" i="246"/>
  <c r="L536" i="246"/>
  <c r="K536" i="246"/>
  <c r="J536" i="246"/>
  <c r="I536" i="246"/>
  <c r="R533" i="246"/>
  <c r="Q533" i="246"/>
  <c r="P533" i="246"/>
  <c r="O533" i="246"/>
  <c r="L533" i="246"/>
  <c r="K533" i="246"/>
  <c r="J533" i="246"/>
  <c r="I533" i="246"/>
  <c r="R532" i="246"/>
  <c r="Q532" i="246"/>
  <c r="P532" i="246"/>
  <c r="O532" i="246"/>
  <c r="L532" i="246"/>
  <c r="K532" i="246"/>
  <c r="J532" i="246"/>
  <c r="I532" i="246"/>
  <c r="R531" i="246"/>
  <c r="Q531" i="246"/>
  <c r="P531" i="246"/>
  <c r="O531" i="246"/>
  <c r="L531" i="246"/>
  <c r="K531" i="246"/>
  <c r="J531" i="246"/>
  <c r="I531" i="246"/>
  <c r="R528" i="246"/>
  <c r="Q528" i="246"/>
  <c r="P528" i="246"/>
  <c r="O528" i="246"/>
  <c r="L528" i="246"/>
  <c r="K528" i="246"/>
  <c r="J528" i="246"/>
  <c r="I528" i="246"/>
  <c r="R527" i="246"/>
  <c r="Q527" i="246"/>
  <c r="P527" i="246"/>
  <c r="O527" i="246"/>
  <c r="L527" i="246"/>
  <c r="K527" i="246"/>
  <c r="J527" i="246"/>
  <c r="I527" i="246"/>
  <c r="R526" i="246"/>
  <c r="Q526" i="246"/>
  <c r="P526" i="246"/>
  <c r="O526" i="246"/>
  <c r="L526" i="246"/>
  <c r="K526" i="246"/>
  <c r="J526" i="246"/>
  <c r="I526" i="246"/>
  <c r="R525" i="246"/>
  <c r="Q525" i="246"/>
  <c r="P525" i="246"/>
  <c r="O525" i="246"/>
  <c r="L525" i="246"/>
  <c r="K525" i="246"/>
  <c r="J525" i="246"/>
  <c r="I525" i="246"/>
  <c r="R524" i="246"/>
  <c r="Q524" i="246"/>
  <c r="P524" i="246"/>
  <c r="O524" i="246"/>
  <c r="L524" i="246"/>
  <c r="K524" i="246"/>
  <c r="J524" i="246"/>
  <c r="I524" i="246"/>
  <c r="R523" i="246"/>
  <c r="Q523" i="246"/>
  <c r="P523" i="246"/>
  <c r="O523" i="246"/>
  <c r="L523" i="246"/>
  <c r="K523" i="246"/>
  <c r="J523" i="246"/>
  <c r="I523" i="246"/>
  <c r="R517" i="246"/>
  <c r="Q517" i="246"/>
  <c r="P517" i="246"/>
  <c r="O517" i="246"/>
  <c r="L517" i="246"/>
  <c r="K517" i="246"/>
  <c r="J517" i="246"/>
  <c r="I517" i="246"/>
  <c r="R516" i="246"/>
  <c r="Q516" i="246"/>
  <c r="P516" i="246"/>
  <c r="O516" i="246"/>
  <c r="L516" i="246"/>
  <c r="K516" i="246"/>
  <c r="J516" i="246"/>
  <c r="I516" i="246"/>
  <c r="R515" i="246"/>
  <c r="Q515" i="246"/>
  <c r="P515" i="246"/>
  <c r="O515" i="246"/>
  <c r="L515" i="246"/>
  <c r="K515" i="246"/>
  <c r="J515" i="246"/>
  <c r="I515" i="246"/>
  <c r="R514" i="246"/>
  <c r="Q514" i="246"/>
  <c r="P514" i="246"/>
  <c r="O514" i="246"/>
  <c r="L514" i="246"/>
  <c r="K514" i="246"/>
  <c r="J514" i="246"/>
  <c r="I514" i="246"/>
  <c r="R513" i="246"/>
  <c r="Q513" i="246"/>
  <c r="P513" i="246"/>
  <c r="O513" i="246"/>
  <c r="L513" i="246"/>
  <c r="K513" i="246"/>
  <c r="J513" i="246"/>
  <c r="I513" i="246"/>
  <c r="R510" i="246"/>
  <c r="Q510" i="246"/>
  <c r="P510" i="246"/>
  <c r="O510" i="246"/>
  <c r="L510" i="246"/>
  <c r="K510" i="246"/>
  <c r="J510" i="246"/>
  <c r="I510" i="246"/>
  <c r="C510" i="246"/>
  <c r="C572" i="246" s="1"/>
  <c r="C634" i="246" s="1"/>
  <c r="C696" i="246" s="1"/>
  <c r="C758" i="246" s="1"/>
  <c r="R509" i="246"/>
  <c r="Q509" i="246"/>
  <c r="P509" i="246"/>
  <c r="O509" i="246"/>
  <c r="L509" i="246"/>
  <c r="K509" i="246"/>
  <c r="J509" i="246"/>
  <c r="I509" i="246"/>
  <c r="R508" i="246"/>
  <c r="Q508" i="246"/>
  <c r="P508" i="246"/>
  <c r="O508" i="246"/>
  <c r="L508" i="246"/>
  <c r="K508" i="246"/>
  <c r="J508" i="246"/>
  <c r="I508" i="246"/>
  <c r="R507" i="246"/>
  <c r="Q507" i="246"/>
  <c r="P507" i="246"/>
  <c r="O507" i="246"/>
  <c r="L507" i="246"/>
  <c r="K507" i="246"/>
  <c r="J507" i="246"/>
  <c r="I507" i="246"/>
  <c r="R504" i="246"/>
  <c r="Q504" i="246"/>
  <c r="P504" i="246"/>
  <c r="O504" i="246"/>
  <c r="L504" i="246"/>
  <c r="K504" i="246"/>
  <c r="J504" i="246"/>
  <c r="I504" i="246"/>
  <c r="V494" i="246"/>
  <c r="V493" i="246"/>
  <c r="R493" i="246"/>
  <c r="Q493" i="246"/>
  <c r="P493" i="246"/>
  <c r="O493" i="246"/>
  <c r="L493" i="246"/>
  <c r="K493" i="246"/>
  <c r="J493" i="246"/>
  <c r="I493" i="246"/>
  <c r="G493" i="246"/>
  <c r="E493" i="246"/>
  <c r="D493" i="246"/>
  <c r="U493" i="246" s="1"/>
  <c r="V492" i="246"/>
  <c r="R492" i="246"/>
  <c r="Q492" i="246"/>
  <c r="P492" i="246"/>
  <c r="O492" i="246"/>
  <c r="L492" i="246"/>
  <c r="K492" i="246"/>
  <c r="J492" i="246"/>
  <c r="I492" i="246"/>
  <c r="G492" i="246"/>
  <c r="E492" i="246"/>
  <c r="D492" i="246"/>
  <c r="U492" i="246" s="1"/>
  <c r="R487" i="246"/>
  <c r="Q487" i="246"/>
  <c r="P487" i="246"/>
  <c r="O487" i="246"/>
  <c r="L487" i="246"/>
  <c r="K487" i="246"/>
  <c r="J487" i="246"/>
  <c r="I487" i="246"/>
  <c r="R486" i="246"/>
  <c r="Q486" i="246"/>
  <c r="P486" i="246"/>
  <c r="O486" i="246"/>
  <c r="L486" i="246"/>
  <c r="K486" i="246"/>
  <c r="J486" i="246"/>
  <c r="I486" i="246"/>
  <c r="R485" i="246"/>
  <c r="Q485" i="246"/>
  <c r="P485" i="246"/>
  <c r="O485" i="246"/>
  <c r="L485" i="246"/>
  <c r="K485" i="246"/>
  <c r="J485" i="246"/>
  <c r="I485" i="246"/>
  <c r="R484" i="246"/>
  <c r="Q484" i="246"/>
  <c r="P484" i="246"/>
  <c r="O484" i="246"/>
  <c r="L484" i="246"/>
  <c r="K484" i="246"/>
  <c r="J484" i="246"/>
  <c r="I484" i="246"/>
  <c r="R483" i="246"/>
  <c r="Q483" i="246"/>
  <c r="P483" i="246"/>
  <c r="O483" i="246"/>
  <c r="L483" i="246"/>
  <c r="K483" i="246"/>
  <c r="J483" i="246"/>
  <c r="I483" i="246"/>
  <c r="R482" i="246"/>
  <c r="Q482" i="246"/>
  <c r="P482" i="246"/>
  <c r="O482" i="246"/>
  <c r="L482" i="246"/>
  <c r="K482" i="246"/>
  <c r="J482" i="246"/>
  <c r="I482" i="246"/>
  <c r="R481" i="246"/>
  <c r="Q481" i="246"/>
  <c r="P481" i="246"/>
  <c r="O481" i="246"/>
  <c r="L481" i="246"/>
  <c r="K481" i="246"/>
  <c r="J481" i="246"/>
  <c r="I481" i="246"/>
  <c r="R480" i="246"/>
  <c r="Q480" i="246"/>
  <c r="P480" i="246"/>
  <c r="O480" i="246"/>
  <c r="L480" i="246"/>
  <c r="K480" i="246"/>
  <c r="J480" i="246"/>
  <c r="I480" i="246"/>
  <c r="R479" i="246"/>
  <c r="Q479" i="246"/>
  <c r="P479" i="246"/>
  <c r="O479" i="246"/>
  <c r="L479" i="246"/>
  <c r="K479" i="246"/>
  <c r="J479" i="246"/>
  <c r="I479" i="246"/>
  <c r="R478" i="246"/>
  <c r="Q478" i="246"/>
  <c r="P478" i="246"/>
  <c r="O478" i="246"/>
  <c r="L478" i="246"/>
  <c r="K478" i="246"/>
  <c r="J478" i="246"/>
  <c r="I478" i="246"/>
  <c r="R477" i="246"/>
  <c r="Q477" i="246"/>
  <c r="P477" i="246"/>
  <c r="O477" i="246"/>
  <c r="L477" i="246"/>
  <c r="K477" i="246"/>
  <c r="J477" i="246"/>
  <c r="I477" i="246"/>
  <c r="R476" i="246"/>
  <c r="Q476" i="246"/>
  <c r="P476" i="246"/>
  <c r="O476" i="246"/>
  <c r="L476" i="246"/>
  <c r="K476" i="246"/>
  <c r="J476" i="246"/>
  <c r="I476" i="246"/>
  <c r="R475" i="246"/>
  <c r="Q475" i="246"/>
  <c r="P475" i="246"/>
  <c r="O475" i="246"/>
  <c r="L475" i="246"/>
  <c r="K475" i="246"/>
  <c r="J475" i="246"/>
  <c r="I475" i="246"/>
  <c r="R474" i="246"/>
  <c r="Q474" i="246"/>
  <c r="P474" i="246"/>
  <c r="O474" i="246"/>
  <c r="L474" i="246"/>
  <c r="K474" i="246"/>
  <c r="J474" i="246"/>
  <c r="I474" i="246"/>
  <c r="R471" i="246"/>
  <c r="Q471" i="246"/>
  <c r="P471" i="246"/>
  <c r="O471" i="246"/>
  <c r="L471" i="246"/>
  <c r="K471" i="246"/>
  <c r="J471" i="246"/>
  <c r="I471" i="246"/>
  <c r="R470" i="246"/>
  <c r="Q470" i="246"/>
  <c r="P470" i="246"/>
  <c r="O470" i="246"/>
  <c r="L470" i="246"/>
  <c r="K470" i="246"/>
  <c r="J470" i="246"/>
  <c r="I470" i="246"/>
  <c r="R469" i="246"/>
  <c r="Q469" i="246"/>
  <c r="P469" i="246"/>
  <c r="O469" i="246"/>
  <c r="L469" i="246"/>
  <c r="K469" i="246"/>
  <c r="J469" i="246"/>
  <c r="I469" i="246"/>
  <c r="R466" i="246"/>
  <c r="Q466" i="246"/>
  <c r="P466" i="246"/>
  <c r="O466" i="246"/>
  <c r="L466" i="246"/>
  <c r="K466" i="246"/>
  <c r="J466" i="246"/>
  <c r="I466" i="246"/>
  <c r="R465" i="246"/>
  <c r="Q465" i="246"/>
  <c r="P465" i="246"/>
  <c r="O465" i="246"/>
  <c r="L465" i="246"/>
  <c r="K465" i="246"/>
  <c r="J465" i="246"/>
  <c r="I465" i="246"/>
  <c r="R464" i="246"/>
  <c r="Q464" i="246"/>
  <c r="P464" i="246"/>
  <c r="O464" i="246"/>
  <c r="L464" i="246"/>
  <c r="K464" i="246"/>
  <c r="J464" i="246"/>
  <c r="I464" i="246"/>
  <c r="R463" i="246"/>
  <c r="Q463" i="246"/>
  <c r="P463" i="246"/>
  <c r="O463" i="246"/>
  <c r="L463" i="246"/>
  <c r="K463" i="246"/>
  <c r="J463" i="246"/>
  <c r="I463" i="246"/>
  <c r="R462" i="246"/>
  <c r="Q462" i="246"/>
  <c r="P462" i="246"/>
  <c r="O462" i="246"/>
  <c r="L462" i="246"/>
  <c r="K462" i="246"/>
  <c r="J462" i="246"/>
  <c r="I462" i="246"/>
  <c r="R461" i="246"/>
  <c r="Q461" i="246"/>
  <c r="P461" i="246"/>
  <c r="O461" i="246"/>
  <c r="L461" i="246"/>
  <c r="K461" i="246"/>
  <c r="J461" i="246"/>
  <c r="I461" i="246"/>
  <c r="R455" i="246"/>
  <c r="Q455" i="246"/>
  <c r="P455" i="246"/>
  <c r="O455" i="246"/>
  <c r="L455" i="246"/>
  <c r="K455" i="246"/>
  <c r="J455" i="246"/>
  <c r="I455" i="246"/>
  <c r="R454" i="246"/>
  <c r="Q454" i="246"/>
  <c r="P454" i="246"/>
  <c r="O454" i="246"/>
  <c r="L454" i="246"/>
  <c r="K454" i="246"/>
  <c r="J454" i="246"/>
  <c r="I454" i="246"/>
  <c r="R453" i="246"/>
  <c r="Q453" i="246"/>
  <c r="P453" i="246"/>
  <c r="O453" i="246"/>
  <c r="L453" i="246"/>
  <c r="K453" i="246"/>
  <c r="J453" i="246"/>
  <c r="I453" i="246"/>
  <c r="R452" i="246"/>
  <c r="Q452" i="246"/>
  <c r="P452" i="246"/>
  <c r="O452" i="246"/>
  <c r="L452" i="246"/>
  <c r="K452" i="246"/>
  <c r="J452" i="246"/>
  <c r="I452" i="246"/>
  <c r="R451" i="246"/>
  <c r="Q451" i="246"/>
  <c r="P451" i="246"/>
  <c r="O451" i="246"/>
  <c r="L451" i="246"/>
  <c r="K451" i="246"/>
  <c r="J451" i="246"/>
  <c r="I451" i="246"/>
  <c r="R448" i="246"/>
  <c r="Q448" i="246"/>
  <c r="P448" i="246"/>
  <c r="O448" i="246"/>
  <c r="L448" i="246"/>
  <c r="K448" i="246"/>
  <c r="J448" i="246"/>
  <c r="I448" i="246"/>
  <c r="R447" i="246"/>
  <c r="Q447" i="246"/>
  <c r="P447" i="246"/>
  <c r="O447" i="246"/>
  <c r="L447" i="246"/>
  <c r="K447" i="246"/>
  <c r="J447" i="246"/>
  <c r="I447" i="246"/>
  <c r="R446" i="246"/>
  <c r="Q446" i="246"/>
  <c r="P446" i="246"/>
  <c r="O446" i="246"/>
  <c r="L446" i="246"/>
  <c r="K446" i="246"/>
  <c r="J446" i="246"/>
  <c r="I446" i="246"/>
  <c r="R445" i="246"/>
  <c r="Q445" i="246"/>
  <c r="P445" i="246"/>
  <c r="O445" i="246"/>
  <c r="L445" i="246"/>
  <c r="K445" i="246"/>
  <c r="J445" i="246"/>
  <c r="I445" i="246"/>
  <c r="R442" i="246"/>
  <c r="Q442" i="246"/>
  <c r="P442" i="246"/>
  <c r="O442" i="246"/>
  <c r="L442" i="246"/>
  <c r="K442" i="246"/>
  <c r="J442" i="246"/>
  <c r="I442" i="246"/>
  <c r="V432" i="246"/>
  <c r="V431" i="246"/>
  <c r="R431" i="246"/>
  <c r="Q431" i="246"/>
  <c r="P431" i="246"/>
  <c r="O431" i="246"/>
  <c r="L431" i="246"/>
  <c r="K431" i="246"/>
  <c r="J431" i="246"/>
  <c r="I431" i="246"/>
  <c r="G431" i="246"/>
  <c r="E431" i="246"/>
  <c r="D431" i="246"/>
  <c r="U431" i="246" s="1"/>
  <c r="V430" i="246"/>
  <c r="R430" i="246"/>
  <c r="Q430" i="246"/>
  <c r="P430" i="246"/>
  <c r="O430" i="246"/>
  <c r="L430" i="246"/>
  <c r="K430" i="246"/>
  <c r="J430" i="246"/>
  <c r="I430" i="246"/>
  <c r="G430" i="246"/>
  <c r="E430" i="246"/>
  <c r="D430" i="246"/>
  <c r="U430" i="246" s="1"/>
  <c r="R425" i="246"/>
  <c r="Q425" i="246"/>
  <c r="P425" i="246"/>
  <c r="O425" i="246"/>
  <c r="L425" i="246"/>
  <c r="K425" i="246"/>
  <c r="J425" i="246"/>
  <c r="I425" i="246"/>
  <c r="R424" i="246"/>
  <c r="Q424" i="246"/>
  <c r="P424" i="246"/>
  <c r="O424" i="246"/>
  <c r="L424" i="246"/>
  <c r="K424" i="246"/>
  <c r="J424" i="246"/>
  <c r="I424" i="246"/>
  <c r="R423" i="246"/>
  <c r="Q423" i="246"/>
  <c r="P423" i="246"/>
  <c r="O423" i="246"/>
  <c r="L423" i="246"/>
  <c r="K423" i="246"/>
  <c r="J423" i="246"/>
  <c r="I423" i="246"/>
  <c r="R422" i="246"/>
  <c r="Q422" i="246"/>
  <c r="P422" i="246"/>
  <c r="O422" i="246"/>
  <c r="L422" i="246"/>
  <c r="K422" i="246"/>
  <c r="J422" i="246"/>
  <c r="I422" i="246"/>
  <c r="R421" i="246"/>
  <c r="Q421" i="246"/>
  <c r="P421" i="246"/>
  <c r="O421" i="246"/>
  <c r="L421" i="246"/>
  <c r="K421" i="246"/>
  <c r="J421" i="246"/>
  <c r="I421" i="246"/>
  <c r="R420" i="246"/>
  <c r="Q420" i="246"/>
  <c r="P420" i="246"/>
  <c r="O420" i="246"/>
  <c r="L420" i="246"/>
  <c r="K420" i="246"/>
  <c r="J420" i="246"/>
  <c r="I420" i="246"/>
  <c r="R419" i="246"/>
  <c r="Q419" i="246"/>
  <c r="P419" i="246"/>
  <c r="O419" i="246"/>
  <c r="L419" i="246"/>
  <c r="K419" i="246"/>
  <c r="J419" i="246"/>
  <c r="I419" i="246"/>
  <c r="R418" i="246"/>
  <c r="Q418" i="246"/>
  <c r="P418" i="246"/>
  <c r="O418" i="246"/>
  <c r="L418" i="246"/>
  <c r="K418" i="246"/>
  <c r="J418" i="246"/>
  <c r="I418" i="246"/>
  <c r="R417" i="246"/>
  <c r="Q417" i="246"/>
  <c r="P417" i="246"/>
  <c r="O417" i="246"/>
  <c r="L417" i="246"/>
  <c r="K417" i="246"/>
  <c r="J417" i="246"/>
  <c r="I417" i="246"/>
  <c r="R416" i="246"/>
  <c r="Q416" i="246"/>
  <c r="P416" i="246"/>
  <c r="O416" i="246"/>
  <c r="L416" i="246"/>
  <c r="K416" i="246"/>
  <c r="J416" i="246"/>
  <c r="I416" i="246"/>
  <c r="R415" i="246"/>
  <c r="Q415" i="246"/>
  <c r="P415" i="246"/>
  <c r="O415" i="246"/>
  <c r="L415" i="246"/>
  <c r="K415" i="246"/>
  <c r="J415" i="246"/>
  <c r="I415" i="246"/>
  <c r="R414" i="246"/>
  <c r="Q414" i="246"/>
  <c r="P414" i="246"/>
  <c r="O414" i="246"/>
  <c r="L414" i="246"/>
  <c r="K414" i="246"/>
  <c r="J414" i="246"/>
  <c r="I414" i="246"/>
  <c r="R413" i="246"/>
  <c r="Q413" i="246"/>
  <c r="P413" i="246"/>
  <c r="O413" i="246"/>
  <c r="L413" i="246"/>
  <c r="K413" i="246"/>
  <c r="J413" i="246"/>
  <c r="I413" i="246"/>
  <c r="R412" i="246"/>
  <c r="Q412" i="246"/>
  <c r="P412" i="246"/>
  <c r="O412" i="246"/>
  <c r="L412" i="246"/>
  <c r="K412" i="246"/>
  <c r="J412" i="246"/>
  <c r="I412" i="246"/>
  <c r="R409" i="246"/>
  <c r="Q409" i="246"/>
  <c r="P409" i="246"/>
  <c r="O409" i="246"/>
  <c r="L409" i="246"/>
  <c r="K409" i="246"/>
  <c r="J409" i="246"/>
  <c r="I409" i="246"/>
  <c r="R408" i="246"/>
  <c r="Q408" i="246"/>
  <c r="P408" i="246"/>
  <c r="O408" i="246"/>
  <c r="L408" i="246"/>
  <c r="K408" i="246"/>
  <c r="J408" i="246"/>
  <c r="I408" i="246"/>
  <c r="R407" i="246"/>
  <c r="Q407" i="246"/>
  <c r="P407" i="246"/>
  <c r="O407" i="246"/>
  <c r="L407" i="246"/>
  <c r="K407" i="246"/>
  <c r="J407" i="246"/>
  <c r="I407" i="246"/>
  <c r="R404" i="246"/>
  <c r="Q404" i="246"/>
  <c r="P404" i="246"/>
  <c r="O404" i="246"/>
  <c r="L404" i="246"/>
  <c r="K404" i="246"/>
  <c r="J404" i="246"/>
  <c r="I404" i="246"/>
  <c r="R403" i="246"/>
  <c r="Q403" i="246"/>
  <c r="P403" i="246"/>
  <c r="O403" i="246"/>
  <c r="L403" i="246"/>
  <c r="K403" i="246"/>
  <c r="J403" i="246"/>
  <c r="I403" i="246"/>
  <c r="R402" i="246"/>
  <c r="Q402" i="246"/>
  <c r="P402" i="246"/>
  <c r="O402" i="246"/>
  <c r="L402" i="246"/>
  <c r="K402" i="246"/>
  <c r="J402" i="246"/>
  <c r="I402" i="246"/>
  <c r="R401" i="246"/>
  <c r="Q401" i="246"/>
  <c r="P401" i="246"/>
  <c r="O401" i="246"/>
  <c r="L401" i="246"/>
  <c r="K401" i="246"/>
  <c r="J401" i="246"/>
  <c r="I401" i="246"/>
  <c r="R400" i="246"/>
  <c r="Q400" i="246"/>
  <c r="P400" i="246"/>
  <c r="O400" i="246"/>
  <c r="L400" i="246"/>
  <c r="K400" i="246"/>
  <c r="J400" i="246"/>
  <c r="I400" i="246"/>
  <c r="R399" i="246"/>
  <c r="Q399" i="246"/>
  <c r="P399" i="246"/>
  <c r="O399" i="246"/>
  <c r="L399" i="246"/>
  <c r="K399" i="246"/>
  <c r="J399" i="246"/>
  <c r="I399" i="246"/>
  <c r="R393" i="246"/>
  <c r="Q393" i="246"/>
  <c r="P393" i="246"/>
  <c r="O393" i="246"/>
  <c r="L393" i="246"/>
  <c r="K393" i="246"/>
  <c r="J393" i="246"/>
  <c r="I393" i="246"/>
  <c r="R392" i="246"/>
  <c r="Q392" i="246"/>
  <c r="P392" i="246"/>
  <c r="O392" i="246"/>
  <c r="L392" i="246"/>
  <c r="I392" i="246"/>
  <c r="K392" i="246"/>
  <c r="J392" i="246"/>
  <c r="R391" i="246"/>
  <c r="Q391" i="246"/>
  <c r="P391" i="246"/>
  <c r="O391" i="246"/>
  <c r="L391" i="246"/>
  <c r="K391" i="246"/>
  <c r="J391" i="246"/>
  <c r="I391" i="246"/>
  <c r="R390" i="246"/>
  <c r="Q390" i="246"/>
  <c r="P390" i="246"/>
  <c r="O390" i="246"/>
  <c r="L390" i="246"/>
  <c r="K390" i="246"/>
  <c r="J390" i="246"/>
  <c r="I390" i="246"/>
  <c r="R389" i="246"/>
  <c r="Q389" i="246"/>
  <c r="P389" i="246"/>
  <c r="O389" i="246"/>
  <c r="L389" i="246"/>
  <c r="K389" i="246"/>
  <c r="J389" i="246"/>
  <c r="I389" i="246"/>
  <c r="R386" i="246"/>
  <c r="Q386" i="246"/>
  <c r="P386" i="246"/>
  <c r="O386" i="246"/>
  <c r="L386" i="246"/>
  <c r="K386" i="246"/>
  <c r="J386" i="246"/>
  <c r="I386" i="246"/>
  <c r="R385" i="246"/>
  <c r="Q385" i="246"/>
  <c r="P385" i="246"/>
  <c r="O385" i="246"/>
  <c r="L385" i="246"/>
  <c r="K385" i="246"/>
  <c r="J385" i="246"/>
  <c r="I385" i="246"/>
  <c r="R384" i="246"/>
  <c r="Q384" i="246"/>
  <c r="P384" i="246"/>
  <c r="O384" i="246"/>
  <c r="L384" i="246"/>
  <c r="K384" i="246"/>
  <c r="J384" i="246"/>
  <c r="I384" i="246"/>
  <c r="R383" i="246"/>
  <c r="Q383" i="246"/>
  <c r="P383" i="246"/>
  <c r="O383" i="246"/>
  <c r="L383" i="246"/>
  <c r="K383" i="246"/>
  <c r="J383" i="246"/>
  <c r="I383" i="246"/>
  <c r="R380" i="246"/>
  <c r="Q380" i="246"/>
  <c r="P380" i="246"/>
  <c r="O380" i="246"/>
  <c r="L380" i="246"/>
  <c r="K380" i="246"/>
  <c r="J380" i="246"/>
  <c r="I380" i="246"/>
  <c r="V370" i="246"/>
  <c r="V369" i="246"/>
  <c r="R369" i="246"/>
  <c r="Q369" i="246"/>
  <c r="P369" i="246"/>
  <c r="O369" i="246"/>
  <c r="L369" i="246"/>
  <c r="K369" i="246"/>
  <c r="J369" i="246"/>
  <c r="I369" i="246"/>
  <c r="G369" i="246"/>
  <c r="E369" i="246"/>
  <c r="D369" i="246"/>
  <c r="U369" i="246" s="1"/>
  <c r="V368" i="246"/>
  <c r="R368" i="246"/>
  <c r="Q368" i="246"/>
  <c r="P368" i="246"/>
  <c r="O368" i="246"/>
  <c r="L368" i="246"/>
  <c r="K368" i="246"/>
  <c r="J368" i="246"/>
  <c r="I368" i="246"/>
  <c r="G368" i="246"/>
  <c r="E368" i="246"/>
  <c r="D368" i="246"/>
  <c r="U368" i="246" s="1"/>
  <c r="R363" i="246"/>
  <c r="Q363" i="246"/>
  <c r="P363" i="246"/>
  <c r="O363" i="246"/>
  <c r="L363" i="246"/>
  <c r="K363" i="246"/>
  <c r="J363" i="246"/>
  <c r="I363" i="246"/>
  <c r="R362" i="246"/>
  <c r="Q362" i="246"/>
  <c r="P362" i="246"/>
  <c r="O362" i="246"/>
  <c r="L362" i="246"/>
  <c r="K362" i="246"/>
  <c r="J362" i="246"/>
  <c r="I362" i="246"/>
  <c r="R361" i="246"/>
  <c r="Q361" i="246"/>
  <c r="P361" i="246"/>
  <c r="O361" i="246"/>
  <c r="L361" i="246"/>
  <c r="K361" i="246"/>
  <c r="J361" i="246"/>
  <c r="I361" i="246"/>
  <c r="R360" i="246"/>
  <c r="Q360" i="246"/>
  <c r="P360" i="246"/>
  <c r="O360" i="246"/>
  <c r="L360" i="246"/>
  <c r="K360" i="246"/>
  <c r="J360" i="246"/>
  <c r="I360" i="246"/>
  <c r="R359" i="246"/>
  <c r="Q359" i="246"/>
  <c r="P359" i="246"/>
  <c r="O359" i="246"/>
  <c r="L359" i="246"/>
  <c r="K359" i="246"/>
  <c r="J359" i="246"/>
  <c r="I359" i="246"/>
  <c r="R358" i="246"/>
  <c r="Q358" i="246"/>
  <c r="P358" i="246"/>
  <c r="O358" i="246"/>
  <c r="L358" i="246"/>
  <c r="K358" i="246"/>
  <c r="J358" i="246"/>
  <c r="I358" i="246"/>
  <c r="R357" i="246"/>
  <c r="Q357" i="246"/>
  <c r="P357" i="246"/>
  <c r="O357" i="246"/>
  <c r="L357" i="246"/>
  <c r="K357" i="246"/>
  <c r="J357" i="246"/>
  <c r="I357" i="246"/>
  <c r="R356" i="246"/>
  <c r="Q356" i="246"/>
  <c r="P356" i="246"/>
  <c r="O356" i="246"/>
  <c r="L356" i="246"/>
  <c r="K356" i="246"/>
  <c r="J356" i="246"/>
  <c r="I356" i="246"/>
  <c r="R355" i="246"/>
  <c r="Q355" i="246"/>
  <c r="P355" i="246"/>
  <c r="O355" i="246"/>
  <c r="L355" i="246"/>
  <c r="K355" i="246"/>
  <c r="J355" i="246"/>
  <c r="I355" i="246"/>
  <c r="R354" i="246"/>
  <c r="Q354" i="246"/>
  <c r="P354" i="246"/>
  <c r="O354" i="246"/>
  <c r="L354" i="246"/>
  <c r="K354" i="246"/>
  <c r="J354" i="246"/>
  <c r="I354" i="246"/>
  <c r="R353" i="246"/>
  <c r="Q353" i="246"/>
  <c r="P353" i="246"/>
  <c r="O353" i="246"/>
  <c r="L353" i="246"/>
  <c r="K353" i="246"/>
  <c r="J353" i="246"/>
  <c r="I353" i="246"/>
  <c r="R352" i="246"/>
  <c r="Q352" i="246"/>
  <c r="P352" i="246"/>
  <c r="O352" i="246"/>
  <c r="L352" i="246"/>
  <c r="K352" i="246"/>
  <c r="J352" i="246"/>
  <c r="I352" i="246"/>
  <c r="R351" i="246"/>
  <c r="Q351" i="246"/>
  <c r="P351" i="246"/>
  <c r="O351" i="246"/>
  <c r="L351" i="246"/>
  <c r="K351" i="246"/>
  <c r="J351" i="246"/>
  <c r="I351" i="246"/>
  <c r="R350" i="246"/>
  <c r="Q350" i="246"/>
  <c r="P350" i="246"/>
  <c r="O350" i="246"/>
  <c r="L350" i="246"/>
  <c r="K350" i="246"/>
  <c r="J350" i="246"/>
  <c r="I350" i="246"/>
  <c r="R347" i="246"/>
  <c r="Q347" i="246"/>
  <c r="P347" i="246"/>
  <c r="O347" i="246"/>
  <c r="L347" i="246"/>
  <c r="K347" i="246"/>
  <c r="J347" i="246"/>
  <c r="I347" i="246"/>
  <c r="R346" i="246"/>
  <c r="Q346" i="246"/>
  <c r="P346" i="246"/>
  <c r="O346" i="246"/>
  <c r="L346" i="246"/>
  <c r="K346" i="246"/>
  <c r="J346" i="246"/>
  <c r="I346" i="246"/>
  <c r="R345" i="246"/>
  <c r="Q345" i="246"/>
  <c r="P345" i="246"/>
  <c r="O345" i="246"/>
  <c r="L345" i="246"/>
  <c r="K345" i="246"/>
  <c r="J345" i="246"/>
  <c r="I345" i="246"/>
  <c r="R342" i="246"/>
  <c r="Q342" i="246"/>
  <c r="P342" i="246"/>
  <c r="O342" i="246"/>
  <c r="L342" i="246"/>
  <c r="K342" i="246"/>
  <c r="J342" i="246"/>
  <c r="I342" i="246"/>
  <c r="R341" i="246"/>
  <c r="Q341" i="246"/>
  <c r="P341" i="246"/>
  <c r="O341" i="246"/>
  <c r="L341" i="246"/>
  <c r="K341" i="246"/>
  <c r="J341" i="246"/>
  <c r="I341" i="246"/>
  <c r="R340" i="246"/>
  <c r="Q340" i="246"/>
  <c r="P340" i="246"/>
  <c r="O340" i="246"/>
  <c r="L340" i="246"/>
  <c r="K340" i="246"/>
  <c r="J340" i="246"/>
  <c r="I340" i="246"/>
  <c r="R339" i="246"/>
  <c r="Q339" i="246"/>
  <c r="P339" i="246"/>
  <c r="O339" i="246"/>
  <c r="L339" i="246"/>
  <c r="K339" i="246"/>
  <c r="J339" i="246"/>
  <c r="I339" i="246"/>
  <c r="R338" i="246"/>
  <c r="Q338" i="246"/>
  <c r="P338" i="246"/>
  <c r="O338" i="246"/>
  <c r="L338" i="246"/>
  <c r="K338" i="246"/>
  <c r="J338" i="246"/>
  <c r="I338" i="246"/>
  <c r="R337" i="246"/>
  <c r="Q337" i="246"/>
  <c r="P337" i="246"/>
  <c r="O337" i="246"/>
  <c r="L337" i="246"/>
  <c r="K337" i="246"/>
  <c r="J337" i="246"/>
  <c r="I337" i="246"/>
  <c r="R331" i="246"/>
  <c r="Q331" i="246"/>
  <c r="P331" i="246"/>
  <c r="O331" i="246"/>
  <c r="L331" i="246"/>
  <c r="K331" i="246"/>
  <c r="J331" i="246"/>
  <c r="I331" i="246"/>
  <c r="R330" i="246"/>
  <c r="Q330" i="246"/>
  <c r="P330" i="246"/>
  <c r="O330" i="246"/>
  <c r="L330" i="246"/>
  <c r="K330" i="246"/>
  <c r="J330" i="246"/>
  <c r="I330" i="246"/>
  <c r="R329" i="246"/>
  <c r="Q329" i="246"/>
  <c r="P329" i="246"/>
  <c r="O329" i="246"/>
  <c r="L329" i="246"/>
  <c r="K329" i="246"/>
  <c r="J329" i="246"/>
  <c r="I329" i="246"/>
  <c r="R328" i="246"/>
  <c r="Q328" i="246"/>
  <c r="P328" i="246"/>
  <c r="O328" i="246"/>
  <c r="L328" i="246"/>
  <c r="K328" i="246"/>
  <c r="J328" i="246"/>
  <c r="I328" i="246"/>
  <c r="R327" i="246"/>
  <c r="Q327" i="246"/>
  <c r="P327" i="246"/>
  <c r="O327" i="246"/>
  <c r="L327" i="246"/>
  <c r="K327" i="246"/>
  <c r="J327" i="246"/>
  <c r="I327" i="246"/>
  <c r="R324" i="246"/>
  <c r="Q324" i="246"/>
  <c r="P324" i="246"/>
  <c r="O324" i="246"/>
  <c r="L324" i="246"/>
  <c r="K324" i="246"/>
  <c r="J324" i="246"/>
  <c r="I324" i="246"/>
  <c r="R323" i="246"/>
  <c r="Q323" i="246"/>
  <c r="P323" i="246"/>
  <c r="O323" i="246"/>
  <c r="L323" i="246"/>
  <c r="K323" i="246"/>
  <c r="J323" i="246"/>
  <c r="I323" i="246"/>
  <c r="R322" i="246"/>
  <c r="Q322" i="246"/>
  <c r="P322" i="246"/>
  <c r="O322" i="246"/>
  <c r="L322" i="246"/>
  <c r="K322" i="246"/>
  <c r="J322" i="246"/>
  <c r="I322" i="246"/>
  <c r="R321" i="246"/>
  <c r="Q321" i="246"/>
  <c r="P321" i="246"/>
  <c r="O321" i="246"/>
  <c r="L321" i="246"/>
  <c r="K321" i="246"/>
  <c r="J321" i="246"/>
  <c r="I321" i="246"/>
  <c r="R318" i="246"/>
  <c r="Q318" i="246"/>
  <c r="P318" i="246"/>
  <c r="O318" i="246"/>
  <c r="L318" i="246"/>
  <c r="K318" i="246"/>
  <c r="J318" i="246"/>
  <c r="I318" i="246"/>
  <c r="V308" i="246"/>
  <c r="V307" i="246"/>
  <c r="R307" i="246"/>
  <c r="Q307" i="246"/>
  <c r="P307" i="246"/>
  <c r="O307" i="246"/>
  <c r="G307" i="246"/>
  <c r="E307" i="246"/>
  <c r="D307" i="246"/>
  <c r="U307" i="246" s="1"/>
  <c r="V306" i="246"/>
  <c r="R306" i="246"/>
  <c r="Q306" i="246"/>
  <c r="P306" i="246"/>
  <c r="O306" i="246"/>
  <c r="G306" i="246"/>
  <c r="E306" i="246"/>
  <c r="D306" i="246"/>
  <c r="U306" i="246" s="1"/>
  <c r="R301" i="246"/>
  <c r="Q301" i="246"/>
  <c r="P301" i="246"/>
  <c r="O301" i="246"/>
  <c r="R300" i="246"/>
  <c r="Q300" i="246"/>
  <c r="P300" i="246"/>
  <c r="O300" i="246"/>
  <c r="R299" i="246"/>
  <c r="Q299" i="246"/>
  <c r="P299" i="246"/>
  <c r="O299" i="246"/>
  <c r="R298" i="246"/>
  <c r="Q298" i="246"/>
  <c r="P298" i="246"/>
  <c r="O298" i="246"/>
  <c r="R297" i="246"/>
  <c r="Q297" i="246"/>
  <c r="P297" i="246"/>
  <c r="O297" i="246"/>
  <c r="R296" i="246"/>
  <c r="Q296" i="246"/>
  <c r="P296" i="246"/>
  <c r="O296" i="246"/>
  <c r="R295" i="246"/>
  <c r="Q295" i="246"/>
  <c r="P295" i="246"/>
  <c r="O295" i="246"/>
  <c r="R294" i="246"/>
  <c r="Q294" i="246"/>
  <c r="P294" i="246"/>
  <c r="O294" i="246"/>
  <c r="R293" i="246"/>
  <c r="Q293" i="246"/>
  <c r="P293" i="246"/>
  <c r="O293" i="246"/>
  <c r="R292" i="246"/>
  <c r="Q292" i="246"/>
  <c r="P292" i="246"/>
  <c r="O292" i="246"/>
  <c r="R291" i="246"/>
  <c r="Q291" i="246"/>
  <c r="P291" i="246"/>
  <c r="O291" i="246"/>
  <c r="R290" i="246"/>
  <c r="Q290" i="246"/>
  <c r="P290" i="246"/>
  <c r="O290" i="246"/>
  <c r="R289" i="246"/>
  <c r="Q289" i="246"/>
  <c r="P289" i="246"/>
  <c r="O289" i="246"/>
  <c r="R288" i="246"/>
  <c r="Q288" i="246"/>
  <c r="P288" i="246"/>
  <c r="O288" i="246"/>
  <c r="R285" i="246"/>
  <c r="Q285" i="246"/>
  <c r="P285" i="246"/>
  <c r="O285" i="246"/>
  <c r="R284" i="246"/>
  <c r="Q284" i="246"/>
  <c r="P284" i="246"/>
  <c r="O284" i="246"/>
  <c r="R283" i="246"/>
  <c r="Q283" i="246"/>
  <c r="P283" i="246"/>
  <c r="O283" i="246"/>
  <c r="R280" i="246"/>
  <c r="Q280" i="246"/>
  <c r="P280" i="246"/>
  <c r="O280" i="246"/>
  <c r="R279" i="246"/>
  <c r="Q279" i="246"/>
  <c r="P279" i="246"/>
  <c r="O279" i="246"/>
  <c r="R278" i="246"/>
  <c r="Q278" i="246"/>
  <c r="P278" i="246"/>
  <c r="O278" i="246"/>
  <c r="R277" i="246"/>
  <c r="Q277" i="246"/>
  <c r="P277" i="246"/>
  <c r="O277" i="246"/>
  <c r="R276" i="246"/>
  <c r="Q276" i="246"/>
  <c r="P276" i="246"/>
  <c r="O276" i="246"/>
  <c r="R275" i="246"/>
  <c r="Q275" i="246"/>
  <c r="P275" i="246"/>
  <c r="O275" i="246"/>
  <c r="R269" i="246"/>
  <c r="Q269" i="246"/>
  <c r="P269" i="246"/>
  <c r="O269" i="246"/>
  <c r="R268" i="246"/>
  <c r="Q268" i="246"/>
  <c r="P268" i="246"/>
  <c r="O268" i="246"/>
  <c r="R267" i="246"/>
  <c r="Q267" i="246"/>
  <c r="P267" i="246"/>
  <c r="O267" i="246"/>
  <c r="R266" i="246"/>
  <c r="Q266" i="246"/>
  <c r="P266" i="246"/>
  <c r="O266" i="246"/>
  <c r="R265" i="246"/>
  <c r="Q265" i="246"/>
  <c r="P265" i="246"/>
  <c r="O265" i="246"/>
  <c r="R262" i="246"/>
  <c r="Q262" i="246"/>
  <c r="P262" i="246"/>
  <c r="O262" i="246"/>
  <c r="R261" i="246"/>
  <c r="Q261" i="246"/>
  <c r="P261" i="246"/>
  <c r="O261" i="246"/>
  <c r="R260" i="246"/>
  <c r="Q260" i="246"/>
  <c r="P260" i="246"/>
  <c r="O260" i="246"/>
  <c r="R259" i="246"/>
  <c r="Q259" i="246"/>
  <c r="P259" i="246"/>
  <c r="O259" i="246"/>
  <c r="R256" i="246"/>
  <c r="Q256" i="246"/>
  <c r="P256" i="246"/>
  <c r="V246" i="246"/>
  <c r="V245" i="246"/>
  <c r="G245" i="246"/>
  <c r="E245" i="246"/>
  <c r="D245" i="246"/>
  <c r="U245" i="246" s="1"/>
  <c r="V244" i="246"/>
  <c r="G244" i="246"/>
  <c r="E244" i="246"/>
  <c r="D244" i="246"/>
  <c r="U244" i="246" s="1"/>
  <c r="V184" i="246"/>
  <c r="V183" i="246"/>
  <c r="G183" i="246"/>
  <c r="E183" i="246"/>
  <c r="D183" i="246"/>
  <c r="U183" i="246" s="1"/>
  <c r="V182" i="246"/>
  <c r="G182" i="246"/>
  <c r="E182" i="246"/>
  <c r="D182" i="246"/>
  <c r="U182" i="246" s="1"/>
  <c r="C153" i="246"/>
  <c r="C215" i="246" s="1"/>
  <c r="C277" i="246" s="1"/>
  <c r="C339" i="246" s="1"/>
  <c r="C401" i="246" s="1"/>
  <c r="C463" i="246" s="1"/>
  <c r="C525" i="246" s="1"/>
  <c r="C587" i="246" s="1"/>
  <c r="C649" i="246" s="1"/>
  <c r="C711" i="246" s="1"/>
  <c r="C773" i="246" s="1"/>
  <c r="V128" i="246"/>
  <c r="V190" i="246" s="1"/>
  <c r="V252" i="246" s="1"/>
  <c r="V314" i="246" s="1"/>
  <c r="V376" i="246" s="1"/>
  <c r="V438" i="246" s="1"/>
  <c r="V500" i="246" s="1"/>
  <c r="V562" i="246" s="1"/>
  <c r="V624" i="246" s="1"/>
  <c r="V686" i="246" s="1"/>
  <c r="V748" i="246" s="1"/>
  <c r="C128" i="246"/>
  <c r="C190" i="246" s="1"/>
  <c r="C252" i="246" s="1"/>
  <c r="C314" i="246" s="1"/>
  <c r="C376" i="246" s="1"/>
  <c r="C438" i="246" s="1"/>
  <c r="C500" i="246" s="1"/>
  <c r="C562" i="246" s="1"/>
  <c r="C624" i="246" s="1"/>
  <c r="C686" i="246" s="1"/>
  <c r="C748" i="246" s="1"/>
  <c r="C810" i="246" s="1"/>
  <c r="V126" i="246"/>
  <c r="V188" i="246" s="1"/>
  <c r="V250" i="246" s="1"/>
  <c r="V312" i="246" s="1"/>
  <c r="V374" i="246" s="1"/>
  <c r="V436" i="246" s="1"/>
  <c r="V498" i="246" s="1"/>
  <c r="V560" i="246" s="1"/>
  <c r="V622" i="246" s="1"/>
  <c r="V684" i="246" s="1"/>
  <c r="V746" i="246" s="1"/>
  <c r="C126" i="246"/>
  <c r="C188" i="246" s="1"/>
  <c r="C250" i="246" s="1"/>
  <c r="C312" i="246" s="1"/>
  <c r="C374" i="246" s="1"/>
  <c r="C436" i="246" s="1"/>
  <c r="C498" i="246" s="1"/>
  <c r="C560" i="246" s="1"/>
  <c r="C622" i="246" s="1"/>
  <c r="C684" i="246" s="1"/>
  <c r="C746" i="246" s="1"/>
  <c r="C808" i="246" s="1"/>
  <c r="V125" i="246"/>
  <c r="V187" i="246" s="1"/>
  <c r="V249" i="246" s="1"/>
  <c r="V311" i="246" s="1"/>
  <c r="V373" i="246" s="1"/>
  <c r="V435" i="246" s="1"/>
  <c r="V497" i="246" s="1"/>
  <c r="V559" i="246" s="1"/>
  <c r="V621" i="246" s="1"/>
  <c r="V683" i="246" s="1"/>
  <c r="V745" i="246" s="1"/>
  <c r="C125" i="246"/>
  <c r="C187" i="246" s="1"/>
  <c r="C249" i="246" s="1"/>
  <c r="C311" i="246" s="1"/>
  <c r="C373" i="246" s="1"/>
  <c r="C435" i="246" s="1"/>
  <c r="C497" i="246" s="1"/>
  <c r="C559" i="246" s="1"/>
  <c r="C621" i="246" s="1"/>
  <c r="C683" i="246" s="1"/>
  <c r="C745" i="246" s="1"/>
  <c r="C807" i="246" s="1"/>
  <c r="V124" i="246"/>
  <c r="V186" i="246" s="1"/>
  <c r="V248" i="246" s="1"/>
  <c r="V310" i="246" s="1"/>
  <c r="V372" i="246" s="1"/>
  <c r="V434" i="246" s="1"/>
  <c r="V496" i="246" s="1"/>
  <c r="V558" i="246" s="1"/>
  <c r="V620" i="246" s="1"/>
  <c r="V682" i="246" s="1"/>
  <c r="V744" i="246" s="1"/>
  <c r="C124" i="246"/>
  <c r="C186" i="246" s="1"/>
  <c r="C248" i="246" s="1"/>
  <c r="C310" i="246" s="1"/>
  <c r="C372" i="246" s="1"/>
  <c r="C434" i="246" s="1"/>
  <c r="C496" i="246" s="1"/>
  <c r="C558" i="246" s="1"/>
  <c r="C620" i="246" s="1"/>
  <c r="C682" i="246" s="1"/>
  <c r="C744" i="246" s="1"/>
  <c r="C806" i="246" s="1"/>
  <c r="V122" i="246"/>
  <c r="V121" i="246"/>
  <c r="G121" i="246"/>
  <c r="E121" i="246"/>
  <c r="D121" i="246"/>
  <c r="U121" i="246" s="1"/>
  <c r="V120" i="246"/>
  <c r="G120" i="246"/>
  <c r="E120" i="246"/>
  <c r="D120" i="246"/>
  <c r="U120" i="246" s="1"/>
  <c r="C118" i="246"/>
  <c r="C180" i="246" s="1"/>
  <c r="C242" i="246" s="1"/>
  <c r="C304" i="246" s="1"/>
  <c r="C366" i="246" s="1"/>
  <c r="C428" i="246" s="1"/>
  <c r="C490" i="246" s="1"/>
  <c r="C552" i="246" s="1"/>
  <c r="C614" i="246" s="1"/>
  <c r="C676" i="246" s="1"/>
  <c r="C738" i="246" s="1"/>
  <c r="C800" i="246" s="1"/>
  <c r="V116" i="246"/>
  <c r="V178" i="246" s="1"/>
  <c r="V240" i="246" s="1"/>
  <c r="V302" i="246" s="1"/>
  <c r="V364" i="246" s="1"/>
  <c r="V426" i="246" s="1"/>
  <c r="V488" i="246" s="1"/>
  <c r="V550" i="246" s="1"/>
  <c r="V612" i="246" s="1"/>
  <c r="V674" i="246" s="1"/>
  <c r="V736" i="246" s="1"/>
  <c r="C116" i="246"/>
  <c r="C178" i="246" s="1"/>
  <c r="C240" i="246" s="1"/>
  <c r="C302" i="246" s="1"/>
  <c r="C364" i="246" s="1"/>
  <c r="C426" i="246" s="1"/>
  <c r="C488" i="246" s="1"/>
  <c r="C550" i="246" s="1"/>
  <c r="C612" i="246" s="1"/>
  <c r="C674" i="246" s="1"/>
  <c r="C736" i="246" s="1"/>
  <c r="C798" i="246" s="1"/>
  <c r="V115" i="246"/>
  <c r="V177" i="246" s="1"/>
  <c r="V239" i="246" s="1"/>
  <c r="V301" i="246" s="1"/>
  <c r="V363" i="246" s="1"/>
  <c r="V425" i="246" s="1"/>
  <c r="V487" i="246" s="1"/>
  <c r="V549" i="246" s="1"/>
  <c r="V611" i="246" s="1"/>
  <c r="V673" i="246" s="1"/>
  <c r="V735" i="246" s="1"/>
  <c r="C115" i="246"/>
  <c r="C177" i="246" s="1"/>
  <c r="C239" i="246" s="1"/>
  <c r="C301" i="246" s="1"/>
  <c r="C363" i="246" s="1"/>
  <c r="C425" i="246" s="1"/>
  <c r="C487" i="246" s="1"/>
  <c r="C549" i="246" s="1"/>
  <c r="C611" i="246" s="1"/>
  <c r="C673" i="246" s="1"/>
  <c r="C735" i="246" s="1"/>
  <c r="C797" i="246" s="1"/>
  <c r="V114" i="246"/>
  <c r="V176" i="246" s="1"/>
  <c r="V238" i="246" s="1"/>
  <c r="V300" i="246" s="1"/>
  <c r="V362" i="246" s="1"/>
  <c r="V424" i="246" s="1"/>
  <c r="V486" i="246" s="1"/>
  <c r="V548" i="246" s="1"/>
  <c r="V610" i="246" s="1"/>
  <c r="V672" i="246" s="1"/>
  <c r="V734" i="246" s="1"/>
  <c r="C114" i="246"/>
  <c r="C176" i="246" s="1"/>
  <c r="C238" i="246" s="1"/>
  <c r="C300" i="246" s="1"/>
  <c r="C362" i="246" s="1"/>
  <c r="C424" i="246" s="1"/>
  <c r="C486" i="246" s="1"/>
  <c r="C548" i="246" s="1"/>
  <c r="C610" i="246" s="1"/>
  <c r="C672" i="246" s="1"/>
  <c r="C734" i="246" s="1"/>
  <c r="C796" i="246" s="1"/>
  <c r="V113" i="246"/>
  <c r="V175" i="246" s="1"/>
  <c r="V237" i="246" s="1"/>
  <c r="V299" i="246" s="1"/>
  <c r="V361" i="246" s="1"/>
  <c r="V423" i="246" s="1"/>
  <c r="V485" i="246" s="1"/>
  <c r="V547" i="246" s="1"/>
  <c r="V609" i="246" s="1"/>
  <c r="V671" i="246" s="1"/>
  <c r="V733" i="246" s="1"/>
  <c r="C113" i="246"/>
  <c r="C175" i="246" s="1"/>
  <c r="C237" i="246" s="1"/>
  <c r="C299" i="246" s="1"/>
  <c r="C361" i="246" s="1"/>
  <c r="C423" i="246" s="1"/>
  <c r="C485" i="246" s="1"/>
  <c r="C547" i="246" s="1"/>
  <c r="C609" i="246" s="1"/>
  <c r="C671" i="246" s="1"/>
  <c r="C733" i="246" s="1"/>
  <c r="C795" i="246" s="1"/>
  <c r="V112" i="246"/>
  <c r="V174" i="246" s="1"/>
  <c r="V236" i="246" s="1"/>
  <c r="V298" i="246" s="1"/>
  <c r="V360" i="246" s="1"/>
  <c r="V422" i="246" s="1"/>
  <c r="V484" i="246" s="1"/>
  <c r="V546" i="246" s="1"/>
  <c r="V608" i="246" s="1"/>
  <c r="V670" i="246" s="1"/>
  <c r="V732" i="246" s="1"/>
  <c r="C112" i="246"/>
  <c r="C174" i="246" s="1"/>
  <c r="C236" i="246" s="1"/>
  <c r="C298" i="246" s="1"/>
  <c r="C360" i="246" s="1"/>
  <c r="C422" i="246" s="1"/>
  <c r="C484" i="246" s="1"/>
  <c r="C546" i="246" s="1"/>
  <c r="C608" i="246" s="1"/>
  <c r="C670" i="246" s="1"/>
  <c r="C732" i="246" s="1"/>
  <c r="C794" i="246" s="1"/>
  <c r="V111" i="246"/>
  <c r="V173" i="246" s="1"/>
  <c r="V235" i="246" s="1"/>
  <c r="V297" i="246" s="1"/>
  <c r="V359" i="246" s="1"/>
  <c r="V421" i="246" s="1"/>
  <c r="V483" i="246" s="1"/>
  <c r="V545" i="246" s="1"/>
  <c r="V607" i="246" s="1"/>
  <c r="V669" i="246" s="1"/>
  <c r="V731" i="246" s="1"/>
  <c r="C111" i="246"/>
  <c r="C173" i="246" s="1"/>
  <c r="C235" i="246" s="1"/>
  <c r="C297" i="246" s="1"/>
  <c r="C359" i="246" s="1"/>
  <c r="C421" i="246" s="1"/>
  <c r="C483" i="246" s="1"/>
  <c r="C545" i="246" s="1"/>
  <c r="C607" i="246" s="1"/>
  <c r="C669" i="246" s="1"/>
  <c r="C731" i="246" s="1"/>
  <c r="C793" i="246" s="1"/>
  <c r="V110" i="246"/>
  <c r="V172" i="246" s="1"/>
  <c r="V234" i="246" s="1"/>
  <c r="V296" i="246" s="1"/>
  <c r="V358" i="246" s="1"/>
  <c r="V420" i="246" s="1"/>
  <c r="V482" i="246" s="1"/>
  <c r="V544" i="246" s="1"/>
  <c r="V606" i="246" s="1"/>
  <c r="V668" i="246" s="1"/>
  <c r="V730" i="246" s="1"/>
  <c r="C110" i="246"/>
  <c r="C172" i="246" s="1"/>
  <c r="C234" i="246" s="1"/>
  <c r="C296" i="246" s="1"/>
  <c r="C358" i="246" s="1"/>
  <c r="C420" i="246" s="1"/>
  <c r="C482" i="246" s="1"/>
  <c r="C544" i="246" s="1"/>
  <c r="C606" i="246" s="1"/>
  <c r="C668" i="246" s="1"/>
  <c r="C730" i="246" s="1"/>
  <c r="C792" i="246" s="1"/>
  <c r="V109" i="246"/>
  <c r="V171" i="246" s="1"/>
  <c r="V233" i="246" s="1"/>
  <c r="V295" i="246" s="1"/>
  <c r="V357" i="246" s="1"/>
  <c r="V419" i="246" s="1"/>
  <c r="V481" i="246" s="1"/>
  <c r="V543" i="246" s="1"/>
  <c r="V605" i="246" s="1"/>
  <c r="V667" i="246" s="1"/>
  <c r="V729" i="246" s="1"/>
  <c r="C109" i="246"/>
  <c r="C171" i="246" s="1"/>
  <c r="C233" i="246" s="1"/>
  <c r="C295" i="246" s="1"/>
  <c r="C357" i="246" s="1"/>
  <c r="C419" i="246" s="1"/>
  <c r="C481" i="246" s="1"/>
  <c r="C543" i="246" s="1"/>
  <c r="C605" i="246" s="1"/>
  <c r="C667" i="246" s="1"/>
  <c r="C729" i="246" s="1"/>
  <c r="C791" i="246" s="1"/>
  <c r="V108" i="246"/>
  <c r="V170" i="246" s="1"/>
  <c r="V232" i="246" s="1"/>
  <c r="V294" i="246" s="1"/>
  <c r="V356" i="246" s="1"/>
  <c r="V418" i="246" s="1"/>
  <c r="V480" i="246" s="1"/>
  <c r="V542" i="246" s="1"/>
  <c r="V604" i="246" s="1"/>
  <c r="V666" i="246" s="1"/>
  <c r="V728" i="246" s="1"/>
  <c r="C108" i="246"/>
  <c r="C170" i="246" s="1"/>
  <c r="C232" i="246" s="1"/>
  <c r="C294" i="246" s="1"/>
  <c r="C356" i="246" s="1"/>
  <c r="C418" i="246" s="1"/>
  <c r="C480" i="246" s="1"/>
  <c r="C542" i="246" s="1"/>
  <c r="C604" i="246" s="1"/>
  <c r="C666" i="246" s="1"/>
  <c r="C728" i="246" s="1"/>
  <c r="C790" i="246" s="1"/>
  <c r="V107" i="246"/>
  <c r="V169" i="246" s="1"/>
  <c r="V231" i="246" s="1"/>
  <c r="V293" i="246" s="1"/>
  <c r="V355" i="246" s="1"/>
  <c r="V417" i="246" s="1"/>
  <c r="V479" i="246" s="1"/>
  <c r="V541" i="246" s="1"/>
  <c r="V603" i="246" s="1"/>
  <c r="V665" i="246" s="1"/>
  <c r="V727" i="246" s="1"/>
  <c r="C107" i="246"/>
  <c r="C169" i="246" s="1"/>
  <c r="C231" i="246" s="1"/>
  <c r="C293" i="246" s="1"/>
  <c r="C355" i="246" s="1"/>
  <c r="C417" i="246" s="1"/>
  <c r="C479" i="246" s="1"/>
  <c r="C541" i="246" s="1"/>
  <c r="C603" i="246" s="1"/>
  <c r="C665" i="246" s="1"/>
  <c r="C727" i="246" s="1"/>
  <c r="C789" i="246" s="1"/>
  <c r="V106" i="246"/>
  <c r="V168" i="246" s="1"/>
  <c r="V230" i="246" s="1"/>
  <c r="V292" i="246" s="1"/>
  <c r="V354" i="246" s="1"/>
  <c r="V416" i="246" s="1"/>
  <c r="V478" i="246" s="1"/>
  <c r="V540" i="246" s="1"/>
  <c r="V602" i="246" s="1"/>
  <c r="V664" i="246" s="1"/>
  <c r="V726" i="246" s="1"/>
  <c r="C106" i="246"/>
  <c r="C168" i="246" s="1"/>
  <c r="C230" i="246" s="1"/>
  <c r="C292" i="246" s="1"/>
  <c r="C354" i="246" s="1"/>
  <c r="C416" i="246" s="1"/>
  <c r="C478" i="246" s="1"/>
  <c r="C540" i="246" s="1"/>
  <c r="C602" i="246" s="1"/>
  <c r="C664" i="246" s="1"/>
  <c r="C726" i="246" s="1"/>
  <c r="C788" i="246" s="1"/>
  <c r="V105" i="246"/>
  <c r="V167" i="246" s="1"/>
  <c r="V229" i="246" s="1"/>
  <c r="V291" i="246" s="1"/>
  <c r="V353" i="246" s="1"/>
  <c r="V415" i="246" s="1"/>
  <c r="V477" i="246" s="1"/>
  <c r="V539" i="246" s="1"/>
  <c r="V601" i="246" s="1"/>
  <c r="V663" i="246" s="1"/>
  <c r="V725" i="246" s="1"/>
  <c r="C105" i="246"/>
  <c r="C167" i="246" s="1"/>
  <c r="C229" i="246" s="1"/>
  <c r="C291" i="246" s="1"/>
  <c r="C353" i="246" s="1"/>
  <c r="C415" i="246" s="1"/>
  <c r="C477" i="246" s="1"/>
  <c r="C539" i="246" s="1"/>
  <c r="C601" i="246" s="1"/>
  <c r="C663" i="246" s="1"/>
  <c r="C725" i="246" s="1"/>
  <c r="C787" i="246" s="1"/>
  <c r="V104" i="246"/>
  <c r="V166" i="246" s="1"/>
  <c r="V228" i="246" s="1"/>
  <c r="V290" i="246" s="1"/>
  <c r="V352" i="246" s="1"/>
  <c r="V414" i="246" s="1"/>
  <c r="V476" i="246" s="1"/>
  <c r="V538" i="246" s="1"/>
  <c r="V600" i="246" s="1"/>
  <c r="V662" i="246" s="1"/>
  <c r="V724" i="246" s="1"/>
  <c r="C104" i="246"/>
  <c r="C166" i="246" s="1"/>
  <c r="C228" i="246" s="1"/>
  <c r="C290" i="246" s="1"/>
  <c r="C352" i="246" s="1"/>
  <c r="C414" i="246" s="1"/>
  <c r="C476" i="246" s="1"/>
  <c r="C538" i="246" s="1"/>
  <c r="C600" i="246" s="1"/>
  <c r="C662" i="246" s="1"/>
  <c r="C724" i="246" s="1"/>
  <c r="C786" i="246" s="1"/>
  <c r="V103" i="246"/>
  <c r="V165" i="246" s="1"/>
  <c r="V227" i="246" s="1"/>
  <c r="V289" i="246" s="1"/>
  <c r="V351" i="246" s="1"/>
  <c r="V413" i="246" s="1"/>
  <c r="V475" i="246" s="1"/>
  <c r="V537" i="246" s="1"/>
  <c r="V599" i="246" s="1"/>
  <c r="V661" i="246" s="1"/>
  <c r="V723" i="246" s="1"/>
  <c r="C103" i="246"/>
  <c r="C165" i="246" s="1"/>
  <c r="C227" i="246" s="1"/>
  <c r="C289" i="246" s="1"/>
  <c r="C351" i="246" s="1"/>
  <c r="C413" i="246" s="1"/>
  <c r="C475" i="246" s="1"/>
  <c r="C537" i="246" s="1"/>
  <c r="C599" i="246" s="1"/>
  <c r="C661" i="246" s="1"/>
  <c r="C723" i="246" s="1"/>
  <c r="C785" i="246" s="1"/>
  <c r="V102" i="246"/>
  <c r="V164" i="246" s="1"/>
  <c r="V226" i="246" s="1"/>
  <c r="V288" i="246" s="1"/>
  <c r="V350" i="246" s="1"/>
  <c r="V412" i="246" s="1"/>
  <c r="V474" i="246" s="1"/>
  <c r="V536" i="246" s="1"/>
  <c r="V598" i="246" s="1"/>
  <c r="V660" i="246" s="1"/>
  <c r="V722" i="246" s="1"/>
  <c r="C102" i="246"/>
  <c r="C164" i="246" s="1"/>
  <c r="C226" i="246" s="1"/>
  <c r="C288" i="246" s="1"/>
  <c r="C350" i="246" s="1"/>
  <c r="C412" i="246" s="1"/>
  <c r="C474" i="246" s="1"/>
  <c r="C536" i="246" s="1"/>
  <c r="C598" i="246" s="1"/>
  <c r="C660" i="246" s="1"/>
  <c r="C722" i="246" s="1"/>
  <c r="C784" i="246" s="1"/>
  <c r="V100" i="246"/>
  <c r="V162" i="246" s="1"/>
  <c r="V224" i="246" s="1"/>
  <c r="V286" i="246" s="1"/>
  <c r="V348" i="246" s="1"/>
  <c r="V410" i="246" s="1"/>
  <c r="V472" i="246" s="1"/>
  <c r="V534" i="246" s="1"/>
  <c r="V596" i="246" s="1"/>
  <c r="V658" i="246" s="1"/>
  <c r="V720" i="246" s="1"/>
  <c r="C100" i="246"/>
  <c r="C162" i="246" s="1"/>
  <c r="C224" i="246" s="1"/>
  <c r="C286" i="246" s="1"/>
  <c r="C348" i="246" s="1"/>
  <c r="C410" i="246" s="1"/>
  <c r="C472" i="246" s="1"/>
  <c r="C534" i="246" s="1"/>
  <c r="C596" i="246" s="1"/>
  <c r="C658" i="246" s="1"/>
  <c r="C720" i="246" s="1"/>
  <c r="C782" i="246" s="1"/>
  <c r="V99" i="246"/>
  <c r="V161" i="246" s="1"/>
  <c r="V223" i="246" s="1"/>
  <c r="V285" i="246" s="1"/>
  <c r="V347" i="246" s="1"/>
  <c r="V409" i="246" s="1"/>
  <c r="V471" i="246" s="1"/>
  <c r="V533" i="246" s="1"/>
  <c r="V595" i="246" s="1"/>
  <c r="V657" i="246" s="1"/>
  <c r="V719" i="246" s="1"/>
  <c r="C99" i="246"/>
  <c r="C161" i="246" s="1"/>
  <c r="C223" i="246" s="1"/>
  <c r="C285" i="246" s="1"/>
  <c r="C347" i="246" s="1"/>
  <c r="C409" i="246" s="1"/>
  <c r="C471" i="246" s="1"/>
  <c r="C533" i="246" s="1"/>
  <c r="C595" i="246" s="1"/>
  <c r="C657" i="246" s="1"/>
  <c r="C719" i="246" s="1"/>
  <c r="C781" i="246" s="1"/>
  <c r="V98" i="246"/>
  <c r="V160" i="246" s="1"/>
  <c r="V222" i="246" s="1"/>
  <c r="V284" i="246" s="1"/>
  <c r="V346" i="246" s="1"/>
  <c r="V408" i="246" s="1"/>
  <c r="V470" i="246" s="1"/>
  <c r="V532" i="246" s="1"/>
  <c r="V594" i="246" s="1"/>
  <c r="V656" i="246" s="1"/>
  <c r="V718" i="246" s="1"/>
  <c r="C98" i="246"/>
  <c r="C160" i="246" s="1"/>
  <c r="C222" i="246" s="1"/>
  <c r="C284" i="246" s="1"/>
  <c r="C346" i="246" s="1"/>
  <c r="C408" i="246" s="1"/>
  <c r="C470" i="246" s="1"/>
  <c r="C532" i="246" s="1"/>
  <c r="C594" i="246" s="1"/>
  <c r="C656" i="246" s="1"/>
  <c r="C718" i="246" s="1"/>
  <c r="C780" i="246" s="1"/>
  <c r="V97" i="246"/>
  <c r="V159" i="246" s="1"/>
  <c r="V221" i="246" s="1"/>
  <c r="V283" i="246" s="1"/>
  <c r="V345" i="246" s="1"/>
  <c r="V407" i="246" s="1"/>
  <c r="V469" i="246" s="1"/>
  <c r="V531" i="246" s="1"/>
  <c r="V593" i="246" s="1"/>
  <c r="V655" i="246" s="1"/>
  <c r="V717" i="246" s="1"/>
  <c r="C97" i="246"/>
  <c r="C159" i="246" s="1"/>
  <c r="C221" i="246" s="1"/>
  <c r="C283" i="246" s="1"/>
  <c r="C345" i="246" s="1"/>
  <c r="C407" i="246" s="1"/>
  <c r="C469" i="246" s="1"/>
  <c r="C531" i="246" s="1"/>
  <c r="C593" i="246" s="1"/>
  <c r="C655" i="246" s="1"/>
  <c r="C717" i="246" s="1"/>
  <c r="C779" i="246" s="1"/>
  <c r="V95" i="246"/>
  <c r="V157" i="246" s="1"/>
  <c r="V219" i="246" s="1"/>
  <c r="V281" i="246" s="1"/>
  <c r="V343" i="246" s="1"/>
  <c r="V405" i="246" s="1"/>
  <c r="V467" i="246" s="1"/>
  <c r="V529" i="246" s="1"/>
  <c r="V591" i="246" s="1"/>
  <c r="V653" i="246" s="1"/>
  <c r="V715" i="246" s="1"/>
  <c r="C95" i="246"/>
  <c r="C157" i="246" s="1"/>
  <c r="C219" i="246" s="1"/>
  <c r="C281" i="246" s="1"/>
  <c r="C343" i="246" s="1"/>
  <c r="C405" i="246" s="1"/>
  <c r="C467" i="246" s="1"/>
  <c r="C529" i="246" s="1"/>
  <c r="C591" i="246" s="1"/>
  <c r="C653" i="246" s="1"/>
  <c r="C715" i="246" s="1"/>
  <c r="C777" i="246" s="1"/>
  <c r="V94" i="246"/>
  <c r="V156" i="246" s="1"/>
  <c r="V218" i="246" s="1"/>
  <c r="V280" i="246" s="1"/>
  <c r="V342" i="246" s="1"/>
  <c r="V404" i="246" s="1"/>
  <c r="V466" i="246" s="1"/>
  <c r="V528" i="246" s="1"/>
  <c r="V590" i="246" s="1"/>
  <c r="V652" i="246" s="1"/>
  <c r="V714" i="246" s="1"/>
  <c r="C94" i="246"/>
  <c r="C156" i="246" s="1"/>
  <c r="C218" i="246" s="1"/>
  <c r="C280" i="246" s="1"/>
  <c r="C342" i="246" s="1"/>
  <c r="C404" i="246" s="1"/>
  <c r="C466" i="246" s="1"/>
  <c r="C528" i="246" s="1"/>
  <c r="C590" i="246" s="1"/>
  <c r="C652" i="246" s="1"/>
  <c r="C714" i="246" s="1"/>
  <c r="C776" i="246" s="1"/>
  <c r="V93" i="246"/>
  <c r="V155" i="246" s="1"/>
  <c r="V217" i="246" s="1"/>
  <c r="V279" i="246" s="1"/>
  <c r="V341" i="246" s="1"/>
  <c r="V403" i="246" s="1"/>
  <c r="V465" i="246" s="1"/>
  <c r="V527" i="246" s="1"/>
  <c r="V589" i="246" s="1"/>
  <c r="V651" i="246" s="1"/>
  <c r="V713" i="246" s="1"/>
  <c r="C93" i="246"/>
  <c r="C155" i="246" s="1"/>
  <c r="C217" i="246" s="1"/>
  <c r="C279" i="246" s="1"/>
  <c r="C341" i="246" s="1"/>
  <c r="C403" i="246" s="1"/>
  <c r="C465" i="246" s="1"/>
  <c r="C527" i="246" s="1"/>
  <c r="C589" i="246" s="1"/>
  <c r="C651" i="246" s="1"/>
  <c r="C713" i="246" s="1"/>
  <c r="C775" i="246" s="1"/>
  <c r="V92" i="246"/>
  <c r="V154" i="246" s="1"/>
  <c r="V216" i="246" s="1"/>
  <c r="V278" i="246" s="1"/>
  <c r="V340" i="246" s="1"/>
  <c r="V402" i="246" s="1"/>
  <c r="V464" i="246" s="1"/>
  <c r="V526" i="246" s="1"/>
  <c r="V588" i="246" s="1"/>
  <c r="V650" i="246" s="1"/>
  <c r="V712" i="246" s="1"/>
  <c r="C92" i="246"/>
  <c r="C154" i="246" s="1"/>
  <c r="C216" i="246" s="1"/>
  <c r="C278" i="246" s="1"/>
  <c r="C340" i="246" s="1"/>
  <c r="C402" i="246" s="1"/>
  <c r="C464" i="246" s="1"/>
  <c r="C526" i="246" s="1"/>
  <c r="C588" i="246" s="1"/>
  <c r="C650" i="246" s="1"/>
  <c r="C712" i="246" s="1"/>
  <c r="C774" i="246" s="1"/>
  <c r="V90" i="246"/>
  <c r="V152" i="246" s="1"/>
  <c r="V214" i="246" s="1"/>
  <c r="V276" i="246" s="1"/>
  <c r="V338" i="246" s="1"/>
  <c r="V400" i="246" s="1"/>
  <c r="V462" i="246" s="1"/>
  <c r="V524" i="246" s="1"/>
  <c r="V586" i="246" s="1"/>
  <c r="V648" i="246" s="1"/>
  <c r="V710" i="246" s="1"/>
  <c r="C90" i="246"/>
  <c r="C152" i="246" s="1"/>
  <c r="C214" i="246" s="1"/>
  <c r="C276" i="246" s="1"/>
  <c r="C338" i="246" s="1"/>
  <c r="C400" i="246" s="1"/>
  <c r="C462" i="246" s="1"/>
  <c r="C524" i="246" s="1"/>
  <c r="C586" i="246" s="1"/>
  <c r="C648" i="246" s="1"/>
  <c r="C710" i="246" s="1"/>
  <c r="C772" i="246" s="1"/>
  <c r="V89" i="246"/>
  <c r="V151" i="246" s="1"/>
  <c r="V213" i="246" s="1"/>
  <c r="V275" i="246" s="1"/>
  <c r="V337" i="246" s="1"/>
  <c r="V399" i="246" s="1"/>
  <c r="V461" i="246" s="1"/>
  <c r="V523" i="246" s="1"/>
  <c r="V585" i="246" s="1"/>
  <c r="V647" i="246" s="1"/>
  <c r="V709" i="246" s="1"/>
  <c r="C89" i="246"/>
  <c r="C151" i="246" s="1"/>
  <c r="C213" i="246" s="1"/>
  <c r="C275" i="246" s="1"/>
  <c r="C337" i="246" s="1"/>
  <c r="C399" i="246" s="1"/>
  <c r="C461" i="246" s="1"/>
  <c r="C523" i="246" s="1"/>
  <c r="C585" i="246" s="1"/>
  <c r="C647" i="246" s="1"/>
  <c r="C709" i="246" s="1"/>
  <c r="C771" i="246" s="1"/>
  <c r="C86" i="246"/>
  <c r="C148" i="246" s="1"/>
  <c r="C210" i="246" s="1"/>
  <c r="C272" i="246" s="1"/>
  <c r="C334" i="246" s="1"/>
  <c r="C396" i="246" s="1"/>
  <c r="C458" i="246" s="1"/>
  <c r="C520" i="246" s="1"/>
  <c r="C582" i="246" s="1"/>
  <c r="C644" i="246" s="1"/>
  <c r="C706" i="246" s="1"/>
  <c r="C768" i="246" s="1"/>
  <c r="V84" i="246"/>
  <c r="V146" i="246" s="1"/>
  <c r="V208" i="246" s="1"/>
  <c r="V270" i="246" s="1"/>
  <c r="V332" i="246" s="1"/>
  <c r="V394" i="246" s="1"/>
  <c r="V456" i="246" s="1"/>
  <c r="V518" i="246" s="1"/>
  <c r="V580" i="246" s="1"/>
  <c r="V642" i="246" s="1"/>
  <c r="V704" i="246" s="1"/>
  <c r="C84" i="246"/>
  <c r="C146" i="246" s="1"/>
  <c r="C208" i="246" s="1"/>
  <c r="C270" i="246" s="1"/>
  <c r="C332" i="246" s="1"/>
  <c r="C394" i="246" s="1"/>
  <c r="C456" i="246" s="1"/>
  <c r="C518" i="246" s="1"/>
  <c r="C580" i="246" s="1"/>
  <c r="C642" i="246" s="1"/>
  <c r="C704" i="246" s="1"/>
  <c r="C766" i="246" s="1"/>
  <c r="V83" i="246"/>
  <c r="V145" i="246" s="1"/>
  <c r="V207" i="246" s="1"/>
  <c r="V269" i="246" s="1"/>
  <c r="V331" i="246" s="1"/>
  <c r="V393" i="246" s="1"/>
  <c r="V455" i="246" s="1"/>
  <c r="V517" i="246" s="1"/>
  <c r="V579" i="246" s="1"/>
  <c r="V641" i="246" s="1"/>
  <c r="V703" i="246" s="1"/>
  <c r="C83" i="246"/>
  <c r="C145" i="246" s="1"/>
  <c r="C207" i="246" s="1"/>
  <c r="C269" i="246" s="1"/>
  <c r="C331" i="246" s="1"/>
  <c r="C393" i="246" s="1"/>
  <c r="C455" i="246" s="1"/>
  <c r="C517" i="246" s="1"/>
  <c r="C579" i="246" s="1"/>
  <c r="C641" i="246" s="1"/>
  <c r="C703" i="246" s="1"/>
  <c r="C765" i="246" s="1"/>
  <c r="V82" i="246"/>
  <c r="V144" i="246" s="1"/>
  <c r="V206" i="246" s="1"/>
  <c r="V268" i="246" s="1"/>
  <c r="V330" i="246" s="1"/>
  <c r="V392" i="246" s="1"/>
  <c r="V454" i="246" s="1"/>
  <c r="V516" i="246" s="1"/>
  <c r="V578" i="246" s="1"/>
  <c r="V640" i="246" s="1"/>
  <c r="V702" i="246" s="1"/>
  <c r="C82" i="246"/>
  <c r="C144" i="246" s="1"/>
  <c r="C206" i="246" s="1"/>
  <c r="C268" i="246" s="1"/>
  <c r="C330" i="246" s="1"/>
  <c r="C392" i="246" s="1"/>
  <c r="C454" i="246" s="1"/>
  <c r="C516" i="246" s="1"/>
  <c r="C578" i="246" s="1"/>
  <c r="C640" i="246" s="1"/>
  <c r="C702" i="246" s="1"/>
  <c r="C764" i="246" s="1"/>
  <c r="V81" i="246"/>
  <c r="V143" i="246" s="1"/>
  <c r="V205" i="246" s="1"/>
  <c r="V267" i="246" s="1"/>
  <c r="V329" i="246" s="1"/>
  <c r="V391" i="246" s="1"/>
  <c r="V453" i="246" s="1"/>
  <c r="V515" i="246" s="1"/>
  <c r="V577" i="246" s="1"/>
  <c r="V639" i="246" s="1"/>
  <c r="V701" i="246" s="1"/>
  <c r="C81" i="246"/>
  <c r="C143" i="246" s="1"/>
  <c r="C205" i="246" s="1"/>
  <c r="C267" i="246" s="1"/>
  <c r="C329" i="246" s="1"/>
  <c r="C391" i="246" s="1"/>
  <c r="C453" i="246" s="1"/>
  <c r="C515" i="246" s="1"/>
  <c r="C577" i="246" s="1"/>
  <c r="C639" i="246" s="1"/>
  <c r="C701" i="246" s="1"/>
  <c r="C763" i="246" s="1"/>
  <c r="V80" i="246"/>
  <c r="V142" i="246" s="1"/>
  <c r="V204" i="246" s="1"/>
  <c r="V266" i="246" s="1"/>
  <c r="V328" i="246" s="1"/>
  <c r="V390" i="246" s="1"/>
  <c r="V452" i="246" s="1"/>
  <c r="V514" i="246" s="1"/>
  <c r="V576" i="246" s="1"/>
  <c r="V638" i="246" s="1"/>
  <c r="V700" i="246" s="1"/>
  <c r="C80" i="246"/>
  <c r="C142" i="246" s="1"/>
  <c r="C204" i="246" s="1"/>
  <c r="C266" i="246" s="1"/>
  <c r="C328" i="246" s="1"/>
  <c r="C390" i="246" s="1"/>
  <c r="C452" i="246" s="1"/>
  <c r="C514" i="246" s="1"/>
  <c r="C576" i="246" s="1"/>
  <c r="C638" i="246" s="1"/>
  <c r="C700" i="246" s="1"/>
  <c r="C762" i="246" s="1"/>
  <c r="V79" i="246"/>
  <c r="V141" i="246" s="1"/>
  <c r="V203" i="246" s="1"/>
  <c r="V265" i="246" s="1"/>
  <c r="V327" i="246" s="1"/>
  <c r="V389" i="246" s="1"/>
  <c r="V451" i="246" s="1"/>
  <c r="V513" i="246" s="1"/>
  <c r="V575" i="246" s="1"/>
  <c r="V637" i="246" s="1"/>
  <c r="V699" i="246" s="1"/>
  <c r="C79" i="246"/>
  <c r="C141" i="246" s="1"/>
  <c r="C203" i="246" s="1"/>
  <c r="C265" i="246" s="1"/>
  <c r="C327" i="246" s="1"/>
  <c r="C389" i="246" s="1"/>
  <c r="C451" i="246" s="1"/>
  <c r="C513" i="246" s="1"/>
  <c r="C575" i="246" s="1"/>
  <c r="C637" i="246" s="1"/>
  <c r="C699" i="246" s="1"/>
  <c r="C761" i="246" s="1"/>
  <c r="V77" i="246"/>
  <c r="V139" i="246" s="1"/>
  <c r="V201" i="246" s="1"/>
  <c r="V263" i="246" s="1"/>
  <c r="V325" i="246" s="1"/>
  <c r="V387" i="246" s="1"/>
  <c r="V449" i="246" s="1"/>
  <c r="V511" i="246" s="1"/>
  <c r="V573" i="246" s="1"/>
  <c r="V635" i="246" s="1"/>
  <c r="V697" i="246" s="1"/>
  <c r="C77" i="246"/>
  <c r="C139" i="246" s="1"/>
  <c r="C201" i="246" s="1"/>
  <c r="C263" i="246" s="1"/>
  <c r="C325" i="246" s="1"/>
  <c r="C387" i="246" s="1"/>
  <c r="C449" i="246" s="1"/>
  <c r="C511" i="246" s="1"/>
  <c r="C573" i="246" s="1"/>
  <c r="C635" i="246" s="1"/>
  <c r="C697" i="246" s="1"/>
  <c r="C759" i="246" s="1"/>
  <c r="V76" i="246"/>
  <c r="V138" i="246" s="1"/>
  <c r="V75" i="246"/>
  <c r="V137" i="246" s="1"/>
  <c r="V199" i="246" s="1"/>
  <c r="V261" i="246" s="1"/>
  <c r="V323" i="246" s="1"/>
  <c r="V385" i="246" s="1"/>
  <c r="V447" i="246" s="1"/>
  <c r="V509" i="246" s="1"/>
  <c r="V571" i="246" s="1"/>
  <c r="V633" i="246" s="1"/>
  <c r="V695" i="246" s="1"/>
  <c r="C75" i="246"/>
  <c r="C137" i="246" s="1"/>
  <c r="C199" i="246" s="1"/>
  <c r="C261" i="246" s="1"/>
  <c r="C323" i="246" s="1"/>
  <c r="C385" i="246" s="1"/>
  <c r="C447" i="246" s="1"/>
  <c r="C509" i="246" s="1"/>
  <c r="C571" i="246" s="1"/>
  <c r="C633" i="246" s="1"/>
  <c r="C695" i="246" s="1"/>
  <c r="C757" i="246" s="1"/>
  <c r="V74" i="246"/>
  <c r="V136" i="246" s="1"/>
  <c r="V198" i="246" s="1"/>
  <c r="V260" i="246" s="1"/>
  <c r="V322" i="246" s="1"/>
  <c r="V384" i="246" s="1"/>
  <c r="V446" i="246" s="1"/>
  <c r="V508" i="246" s="1"/>
  <c r="V570" i="246" s="1"/>
  <c r="V632" i="246" s="1"/>
  <c r="V694" i="246" s="1"/>
  <c r="C74" i="246"/>
  <c r="C136" i="246" s="1"/>
  <c r="C198" i="246" s="1"/>
  <c r="C260" i="246" s="1"/>
  <c r="C322" i="246" s="1"/>
  <c r="C384" i="246" s="1"/>
  <c r="C446" i="246" s="1"/>
  <c r="C508" i="246" s="1"/>
  <c r="C570" i="246" s="1"/>
  <c r="C632" i="246" s="1"/>
  <c r="C694" i="246" s="1"/>
  <c r="C756" i="246" s="1"/>
  <c r="V73" i="246"/>
  <c r="V135" i="246" s="1"/>
  <c r="V197" i="246" s="1"/>
  <c r="V259" i="246" s="1"/>
  <c r="V321" i="246" s="1"/>
  <c r="V383" i="246" s="1"/>
  <c r="V445" i="246" s="1"/>
  <c r="V507" i="246" s="1"/>
  <c r="V569" i="246" s="1"/>
  <c r="V631" i="246" s="1"/>
  <c r="V693" i="246" s="1"/>
  <c r="C73" i="246"/>
  <c r="C135" i="246" s="1"/>
  <c r="C197" i="246" s="1"/>
  <c r="C259" i="246" s="1"/>
  <c r="C321" i="246" s="1"/>
  <c r="C383" i="246" s="1"/>
  <c r="C445" i="246" s="1"/>
  <c r="C507" i="246" s="1"/>
  <c r="C569" i="246" s="1"/>
  <c r="C631" i="246" s="1"/>
  <c r="C693" i="246" s="1"/>
  <c r="C755" i="246" s="1"/>
  <c r="V71" i="246"/>
  <c r="V133" i="246" s="1"/>
  <c r="V195" i="246" s="1"/>
  <c r="V257" i="246" s="1"/>
  <c r="V319" i="246" s="1"/>
  <c r="V381" i="246" s="1"/>
  <c r="V443" i="246" s="1"/>
  <c r="V505" i="246" s="1"/>
  <c r="V567" i="246" s="1"/>
  <c r="V629" i="246" s="1"/>
  <c r="V691" i="246" s="1"/>
  <c r="C71" i="246"/>
  <c r="C133" i="246" s="1"/>
  <c r="C195" i="246" s="1"/>
  <c r="C257" i="246" s="1"/>
  <c r="C319" i="246" s="1"/>
  <c r="C381" i="246" s="1"/>
  <c r="C443" i="246" s="1"/>
  <c r="C505" i="246" s="1"/>
  <c r="C567" i="246" s="1"/>
  <c r="C629" i="246" s="1"/>
  <c r="C691" i="246" s="1"/>
  <c r="C753" i="246" s="1"/>
  <c r="V70" i="246"/>
  <c r="V132" i="246" s="1"/>
  <c r="V194" i="246" s="1"/>
  <c r="V256" i="246" s="1"/>
  <c r="V318" i="246" s="1"/>
  <c r="V380" i="246" s="1"/>
  <c r="V442" i="246" s="1"/>
  <c r="V504" i="246" s="1"/>
  <c r="V566" i="246" s="1"/>
  <c r="V628" i="246" s="1"/>
  <c r="V690" i="246" s="1"/>
  <c r="C70" i="246"/>
  <c r="C132" i="246" s="1"/>
  <c r="C194" i="246" s="1"/>
  <c r="C256" i="246" s="1"/>
  <c r="C318" i="246" s="1"/>
  <c r="C380" i="246" s="1"/>
  <c r="C442" i="246" s="1"/>
  <c r="C504" i="246" s="1"/>
  <c r="C566" i="246" s="1"/>
  <c r="C628" i="246" s="1"/>
  <c r="C690" i="246" s="1"/>
  <c r="C752" i="246" s="1"/>
  <c r="V60" i="246"/>
  <c r="V59" i="246"/>
  <c r="G59" i="246"/>
  <c r="E59" i="246"/>
  <c r="D59" i="246"/>
  <c r="U59" i="246" s="1"/>
  <c r="V58" i="246"/>
  <c r="G58" i="246"/>
  <c r="E58" i="246"/>
  <c r="D58" i="246"/>
  <c r="U58" i="246" s="1"/>
  <c r="V56" i="246"/>
  <c r="V118" i="246" s="1"/>
  <c r="V180" i="246" s="1"/>
  <c r="V242" i="246" s="1"/>
  <c r="V304" i="246" s="1"/>
  <c r="V366" i="246" s="1"/>
  <c r="V428" i="246" s="1"/>
  <c r="V490" i="246" s="1"/>
  <c r="V552" i="246" s="1"/>
  <c r="V614" i="246" s="1"/>
  <c r="V676" i="246" s="1"/>
  <c r="V738" i="246" s="1"/>
  <c r="G53" i="246"/>
  <c r="G115" i="246" s="1"/>
  <c r="G177" i="246" s="1"/>
  <c r="G239" i="246" s="1"/>
  <c r="G301" i="246" s="1"/>
  <c r="G363" i="246" s="1"/>
  <c r="G425" i="246" s="1"/>
  <c r="G487" i="246" s="1"/>
  <c r="G549" i="246" s="1"/>
  <c r="G611" i="246" s="1"/>
  <c r="G673" i="246" s="1"/>
  <c r="G735" i="246" s="1"/>
  <c r="G797" i="246" s="1"/>
  <c r="E53" i="246"/>
  <c r="E115" i="246" s="1"/>
  <c r="E177" i="246" s="1"/>
  <c r="E239" i="246" s="1"/>
  <c r="E301" i="246" s="1"/>
  <c r="E363" i="246" s="1"/>
  <c r="E425" i="246" s="1"/>
  <c r="E487" i="246" s="1"/>
  <c r="E549" i="246" s="1"/>
  <c r="E611" i="246" s="1"/>
  <c r="E673" i="246" s="1"/>
  <c r="E735" i="246" s="1"/>
  <c r="E797" i="246" s="1"/>
  <c r="D53" i="246"/>
  <c r="U53" i="246" s="1"/>
  <c r="U115" i="246" s="1"/>
  <c r="U177" i="246" s="1"/>
  <c r="U239" i="246" s="1"/>
  <c r="U301" i="246" s="1"/>
  <c r="U363" i="246" s="1"/>
  <c r="U425" i="246" s="1"/>
  <c r="U487" i="246" s="1"/>
  <c r="U549" i="246" s="1"/>
  <c r="U611" i="246" s="1"/>
  <c r="U673" i="246" s="1"/>
  <c r="U735" i="246" s="1"/>
  <c r="G52" i="246"/>
  <c r="G114" i="246" s="1"/>
  <c r="G176" i="246" s="1"/>
  <c r="G238" i="246" s="1"/>
  <c r="G300" i="246" s="1"/>
  <c r="G362" i="246" s="1"/>
  <c r="G424" i="246" s="1"/>
  <c r="G486" i="246" s="1"/>
  <c r="G548" i="246" s="1"/>
  <c r="G610" i="246" s="1"/>
  <c r="G672" i="246" s="1"/>
  <c r="G734" i="246" s="1"/>
  <c r="G796" i="246" s="1"/>
  <c r="E52" i="246"/>
  <c r="E114" i="246" s="1"/>
  <c r="E176" i="246" s="1"/>
  <c r="E238" i="246" s="1"/>
  <c r="E300" i="246" s="1"/>
  <c r="E362" i="246" s="1"/>
  <c r="E424" i="246" s="1"/>
  <c r="E486" i="246" s="1"/>
  <c r="E548" i="246" s="1"/>
  <c r="E610" i="246" s="1"/>
  <c r="E672" i="246" s="1"/>
  <c r="E734" i="246" s="1"/>
  <c r="E796" i="246" s="1"/>
  <c r="D52" i="246"/>
  <c r="G51" i="246"/>
  <c r="G113" i="246" s="1"/>
  <c r="G175" i="246" s="1"/>
  <c r="G237" i="246" s="1"/>
  <c r="G299" i="246" s="1"/>
  <c r="G361" i="246" s="1"/>
  <c r="G423" i="246" s="1"/>
  <c r="G485" i="246" s="1"/>
  <c r="G547" i="246" s="1"/>
  <c r="G609" i="246" s="1"/>
  <c r="G671" i="246" s="1"/>
  <c r="G733" i="246" s="1"/>
  <c r="G795" i="246" s="1"/>
  <c r="E51" i="246"/>
  <c r="E113" i="246" s="1"/>
  <c r="E175" i="246" s="1"/>
  <c r="E237" i="246" s="1"/>
  <c r="E299" i="246" s="1"/>
  <c r="E361" i="246" s="1"/>
  <c r="E423" i="246" s="1"/>
  <c r="E485" i="246" s="1"/>
  <c r="E547" i="246" s="1"/>
  <c r="E609" i="246" s="1"/>
  <c r="E671" i="246" s="1"/>
  <c r="E733" i="246" s="1"/>
  <c r="E795" i="246" s="1"/>
  <c r="D51" i="246"/>
  <c r="U51" i="246" s="1"/>
  <c r="U113" i="246" s="1"/>
  <c r="U175" i="246" s="1"/>
  <c r="U237" i="246" s="1"/>
  <c r="U299" i="246" s="1"/>
  <c r="U361" i="246" s="1"/>
  <c r="U423" i="246" s="1"/>
  <c r="U485" i="246" s="1"/>
  <c r="U547" i="246" s="1"/>
  <c r="U609" i="246" s="1"/>
  <c r="U671" i="246" s="1"/>
  <c r="U733" i="246" s="1"/>
  <c r="G50" i="246"/>
  <c r="G112" i="246" s="1"/>
  <c r="G174" i="246" s="1"/>
  <c r="G236" i="246" s="1"/>
  <c r="G298" i="246" s="1"/>
  <c r="G360" i="246" s="1"/>
  <c r="G422" i="246" s="1"/>
  <c r="G484" i="246" s="1"/>
  <c r="G546" i="246" s="1"/>
  <c r="G608" i="246" s="1"/>
  <c r="G670" i="246" s="1"/>
  <c r="G732" i="246" s="1"/>
  <c r="G794" i="246" s="1"/>
  <c r="E50" i="246"/>
  <c r="E112" i="246" s="1"/>
  <c r="E174" i="246" s="1"/>
  <c r="E236" i="246" s="1"/>
  <c r="E298" i="246" s="1"/>
  <c r="E360" i="246" s="1"/>
  <c r="E422" i="246" s="1"/>
  <c r="E484" i="246" s="1"/>
  <c r="E546" i="246" s="1"/>
  <c r="E608" i="246" s="1"/>
  <c r="E670" i="246" s="1"/>
  <c r="E732" i="246" s="1"/>
  <c r="E794" i="246" s="1"/>
  <c r="D50" i="246"/>
  <c r="G49" i="246"/>
  <c r="G111" i="246" s="1"/>
  <c r="G173" i="246" s="1"/>
  <c r="G235" i="246" s="1"/>
  <c r="G297" i="246" s="1"/>
  <c r="G359" i="246" s="1"/>
  <c r="G421" i="246" s="1"/>
  <c r="G483" i="246" s="1"/>
  <c r="G545" i="246" s="1"/>
  <c r="G607" i="246" s="1"/>
  <c r="G669" i="246" s="1"/>
  <c r="G731" i="246" s="1"/>
  <c r="G793" i="246" s="1"/>
  <c r="E49" i="246"/>
  <c r="E111" i="246" s="1"/>
  <c r="E173" i="246" s="1"/>
  <c r="E235" i="246" s="1"/>
  <c r="E297" i="246" s="1"/>
  <c r="E359" i="246" s="1"/>
  <c r="E421" i="246" s="1"/>
  <c r="E483" i="246" s="1"/>
  <c r="E545" i="246" s="1"/>
  <c r="E607" i="246" s="1"/>
  <c r="E669" i="246" s="1"/>
  <c r="E731" i="246" s="1"/>
  <c r="E793" i="246" s="1"/>
  <c r="D49" i="246"/>
  <c r="D111" i="246" s="1"/>
  <c r="D173" i="246" s="1"/>
  <c r="D235" i="246" s="1"/>
  <c r="D297" i="246" s="1"/>
  <c r="D359" i="246" s="1"/>
  <c r="D421" i="246" s="1"/>
  <c r="D483" i="246" s="1"/>
  <c r="D545" i="246" s="1"/>
  <c r="D607" i="246" s="1"/>
  <c r="D669" i="246" s="1"/>
  <c r="D731" i="246" s="1"/>
  <c r="D793" i="246" s="1"/>
  <c r="G48" i="246"/>
  <c r="G110" i="246" s="1"/>
  <c r="G172" i="246" s="1"/>
  <c r="G234" i="246" s="1"/>
  <c r="G296" i="246" s="1"/>
  <c r="G358" i="246" s="1"/>
  <c r="G420" i="246" s="1"/>
  <c r="G482" i="246" s="1"/>
  <c r="G544" i="246" s="1"/>
  <c r="G606" i="246" s="1"/>
  <c r="G668" i="246" s="1"/>
  <c r="G730" i="246" s="1"/>
  <c r="G792" i="246" s="1"/>
  <c r="E48" i="246"/>
  <c r="E110" i="246" s="1"/>
  <c r="E172" i="246" s="1"/>
  <c r="E234" i="246" s="1"/>
  <c r="E296" i="246" s="1"/>
  <c r="E358" i="246" s="1"/>
  <c r="E420" i="246" s="1"/>
  <c r="E482" i="246" s="1"/>
  <c r="E544" i="246" s="1"/>
  <c r="E606" i="246" s="1"/>
  <c r="E668" i="246" s="1"/>
  <c r="E730" i="246" s="1"/>
  <c r="E792" i="246" s="1"/>
  <c r="D48" i="246"/>
  <c r="U48" i="246" s="1"/>
  <c r="U110" i="246" s="1"/>
  <c r="U172" i="246" s="1"/>
  <c r="U234" i="246" s="1"/>
  <c r="U296" i="246" s="1"/>
  <c r="U358" i="246" s="1"/>
  <c r="U420" i="246" s="1"/>
  <c r="U482" i="246" s="1"/>
  <c r="U544" i="246" s="1"/>
  <c r="U606" i="246" s="1"/>
  <c r="U668" i="246" s="1"/>
  <c r="U730" i="246" s="1"/>
  <c r="G47" i="246"/>
  <c r="G109" i="246" s="1"/>
  <c r="G171" i="246" s="1"/>
  <c r="G233" i="246" s="1"/>
  <c r="G295" i="246" s="1"/>
  <c r="G357" i="246" s="1"/>
  <c r="G419" i="246" s="1"/>
  <c r="G481" i="246" s="1"/>
  <c r="G543" i="246" s="1"/>
  <c r="G605" i="246" s="1"/>
  <c r="G667" i="246" s="1"/>
  <c r="G729" i="246" s="1"/>
  <c r="G791" i="246" s="1"/>
  <c r="E47" i="246"/>
  <c r="E109" i="246" s="1"/>
  <c r="E171" i="246" s="1"/>
  <c r="E233" i="246" s="1"/>
  <c r="E295" i="246" s="1"/>
  <c r="E357" i="246" s="1"/>
  <c r="E419" i="246" s="1"/>
  <c r="E481" i="246" s="1"/>
  <c r="E543" i="246" s="1"/>
  <c r="E605" i="246" s="1"/>
  <c r="E667" i="246" s="1"/>
  <c r="E729" i="246" s="1"/>
  <c r="E791" i="246" s="1"/>
  <c r="D47" i="246"/>
  <c r="U47" i="246" s="1"/>
  <c r="U109" i="246" s="1"/>
  <c r="U171" i="246" s="1"/>
  <c r="U233" i="246" s="1"/>
  <c r="U295" i="246" s="1"/>
  <c r="U357" i="246" s="1"/>
  <c r="U419" i="246" s="1"/>
  <c r="U481" i="246" s="1"/>
  <c r="U543" i="246" s="1"/>
  <c r="U605" i="246" s="1"/>
  <c r="U667" i="246" s="1"/>
  <c r="U729" i="246" s="1"/>
  <c r="G46" i="246"/>
  <c r="G108" i="246" s="1"/>
  <c r="G170" i="246" s="1"/>
  <c r="G232" i="246" s="1"/>
  <c r="G294" i="246" s="1"/>
  <c r="G356" i="246" s="1"/>
  <c r="G418" i="246" s="1"/>
  <c r="G480" i="246" s="1"/>
  <c r="G542" i="246" s="1"/>
  <c r="G604" i="246" s="1"/>
  <c r="G666" i="246" s="1"/>
  <c r="G728" i="246" s="1"/>
  <c r="G790" i="246" s="1"/>
  <c r="E46" i="246"/>
  <c r="E108" i="246" s="1"/>
  <c r="E170" i="246" s="1"/>
  <c r="E232" i="246" s="1"/>
  <c r="E294" i="246" s="1"/>
  <c r="E356" i="246" s="1"/>
  <c r="E418" i="246" s="1"/>
  <c r="E480" i="246" s="1"/>
  <c r="E542" i="246" s="1"/>
  <c r="E604" i="246" s="1"/>
  <c r="E666" i="246" s="1"/>
  <c r="E728" i="246" s="1"/>
  <c r="E790" i="246" s="1"/>
  <c r="D46" i="246"/>
  <c r="D108" i="246" s="1"/>
  <c r="D170" i="246" s="1"/>
  <c r="D232" i="246" s="1"/>
  <c r="D294" i="246" s="1"/>
  <c r="D356" i="246" s="1"/>
  <c r="D418" i="246" s="1"/>
  <c r="D480" i="246" s="1"/>
  <c r="D542" i="246" s="1"/>
  <c r="D604" i="246" s="1"/>
  <c r="D666" i="246" s="1"/>
  <c r="D728" i="246" s="1"/>
  <c r="D790" i="246" s="1"/>
  <c r="G45" i="246"/>
  <c r="G107" i="246" s="1"/>
  <c r="G169" i="246" s="1"/>
  <c r="G231" i="246" s="1"/>
  <c r="G293" i="246" s="1"/>
  <c r="G355" i="246" s="1"/>
  <c r="G417" i="246" s="1"/>
  <c r="G479" i="246" s="1"/>
  <c r="G541" i="246" s="1"/>
  <c r="G603" i="246" s="1"/>
  <c r="G665" i="246" s="1"/>
  <c r="G727" i="246" s="1"/>
  <c r="G789" i="246" s="1"/>
  <c r="E45" i="246"/>
  <c r="E107" i="246" s="1"/>
  <c r="E169" i="246" s="1"/>
  <c r="E231" i="246" s="1"/>
  <c r="E293" i="246" s="1"/>
  <c r="E355" i="246" s="1"/>
  <c r="E417" i="246" s="1"/>
  <c r="E479" i="246" s="1"/>
  <c r="E541" i="246" s="1"/>
  <c r="E603" i="246" s="1"/>
  <c r="E665" i="246" s="1"/>
  <c r="E727" i="246" s="1"/>
  <c r="E789" i="246" s="1"/>
  <c r="D45" i="246"/>
  <c r="G44" i="246"/>
  <c r="G106" i="246" s="1"/>
  <c r="G168" i="246" s="1"/>
  <c r="G230" i="246" s="1"/>
  <c r="G292" i="246" s="1"/>
  <c r="G354" i="246" s="1"/>
  <c r="G416" i="246" s="1"/>
  <c r="G478" i="246" s="1"/>
  <c r="G540" i="246" s="1"/>
  <c r="G602" i="246" s="1"/>
  <c r="G664" i="246" s="1"/>
  <c r="G726" i="246" s="1"/>
  <c r="G788" i="246" s="1"/>
  <c r="E44" i="246"/>
  <c r="E106" i="246" s="1"/>
  <c r="E168" i="246" s="1"/>
  <c r="E230" i="246" s="1"/>
  <c r="E292" i="246" s="1"/>
  <c r="E354" i="246" s="1"/>
  <c r="E416" i="246" s="1"/>
  <c r="E478" i="246" s="1"/>
  <c r="E540" i="246" s="1"/>
  <c r="E602" i="246" s="1"/>
  <c r="E664" i="246" s="1"/>
  <c r="E726" i="246" s="1"/>
  <c r="E788" i="246" s="1"/>
  <c r="D44" i="246"/>
  <c r="U44" i="246" s="1"/>
  <c r="U106" i="246" s="1"/>
  <c r="U168" i="246" s="1"/>
  <c r="U230" i="246" s="1"/>
  <c r="U292" i="246" s="1"/>
  <c r="U354" i="246" s="1"/>
  <c r="U416" i="246" s="1"/>
  <c r="U478" i="246" s="1"/>
  <c r="U540" i="246" s="1"/>
  <c r="U602" i="246" s="1"/>
  <c r="U664" i="246" s="1"/>
  <c r="U726" i="246" s="1"/>
  <c r="G43" i="246"/>
  <c r="G105" i="246" s="1"/>
  <c r="G167" i="246" s="1"/>
  <c r="G229" i="246" s="1"/>
  <c r="G291" i="246" s="1"/>
  <c r="G353" i="246" s="1"/>
  <c r="G415" i="246" s="1"/>
  <c r="G477" i="246" s="1"/>
  <c r="G539" i="246" s="1"/>
  <c r="G601" i="246" s="1"/>
  <c r="G663" i="246" s="1"/>
  <c r="G725" i="246" s="1"/>
  <c r="G787" i="246" s="1"/>
  <c r="E43" i="246"/>
  <c r="E105" i="246" s="1"/>
  <c r="E167" i="246" s="1"/>
  <c r="E229" i="246" s="1"/>
  <c r="E291" i="246" s="1"/>
  <c r="E353" i="246" s="1"/>
  <c r="E415" i="246" s="1"/>
  <c r="E477" i="246" s="1"/>
  <c r="E539" i="246" s="1"/>
  <c r="E601" i="246" s="1"/>
  <c r="E663" i="246" s="1"/>
  <c r="E725" i="246" s="1"/>
  <c r="E787" i="246" s="1"/>
  <c r="D43" i="246"/>
  <c r="D105" i="246" s="1"/>
  <c r="D167" i="246" s="1"/>
  <c r="D229" i="246" s="1"/>
  <c r="D291" i="246" s="1"/>
  <c r="D353" i="246" s="1"/>
  <c r="D415" i="246" s="1"/>
  <c r="D477" i="246" s="1"/>
  <c r="D539" i="246" s="1"/>
  <c r="D601" i="246" s="1"/>
  <c r="D663" i="246" s="1"/>
  <c r="D725" i="246" s="1"/>
  <c r="D787" i="246" s="1"/>
  <c r="G42" i="246"/>
  <c r="G104" i="246" s="1"/>
  <c r="G166" i="246" s="1"/>
  <c r="G228" i="246" s="1"/>
  <c r="G290" i="246" s="1"/>
  <c r="G352" i="246" s="1"/>
  <c r="G414" i="246" s="1"/>
  <c r="G476" i="246" s="1"/>
  <c r="G538" i="246" s="1"/>
  <c r="G600" i="246" s="1"/>
  <c r="G662" i="246" s="1"/>
  <c r="G724" i="246" s="1"/>
  <c r="G786" i="246" s="1"/>
  <c r="E42" i="246"/>
  <c r="E104" i="246" s="1"/>
  <c r="E166" i="246" s="1"/>
  <c r="E228" i="246" s="1"/>
  <c r="E290" i="246" s="1"/>
  <c r="E352" i="246" s="1"/>
  <c r="E414" i="246" s="1"/>
  <c r="E476" i="246" s="1"/>
  <c r="E538" i="246" s="1"/>
  <c r="E600" i="246" s="1"/>
  <c r="E662" i="246" s="1"/>
  <c r="E724" i="246" s="1"/>
  <c r="E786" i="246" s="1"/>
  <c r="D42" i="246"/>
  <c r="G41" i="246"/>
  <c r="G103" i="246" s="1"/>
  <c r="G165" i="246" s="1"/>
  <c r="G227" i="246" s="1"/>
  <c r="G289" i="246" s="1"/>
  <c r="G351" i="246" s="1"/>
  <c r="G413" i="246" s="1"/>
  <c r="G475" i="246" s="1"/>
  <c r="G537" i="246" s="1"/>
  <c r="G599" i="246" s="1"/>
  <c r="G661" i="246" s="1"/>
  <c r="G723" i="246" s="1"/>
  <c r="G785" i="246" s="1"/>
  <c r="E41" i="246"/>
  <c r="E103" i="246" s="1"/>
  <c r="E165" i="246" s="1"/>
  <c r="E227" i="246" s="1"/>
  <c r="E289" i="246" s="1"/>
  <c r="E351" i="246" s="1"/>
  <c r="E413" i="246" s="1"/>
  <c r="E475" i="246" s="1"/>
  <c r="E537" i="246" s="1"/>
  <c r="E599" i="246" s="1"/>
  <c r="E661" i="246" s="1"/>
  <c r="E723" i="246" s="1"/>
  <c r="E785" i="246" s="1"/>
  <c r="D41" i="246"/>
  <c r="U41" i="246" s="1"/>
  <c r="U103" i="246" s="1"/>
  <c r="U165" i="246" s="1"/>
  <c r="U227" i="246" s="1"/>
  <c r="U289" i="246" s="1"/>
  <c r="U351" i="246" s="1"/>
  <c r="U413" i="246" s="1"/>
  <c r="U475" i="246" s="1"/>
  <c r="U537" i="246" s="1"/>
  <c r="U599" i="246" s="1"/>
  <c r="U661" i="246" s="1"/>
  <c r="U723" i="246" s="1"/>
  <c r="G40" i="246"/>
  <c r="G102" i="246" s="1"/>
  <c r="G164" i="246" s="1"/>
  <c r="G226" i="246" s="1"/>
  <c r="G288" i="246" s="1"/>
  <c r="G350" i="246" s="1"/>
  <c r="G412" i="246" s="1"/>
  <c r="G474" i="246" s="1"/>
  <c r="G536" i="246" s="1"/>
  <c r="G598" i="246" s="1"/>
  <c r="G660" i="246" s="1"/>
  <c r="G722" i="246" s="1"/>
  <c r="G784" i="246" s="1"/>
  <c r="E40" i="246"/>
  <c r="E102" i="246" s="1"/>
  <c r="E164" i="246" s="1"/>
  <c r="E226" i="246" s="1"/>
  <c r="E288" i="246" s="1"/>
  <c r="E350" i="246" s="1"/>
  <c r="E412" i="246" s="1"/>
  <c r="E474" i="246" s="1"/>
  <c r="E536" i="246" s="1"/>
  <c r="E598" i="246" s="1"/>
  <c r="E660" i="246" s="1"/>
  <c r="E722" i="246" s="1"/>
  <c r="E784" i="246" s="1"/>
  <c r="D40" i="246"/>
  <c r="U40" i="246" s="1"/>
  <c r="U102" i="246" s="1"/>
  <c r="U164" i="246" s="1"/>
  <c r="U226" i="246" s="1"/>
  <c r="U288" i="246" s="1"/>
  <c r="U350" i="246" s="1"/>
  <c r="U412" i="246" s="1"/>
  <c r="U474" i="246" s="1"/>
  <c r="U536" i="246" s="1"/>
  <c r="U598" i="246" s="1"/>
  <c r="U660" i="246" s="1"/>
  <c r="U722" i="246" s="1"/>
  <c r="G37" i="246"/>
  <c r="G99" i="246" s="1"/>
  <c r="G161" i="246" s="1"/>
  <c r="G223" i="246" s="1"/>
  <c r="G285" i="246" s="1"/>
  <c r="G347" i="246" s="1"/>
  <c r="G409" i="246" s="1"/>
  <c r="G471" i="246" s="1"/>
  <c r="G533" i="246" s="1"/>
  <c r="G595" i="246" s="1"/>
  <c r="G657" i="246" s="1"/>
  <c r="G719" i="246" s="1"/>
  <c r="G781" i="246" s="1"/>
  <c r="E37" i="246"/>
  <c r="E99" i="246" s="1"/>
  <c r="E161" i="246" s="1"/>
  <c r="E223" i="246" s="1"/>
  <c r="E285" i="246" s="1"/>
  <c r="E347" i="246" s="1"/>
  <c r="E409" i="246" s="1"/>
  <c r="E471" i="246" s="1"/>
  <c r="E533" i="246" s="1"/>
  <c r="E595" i="246" s="1"/>
  <c r="E657" i="246" s="1"/>
  <c r="E719" i="246" s="1"/>
  <c r="E781" i="246" s="1"/>
  <c r="D37" i="246"/>
  <c r="D99" i="246" s="1"/>
  <c r="D161" i="246" s="1"/>
  <c r="D223" i="246" s="1"/>
  <c r="D285" i="246" s="1"/>
  <c r="D347" i="246" s="1"/>
  <c r="D409" i="246" s="1"/>
  <c r="D471" i="246" s="1"/>
  <c r="D533" i="246" s="1"/>
  <c r="D595" i="246" s="1"/>
  <c r="D657" i="246" s="1"/>
  <c r="D719" i="246" s="1"/>
  <c r="D781" i="246" s="1"/>
  <c r="G36" i="246"/>
  <c r="G98" i="246" s="1"/>
  <c r="G160" i="246" s="1"/>
  <c r="G222" i="246" s="1"/>
  <c r="G284" i="246" s="1"/>
  <c r="G346" i="246" s="1"/>
  <c r="G408" i="246" s="1"/>
  <c r="G470" i="246" s="1"/>
  <c r="G532" i="246" s="1"/>
  <c r="G594" i="246" s="1"/>
  <c r="G656" i="246" s="1"/>
  <c r="G718" i="246" s="1"/>
  <c r="G780" i="246" s="1"/>
  <c r="E36" i="246"/>
  <c r="E98" i="246" s="1"/>
  <c r="E160" i="246" s="1"/>
  <c r="E222" i="246" s="1"/>
  <c r="E284" i="246" s="1"/>
  <c r="E346" i="246" s="1"/>
  <c r="E408" i="246" s="1"/>
  <c r="E470" i="246" s="1"/>
  <c r="E532" i="246" s="1"/>
  <c r="E594" i="246" s="1"/>
  <c r="E656" i="246" s="1"/>
  <c r="E718" i="246" s="1"/>
  <c r="E780" i="246" s="1"/>
  <c r="D36" i="246"/>
  <c r="D98" i="246" s="1"/>
  <c r="D160" i="246" s="1"/>
  <c r="D222" i="246" s="1"/>
  <c r="D284" i="246" s="1"/>
  <c r="D346" i="246" s="1"/>
  <c r="D408" i="246" s="1"/>
  <c r="D470" i="246" s="1"/>
  <c r="D532" i="246" s="1"/>
  <c r="D594" i="246" s="1"/>
  <c r="D656" i="246" s="1"/>
  <c r="D718" i="246" s="1"/>
  <c r="D780" i="246" s="1"/>
  <c r="G35" i="246"/>
  <c r="G97" i="246" s="1"/>
  <c r="G159" i="246" s="1"/>
  <c r="G221" i="246" s="1"/>
  <c r="G283" i="246" s="1"/>
  <c r="G345" i="246" s="1"/>
  <c r="G407" i="246" s="1"/>
  <c r="G469" i="246" s="1"/>
  <c r="G531" i="246" s="1"/>
  <c r="G593" i="246" s="1"/>
  <c r="G655" i="246" s="1"/>
  <c r="G717" i="246" s="1"/>
  <c r="G779" i="246" s="1"/>
  <c r="E35" i="246"/>
  <c r="E97" i="246" s="1"/>
  <c r="E159" i="246" s="1"/>
  <c r="E221" i="246" s="1"/>
  <c r="E283" i="246" s="1"/>
  <c r="E345" i="246" s="1"/>
  <c r="E407" i="246" s="1"/>
  <c r="E469" i="246" s="1"/>
  <c r="E531" i="246" s="1"/>
  <c r="E593" i="246" s="1"/>
  <c r="E655" i="246" s="1"/>
  <c r="E717" i="246" s="1"/>
  <c r="E779" i="246" s="1"/>
  <c r="D35" i="246"/>
  <c r="G32" i="246"/>
  <c r="G94" i="246" s="1"/>
  <c r="G156" i="246" s="1"/>
  <c r="G218" i="246" s="1"/>
  <c r="G280" i="246" s="1"/>
  <c r="G342" i="246" s="1"/>
  <c r="G404" i="246" s="1"/>
  <c r="G466" i="246" s="1"/>
  <c r="G528" i="246" s="1"/>
  <c r="G590" i="246" s="1"/>
  <c r="G652" i="246" s="1"/>
  <c r="G714" i="246" s="1"/>
  <c r="G776" i="246" s="1"/>
  <c r="E32" i="246"/>
  <c r="E94" i="246" s="1"/>
  <c r="E156" i="246" s="1"/>
  <c r="E218" i="246" s="1"/>
  <c r="E280" i="246" s="1"/>
  <c r="E342" i="246" s="1"/>
  <c r="E404" i="246" s="1"/>
  <c r="E466" i="246" s="1"/>
  <c r="E528" i="246" s="1"/>
  <c r="E590" i="246" s="1"/>
  <c r="E652" i="246" s="1"/>
  <c r="E714" i="246" s="1"/>
  <c r="E776" i="246" s="1"/>
  <c r="D32" i="246"/>
  <c r="U32" i="246" s="1"/>
  <c r="U94" i="246" s="1"/>
  <c r="U156" i="246" s="1"/>
  <c r="U218" i="246" s="1"/>
  <c r="U280" i="246" s="1"/>
  <c r="U342" i="246" s="1"/>
  <c r="U404" i="246" s="1"/>
  <c r="U466" i="246" s="1"/>
  <c r="U528" i="246" s="1"/>
  <c r="U590" i="246" s="1"/>
  <c r="U652" i="246" s="1"/>
  <c r="U714" i="246" s="1"/>
  <c r="G31" i="246"/>
  <c r="G93" i="246" s="1"/>
  <c r="G155" i="246" s="1"/>
  <c r="G217" i="246" s="1"/>
  <c r="G279" i="246" s="1"/>
  <c r="G341" i="246" s="1"/>
  <c r="G403" i="246" s="1"/>
  <c r="G465" i="246" s="1"/>
  <c r="G527" i="246" s="1"/>
  <c r="G589" i="246" s="1"/>
  <c r="G651" i="246" s="1"/>
  <c r="G713" i="246" s="1"/>
  <c r="G775" i="246" s="1"/>
  <c r="E31" i="246"/>
  <c r="E93" i="246" s="1"/>
  <c r="E155" i="246" s="1"/>
  <c r="E217" i="246" s="1"/>
  <c r="E279" i="246" s="1"/>
  <c r="E341" i="246" s="1"/>
  <c r="E403" i="246" s="1"/>
  <c r="E465" i="246" s="1"/>
  <c r="E527" i="246" s="1"/>
  <c r="E589" i="246" s="1"/>
  <c r="E651" i="246" s="1"/>
  <c r="E713" i="246" s="1"/>
  <c r="E775" i="246" s="1"/>
  <c r="D31" i="246"/>
  <c r="D93" i="246" s="1"/>
  <c r="D155" i="246" s="1"/>
  <c r="D217" i="246" s="1"/>
  <c r="D279" i="246" s="1"/>
  <c r="D341" i="246" s="1"/>
  <c r="D403" i="246" s="1"/>
  <c r="D465" i="246" s="1"/>
  <c r="D527" i="246" s="1"/>
  <c r="D589" i="246" s="1"/>
  <c r="D651" i="246" s="1"/>
  <c r="D713" i="246" s="1"/>
  <c r="D775" i="246" s="1"/>
  <c r="G30" i="246"/>
  <c r="G92" i="246" s="1"/>
  <c r="G154" i="246" s="1"/>
  <c r="G216" i="246" s="1"/>
  <c r="G278" i="246" s="1"/>
  <c r="G340" i="246" s="1"/>
  <c r="G402" i="246" s="1"/>
  <c r="G464" i="246" s="1"/>
  <c r="G526" i="246" s="1"/>
  <c r="G588" i="246" s="1"/>
  <c r="G650" i="246" s="1"/>
  <c r="G712" i="246" s="1"/>
  <c r="G774" i="246" s="1"/>
  <c r="E30" i="246"/>
  <c r="E92" i="246" s="1"/>
  <c r="E154" i="246" s="1"/>
  <c r="E216" i="246" s="1"/>
  <c r="E278" i="246" s="1"/>
  <c r="E340" i="246" s="1"/>
  <c r="E402" i="246" s="1"/>
  <c r="E464" i="246" s="1"/>
  <c r="E526" i="246" s="1"/>
  <c r="E588" i="246" s="1"/>
  <c r="E650" i="246" s="1"/>
  <c r="E712" i="246" s="1"/>
  <c r="E774" i="246" s="1"/>
  <c r="D30" i="246"/>
  <c r="V29" i="246"/>
  <c r="V91" i="246" s="1"/>
  <c r="V153" i="246" s="1"/>
  <c r="V215" i="246" s="1"/>
  <c r="V277" i="246" s="1"/>
  <c r="V339" i="246" s="1"/>
  <c r="V401" i="246" s="1"/>
  <c r="V463" i="246" s="1"/>
  <c r="V525" i="246" s="1"/>
  <c r="V587" i="246" s="1"/>
  <c r="V649" i="246" s="1"/>
  <c r="V711" i="246" s="1"/>
  <c r="G29" i="246"/>
  <c r="G91" i="246" s="1"/>
  <c r="G153" i="246" s="1"/>
  <c r="G215" i="246" s="1"/>
  <c r="G277" i="246" s="1"/>
  <c r="G339" i="246" s="1"/>
  <c r="G401" i="246" s="1"/>
  <c r="G463" i="246" s="1"/>
  <c r="G525" i="246" s="1"/>
  <c r="G587" i="246" s="1"/>
  <c r="G649" i="246" s="1"/>
  <c r="G711" i="246" s="1"/>
  <c r="G773" i="246" s="1"/>
  <c r="E29" i="246"/>
  <c r="E91" i="246" s="1"/>
  <c r="E153" i="246" s="1"/>
  <c r="E215" i="246" s="1"/>
  <c r="E277" i="246" s="1"/>
  <c r="E339" i="246" s="1"/>
  <c r="E401" i="246" s="1"/>
  <c r="E463" i="246" s="1"/>
  <c r="E525" i="246" s="1"/>
  <c r="E587" i="246" s="1"/>
  <c r="E649" i="246" s="1"/>
  <c r="E711" i="246" s="1"/>
  <c r="E773" i="246" s="1"/>
  <c r="G28" i="246"/>
  <c r="G90" i="246" s="1"/>
  <c r="G152" i="246" s="1"/>
  <c r="G214" i="246" s="1"/>
  <c r="G276" i="246" s="1"/>
  <c r="G338" i="246" s="1"/>
  <c r="G400" i="246" s="1"/>
  <c r="G462" i="246" s="1"/>
  <c r="G524" i="246" s="1"/>
  <c r="G586" i="246" s="1"/>
  <c r="G648" i="246" s="1"/>
  <c r="G710" i="246" s="1"/>
  <c r="G772" i="246" s="1"/>
  <c r="E28" i="246"/>
  <c r="E90" i="246" s="1"/>
  <c r="E152" i="246" s="1"/>
  <c r="E214" i="246" s="1"/>
  <c r="E276" i="246" s="1"/>
  <c r="E338" i="246" s="1"/>
  <c r="E400" i="246" s="1"/>
  <c r="E462" i="246" s="1"/>
  <c r="E524" i="246" s="1"/>
  <c r="E586" i="246" s="1"/>
  <c r="E648" i="246" s="1"/>
  <c r="E710" i="246" s="1"/>
  <c r="E772" i="246" s="1"/>
  <c r="D28" i="246"/>
  <c r="U28" i="246" s="1"/>
  <c r="U90" i="246" s="1"/>
  <c r="U152" i="246" s="1"/>
  <c r="U214" i="246" s="1"/>
  <c r="U276" i="246" s="1"/>
  <c r="U338" i="246" s="1"/>
  <c r="U400" i="246" s="1"/>
  <c r="U462" i="246" s="1"/>
  <c r="U524" i="246" s="1"/>
  <c r="U586" i="246" s="1"/>
  <c r="U648" i="246" s="1"/>
  <c r="U710" i="246" s="1"/>
  <c r="G27" i="246"/>
  <c r="G89" i="246" s="1"/>
  <c r="G151" i="246" s="1"/>
  <c r="G213" i="246" s="1"/>
  <c r="G275" i="246" s="1"/>
  <c r="G337" i="246" s="1"/>
  <c r="G399" i="246" s="1"/>
  <c r="G461" i="246" s="1"/>
  <c r="G523" i="246" s="1"/>
  <c r="G585" i="246" s="1"/>
  <c r="G647" i="246" s="1"/>
  <c r="G709" i="246" s="1"/>
  <c r="G771" i="246" s="1"/>
  <c r="E27" i="246"/>
  <c r="E89" i="246" s="1"/>
  <c r="E151" i="246" s="1"/>
  <c r="E213" i="246" s="1"/>
  <c r="E275" i="246" s="1"/>
  <c r="E337" i="246" s="1"/>
  <c r="E399" i="246" s="1"/>
  <c r="E461" i="246" s="1"/>
  <c r="E523" i="246" s="1"/>
  <c r="E585" i="246" s="1"/>
  <c r="E647" i="246" s="1"/>
  <c r="E709" i="246" s="1"/>
  <c r="E771" i="246" s="1"/>
  <c r="D27" i="246"/>
  <c r="V24" i="246"/>
  <c r="V86" i="246" s="1"/>
  <c r="V148" i="246" s="1"/>
  <c r="V210" i="246" s="1"/>
  <c r="V272" i="246" s="1"/>
  <c r="V334" i="246" s="1"/>
  <c r="V396" i="246" s="1"/>
  <c r="V458" i="246" s="1"/>
  <c r="V520" i="246" s="1"/>
  <c r="V582" i="246" s="1"/>
  <c r="V644" i="246" s="1"/>
  <c r="V706" i="246" s="1"/>
  <c r="G21" i="246"/>
  <c r="G83" i="246" s="1"/>
  <c r="G145" i="246" s="1"/>
  <c r="G207" i="246" s="1"/>
  <c r="G269" i="246" s="1"/>
  <c r="G331" i="246" s="1"/>
  <c r="G393" i="246" s="1"/>
  <c r="G455" i="246" s="1"/>
  <c r="G517" i="246" s="1"/>
  <c r="G579" i="246" s="1"/>
  <c r="G641" i="246" s="1"/>
  <c r="G703" i="246" s="1"/>
  <c r="G765" i="246" s="1"/>
  <c r="E21" i="246"/>
  <c r="E83" i="246" s="1"/>
  <c r="E145" i="246" s="1"/>
  <c r="E207" i="246" s="1"/>
  <c r="E269" i="246" s="1"/>
  <c r="E331" i="246" s="1"/>
  <c r="E393" i="246" s="1"/>
  <c r="E455" i="246" s="1"/>
  <c r="E517" i="246" s="1"/>
  <c r="E579" i="246" s="1"/>
  <c r="E641" i="246" s="1"/>
  <c r="E703" i="246" s="1"/>
  <c r="E765" i="246" s="1"/>
  <c r="D21" i="246"/>
  <c r="D83" i="246" s="1"/>
  <c r="D145" i="246" s="1"/>
  <c r="D207" i="246" s="1"/>
  <c r="D269" i="246" s="1"/>
  <c r="D331" i="246" s="1"/>
  <c r="D393" i="246" s="1"/>
  <c r="D455" i="246" s="1"/>
  <c r="D517" i="246" s="1"/>
  <c r="D579" i="246" s="1"/>
  <c r="D641" i="246" s="1"/>
  <c r="D703" i="246" s="1"/>
  <c r="D765" i="246" s="1"/>
  <c r="G20" i="246"/>
  <c r="G82" i="246" s="1"/>
  <c r="G144" i="246" s="1"/>
  <c r="G206" i="246" s="1"/>
  <c r="G268" i="246" s="1"/>
  <c r="G330" i="246" s="1"/>
  <c r="G392" i="246" s="1"/>
  <c r="G454" i="246" s="1"/>
  <c r="G516" i="246" s="1"/>
  <c r="G578" i="246" s="1"/>
  <c r="G640" i="246" s="1"/>
  <c r="G702" i="246" s="1"/>
  <c r="G764" i="246" s="1"/>
  <c r="E20" i="246"/>
  <c r="E82" i="246" s="1"/>
  <c r="E144" i="246" s="1"/>
  <c r="E206" i="246" s="1"/>
  <c r="E268" i="246" s="1"/>
  <c r="E330" i="246" s="1"/>
  <c r="E392" i="246" s="1"/>
  <c r="E454" i="246" s="1"/>
  <c r="E516" i="246" s="1"/>
  <c r="E578" i="246" s="1"/>
  <c r="E640" i="246" s="1"/>
  <c r="E702" i="246" s="1"/>
  <c r="E764" i="246" s="1"/>
  <c r="D20" i="246"/>
  <c r="D82" i="246" s="1"/>
  <c r="D144" i="246" s="1"/>
  <c r="D206" i="246" s="1"/>
  <c r="D268" i="246" s="1"/>
  <c r="D330" i="246" s="1"/>
  <c r="D392" i="246" s="1"/>
  <c r="D454" i="246" s="1"/>
  <c r="D516" i="246" s="1"/>
  <c r="D578" i="246" s="1"/>
  <c r="D640" i="246" s="1"/>
  <c r="D702" i="246" s="1"/>
  <c r="D764" i="246" s="1"/>
  <c r="G19" i="246"/>
  <c r="G81" i="246" s="1"/>
  <c r="G143" i="246" s="1"/>
  <c r="G205" i="246" s="1"/>
  <c r="G267" i="246" s="1"/>
  <c r="G329" i="246" s="1"/>
  <c r="G391" i="246" s="1"/>
  <c r="G453" i="246" s="1"/>
  <c r="G515" i="246" s="1"/>
  <c r="G577" i="246" s="1"/>
  <c r="G639" i="246" s="1"/>
  <c r="G701" i="246" s="1"/>
  <c r="G763" i="246" s="1"/>
  <c r="E19" i="246"/>
  <c r="E81" i="246" s="1"/>
  <c r="E143" i="246" s="1"/>
  <c r="E205" i="246" s="1"/>
  <c r="E267" i="246" s="1"/>
  <c r="E329" i="246" s="1"/>
  <c r="E391" i="246" s="1"/>
  <c r="E453" i="246" s="1"/>
  <c r="E515" i="246" s="1"/>
  <c r="E577" i="246" s="1"/>
  <c r="E639" i="246" s="1"/>
  <c r="E701" i="246" s="1"/>
  <c r="E763" i="246" s="1"/>
  <c r="D19" i="246"/>
  <c r="G18" i="246"/>
  <c r="G80" i="246" s="1"/>
  <c r="G142" i="246" s="1"/>
  <c r="G204" i="246" s="1"/>
  <c r="G266" i="246" s="1"/>
  <c r="G328" i="246" s="1"/>
  <c r="G390" i="246" s="1"/>
  <c r="G452" i="246" s="1"/>
  <c r="G514" i="246" s="1"/>
  <c r="G576" i="246" s="1"/>
  <c r="G638" i="246" s="1"/>
  <c r="G700" i="246" s="1"/>
  <c r="G762" i="246" s="1"/>
  <c r="E18" i="246"/>
  <c r="E80" i="246" s="1"/>
  <c r="E142" i="246" s="1"/>
  <c r="E204" i="246" s="1"/>
  <c r="E266" i="246" s="1"/>
  <c r="E328" i="246" s="1"/>
  <c r="E390" i="246" s="1"/>
  <c r="E452" i="246" s="1"/>
  <c r="E514" i="246" s="1"/>
  <c r="E576" i="246" s="1"/>
  <c r="E638" i="246" s="1"/>
  <c r="E700" i="246" s="1"/>
  <c r="E762" i="246" s="1"/>
  <c r="D18" i="246"/>
  <c r="U18" i="246" s="1"/>
  <c r="U80" i="246" s="1"/>
  <c r="U142" i="246" s="1"/>
  <c r="U204" i="246" s="1"/>
  <c r="U266" i="246" s="1"/>
  <c r="U328" i="246" s="1"/>
  <c r="U390" i="246" s="1"/>
  <c r="U452" i="246" s="1"/>
  <c r="U514" i="246" s="1"/>
  <c r="U576" i="246" s="1"/>
  <c r="U638" i="246" s="1"/>
  <c r="U700" i="246" s="1"/>
  <c r="G17" i="246"/>
  <c r="G79" i="246" s="1"/>
  <c r="G141" i="246" s="1"/>
  <c r="G203" i="246" s="1"/>
  <c r="G265" i="246" s="1"/>
  <c r="G327" i="246" s="1"/>
  <c r="G389" i="246" s="1"/>
  <c r="G451" i="246" s="1"/>
  <c r="G513" i="246" s="1"/>
  <c r="G575" i="246" s="1"/>
  <c r="G637" i="246" s="1"/>
  <c r="G699" i="246" s="1"/>
  <c r="G761" i="246" s="1"/>
  <c r="E17" i="246"/>
  <c r="E79" i="246" s="1"/>
  <c r="E141" i="246" s="1"/>
  <c r="E203" i="246" s="1"/>
  <c r="E265" i="246" s="1"/>
  <c r="E327" i="246" s="1"/>
  <c r="E389" i="246" s="1"/>
  <c r="E451" i="246" s="1"/>
  <c r="E513" i="246" s="1"/>
  <c r="E575" i="246" s="1"/>
  <c r="E637" i="246" s="1"/>
  <c r="E699" i="246" s="1"/>
  <c r="E761" i="246" s="1"/>
  <c r="D17" i="246"/>
  <c r="D79" i="246" s="1"/>
  <c r="D141" i="246" s="1"/>
  <c r="D203" i="246" s="1"/>
  <c r="D265" i="246" s="1"/>
  <c r="D327" i="246" s="1"/>
  <c r="D389" i="246" s="1"/>
  <c r="D451" i="246" s="1"/>
  <c r="D513" i="246" s="1"/>
  <c r="D575" i="246" s="1"/>
  <c r="D637" i="246" s="1"/>
  <c r="D699" i="246" s="1"/>
  <c r="D761" i="246" s="1"/>
  <c r="G14" i="246"/>
  <c r="G76" i="246" s="1"/>
  <c r="G138" i="246" s="1"/>
  <c r="G200" i="246" s="1"/>
  <c r="G262" i="246" s="1"/>
  <c r="G324" i="246" s="1"/>
  <c r="G386" i="246" s="1"/>
  <c r="G448" i="246" s="1"/>
  <c r="G510" i="246" s="1"/>
  <c r="G572" i="246" s="1"/>
  <c r="G634" i="246" s="1"/>
  <c r="G696" i="246" s="1"/>
  <c r="G758" i="246" s="1"/>
  <c r="E14" i="246"/>
  <c r="E76" i="246" s="1"/>
  <c r="E138" i="246" s="1"/>
  <c r="E200" i="246" s="1"/>
  <c r="E262" i="246" s="1"/>
  <c r="E324" i="246" s="1"/>
  <c r="E386" i="246" s="1"/>
  <c r="E448" i="246" s="1"/>
  <c r="E510" i="246" s="1"/>
  <c r="E572" i="246" s="1"/>
  <c r="E634" i="246" s="1"/>
  <c r="E696" i="246" s="1"/>
  <c r="E758" i="246" s="1"/>
  <c r="D14" i="246"/>
  <c r="G12" i="246"/>
  <c r="G74" i="246" s="1"/>
  <c r="G136" i="246" s="1"/>
  <c r="G198" i="246" s="1"/>
  <c r="G260" i="246" s="1"/>
  <c r="G322" i="246" s="1"/>
  <c r="G384" i="246" s="1"/>
  <c r="G446" i="246" s="1"/>
  <c r="G508" i="246" s="1"/>
  <c r="G570" i="246" s="1"/>
  <c r="G632" i="246" s="1"/>
  <c r="G694" i="246" s="1"/>
  <c r="G756" i="246" s="1"/>
  <c r="E12" i="246"/>
  <c r="E74" i="246" s="1"/>
  <c r="E136" i="246" s="1"/>
  <c r="E198" i="246" s="1"/>
  <c r="E260" i="246" s="1"/>
  <c r="E322" i="246" s="1"/>
  <c r="E384" i="246" s="1"/>
  <c r="E446" i="246" s="1"/>
  <c r="E508" i="246" s="1"/>
  <c r="E570" i="246" s="1"/>
  <c r="E632" i="246" s="1"/>
  <c r="E694" i="246" s="1"/>
  <c r="E756" i="246" s="1"/>
  <c r="D12" i="246"/>
  <c r="D74" i="246" s="1"/>
  <c r="D136" i="246" s="1"/>
  <c r="D198" i="246" s="1"/>
  <c r="D260" i="246" s="1"/>
  <c r="D322" i="246" s="1"/>
  <c r="D384" i="246" s="1"/>
  <c r="D446" i="246" s="1"/>
  <c r="D508" i="246" s="1"/>
  <c r="D570" i="246" s="1"/>
  <c r="D632" i="246" s="1"/>
  <c r="D694" i="246" s="1"/>
  <c r="D756" i="246" s="1"/>
  <c r="G11" i="246"/>
  <c r="G73" i="246" s="1"/>
  <c r="G135" i="246" s="1"/>
  <c r="G197" i="246" s="1"/>
  <c r="G259" i="246" s="1"/>
  <c r="G321" i="246" s="1"/>
  <c r="G383" i="246" s="1"/>
  <c r="G445" i="246" s="1"/>
  <c r="G507" i="246" s="1"/>
  <c r="G569" i="246" s="1"/>
  <c r="G631" i="246" s="1"/>
  <c r="G693" i="246" s="1"/>
  <c r="G755" i="246" s="1"/>
  <c r="E11" i="246"/>
  <c r="E73" i="246" s="1"/>
  <c r="E135" i="246" s="1"/>
  <c r="E197" i="246" s="1"/>
  <c r="E259" i="246" s="1"/>
  <c r="E321" i="246" s="1"/>
  <c r="E383" i="246" s="1"/>
  <c r="E445" i="246" s="1"/>
  <c r="E507" i="246" s="1"/>
  <c r="E569" i="246" s="1"/>
  <c r="E631" i="246" s="1"/>
  <c r="E693" i="246" s="1"/>
  <c r="E755" i="246" s="1"/>
  <c r="D11" i="246"/>
  <c r="D73" i="246" s="1"/>
  <c r="D135" i="246" s="1"/>
  <c r="D197" i="246" s="1"/>
  <c r="D259" i="246" s="1"/>
  <c r="D321" i="246" s="1"/>
  <c r="D383" i="246" s="1"/>
  <c r="D445" i="246" s="1"/>
  <c r="D507" i="246" s="1"/>
  <c r="D569" i="246" s="1"/>
  <c r="D631" i="246" s="1"/>
  <c r="D693" i="246" s="1"/>
  <c r="D755" i="246" s="1"/>
  <c r="G8" i="246"/>
  <c r="G70" i="246" s="1"/>
  <c r="G132" i="246" s="1"/>
  <c r="G194" i="246" s="1"/>
  <c r="G256" i="246" s="1"/>
  <c r="G318" i="246" s="1"/>
  <c r="G380" i="246" s="1"/>
  <c r="G442" i="246" s="1"/>
  <c r="G504" i="246" s="1"/>
  <c r="G566" i="246" s="1"/>
  <c r="G628" i="246" s="1"/>
  <c r="G690" i="246" s="1"/>
  <c r="G752" i="246" s="1"/>
  <c r="E8" i="246"/>
  <c r="E70" i="246" s="1"/>
  <c r="E132" i="246" s="1"/>
  <c r="E194" i="246" s="1"/>
  <c r="E256" i="246" s="1"/>
  <c r="E318" i="246" s="1"/>
  <c r="E380" i="246" s="1"/>
  <c r="E442" i="246" s="1"/>
  <c r="E504" i="246" s="1"/>
  <c r="E566" i="246" s="1"/>
  <c r="E628" i="246" s="1"/>
  <c r="E690" i="246" s="1"/>
  <c r="E752" i="246" s="1"/>
  <c r="D8" i="246"/>
  <c r="U8" i="246" s="1"/>
  <c r="U70" i="246" s="1"/>
  <c r="U132" i="246" s="1"/>
  <c r="U194" i="246" s="1"/>
  <c r="U256" i="246" s="1"/>
  <c r="U318" i="246" s="1"/>
  <c r="U380" i="246" s="1"/>
  <c r="U442" i="246" s="1"/>
  <c r="U504" i="246" s="1"/>
  <c r="U566" i="246" s="1"/>
  <c r="U628" i="246" s="1"/>
  <c r="U690" i="246" s="1"/>
  <c r="V776" i="209"/>
  <c r="G776" i="209"/>
  <c r="E776" i="209"/>
  <c r="D776" i="209"/>
  <c r="U776" i="209" s="1"/>
  <c r="V774" i="209"/>
  <c r="G774" i="209"/>
  <c r="E774" i="209"/>
  <c r="D774" i="209"/>
  <c r="U774" i="209" s="1"/>
  <c r="V773" i="209"/>
  <c r="G773" i="209"/>
  <c r="E773" i="209"/>
  <c r="D773" i="209"/>
  <c r="U773" i="209" s="1"/>
  <c r="V752" i="209"/>
  <c r="V744" i="209"/>
  <c r="V743" i="209"/>
  <c r="G743" i="209"/>
  <c r="E743" i="209"/>
  <c r="D743" i="209"/>
  <c r="U743" i="209" s="1"/>
  <c r="V742" i="209"/>
  <c r="G742" i="209"/>
  <c r="E742" i="209"/>
  <c r="D742" i="209"/>
  <c r="U742" i="209" s="1"/>
  <c r="V741" i="209"/>
  <c r="G741" i="209"/>
  <c r="E741" i="209"/>
  <c r="D741" i="209"/>
  <c r="U741" i="209" s="1"/>
  <c r="V716" i="209"/>
  <c r="R716" i="209"/>
  <c r="Q716" i="209"/>
  <c r="P716" i="209"/>
  <c r="O716" i="209"/>
  <c r="G716" i="209"/>
  <c r="E716" i="209"/>
  <c r="D716" i="209"/>
  <c r="U716" i="209" s="1"/>
  <c r="V714" i="209"/>
  <c r="R714" i="209"/>
  <c r="Q714" i="209"/>
  <c r="P714" i="209"/>
  <c r="O714" i="209"/>
  <c r="G714" i="209"/>
  <c r="E714" i="209"/>
  <c r="D714" i="209"/>
  <c r="U714" i="209" s="1"/>
  <c r="V713" i="209"/>
  <c r="R713" i="209"/>
  <c r="Q713" i="209"/>
  <c r="P713" i="209"/>
  <c r="O713" i="209"/>
  <c r="G713" i="209"/>
  <c r="E713" i="209"/>
  <c r="D713" i="209"/>
  <c r="U713" i="209" s="1"/>
  <c r="R712" i="209"/>
  <c r="Q712" i="209"/>
  <c r="P712" i="209"/>
  <c r="O712" i="209"/>
  <c r="R697" i="209"/>
  <c r="Q697" i="209"/>
  <c r="P697" i="209"/>
  <c r="O697" i="209"/>
  <c r="R696" i="209"/>
  <c r="Q696" i="209"/>
  <c r="P696" i="209"/>
  <c r="O696" i="209"/>
  <c r="R706" i="209"/>
  <c r="Q706" i="209"/>
  <c r="P706" i="209"/>
  <c r="O706" i="209"/>
  <c r="R709" i="209"/>
  <c r="Q709" i="209"/>
  <c r="P709" i="209"/>
  <c r="O709" i="209"/>
  <c r="R704" i="209"/>
  <c r="Q704" i="209"/>
  <c r="P704" i="209"/>
  <c r="O704" i="209"/>
  <c r="R700" i="209"/>
  <c r="Q700" i="209"/>
  <c r="P700" i="209"/>
  <c r="O700" i="209"/>
  <c r="R694" i="209"/>
  <c r="Q694" i="209"/>
  <c r="P694" i="209"/>
  <c r="O694" i="209"/>
  <c r="R707" i="209"/>
  <c r="Q707" i="209"/>
  <c r="P707" i="209"/>
  <c r="O707" i="209"/>
  <c r="R708" i="209"/>
  <c r="Q708" i="209"/>
  <c r="P708" i="209"/>
  <c r="O708" i="209"/>
  <c r="R705" i="209"/>
  <c r="Q705" i="209"/>
  <c r="P705" i="209"/>
  <c r="O705" i="209"/>
  <c r="R698" i="209"/>
  <c r="Q698" i="209"/>
  <c r="P698" i="209"/>
  <c r="O698" i="209"/>
  <c r="R695" i="209"/>
  <c r="Q695" i="209"/>
  <c r="P695" i="209"/>
  <c r="O695" i="209"/>
  <c r="V692" i="209"/>
  <c r="R689" i="209"/>
  <c r="Q689" i="209"/>
  <c r="P689" i="209"/>
  <c r="O689" i="209"/>
  <c r="R688" i="209"/>
  <c r="Q688" i="209"/>
  <c r="P688" i="209"/>
  <c r="O688" i="209"/>
  <c r="R687" i="209"/>
  <c r="Q687" i="209"/>
  <c r="P687" i="209"/>
  <c r="O687" i="209"/>
  <c r="R686" i="209"/>
  <c r="Q686" i="209"/>
  <c r="P686" i="209"/>
  <c r="O686" i="209"/>
  <c r="V684" i="209"/>
  <c r="V683" i="209"/>
  <c r="R683" i="209"/>
  <c r="Q683" i="209"/>
  <c r="P683" i="209"/>
  <c r="O683" i="209"/>
  <c r="G683" i="209"/>
  <c r="E683" i="209"/>
  <c r="D683" i="209"/>
  <c r="U683" i="209" s="1"/>
  <c r="V682" i="209"/>
  <c r="R682" i="209"/>
  <c r="Q682" i="209"/>
  <c r="P682" i="209"/>
  <c r="O682" i="209"/>
  <c r="G682" i="209"/>
  <c r="E682" i="209"/>
  <c r="D682" i="209"/>
  <c r="U682" i="209" s="1"/>
  <c r="V681" i="209"/>
  <c r="R681" i="209"/>
  <c r="Q681" i="209"/>
  <c r="P681" i="209"/>
  <c r="O681" i="209"/>
  <c r="G681" i="209"/>
  <c r="E681" i="209"/>
  <c r="D681" i="209"/>
  <c r="U681" i="209" s="1"/>
  <c r="R676" i="209"/>
  <c r="Q676" i="209"/>
  <c r="P676" i="209"/>
  <c r="O676" i="209"/>
  <c r="R675" i="209"/>
  <c r="Q675" i="209"/>
  <c r="P675" i="209"/>
  <c r="O675" i="209"/>
  <c r="R673" i="209"/>
  <c r="Q673" i="209"/>
  <c r="P673" i="209"/>
  <c r="O673" i="209"/>
  <c r="R672" i="209"/>
  <c r="Q672" i="209"/>
  <c r="P672" i="209"/>
  <c r="O672" i="209"/>
  <c r="R671" i="209"/>
  <c r="Q671" i="209"/>
  <c r="P671" i="209"/>
  <c r="O671" i="209"/>
  <c r="R670" i="209"/>
  <c r="Q670" i="209"/>
  <c r="P670" i="209"/>
  <c r="O670" i="209"/>
  <c r="R669" i="209"/>
  <c r="Q669" i="209"/>
  <c r="P669" i="209"/>
  <c r="O669" i="209"/>
  <c r="V656" i="209"/>
  <c r="G656" i="209"/>
  <c r="E656" i="209"/>
  <c r="D656" i="209"/>
  <c r="U656" i="209" s="1"/>
  <c r="V654" i="209"/>
  <c r="G654" i="209"/>
  <c r="E654" i="209"/>
  <c r="D654" i="209"/>
  <c r="U654" i="209" s="1"/>
  <c r="V653" i="209"/>
  <c r="G653" i="209"/>
  <c r="E653" i="209"/>
  <c r="D653" i="209"/>
  <c r="U653" i="209" s="1"/>
  <c r="V632" i="209"/>
  <c r="S632" i="209"/>
  <c r="S630" i="209"/>
  <c r="V624" i="209"/>
  <c r="V623" i="209"/>
  <c r="G623" i="209"/>
  <c r="E623" i="209"/>
  <c r="D623" i="209"/>
  <c r="U623" i="209" s="1"/>
  <c r="V622" i="209"/>
  <c r="G622" i="209"/>
  <c r="E622" i="209"/>
  <c r="D622" i="209"/>
  <c r="U622" i="209" s="1"/>
  <c r="V621" i="209"/>
  <c r="G621" i="209"/>
  <c r="E621" i="209"/>
  <c r="D621" i="209"/>
  <c r="U621" i="209" s="1"/>
  <c r="V596" i="209"/>
  <c r="R596" i="209"/>
  <c r="Q596" i="209"/>
  <c r="P596" i="209"/>
  <c r="O596" i="209"/>
  <c r="L596" i="209"/>
  <c r="K596" i="209"/>
  <c r="J596" i="209"/>
  <c r="I596" i="209"/>
  <c r="G596" i="209"/>
  <c r="E596" i="209"/>
  <c r="D596" i="209"/>
  <c r="U596" i="209" s="1"/>
  <c r="V594" i="209"/>
  <c r="R594" i="209"/>
  <c r="Q594" i="209"/>
  <c r="P594" i="209"/>
  <c r="O594" i="209"/>
  <c r="L594" i="209"/>
  <c r="K594" i="209"/>
  <c r="J594" i="209"/>
  <c r="I594" i="209"/>
  <c r="G594" i="209"/>
  <c r="E594" i="209"/>
  <c r="D594" i="209"/>
  <c r="U594" i="209" s="1"/>
  <c r="V593" i="209"/>
  <c r="R593" i="209"/>
  <c r="Q593" i="209"/>
  <c r="P593" i="209"/>
  <c r="O593" i="209"/>
  <c r="L593" i="209"/>
  <c r="K593" i="209"/>
  <c r="J593" i="209"/>
  <c r="I593" i="209"/>
  <c r="G593" i="209"/>
  <c r="E593" i="209"/>
  <c r="D593" i="209"/>
  <c r="U593" i="209" s="1"/>
  <c r="R592" i="209"/>
  <c r="Q592" i="209"/>
  <c r="P592" i="209"/>
  <c r="O592" i="209"/>
  <c r="L592" i="209"/>
  <c r="K592" i="209"/>
  <c r="J592" i="209"/>
  <c r="I592" i="209"/>
  <c r="R577" i="209"/>
  <c r="Q577" i="209"/>
  <c r="P577" i="209"/>
  <c r="O577" i="209"/>
  <c r="L577" i="209"/>
  <c r="K577" i="209"/>
  <c r="J577" i="209"/>
  <c r="I577" i="209"/>
  <c r="R576" i="209"/>
  <c r="Q576" i="209"/>
  <c r="P576" i="209"/>
  <c r="O576" i="209"/>
  <c r="L576" i="209"/>
  <c r="K576" i="209"/>
  <c r="J576" i="209"/>
  <c r="I576" i="209"/>
  <c r="R586" i="209"/>
  <c r="Q586" i="209"/>
  <c r="P586" i="209"/>
  <c r="O586" i="209"/>
  <c r="L586" i="209"/>
  <c r="K586" i="209"/>
  <c r="J586" i="209"/>
  <c r="I586" i="209"/>
  <c r="R589" i="209"/>
  <c r="Q589" i="209"/>
  <c r="P589" i="209"/>
  <c r="O589" i="209"/>
  <c r="L589" i="209"/>
  <c r="K589" i="209"/>
  <c r="J589" i="209"/>
  <c r="I589" i="209"/>
  <c r="R584" i="209"/>
  <c r="Q584" i="209"/>
  <c r="P584" i="209"/>
  <c r="O584" i="209"/>
  <c r="L584" i="209"/>
  <c r="K584" i="209"/>
  <c r="J584" i="209"/>
  <c r="I584" i="209"/>
  <c r="R580" i="209"/>
  <c r="Q580" i="209"/>
  <c r="P580" i="209"/>
  <c r="O580" i="209"/>
  <c r="L580" i="209"/>
  <c r="K580" i="209"/>
  <c r="J580" i="209"/>
  <c r="I580" i="209"/>
  <c r="R574" i="209"/>
  <c r="Q574" i="209"/>
  <c r="P574" i="209"/>
  <c r="O574" i="209"/>
  <c r="L574" i="209"/>
  <c r="K574" i="209"/>
  <c r="J574" i="209"/>
  <c r="I574" i="209"/>
  <c r="R587" i="209"/>
  <c r="Q587" i="209"/>
  <c r="P587" i="209"/>
  <c r="O587" i="209"/>
  <c r="L587" i="209"/>
  <c r="K587" i="209"/>
  <c r="J587" i="209"/>
  <c r="I587" i="209"/>
  <c r="R588" i="209"/>
  <c r="Q588" i="209"/>
  <c r="P588" i="209"/>
  <c r="O588" i="209"/>
  <c r="L588" i="209"/>
  <c r="K588" i="209"/>
  <c r="J588" i="209"/>
  <c r="I588" i="209"/>
  <c r="R585" i="209"/>
  <c r="Q585" i="209"/>
  <c r="P585" i="209"/>
  <c r="O585" i="209"/>
  <c r="L585" i="209"/>
  <c r="K585" i="209"/>
  <c r="J585" i="209"/>
  <c r="I585" i="209"/>
  <c r="R581" i="209"/>
  <c r="Q581" i="209"/>
  <c r="P581" i="209"/>
  <c r="O581" i="209"/>
  <c r="L581" i="209"/>
  <c r="K581" i="209"/>
  <c r="R579" i="209"/>
  <c r="Q579" i="209"/>
  <c r="P579" i="209"/>
  <c r="O579" i="209"/>
  <c r="L579" i="209"/>
  <c r="K579" i="209"/>
  <c r="J579" i="209"/>
  <c r="I579" i="209"/>
  <c r="R578" i="209"/>
  <c r="Q578" i="209"/>
  <c r="P578" i="209"/>
  <c r="O578" i="209"/>
  <c r="L578" i="209"/>
  <c r="K578" i="209"/>
  <c r="J578" i="209"/>
  <c r="I578" i="209"/>
  <c r="R575" i="209"/>
  <c r="Q575" i="209"/>
  <c r="P575" i="209"/>
  <c r="O575" i="209"/>
  <c r="L575" i="209"/>
  <c r="K575" i="209"/>
  <c r="J575" i="209"/>
  <c r="I575" i="209"/>
  <c r="V572" i="209"/>
  <c r="R569" i="209"/>
  <c r="Q569" i="209"/>
  <c r="P569" i="209"/>
  <c r="O569" i="209"/>
  <c r="L569" i="209"/>
  <c r="K569" i="209"/>
  <c r="J569" i="209"/>
  <c r="I569" i="209"/>
  <c r="R568" i="209"/>
  <c r="Q568" i="209"/>
  <c r="P568" i="209"/>
  <c r="O568" i="209"/>
  <c r="L568" i="209"/>
  <c r="K568" i="209"/>
  <c r="J568" i="209"/>
  <c r="I568" i="209"/>
  <c r="R567" i="209"/>
  <c r="Q567" i="209"/>
  <c r="P567" i="209"/>
  <c r="O567" i="209"/>
  <c r="L567" i="209"/>
  <c r="K567" i="209"/>
  <c r="J567" i="209"/>
  <c r="I567" i="209"/>
  <c r="R566" i="209"/>
  <c r="Q566" i="209"/>
  <c r="P566" i="209"/>
  <c r="O566" i="209"/>
  <c r="L566" i="209"/>
  <c r="K566" i="209"/>
  <c r="J566" i="209"/>
  <c r="I566" i="209"/>
  <c r="V564" i="209"/>
  <c r="V563" i="209"/>
  <c r="R563" i="209"/>
  <c r="Q563" i="209"/>
  <c r="P563" i="209"/>
  <c r="O563" i="209"/>
  <c r="L563" i="209"/>
  <c r="K563" i="209"/>
  <c r="J563" i="209"/>
  <c r="I563" i="209"/>
  <c r="G563" i="209"/>
  <c r="E563" i="209"/>
  <c r="D563" i="209"/>
  <c r="U563" i="209" s="1"/>
  <c r="V562" i="209"/>
  <c r="R562" i="209"/>
  <c r="Q562" i="209"/>
  <c r="P562" i="209"/>
  <c r="O562" i="209"/>
  <c r="L562" i="209"/>
  <c r="M562" i="209" s="1"/>
  <c r="K562" i="209"/>
  <c r="J562" i="209"/>
  <c r="G562" i="209"/>
  <c r="E562" i="209"/>
  <c r="D562" i="209"/>
  <c r="U562" i="209" s="1"/>
  <c r="V561" i="209"/>
  <c r="R561" i="209"/>
  <c r="Q561" i="209"/>
  <c r="P561" i="209"/>
  <c r="O561" i="209"/>
  <c r="L561" i="209"/>
  <c r="K561" i="209"/>
  <c r="J561" i="209"/>
  <c r="I561" i="209"/>
  <c r="G561" i="209"/>
  <c r="E561" i="209"/>
  <c r="D561" i="209"/>
  <c r="U561" i="209" s="1"/>
  <c r="R558" i="209"/>
  <c r="Q558" i="209"/>
  <c r="P558" i="209"/>
  <c r="O558" i="209"/>
  <c r="L558" i="209"/>
  <c r="K558" i="209"/>
  <c r="J558" i="209"/>
  <c r="I558" i="209"/>
  <c r="R557" i="209"/>
  <c r="Q557" i="209"/>
  <c r="P557" i="209"/>
  <c r="O557" i="209"/>
  <c r="L557" i="209"/>
  <c r="K557" i="209"/>
  <c r="J557" i="209"/>
  <c r="I557" i="209"/>
  <c r="R556" i="209"/>
  <c r="Q556" i="209"/>
  <c r="P556" i="209"/>
  <c r="O556" i="209"/>
  <c r="L556" i="209"/>
  <c r="K556" i="209"/>
  <c r="J556" i="209"/>
  <c r="I556" i="209"/>
  <c r="R555" i="209"/>
  <c r="Q555" i="209"/>
  <c r="P555" i="209"/>
  <c r="O555" i="209"/>
  <c r="L555" i="209"/>
  <c r="K555" i="209"/>
  <c r="J555" i="209"/>
  <c r="I555" i="209"/>
  <c r="R554" i="209"/>
  <c r="Q554" i="209"/>
  <c r="P554" i="209"/>
  <c r="O554" i="209"/>
  <c r="L554" i="209"/>
  <c r="K554" i="209"/>
  <c r="J554" i="209"/>
  <c r="I554" i="209"/>
  <c r="R553" i="209"/>
  <c r="Q553" i="209"/>
  <c r="P553" i="209"/>
  <c r="O553" i="209"/>
  <c r="L553" i="209"/>
  <c r="K553" i="209"/>
  <c r="J553" i="209"/>
  <c r="I553" i="209"/>
  <c r="R552" i="209"/>
  <c r="Q552" i="209"/>
  <c r="P552" i="209"/>
  <c r="O552" i="209"/>
  <c r="L552" i="209"/>
  <c r="K552" i="209"/>
  <c r="J552" i="209"/>
  <c r="I552" i="209"/>
  <c r="R551" i="209"/>
  <c r="Q551" i="209"/>
  <c r="P551" i="209"/>
  <c r="O551" i="209"/>
  <c r="L551" i="209"/>
  <c r="K551" i="209"/>
  <c r="J551" i="209"/>
  <c r="I551" i="209"/>
  <c r="R550" i="209"/>
  <c r="Q550" i="209"/>
  <c r="P550" i="209"/>
  <c r="L550" i="209"/>
  <c r="K550" i="209"/>
  <c r="J550" i="209"/>
  <c r="I550" i="209"/>
  <c r="R549" i="209"/>
  <c r="Q549" i="209"/>
  <c r="P549" i="209"/>
  <c r="O549" i="209"/>
  <c r="L549" i="209"/>
  <c r="K549" i="209"/>
  <c r="J549" i="209"/>
  <c r="I549" i="209"/>
  <c r="R548" i="209"/>
  <c r="Q548" i="209"/>
  <c r="P548" i="209"/>
  <c r="O548" i="209"/>
  <c r="L548" i="209"/>
  <c r="K548" i="209"/>
  <c r="J548" i="209"/>
  <c r="I548" i="209"/>
  <c r="V536" i="209"/>
  <c r="R536" i="209"/>
  <c r="Q536" i="209"/>
  <c r="P536" i="209"/>
  <c r="O536" i="209"/>
  <c r="L536" i="209"/>
  <c r="K536" i="209"/>
  <c r="J536" i="209"/>
  <c r="I536" i="209"/>
  <c r="G536" i="209"/>
  <c r="E536" i="209"/>
  <c r="D536" i="209"/>
  <c r="U536" i="209" s="1"/>
  <c r="V534" i="209"/>
  <c r="R534" i="209"/>
  <c r="Q534" i="209"/>
  <c r="P534" i="209"/>
  <c r="O534" i="209"/>
  <c r="L534" i="209"/>
  <c r="K534" i="209"/>
  <c r="J534" i="209"/>
  <c r="I534" i="209"/>
  <c r="G534" i="209"/>
  <c r="E534" i="209"/>
  <c r="D534" i="209"/>
  <c r="U534" i="209" s="1"/>
  <c r="V533" i="209"/>
  <c r="R533" i="209"/>
  <c r="Q533" i="209"/>
  <c r="P533" i="209"/>
  <c r="O533" i="209"/>
  <c r="L533" i="209"/>
  <c r="K533" i="209"/>
  <c r="J533" i="209"/>
  <c r="I533" i="209"/>
  <c r="G533" i="209"/>
  <c r="E533" i="209"/>
  <c r="D533" i="209"/>
  <c r="U533" i="209" s="1"/>
  <c r="R532" i="209"/>
  <c r="O532" i="209"/>
  <c r="Q532" i="209"/>
  <c r="P532" i="209"/>
  <c r="L532" i="209"/>
  <c r="K532" i="209"/>
  <c r="J532" i="209"/>
  <c r="I532" i="209"/>
  <c r="R517" i="209"/>
  <c r="Q517" i="209"/>
  <c r="P517" i="209"/>
  <c r="O517" i="209"/>
  <c r="L517" i="209"/>
  <c r="K517" i="209"/>
  <c r="J517" i="209"/>
  <c r="I517" i="209"/>
  <c r="R516" i="209"/>
  <c r="O516" i="209"/>
  <c r="Q516" i="209"/>
  <c r="P516" i="209"/>
  <c r="L516" i="209"/>
  <c r="K516" i="209"/>
  <c r="J516" i="209"/>
  <c r="I516" i="209"/>
  <c r="R526" i="209"/>
  <c r="O526" i="209"/>
  <c r="Q526" i="209"/>
  <c r="P526" i="209"/>
  <c r="L526" i="209"/>
  <c r="K526" i="209"/>
  <c r="J526" i="209"/>
  <c r="I526" i="209"/>
  <c r="R529" i="209"/>
  <c r="Q529" i="209"/>
  <c r="P529" i="209"/>
  <c r="O529" i="209"/>
  <c r="L529" i="209"/>
  <c r="K529" i="209"/>
  <c r="J529" i="209"/>
  <c r="I529" i="209"/>
  <c r="R524" i="209"/>
  <c r="O524" i="209"/>
  <c r="Q524" i="209"/>
  <c r="P524" i="209"/>
  <c r="L524" i="209"/>
  <c r="K524" i="209"/>
  <c r="J524" i="209"/>
  <c r="I524" i="209"/>
  <c r="R520" i="209"/>
  <c r="Q520" i="209"/>
  <c r="P520" i="209"/>
  <c r="O520" i="209"/>
  <c r="L520" i="209"/>
  <c r="K520" i="209"/>
  <c r="J520" i="209"/>
  <c r="I520" i="209"/>
  <c r="R514" i="209"/>
  <c r="Q514" i="209"/>
  <c r="P514" i="209"/>
  <c r="O514" i="209"/>
  <c r="L514" i="209"/>
  <c r="K514" i="209"/>
  <c r="J514" i="209"/>
  <c r="I514" i="209"/>
  <c r="R527" i="209"/>
  <c r="O527" i="209"/>
  <c r="Q527" i="209"/>
  <c r="P527" i="209"/>
  <c r="L527" i="209"/>
  <c r="K527" i="209"/>
  <c r="J527" i="209"/>
  <c r="I527" i="209"/>
  <c r="R528" i="209"/>
  <c r="Q528" i="209"/>
  <c r="P528" i="209"/>
  <c r="O528" i="209"/>
  <c r="L528" i="209"/>
  <c r="K528" i="209"/>
  <c r="J528" i="209"/>
  <c r="I528" i="209"/>
  <c r="R525" i="209"/>
  <c r="Q525" i="209"/>
  <c r="P525" i="209"/>
  <c r="O525" i="209"/>
  <c r="L525" i="209"/>
  <c r="K525" i="209"/>
  <c r="J525" i="209"/>
  <c r="I525" i="209"/>
  <c r="R521" i="209"/>
  <c r="Q521" i="209"/>
  <c r="P521" i="209"/>
  <c r="O521" i="209"/>
  <c r="L521" i="209"/>
  <c r="K521" i="209"/>
  <c r="J521" i="209"/>
  <c r="I521" i="209"/>
  <c r="R519" i="209"/>
  <c r="Q519" i="209"/>
  <c r="P519" i="209"/>
  <c r="O519" i="209"/>
  <c r="L519" i="209"/>
  <c r="K519" i="209"/>
  <c r="J519" i="209"/>
  <c r="I519" i="209"/>
  <c r="R518" i="209"/>
  <c r="Q518" i="209"/>
  <c r="P518" i="209"/>
  <c r="O518" i="209"/>
  <c r="L518" i="209"/>
  <c r="K518" i="209"/>
  <c r="J518" i="209"/>
  <c r="I518" i="209"/>
  <c r="R515" i="209"/>
  <c r="O515" i="209"/>
  <c r="Q515" i="209"/>
  <c r="P515" i="209"/>
  <c r="L515" i="209"/>
  <c r="K515" i="209"/>
  <c r="J515" i="209"/>
  <c r="I515" i="209"/>
  <c r="V512" i="209"/>
  <c r="R509" i="209"/>
  <c r="Q509" i="209"/>
  <c r="P509" i="209"/>
  <c r="O509" i="209"/>
  <c r="L509" i="209"/>
  <c r="K509" i="209"/>
  <c r="J509" i="209"/>
  <c r="I509" i="209"/>
  <c r="R508" i="209"/>
  <c r="Q508" i="209"/>
  <c r="P508" i="209"/>
  <c r="O508" i="209"/>
  <c r="L508" i="209"/>
  <c r="K508" i="209"/>
  <c r="J508" i="209"/>
  <c r="I508" i="209"/>
  <c r="R507" i="209"/>
  <c r="Q507" i="209"/>
  <c r="P507" i="209"/>
  <c r="O507" i="209"/>
  <c r="L507" i="209"/>
  <c r="K507" i="209"/>
  <c r="J507" i="209"/>
  <c r="I507" i="209"/>
  <c r="R506" i="209"/>
  <c r="Q506" i="209"/>
  <c r="P506" i="209"/>
  <c r="O506" i="209"/>
  <c r="L506" i="209"/>
  <c r="K506" i="209"/>
  <c r="J506" i="209"/>
  <c r="I506" i="209"/>
  <c r="V504" i="209"/>
  <c r="V503" i="209"/>
  <c r="R503" i="209"/>
  <c r="Q503" i="209"/>
  <c r="P503" i="209"/>
  <c r="O503" i="209"/>
  <c r="L503" i="209"/>
  <c r="K503" i="209"/>
  <c r="J503" i="209"/>
  <c r="I503" i="209"/>
  <c r="G503" i="209"/>
  <c r="E503" i="209"/>
  <c r="D503" i="209"/>
  <c r="U503" i="209" s="1"/>
  <c r="V502" i="209"/>
  <c r="R502" i="209"/>
  <c r="Q502" i="209"/>
  <c r="P502" i="209"/>
  <c r="O502" i="209"/>
  <c r="L502" i="209"/>
  <c r="K502" i="209"/>
  <c r="J502" i="209"/>
  <c r="I502" i="209"/>
  <c r="G502" i="209"/>
  <c r="E502" i="209"/>
  <c r="D502" i="209"/>
  <c r="U502" i="209" s="1"/>
  <c r="V501" i="209"/>
  <c r="R501" i="209"/>
  <c r="Q501" i="209"/>
  <c r="P501" i="209"/>
  <c r="O501" i="209"/>
  <c r="L501" i="209"/>
  <c r="K501" i="209"/>
  <c r="J501" i="209"/>
  <c r="I501" i="209"/>
  <c r="G501" i="209"/>
  <c r="E501" i="209"/>
  <c r="D501" i="209"/>
  <c r="U501" i="209" s="1"/>
  <c r="R498" i="209"/>
  <c r="Q498" i="209"/>
  <c r="P498" i="209"/>
  <c r="O498" i="209"/>
  <c r="L498" i="209"/>
  <c r="K498" i="209"/>
  <c r="J498" i="209"/>
  <c r="I498" i="209"/>
  <c r="R497" i="209"/>
  <c r="Q497" i="209"/>
  <c r="P497" i="209"/>
  <c r="O497" i="209"/>
  <c r="L497" i="209"/>
  <c r="K497" i="209"/>
  <c r="J497" i="209"/>
  <c r="I497" i="209"/>
  <c r="R496" i="209"/>
  <c r="Q496" i="209"/>
  <c r="P496" i="209"/>
  <c r="O496" i="209"/>
  <c r="L496" i="209"/>
  <c r="K496" i="209"/>
  <c r="J496" i="209"/>
  <c r="I496" i="209"/>
  <c r="R495" i="209"/>
  <c r="Q495" i="209"/>
  <c r="P495" i="209"/>
  <c r="O495" i="209"/>
  <c r="L495" i="209"/>
  <c r="K495" i="209"/>
  <c r="J495" i="209"/>
  <c r="I495" i="209"/>
  <c r="R494" i="209"/>
  <c r="Q494" i="209"/>
  <c r="P494" i="209"/>
  <c r="O494" i="209"/>
  <c r="L494" i="209"/>
  <c r="K494" i="209"/>
  <c r="J494" i="209"/>
  <c r="I494" i="209"/>
  <c r="R493" i="209"/>
  <c r="Q493" i="209"/>
  <c r="P493" i="209"/>
  <c r="O493" i="209"/>
  <c r="L493" i="209"/>
  <c r="K493" i="209"/>
  <c r="J493" i="209"/>
  <c r="I493" i="209"/>
  <c r="R492" i="209"/>
  <c r="Q492" i="209"/>
  <c r="P492" i="209"/>
  <c r="O492" i="209"/>
  <c r="L492" i="209"/>
  <c r="K492" i="209"/>
  <c r="J492" i="209"/>
  <c r="I492" i="209"/>
  <c r="R491" i="209"/>
  <c r="Q491" i="209"/>
  <c r="P491" i="209"/>
  <c r="O491" i="209"/>
  <c r="L491" i="209"/>
  <c r="K491" i="209"/>
  <c r="J491" i="209"/>
  <c r="I491" i="209"/>
  <c r="R490" i="209"/>
  <c r="Q490" i="209"/>
  <c r="P490" i="209"/>
  <c r="O490" i="209"/>
  <c r="L490" i="209"/>
  <c r="K490" i="209"/>
  <c r="J490" i="209"/>
  <c r="I490" i="209"/>
  <c r="R489" i="209"/>
  <c r="Q489" i="209"/>
  <c r="P489" i="209"/>
  <c r="O489" i="209"/>
  <c r="L489" i="209"/>
  <c r="K489" i="209"/>
  <c r="J489" i="209"/>
  <c r="I489" i="209"/>
  <c r="R488" i="209"/>
  <c r="Q488" i="209"/>
  <c r="P488" i="209"/>
  <c r="O488" i="209"/>
  <c r="L488" i="209"/>
  <c r="K488" i="209"/>
  <c r="J488" i="209"/>
  <c r="I488" i="209"/>
  <c r="V476" i="209"/>
  <c r="R476" i="209"/>
  <c r="O476" i="209"/>
  <c r="Q476" i="209"/>
  <c r="P476" i="209"/>
  <c r="L476" i="209"/>
  <c r="K476" i="209"/>
  <c r="J476" i="209"/>
  <c r="I476" i="209"/>
  <c r="G476" i="209"/>
  <c r="E476" i="209"/>
  <c r="D476" i="209"/>
  <c r="U476" i="209" s="1"/>
  <c r="V474" i="209"/>
  <c r="R474" i="209"/>
  <c r="Q474" i="209"/>
  <c r="P474" i="209"/>
  <c r="O474" i="209"/>
  <c r="L474" i="209"/>
  <c r="K474" i="209"/>
  <c r="J474" i="209"/>
  <c r="I474" i="209"/>
  <c r="G474" i="209"/>
  <c r="E474" i="209"/>
  <c r="D474" i="209"/>
  <c r="U474" i="209" s="1"/>
  <c r="V473" i="209"/>
  <c r="R473" i="209"/>
  <c r="O473" i="209"/>
  <c r="Q473" i="209"/>
  <c r="P473" i="209"/>
  <c r="L473" i="209"/>
  <c r="K473" i="209"/>
  <c r="J473" i="209"/>
  <c r="I473" i="209"/>
  <c r="G473" i="209"/>
  <c r="E473" i="209"/>
  <c r="D473" i="209"/>
  <c r="U473" i="209" s="1"/>
  <c r="R472" i="209"/>
  <c r="Q472" i="209"/>
  <c r="P472" i="209"/>
  <c r="O472" i="209"/>
  <c r="L472" i="209"/>
  <c r="K472" i="209"/>
  <c r="J472" i="209"/>
  <c r="I472" i="209"/>
  <c r="R457" i="209"/>
  <c r="Q457" i="209"/>
  <c r="P457" i="209"/>
  <c r="O457" i="209"/>
  <c r="L457" i="209"/>
  <c r="K457" i="209"/>
  <c r="J457" i="209"/>
  <c r="I457" i="209"/>
  <c r="R456" i="209"/>
  <c r="Q456" i="209"/>
  <c r="P456" i="209"/>
  <c r="O456" i="209"/>
  <c r="L456" i="209"/>
  <c r="K456" i="209"/>
  <c r="J456" i="209"/>
  <c r="I456" i="209"/>
  <c r="R466" i="209"/>
  <c r="Q466" i="209"/>
  <c r="P466" i="209"/>
  <c r="O466" i="209"/>
  <c r="L466" i="209"/>
  <c r="K466" i="209"/>
  <c r="J466" i="209"/>
  <c r="I466" i="209"/>
  <c r="R469" i="209"/>
  <c r="Q469" i="209"/>
  <c r="P469" i="209"/>
  <c r="O469" i="209"/>
  <c r="L469" i="209"/>
  <c r="K469" i="209"/>
  <c r="J469" i="209"/>
  <c r="I469" i="209"/>
  <c r="R464" i="209"/>
  <c r="Q464" i="209"/>
  <c r="P464" i="209"/>
  <c r="O464" i="209"/>
  <c r="L464" i="209"/>
  <c r="K464" i="209"/>
  <c r="J464" i="209"/>
  <c r="I464" i="209"/>
  <c r="R460" i="209"/>
  <c r="Q460" i="209"/>
  <c r="P460" i="209"/>
  <c r="O460" i="209"/>
  <c r="L460" i="209"/>
  <c r="K460" i="209"/>
  <c r="J460" i="209"/>
  <c r="I460" i="209"/>
  <c r="R454" i="209"/>
  <c r="Q454" i="209"/>
  <c r="P454" i="209"/>
  <c r="O454" i="209"/>
  <c r="L454" i="209"/>
  <c r="K454" i="209"/>
  <c r="J454" i="209"/>
  <c r="I454" i="209"/>
  <c r="R467" i="209"/>
  <c r="Q467" i="209"/>
  <c r="P467" i="209"/>
  <c r="O467" i="209"/>
  <c r="L467" i="209"/>
  <c r="K467" i="209"/>
  <c r="J467" i="209"/>
  <c r="I467" i="209"/>
  <c r="R468" i="209"/>
  <c r="Q468" i="209"/>
  <c r="P468" i="209"/>
  <c r="O468" i="209"/>
  <c r="L468" i="209"/>
  <c r="K468" i="209"/>
  <c r="J468" i="209"/>
  <c r="I468" i="209"/>
  <c r="R465" i="209"/>
  <c r="Q465" i="209"/>
  <c r="P465" i="209"/>
  <c r="O465" i="209"/>
  <c r="L465" i="209"/>
  <c r="K465" i="209"/>
  <c r="J465" i="209"/>
  <c r="I465" i="209"/>
  <c r="R461" i="209"/>
  <c r="Q461" i="209"/>
  <c r="P461" i="209"/>
  <c r="O461" i="209"/>
  <c r="L461" i="209"/>
  <c r="K461" i="209"/>
  <c r="J461" i="209"/>
  <c r="I461" i="209"/>
  <c r="R459" i="209"/>
  <c r="Q459" i="209"/>
  <c r="P459" i="209"/>
  <c r="O459" i="209"/>
  <c r="L459" i="209"/>
  <c r="K459" i="209"/>
  <c r="J459" i="209"/>
  <c r="I459" i="209"/>
  <c r="R458" i="209"/>
  <c r="Q458" i="209"/>
  <c r="P458" i="209"/>
  <c r="O458" i="209"/>
  <c r="L458" i="209"/>
  <c r="K458" i="209"/>
  <c r="J458" i="209"/>
  <c r="I458" i="209"/>
  <c r="R455" i="209"/>
  <c r="Q455" i="209"/>
  <c r="P455" i="209"/>
  <c r="O455" i="209"/>
  <c r="L455" i="209"/>
  <c r="K455" i="209"/>
  <c r="J455" i="209"/>
  <c r="I455" i="209"/>
  <c r="V452" i="209"/>
  <c r="R449" i="209"/>
  <c r="O449" i="209"/>
  <c r="Q449" i="209"/>
  <c r="P449" i="209"/>
  <c r="L449" i="209"/>
  <c r="K449" i="209"/>
  <c r="J449" i="209"/>
  <c r="I449" i="209"/>
  <c r="R448" i="209"/>
  <c r="Q448" i="209"/>
  <c r="P448" i="209"/>
  <c r="O448" i="209"/>
  <c r="L448" i="209"/>
  <c r="K448" i="209"/>
  <c r="J448" i="209"/>
  <c r="I448" i="209"/>
  <c r="R447" i="209"/>
  <c r="O447" i="209"/>
  <c r="Q447" i="209"/>
  <c r="P447" i="209"/>
  <c r="L447" i="209"/>
  <c r="K447" i="209"/>
  <c r="J447" i="209"/>
  <c r="I447" i="209"/>
  <c r="R446" i="209"/>
  <c r="O446" i="209"/>
  <c r="Q446" i="209"/>
  <c r="P446" i="209"/>
  <c r="L446" i="209"/>
  <c r="K446" i="209"/>
  <c r="J446" i="209"/>
  <c r="I446" i="209"/>
  <c r="V444" i="209"/>
  <c r="V443" i="209"/>
  <c r="R443" i="209"/>
  <c r="Q443" i="209"/>
  <c r="P443" i="209"/>
  <c r="O443" i="209"/>
  <c r="L443" i="209"/>
  <c r="K443" i="209"/>
  <c r="J443" i="209"/>
  <c r="I443" i="209"/>
  <c r="G443" i="209"/>
  <c r="E443" i="209"/>
  <c r="D443" i="209"/>
  <c r="U443" i="209" s="1"/>
  <c r="V442" i="209"/>
  <c r="R442" i="209"/>
  <c r="Q442" i="209"/>
  <c r="P442" i="209"/>
  <c r="O442" i="209"/>
  <c r="L442" i="209"/>
  <c r="K442" i="209"/>
  <c r="J442" i="209"/>
  <c r="I442" i="209"/>
  <c r="G442" i="209"/>
  <c r="E442" i="209"/>
  <c r="D442" i="209"/>
  <c r="U442" i="209" s="1"/>
  <c r="V441" i="209"/>
  <c r="R441" i="209"/>
  <c r="Q441" i="209"/>
  <c r="P441" i="209"/>
  <c r="O441" i="209"/>
  <c r="L441" i="209"/>
  <c r="K441" i="209"/>
  <c r="J441" i="209"/>
  <c r="I441" i="209"/>
  <c r="G441" i="209"/>
  <c r="E441" i="209"/>
  <c r="D441" i="209"/>
  <c r="U441" i="209" s="1"/>
  <c r="V438" i="209"/>
  <c r="V498" i="209" s="1"/>
  <c r="V558" i="209" s="1"/>
  <c r="V618" i="209" s="1"/>
  <c r="V678" i="209" s="1"/>
  <c r="V738" i="209" s="1"/>
  <c r="R438" i="209"/>
  <c r="Q438" i="209"/>
  <c r="P438" i="209"/>
  <c r="O438" i="209"/>
  <c r="L438" i="209"/>
  <c r="K438" i="209"/>
  <c r="J438" i="209"/>
  <c r="I438" i="209"/>
  <c r="V437" i="209"/>
  <c r="V497" i="209" s="1"/>
  <c r="V557" i="209" s="1"/>
  <c r="V617" i="209" s="1"/>
  <c r="V677" i="209" s="1"/>
  <c r="V737" i="209" s="1"/>
  <c r="R437" i="209"/>
  <c r="Q437" i="209"/>
  <c r="P437" i="209"/>
  <c r="O437" i="209"/>
  <c r="L437" i="209"/>
  <c r="K437" i="209"/>
  <c r="J437" i="209"/>
  <c r="I437" i="209"/>
  <c r="V436" i="209"/>
  <c r="V496" i="209" s="1"/>
  <c r="V556" i="209" s="1"/>
  <c r="V616" i="209" s="1"/>
  <c r="V676" i="209" s="1"/>
  <c r="V736" i="209" s="1"/>
  <c r="R436" i="209"/>
  <c r="O436" i="209"/>
  <c r="Q436" i="209"/>
  <c r="P436" i="209"/>
  <c r="L436" i="209"/>
  <c r="K436" i="209"/>
  <c r="J436" i="209"/>
  <c r="I436" i="209"/>
  <c r="V435" i="209"/>
  <c r="V495" i="209" s="1"/>
  <c r="V555" i="209" s="1"/>
  <c r="V615" i="209" s="1"/>
  <c r="V675" i="209" s="1"/>
  <c r="V735" i="209" s="1"/>
  <c r="R435" i="209"/>
  <c r="Q435" i="209"/>
  <c r="P435" i="209"/>
  <c r="O435" i="209"/>
  <c r="L435" i="209"/>
  <c r="K435" i="209"/>
  <c r="J435" i="209"/>
  <c r="I435" i="209"/>
  <c r="V434" i="209"/>
  <c r="V494" i="209" s="1"/>
  <c r="V554" i="209" s="1"/>
  <c r="V614" i="209" s="1"/>
  <c r="V674" i="209" s="1"/>
  <c r="V734" i="209" s="1"/>
  <c r="R434" i="209"/>
  <c r="Q434" i="209"/>
  <c r="P434" i="209"/>
  <c r="O434" i="209"/>
  <c r="L434" i="209"/>
  <c r="K434" i="209"/>
  <c r="J434" i="209"/>
  <c r="I434" i="209"/>
  <c r="R433" i="209"/>
  <c r="Q433" i="209"/>
  <c r="P433" i="209"/>
  <c r="O433" i="209"/>
  <c r="L433" i="209"/>
  <c r="K433" i="209"/>
  <c r="J433" i="209"/>
  <c r="I433" i="209"/>
  <c r="V432" i="209"/>
  <c r="V492" i="209" s="1"/>
  <c r="V552" i="209" s="1"/>
  <c r="V612" i="209" s="1"/>
  <c r="V672" i="209" s="1"/>
  <c r="V732" i="209" s="1"/>
  <c r="R432" i="209"/>
  <c r="Q432" i="209"/>
  <c r="P432" i="209"/>
  <c r="O432" i="209"/>
  <c r="L432" i="209"/>
  <c r="K432" i="209"/>
  <c r="J432" i="209"/>
  <c r="I432" i="209"/>
  <c r="V431" i="209"/>
  <c r="V491" i="209" s="1"/>
  <c r="V551" i="209" s="1"/>
  <c r="V611" i="209" s="1"/>
  <c r="V671" i="209" s="1"/>
  <c r="V731" i="209" s="1"/>
  <c r="R431" i="209"/>
  <c r="Q431" i="209"/>
  <c r="P431" i="209"/>
  <c r="O431" i="209"/>
  <c r="L431" i="209"/>
  <c r="K431" i="209"/>
  <c r="J431" i="209"/>
  <c r="I431" i="209"/>
  <c r="V430" i="209"/>
  <c r="V490" i="209" s="1"/>
  <c r="V550" i="209" s="1"/>
  <c r="V610" i="209" s="1"/>
  <c r="V670" i="209" s="1"/>
  <c r="V730" i="209" s="1"/>
  <c r="R430" i="209"/>
  <c r="Q430" i="209"/>
  <c r="P430" i="209"/>
  <c r="O430" i="209"/>
  <c r="L430" i="209"/>
  <c r="K430" i="209"/>
  <c r="J430" i="209"/>
  <c r="I430" i="209"/>
  <c r="V429" i="209"/>
  <c r="V489" i="209" s="1"/>
  <c r="V549" i="209" s="1"/>
  <c r="V609" i="209" s="1"/>
  <c r="V669" i="209" s="1"/>
  <c r="V729" i="209" s="1"/>
  <c r="R429" i="209"/>
  <c r="Q429" i="209"/>
  <c r="P429" i="209"/>
  <c r="O429" i="209"/>
  <c r="L429" i="209"/>
  <c r="K429" i="209"/>
  <c r="J429" i="209"/>
  <c r="I429" i="209"/>
  <c r="V428" i="209"/>
  <c r="V488" i="209" s="1"/>
  <c r="V548" i="209" s="1"/>
  <c r="V608" i="209" s="1"/>
  <c r="V668" i="209" s="1"/>
  <c r="V728" i="209" s="1"/>
  <c r="R428" i="209"/>
  <c r="Q428" i="209"/>
  <c r="P428" i="209"/>
  <c r="O428" i="209"/>
  <c r="L428" i="209"/>
  <c r="K428" i="209"/>
  <c r="J428" i="209"/>
  <c r="I428" i="209"/>
  <c r="V416" i="209"/>
  <c r="R416" i="209"/>
  <c r="Q416" i="209"/>
  <c r="P416" i="209"/>
  <c r="O416" i="209"/>
  <c r="L416" i="209"/>
  <c r="I416" i="209"/>
  <c r="K416" i="209"/>
  <c r="J416" i="209"/>
  <c r="G416" i="209"/>
  <c r="E416" i="209"/>
  <c r="D416" i="209"/>
  <c r="U416" i="209" s="1"/>
  <c r="V414" i="209"/>
  <c r="R414" i="209"/>
  <c r="O414" i="209"/>
  <c r="Q414" i="209"/>
  <c r="P414" i="209"/>
  <c r="L414" i="209"/>
  <c r="K414" i="209"/>
  <c r="J414" i="209"/>
  <c r="I414" i="209"/>
  <c r="G414" i="209"/>
  <c r="E414" i="209"/>
  <c r="D414" i="209"/>
  <c r="U414" i="209" s="1"/>
  <c r="V413" i="209"/>
  <c r="R413" i="209"/>
  <c r="Q413" i="209"/>
  <c r="P413" i="209"/>
  <c r="O413" i="209"/>
  <c r="L413" i="209"/>
  <c r="I413" i="209"/>
  <c r="K413" i="209"/>
  <c r="J413" i="209"/>
  <c r="G413" i="209"/>
  <c r="E413" i="209"/>
  <c r="D413" i="209"/>
  <c r="U413" i="209" s="1"/>
  <c r="R412" i="209"/>
  <c r="Q412" i="209"/>
  <c r="P412" i="209"/>
  <c r="O412" i="209"/>
  <c r="L412" i="209"/>
  <c r="K412" i="209"/>
  <c r="J412" i="209"/>
  <c r="I412" i="209"/>
  <c r="R397" i="209"/>
  <c r="Q397" i="209"/>
  <c r="P397" i="209"/>
  <c r="O397" i="209"/>
  <c r="L397" i="209"/>
  <c r="K397" i="209"/>
  <c r="J397" i="209"/>
  <c r="I397" i="209"/>
  <c r="R396" i="209"/>
  <c r="Q396" i="209"/>
  <c r="P396" i="209"/>
  <c r="O396" i="209"/>
  <c r="L396" i="209"/>
  <c r="K396" i="209"/>
  <c r="J396" i="209"/>
  <c r="I396" i="209"/>
  <c r="R406" i="209"/>
  <c r="Q406" i="209"/>
  <c r="P406" i="209"/>
  <c r="O406" i="209"/>
  <c r="L406" i="209"/>
  <c r="K406" i="209"/>
  <c r="J406" i="209"/>
  <c r="I406" i="209"/>
  <c r="R409" i="209"/>
  <c r="Q409" i="209"/>
  <c r="P409" i="209"/>
  <c r="O409" i="209"/>
  <c r="L409" i="209"/>
  <c r="K409" i="209"/>
  <c r="J409" i="209"/>
  <c r="I409" i="209"/>
  <c r="R404" i="209"/>
  <c r="Q404" i="209"/>
  <c r="P404" i="209"/>
  <c r="O404" i="209"/>
  <c r="L404" i="209"/>
  <c r="K404" i="209"/>
  <c r="J404" i="209"/>
  <c r="I404" i="209"/>
  <c r="R400" i="209"/>
  <c r="Q400" i="209"/>
  <c r="P400" i="209"/>
  <c r="O400" i="209"/>
  <c r="L400" i="209"/>
  <c r="K400" i="209"/>
  <c r="J400" i="209"/>
  <c r="I400" i="209"/>
  <c r="R394" i="209"/>
  <c r="Q394" i="209"/>
  <c r="P394" i="209"/>
  <c r="O394" i="209"/>
  <c r="L394" i="209"/>
  <c r="K394" i="209"/>
  <c r="J394" i="209"/>
  <c r="I394" i="209"/>
  <c r="R407" i="209"/>
  <c r="Q407" i="209"/>
  <c r="P407" i="209"/>
  <c r="O407" i="209"/>
  <c r="L407" i="209"/>
  <c r="K407" i="209"/>
  <c r="J407" i="209"/>
  <c r="I407" i="209"/>
  <c r="R408" i="209"/>
  <c r="Q408" i="209"/>
  <c r="P408" i="209"/>
  <c r="O408" i="209"/>
  <c r="L408" i="209"/>
  <c r="K408" i="209"/>
  <c r="J408" i="209"/>
  <c r="I408" i="209"/>
  <c r="R405" i="209"/>
  <c r="Q405" i="209"/>
  <c r="P405" i="209"/>
  <c r="O405" i="209"/>
  <c r="L405" i="209"/>
  <c r="K405" i="209"/>
  <c r="J405" i="209"/>
  <c r="I405" i="209"/>
  <c r="R401" i="209"/>
  <c r="Q401" i="209"/>
  <c r="P401" i="209"/>
  <c r="O401" i="209"/>
  <c r="L401" i="209"/>
  <c r="K401" i="209"/>
  <c r="J401" i="209"/>
  <c r="I401" i="209"/>
  <c r="R399" i="209"/>
  <c r="Q399" i="209"/>
  <c r="P399" i="209"/>
  <c r="O399" i="209"/>
  <c r="L399" i="209"/>
  <c r="K399" i="209"/>
  <c r="J399" i="209"/>
  <c r="I399" i="209"/>
  <c r="R398" i="209"/>
  <c r="Q398" i="209"/>
  <c r="P398" i="209"/>
  <c r="O398" i="209"/>
  <c r="L398" i="209"/>
  <c r="K398" i="209"/>
  <c r="J398" i="209"/>
  <c r="I398" i="209"/>
  <c r="R395" i="209"/>
  <c r="Q395" i="209"/>
  <c r="P395" i="209"/>
  <c r="O395" i="209"/>
  <c r="L395" i="209"/>
  <c r="K395" i="209"/>
  <c r="J395" i="209"/>
  <c r="I395" i="209"/>
  <c r="V392" i="209"/>
  <c r="R389" i="209"/>
  <c r="O389" i="209"/>
  <c r="Q389" i="209"/>
  <c r="P389" i="209"/>
  <c r="L389" i="209"/>
  <c r="K389" i="209"/>
  <c r="J389" i="209"/>
  <c r="I389" i="209"/>
  <c r="R388" i="209"/>
  <c r="Q388" i="209"/>
  <c r="P388" i="209"/>
  <c r="O388" i="209"/>
  <c r="L388" i="209"/>
  <c r="K388" i="209"/>
  <c r="J388" i="209"/>
  <c r="I388" i="209"/>
  <c r="R387" i="209"/>
  <c r="O387" i="209"/>
  <c r="Q387" i="209"/>
  <c r="P387" i="209"/>
  <c r="L387" i="209"/>
  <c r="K387" i="209"/>
  <c r="J387" i="209"/>
  <c r="I387" i="209"/>
  <c r="R386" i="209"/>
  <c r="O386" i="209"/>
  <c r="Q386" i="209"/>
  <c r="P386" i="209"/>
  <c r="L386" i="209"/>
  <c r="K386" i="209"/>
  <c r="J386" i="209"/>
  <c r="I386" i="209"/>
  <c r="V384" i="209"/>
  <c r="V383" i="209"/>
  <c r="R383" i="209"/>
  <c r="Q383" i="209"/>
  <c r="P383" i="209"/>
  <c r="O383" i="209"/>
  <c r="L383" i="209"/>
  <c r="K383" i="209"/>
  <c r="J383" i="209"/>
  <c r="I383" i="209"/>
  <c r="G383" i="209"/>
  <c r="E383" i="209"/>
  <c r="D383" i="209"/>
  <c r="U383" i="209" s="1"/>
  <c r="V382" i="209"/>
  <c r="R382" i="209"/>
  <c r="Q382" i="209"/>
  <c r="P382" i="209"/>
  <c r="O382" i="209"/>
  <c r="L382" i="209"/>
  <c r="K382" i="209"/>
  <c r="J382" i="209"/>
  <c r="I382" i="209"/>
  <c r="G382" i="209"/>
  <c r="E382" i="209"/>
  <c r="D382" i="209"/>
  <c r="U382" i="209" s="1"/>
  <c r="V381" i="209"/>
  <c r="R381" i="209"/>
  <c r="Q381" i="209"/>
  <c r="P381" i="209"/>
  <c r="O381" i="209"/>
  <c r="L381" i="209"/>
  <c r="K381" i="209"/>
  <c r="J381" i="209"/>
  <c r="I381" i="209"/>
  <c r="G381" i="209"/>
  <c r="E381" i="209"/>
  <c r="D381" i="209"/>
  <c r="U381" i="209" s="1"/>
  <c r="R378" i="209"/>
  <c r="Q378" i="209"/>
  <c r="P378" i="209"/>
  <c r="O378" i="209"/>
  <c r="L378" i="209"/>
  <c r="K378" i="209"/>
  <c r="J378" i="209"/>
  <c r="I378" i="209"/>
  <c r="R377" i="209"/>
  <c r="Q377" i="209"/>
  <c r="P377" i="209"/>
  <c r="O377" i="209"/>
  <c r="L377" i="209"/>
  <c r="K377" i="209"/>
  <c r="J377" i="209"/>
  <c r="I377" i="209"/>
  <c r="R376" i="209"/>
  <c r="Q376" i="209"/>
  <c r="P376" i="209"/>
  <c r="O376" i="209"/>
  <c r="L376" i="209"/>
  <c r="K376" i="209"/>
  <c r="J376" i="209"/>
  <c r="I376" i="209"/>
  <c r="R375" i="209"/>
  <c r="Q375" i="209"/>
  <c r="P375" i="209"/>
  <c r="O375" i="209"/>
  <c r="L375" i="209"/>
  <c r="K375" i="209"/>
  <c r="J375" i="209"/>
  <c r="I375" i="209"/>
  <c r="R374" i="209"/>
  <c r="Q374" i="209"/>
  <c r="P374" i="209"/>
  <c r="O374" i="209"/>
  <c r="L374" i="209"/>
  <c r="K374" i="209"/>
  <c r="J374" i="209"/>
  <c r="I374" i="209"/>
  <c r="R373" i="209"/>
  <c r="Q373" i="209"/>
  <c r="P373" i="209"/>
  <c r="O373" i="209"/>
  <c r="L373" i="209"/>
  <c r="K373" i="209"/>
  <c r="J373" i="209"/>
  <c r="I373" i="209"/>
  <c r="R372" i="209"/>
  <c r="Q372" i="209"/>
  <c r="P372" i="209"/>
  <c r="O372" i="209"/>
  <c r="L372" i="209"/>
  <c r="K372" i="209"/>
  <c r="J372" i="209"/>
  <c r="I372" i="209"/>
  <c r="R371" i="209"/>
  <c r="Q371" i="209"/>
  <c r="P371" i="209"/>
  <c r="O371" i="209"/>
  <c r="L371" i="209"/>
  <c r="K371" i="209"/>
  <c r="J371" i="209"/>
  <c r="I371" i="209"/>
  <c r="R370" i="209"/>
  <c r="Q370" i="209"/>
  <c r="P370" i="209"/>
  <c r="O370" i="209"/>
  <c r="L370" i="209"/>
  <c r="K370" i="209"/>
  <c r="J370" i="209"/>
  <c r="I370" i="209"/>
  <c r="R369" i="209"/>
  <c r="Q369" i="209"/>
  <c r="P369" i="209"/>
  <c r="O369" i="209"/>
  <c r="L369" i="209"/>
  <c r="K369" i="209"/>
  <c r="J369" i="209"/>
  <c r="I369" i="209"/>
  <c r="R368" i="209"/>
  <c r="Q368" i="209"/>
  <c r="P368" i="209"/>
  <c r="O368" i="209"/>
  <c r="L368" i="209"/>
  <c r="K368" i="209"/>
  <c r="J368" i="209"/>
  <c r="I368" i="209"/>
  <c r="V356" i="209"/>
  <c r="R356" i="209"/>
  <c r="Q356" i="209"/>
  <c r="P356" i="209"/>
  <c r="O356" i="209"/>
  <c r="L356" i="209"/>
  <c r="K356" i="209"/>
  <c r="J356" i="209"/>
  <c r="I356" i="209"/>
  <c r="G356" i="209"/>
  <c r="E356" i="209"/>
  <c r="D356" i="209"/>
  <c r="U356" i="209" s="1"/>
  <c r="V354" i="209"/>
  <c r="R354" i="209"/>
  <c r="Q354" i="209"/>
  <c r="P354" i="209"/>
  <c r="O354" i="209"/>
  <c r="L354" i="209"/>
  <c r="K354" i="209"/>
  <c r="J354" i="209"/>
  <c r="I354" i="209"/>
  <c r="G354" i="209"/>
  <c r="E354" i="209"/>
  <c r="D354" i="209"/>
  <c r="U354" i="209" s="1"/>
  <c r="V353" i="209"/>
  <c r="R353" i="209"/>
  <c r="Q353" i="209"/>
  <c r="P353" i="209"/>
  <c r="O353" i="209"/>
  <c r="L353" i="209"/>
  <c r="K353" i="209"/>
  <c r="J353" i="209"/>
  <c r="I353" i="209"/>
  <c r="G353" i="209"/>
  <c r="E353" i="209"/>
  <c r="D353" i="209"/>
  <c r="U353" i="209" s="1"/>
  <c r="R352" i="209"/>
  <c r="Q352" i="209"/>
  <c r="P352" i="209"/>
  <c r="O352" i="209"/>
  <c r="L352" i="209"/>
  <c r="K352" i="209"/>
  <c r="J352" i="209"/>
  <c r="I352" i="209"/>
  <c r="R337" i="209"/>
  <c r="Q337" i="209"/>
  <c r="P337" i="209"/>
  <c r="O337" i="209"/>
  <c r="L337" i="209"/>
  <c r="K337" i="209"/>
  <c r="J337" i="209"/>
  <c r="I337" i="209"/>
  <c r="R336" i="209"/>
  <c r="Q336" i="209"/>
  <c r="P336" i="209"/>
  <c r="O336" i="209"/>
  <c r="L336" i="209"/>
  <c r="K336" i="209"/>
  <c r="J336" i="209"/>
  <c r="I336" i="209"/>
  <c r="R346" i="209"/>
  <c r="Q346" i="209"/>
  <c r="P346" i="209"/>
  <c r="O346" i="209"/>
  <c r="L346" i="209"/>
  <c r="K346" i="209"/>
  <c r="J346" i="209"/>
  <c r="I346" i="209"/>
  <c r="R349" i="209"/>
  <c r="Q349" i="209"/>
  <c r="P349" i="209"/>
  <c r="O349" i="209"/>
  <c r="L349" i="209"/>
  <c r="K349" i="209"/>
  <c r="J349" i="209"/>
  <c r="I349" i="209"/>
  <c r="R344" i="209"/>
  <c r="Q344" i="209"/>
  <c r="P344" i="209"/>
  <c r="O344" i="209"/>
  <c r="L344" i="209"/>
  <c r="K344" i="209"/>
  <c r="J344" i="209"/>
  <c r="I344" i="209"/>
  <c r="R340" i="209"/>
  <c r="Q340" i="209"/>
  <c r="P340" i="209"/>
  <c r="O340" i="209"/>
  <c r="L340" i="209"/>
  <c r="K340" i="209"/>
  <c r="J340" i="209"/>
  <c r="I340" i="209"/>
  <c r="R334" i="209"/>
  <c r="Q334" i="209"/>
  <c r="P334" i="209"/>
  <c r="O334" i="209"/>
  <c r="L334" i="209"/>
  <c r="K334" i="209"/>
  <c r="J334" i="209"/>
  <c r="I334" i="209"/>
  <c r="R347" i="209"/>
  <c r="Q347" i="209"/>
  <c r="P347" i="209"/>
  <c r="O347" i="209"/>
  <c r="L347" i="209"/>
  <c r="K347" i="209"/>
  <c r="J347" i="209"/>
  <c r="I347" i="209"/>
  <c r="R348" i="209"/>
  <c r="Q348" i="209"/>
  <c r="P348" i="209"/>
  <c r="O348" i="209"/>
  <c r="L348" i="209"/>
  <c r="K348" i="209"/>
  <c r="J348" i="209"/>
  <c r="I348" i="209"/>
  <c r="R345" i="209"/>
  <c r="Q345" i="209"/>
  <c r="P345" i="209"/>
  <c r="O345" i="209"/>
  <c r="L345" i="209"/>
  <c r="K345" i="209"/>
  <c r="J345" i="209"/>
  <c r="I345" i="209"/>
  <c r="R341" i="209"/>
  <c r="Q341" i="209"/>
  <c r="P341" i="209"/>
  <c r="O341" i="209"/>
  <c r="L341" i="209"/>
  <c r="K341" i="209"/>
  <c r="J341" i="209"/>
  <c r="I341" i="209"/>
  <c r="R339" i="209"/>
  <c r="Q339" i="209"/>
  <c r="P339" i="209"/>
  <c r="O339" i="209"/>
  <c r="L339" i="209"/>
  <c r="K339" i="209"/>
  <c r="J339" i="209"/>
  <c r="I339" i="209"/>
  <c r="R338" i="209"/>
  <c r="Q338" i="209"/>
  <c r="P338" i="209"/>
  <c r="O338" i="209"/>
  <c r="L338" i="209"/>
  <c r="K338" i="209"/>
  <c r="J338" i="209"/>
  <c r="I338" i="209"/>
  <c r="R335" i="209"/>
  <c r="Q335" i="209"/>
  <c r="P335" i="209"/>
  <c r="O335" i="209"/>
  <c r="L335" i="209"/>
  <c r="K335" i="209"/>
  <c r="J335" i="209"/>
  <c r="I335" i="209"/>
  <c r="V332" i="209"/>
  <c r="R329" i="209"/>
  <c r="Q329" i="209"/>
  <c r="P329" i="209"/>
  <c r="O329" i="209"/>
  <c r="M329" i="209"/>
  <c r="L329" i="209"/>
  <c r="K329" i="209"/>
  <c r="J329" i="209"/>
  <c r="I329" i="209"/>
  <c r="R328" i="209"/>
  <c r="Q328" i="209"/>
  <c r="P328" i="209"/>
  <c r="O328" i="209"/>
  <c r="L328" i="209"/>
  <c r="K328" i="209"/>
  <c r="J328" i="209"/>
  <c r="I328" i="209"/>
  <c r="R327" i="209"/>
  <c r="Q327" i="209"/>
  <c r="P327" i="209"/>
  <c r="O327" i="209"/>
  <c r="L327" i="209"/>
  <c r="K327" i="209"/>
  <c r="J327" i="209"/>
  <c r="I327" i="209"/>
  <c r="R326" i="209"/>
  <c r="Q326" i="209"/>
  <c r="P326" i="209"/>
  <c r="O326" i="209"/>
  <c r="L326" i="209"/>
  <c r="K326" i="209"/>
  <c r="J326" i="209"/>
  <c r="I326" i="209"/>
  <c r="V323" i="209"/>
  <c r="R323" i="209"/>
  <c r="Q323" i="209"/>
  <c r="P323" i="209"/>
  <c r="O323" i="209"/>
  <c r="L323" i="209"/>
  <c r="K323" i="209"/>
  <c r="J323" i="209"/>
  <c r="I323" i="209"/>
  <c r="G323" i="209"/>
  <c r="E323" i="209"/>
  <c r="D323" i="209"/>
  <c r="U323" i="209" s="1"/>
  <c r="V322" i="209"/>
  <c r="R322" i="209"/>
  <c r="Q322" i="209"/>
  <c r="P322" i="209"/>
  <c r="O322" i="209"/>
  <c r="L322" i="209"/>
  <c r="K322" i="209"/>
  <c r="J322" i="209"/>
  <c r="I322" i="209"/>
  <c r="G322" i="209"/>
  <c r="E322" i="209"/>
  <c r="D322" i="209"/>
  <c r="U322" i="209" s="1"/>
  <c r="V321" i="209"/>
  <c r="R321" i="209"/>
  <c r="Q321" i="209"/>
  <c r="P321" i="209"/>
  <c r="O321" i="209"/>
  <c r="L321" i="209"/>
  <c r="K321" i="209"/>
  <c r="J321" i="209"/>
  <c r="I321" i="209"/>
  <c r="G321" i="209"/>
  <c r="E321" i="209"/>
  <c r="D321" i="209"/>
  <c r="U321" i="209" s="1"/>
  <c r="R318" i="209"/>
  <c r="Q318" i="209"/>
  <c r="P318" i="209"/>
  <c r="O318" i="209"/>
  <c r="L318" i="209"/>
  <c r="K318" i="209"/>
  <c r="J318" i="209"/>
  <c r="I318" i="209"/>
  <c r="R317" i="209"/>
  <c r="Q317" i="209"/>
  <c r="P317" i="209"/>
  <c r="O317" i="209"/>
  <c r="L317" i="209"/>
  <c r="K317" i="209"/>
  <c r="J317" i="209"/>
  <c r="I317" i="209"/>
  <c r="R316" i="209"/>
  <c r="Q316" i="209"/>
  <c r="P316" i="209"/>
  <c r="O316" i="209"/>
  <c r="L316" i="209"/>
  <c r="K316" i="209"/>
  <c r="J316" i="209"/>
  <c r="I316" i="209"/>
  <c r="R315" i="209"/>
  <c r="Q315" i="209"/>
  <c r="P315" i="209"/>
  <c r="O315" i="209"/>
  <c r="L315" i="209"/>
  <c r="K315" i="209"/>
  <c r="J315" i="209"/>
  <c r="I315" i="209"/>
  <c r="R314" i="209"/>
  <c r="Q314" i="209"/>
  <c r="P314" i="209"/>
  <c r="O314" i="209"/>
  <c r="L314" i="209"/>
  <c r="K314" i="209"/>
  <c r="J314" i="209"/>
  <c r="I314" i="209"/>
  <c r="R313" i="209"/>
  <c r="Q313" i="209"/>
  <c r="P313" i="209"/>
  <c r="O313" i="209"/>
  <c r="L313" i="209"/>
  <c r="K313" i="209"/>
  <c r="J313" i="209"/>
  <c r="I313" i="209"/>
  <c r="R312" i="209"/>
  <c r="Q312" i="209"/>
  <c r="P312" i="209"/>
  <c r="O312" i="209"/>
  <c r="L312" i="209"/>
  <c r="K312" i="209"/>
  <c r="J312" i="209"/>
  <c r="I312" i="209"/>
  <c r="R311" i="209"/>
  <c r="Q311" i="209"/>
  <c r="P311" i="209"/>
  <c r="O311" i="209"/>
  <c r="L311" i="209"/>
  <c r="K311" i="209"/>
  <c r="J311" i="209"/>
  <c r="I311" i="209"/>
  <c r="R310" i="209"/>
  <c r="Q310" i="209"/>
  <c r="P310" i="209"/>
  <c r="O310" i="209"/>
  <c r="L310" i="209"/>
  <c r="K310" i="209"/>
  <c r="J310" i="209"/>
  <c r="I310" i="209"/>
  <c r="R309" i="209"/>
  <c r="Q309" i="209"/>
  <c r="P309" i="209"/>
  <c r="O309" i="209"/>
  <c r="L309" i="209"/>
  <c r="K309" i="209"/>
  <c r="J309" i="209"/>
  <c r="I309" i="209"/>
  <c r="R308" i="209"/>
  <c r="Q308" i="209"/>
  <c r="P308" i="209"/>
  <c r="O308" i="209"/>
  <c r="L308" i="209"/>
  <c r="K308" i="209"/>
  <c r="J308" i="209"/>
  <c r="I308" i="209"/>
  <c r="V296" i="209"/>
  <c r="R296" i="209"/>
  <c r="Q296" i="209"/>
  <c r="P296" i="209"/>
  <c r="O296" i="209"/>
  <c r="G296" i="209"/>
  <c r="E296" i="209"/>
  <c r="D296" i="209"/>
  <c r="U296" i="209" s="1"/>
  <c r="R294" i="209"/>
  <c r="Q294" i="209"/>
  <c r="P294" i="209"/>
  <c r="O294" i="209"/>
  <c r="G294" i="209"/>
  <c r="E294" i="209"/>
  <c r="D294" i="209"/>
  <c r="U294" i="209" s="1"/>
  <c r="R293" i="209"/>
  <c r="Q293" i="209"/>
  <c r="P293" i="209"/>
  <c r="O293" i="209"/>
  <c r="G293" i="209"/>
  <c r="E293" i="209"/>
  <c r="D293" i="209"/>
  <c r="U293" i="209" s="1"/>
  <c r="R292" i="209"/>
  <c r="Q292" i="209"/>
  <c r="P292" i="209"/>
  <c r="O292" i="209"/>
  <c r="R277" i="209"/>
  <c r="Q277" i="209"/>
  <c r="P277" i="209"/>
  <c r="O277" i="209"/>
  <c r="R276" i="209"/>
  <c r="Q276" i="209"/>
  <c r="P276" i="209"/>
  <c r="O276" i="209"/>
  <c r="R286" i="209"/>
  <c r="Q286" i="209"/>
  <c r="P286" i="209"/>
  <c r="O286" i="209"/>
  <c r="R289" i="209"/>
  <c r="Q289" i="209"/>
  <c r="P289" i="209"/>
  <c r="O289" i="209"/>
  <c r="R284" i="209"/>
  <c r="Q284" i="209"/>
  <c r="P284" i="209"/>
  <c r="O284" i="209"/>
  <c r="R280" i="209"/>
  <c r="Q280" i="209"/>
  <c r="P280" i="209"/>
  <c r="O280" i="209"/>
  <c r="R274" i="209"/>
  <c r="Q274" i="209"/>
  <c r="P274" i="209"/>
  <c r="O274" i="209"/>
  <c r="R287" i="209"/>
  <c r="Q287" i="209"/>
  <c r="P287" i="209"/>
  <c r="O287" i="209"/>
  <c r="R288" i="209"/>
  <c r="Q288" i="209"/>
  <c r="P288" i="209"/>
  <c r="O288" i="209"/>
  <c r="R285" i="209"/>
  <c r="Q285" i="209"/>
  <c r="P285" i="209"/>
  <c r="O285" i="209"/>
  <c r="R281" i="209"/>
  <c r="Q281" i="209"/>
  <c r="P281" i="209"/>
  <c r="O281" i="209"/>
  <c r="R279" i="209"/>
  <c r="Q279" i="209"/>
  <c r="P279" i="209"/>
  <c r="O279" i="209"/>
  <c r="R278" i="209"/>
  <c r="Q278" i="209"/>
  <c r="P278" i="209"/>
  <c r="O278" i="209"/>
  <c r="R275" i="209"/>
  <c r="Q275" i="209"/>
  <c r="P275" i="209"/>
  <c r="O275" i="209"/>
  <c r="V272" i="209"/>
  <c r="R269" i="209"/>
  <c r="Q269" i="209"/>
  <c r="P269" i="209"/>
  <c r="O269" i="209"/>
  <c r="R268" i="209"/>
  <c r="Q268" i="209"/>
  <c r="P268" i="209"/>
  <c r="O268" i="209"/>
  <c r="C268" i="209"/>
  <c r="C328" i="209" s="1"/>
  <c r="C388" i="209" s="1"/>
  <c r="C448" i="209" s="1"/>
  <c r="C508" i="209" s="1"/>
  <c r="C568" i="209" s="1"/>
  <c r="C628" i="209" s="1"/>
  <c r="C688" i="209" s="1"/>
  <c r="C748" i="209" s="1"/>
  <c r="R267" i="209"/>
  <c r="Q267" i="209"/>
  <c r="P267" i="209"/>
  <c r="O267" i="209"/>
  <c r="R266" i="209"/>
  <c r="Q266" i="209"/>
  <c r="P266" i="209"/>
  <c r="O266" i="209"/>
  <c r="R263" i="209"/>
  <c r="Q263" i="209"/>
  <c r="P263" i="209"/>
  <c r="O263" i="209"/>
  <c r="G263" i="209"/>
  <c r="E263" i="209"/>
  <c r="D263" i="209"/>
  <c r="R262" i="209"/>
  <c r="Q262" i="209"/>
  <c r="P262" i="209"/>
  <c r="O262" i="209"/>
  <c r="G262" i="209"/>
  <c r="E262" i="209"/>
  <c r="D262" i="209"/>
  <c r="R261" i="209"/>
  <c r="Q261" i="209"/>
  <c r="P261" i="209"/>
  <c r="O261" i="209"/>
  <c r="G261" i="209"/>
  <c r="E261" i="209"/>
  <c r="D261" i="209"/>
  <c r="R258" i="209"/>
  <c r="Q258" i="209"/>
  <c r="P258" i="209"/>
  <c r="O258" i="209"/>
  <c r="R257" i="209"/>
  <c r="Q257" i="209"/>
  <c r="P257" i="209"/>
  <c r="O257" i="209"/>
  <c r="R256" i="209"/>
  <c r="Q256" i="209"/>
  <c r="P256" i="209"/>
  <c r="O256" i="209"/>
  <c r="R255" i="209"/>
  <c r="Q255" i="209"/>
  <c r="P255" i="209"/>
  <c r="O255" i="209"/>
  <c r="R254" i="209"/>
  <c r="Q254" i="209"/>
  <c r="P254" i="209"/>
  <c r="O254" i="209"/>
  <c r="R253" i="209"/>
  <c r="Q253" i="209"/>
  <c r="P253" i="209"/>
  <c r="O253" i="209"/>
  <c r="R252" i="209"/>
  <c r="Q252" i="209"/>
  <c r="P252" i="209"/>
  <c r="O252" i="209"/>
  <c r="R251" i="209"/>
  <c r="Q251" i="209"/>
  <c r="P251" i="209"/>
  <c r="O251" i="209"/>
  <c r="R250" i="209"/>
  <c r="Q250" i="209"/>
  <c r="P250" i="209"/>
  <c r="O250" i="209"/>
  <c r="R249" i="209"/>
  <c r="Q249" i="209"/>
  <c r="P249" i="209"/>
  <c r="O249" i="209"/>
  <c r="R248" i="209"/>
  <c r="Q248" i="209"/>
  <c r="P248" i="209"/>
  <c r="O248" i="209"/>
  <c r="V236" i="209"/>
  <c r="G236" i="209"/>
  <c r="E236" i="209"/>
  <c r="D236" i="209"/>
  <c r="U236" i="209" s="1"/>
  <c r="G234" i="209"/>
  <c r="E234" i="209"/>
  <c r="D234" i="209"/>
  <c r="G233" i="209"/>
  <c r="E233" i="209"/>
  <c r="D233" i="209"/>
  <c r="V212" i="209"/>
  <c r="V208" i="209"/>
  <c r="V268" i="209" s="1"/>
  <c r="V328" i="209" s="1"/>
  <c r="V388" i="209" s="1"/>
  <c r="V448" i="209" s="1"/>
  <c r="V508" i="209" s="1"/>
  <c r="V568" i="209" s="1"/>
  <c r="V628" i="209" s="1"/>
  <c r="V688" i="209" s="1"/>
  <c r="V748" i="209" s="1"/>
  <c r="G203" i="209"/>
  <c r="E203" i="209"/>
  <c r="D203" i="209"/>
  <c r="G202" i="209"/>
  <c r="E202" i="209"/>
  <c r="D202" i="209"/>
  <c r="G201" i="209"/>
  <c r="E201" i="209"/>
  <c r="D201" i="209"/>
  <c r="V176" i="209"/>
  <c r="G176" i="209"/>
  <c r="E176" i="209"/>
  <c r="D176" i="209"/>
  <c r="U176" i="209" s="1"/>
  <c r="G174" i="209"/>
  <c r="E174" i="209"/>
  <c r="D174" i="209"/>
  <c r="G173" i="209"/>
  <c r="E173" i="209"/>
  <c r="D173" i="209"/>
  <c r="C172" i="209"/>
  <c r="C232" i="209" s="1"/>
  <c r="C292" i="209" s="1"/>
  <c r="C352" i="209" s="1"/>
  <c r="V152" i="209"/>
  <c r="C147" i="209"/>
  <c r="C207" i="209" s="1"/>
  <c r="C267" i="209" s="1"/>
  <c r="C327" i="209" s="1"/>
  <c r="C387" i="209" s="1"/>
  <c r="C447" i="209" s="1"/>
  <c r="C507" i="209" s="1"/>
  <c r="C567" i="209" s="1"/>
  <c r="C627" i="209" s="1"/>
  <c r="C687" i="209" s="1"/>
  <c r="C747" i="209" s="1"/>
  <c r="V143" i="209"/>
  <c r="V203" i="209" s="1"/>
  <c r="V263" i="209" s="1"/>
  <c r="G143" i="209"/>
  <c r="E143" i="209"/>
  <c r="D143" i="209"/>
  <c r="G142" i="209"/>
  <c r="E142" i="209"/>
  <c r="D142" i="209"/>
  <c r="G141" i="209"/>
  <c r="E141" i="209"/>
  <c r="D141" i="209"/>
  <c r="V124" i="209"/>
  <c r="V184" i="209" s="1"/>
  <c r="V244" i="209" s="1"/>
  <c r="V304" i="209" s="1"/>
  <c r="V364" i="209" s="1"/>
  <c r="V424" i="209" s="1"/>
  <c r="V484" i="209" s="1"/>
  <c r="V544" i="209" s="1"/>
  <c r="V604" i="209" s="1"/>
  <c r="V664" i="209" s="1"/>
  <c r="V724" i="209" s="1"/>
  <c r="V784" i="209" s="1"/>
  <c r="C124" i="209"/>
  <c r="C184" i="209" s="1"/>
  <c r="C244" i="209" s="1"/>
  <c r="C304" i="209" s="1"/>
  <c r="C364" i="209" s="1"/>
  <c r="C424" i="209" s="1"/>
  <c r="C484" i="209" s="1"/>
  <c r="C544" i="209" s="1"/>
  <c r="C604" i="209" s="1"/>
  <c r="C664" i="209" s="1"/>
  <c r="C724" i="209" s="1"/>
  <c r="C784" i="209" s="1"/>
  <c r="C122" i="209"/>
  <c r="C182" i="209" s="1"/>
  <c r="C242" i="209" s="1"/>
  <c r="C302" i="209" s="1"/>
  <c r="C362" i="209" s="1"/>
  <c r="C422" i="209" s="1"/>
  <c r="C482" i="209" s="1"/>
  <c r="C542" i="209" s="1"/>
  <c r="C602" i="209" s="1"/>
  <c r="C662" i="209" s="1"/>
  <c r="C722" i="209" s="1"/>
  <c r="C782" i="209" s="1"/>
  <c r="V120" i="209"/>
  <c r="V180" i="209" s="1"/>
  <c r="V240" i="209" s="1"/>
  <c r="V300" i="209" s="1"/>
  <c r="V360" i="209" s="1"/>
  <c r="V420" i="209" s="1"/>
  <c r="V480" i="209" s="1"/>
  <c r="V540" i="209" s="1"/>
  <c r="V600" i="209" s="1"/>
  <c r="V660" i="209" s="1"/>
  <c r="V720" i="209" s="1"/>
  <c r="V780" i="209" s="1"/>
  <c r="C120" i="209"/>
  <c r="C180" i="209" s="1"/>
  <c r="C240" i="209" s="1"/>
  <c r="C300" i="209" s="1"/>
  <c r="C360" i="209" s="1"/>
  <c r="C420" i="209" s="1"/>
  <c r="C480" i="209" s="1"/>
  <c r="C540" i="209" s="1"/>
  <c r="C600" i="209" s="1"/>
  <c r="C660" i="209" s="1"/>
  <c r="C720" i="209" s="1"/>
  <c r="C780" i="209" s="1"/>
  <c r="V116" i="209"/>
  <c r="G116" i="209"/>
  <c r="E116" i="209"/>
  <c r="D116" i="209"/>
  <c r="U116" i="209" s="1"/>
  <c r="V117" i="209"/>
  <c r="V177" i="209" s="1"/>
  <c r="V237" i="209" s="1"/>
  <c r="V297" i="209" s="1"/>
  <c r="V357" i="209" s="1"/>
  <c r="V417" i="209" s="1"/>
  <c r="C117" i="209"/>
  <c r="C177" i="209" s="1"/>
  <c r="C237" i="209" s="1"/>
  <c r="C297" i="209" s="1"/>
  <c r="C357" i="209" s="1"/>
  <c r="C417" i="209" s="1"/>
  <c r="C477" i="209" s="1"/>
  <c r="C537" i="209" s="1"/>
  <c r="C597" i="209" s="1"/>
  <c r="C657" i="209" s="1"/>
  <c r="G114" i="209"/>
  <c r="E114" i="209"/>
  <c r="D114" i="209"/>
  <c r="G113" i="209"/>
  <c r="E113" i="209"/>
  <c r="D113" i="209"/>
  <c r="G112" i="209"/>
  <c r="G172" i="209" s="1"/>
  <c r="G232" i="209" s="1"/>
  <c r="G292" i="209" s="1"/>
  <c r="G352" i="209" s="1"/>
  <c r="G412" i="209" s="1"/>
  <c r="G472" i="209" s="1"/>
  <c r="G532" i="209" s="1"/>
  <c r="G592" i="209" s="1"/>
  <c r="G652" i="209" s="1"/>
  <c r="G712" i="209" s="1"/>
  <c r="G772" i="209" s="1"/>
  <c r="E112" i="209"/>
  <c r="E172" i="209" s="1"/>
  <c r="E232" i="209" s="1"/>
  <c r="E292" i="209" s="1"/>
  <c r="E352" i="209" s="1"/>
  <c r="E412" i="209" s="1"/>
  <c r="E472" i="209" s="1"/>
  <c r="E532" i="209" s="1"/>
  <c r="E592" i="209" s="1"/>
  <c r="E652" i="209" s="1"/>
  <c r="E712" i="209" s="1"/>
  <c r="E772" i="209" s="1"/>
  <c r="D112" i="209"/>
  <c r="D172" i="209" s="1"/>
  <c r="D232" i="209" s="1"/>
  <c r="D292" i="209" s="1"/>
  <c r="V97" i="209"/>
  <c r="V157" i="209" s="1"/>
  <c r="V217" i="209" s="1"/>
  <c r="V277" i="209" s="1"/>
  <c r="V337" i="209" s="1"/>
  <c r="V397" i="209" s="1"/>
  <c r="V457" i="209" s="1"/>
  <c r="V517" i="209" s="1"/>
  <c r="V577" i="209" s="1"/>
  <c r="V637" i="209" s="1"/>
  <c r="V697" i="209" s="1"/>
  <c r="V757" i="209" s="1"/>
  <c r="C97" i="209"/>
  <c r="C157" i="209" s="1"/>
  <c r="C217" i="209" s="1"/>
  <c r="C277" i="209" s="1"/>
  <c r="C337" i="209" s="1"/>
  <c r="C397" i="209" s="1"/>
  <c r="C457" i="209" s="1"/>
  <c r="C517" i="209" s="1"/>
  <c r="C577" i="209" s="1"/>
  <c r="C637" i="209" s="1"/>
  <c r="C697" i="209" s="1"/>
  <c r="C757" i="209" s="1"/>
  <c r="V96" i="209"/>
  <c r="V156" i="209" s="1"/>
  <c r="V216" i="209" s="1"/>
  <c r="V276" i="209" s="1"/>
  <c r="V336" i="209" s="1"/>
  <c r="V396" i="209" s="1"/>
  <c r="V456" i="209" s="1"/>
  <c r="V516" i="209" s="1"/>
  <c r="V576" i="209" s="1"/>
  <c r="V636" i="209" s="1"/>
  <c r="V696" i="209" s="1"/>
  <c r="V756" i="209" s="1"/>
  <c r="C96" i="209"/>
  <c r="C156" i="209" s="1"/>
  <c r="C216" i="209" s="1"/>
  <c r="C276" i="209" s="1"/>
  <c r="C336" i="209" s="1"/>
  <c r="C396" i="209" s="1"/>
  <c r="C456" i="209" s="1"/>
  <c r="C516" i="209" s="1"/>
  <c r="C576" i="209" s="1"/>
  <c r="C636" i="209" s="1"/>
  <c r="C696" i="209" s="1"/>
  <c r="C756" i="209" s="1"/>
  <c r="C106" i="209"/>
  <c r="C166" i="209" s="1"/>
  <c r="C226" i="209" s="1"/>
  <c r="C286" i="209" s="1"/>
  <c r="C346" i="209" s="1"/>
  <c r="C406" i="209" s="1"/>
  <c r="C466" i="209" s="1"/>
  <c r="C526" i="209" s="1"/>
  <c r="C586" i="209" s="1"/>
  <c r="C646" i="209" s="1"/>
  <c r="C706" i="209" s="1"/>
  <c r="C766" i="209" s="1"/>
  <c r="V109" i="209"/>
  <c r="V169" i="209" s="1"/>
  <c r="V229" i="209" s="1"/>
  <c r="V289" i="209" s="1"/>
  <c r="V349" i="209" s="1"/>
  <c r="V409" i="209" s="1"/>
  <c r="V469" i="209" s="1"/>
  <c r="V529" i="209" s="1"/>
  <c r="V589" i="209" s="1"/>
  <c r="V649" i="209" s="1"/>
  <c r="V709" i="209" s="1"/>
  <c r="V769" i="209" s="1"/>
  <c r="C109" i="209"/>
  <c r="C169" i="209" s="1"/>
  <c r="C229" i="209" s="1"/>
  <c r="C289" i="209" s="1"/>
  <c r="C349" i="209" s="1"/>
  <c r="C409" i="209" s="1"/>
  <c r="C469" i="209" s="1"/>
  <c r="C529" i="209" s="1"/>
  <c r="C589" i="209" s="1"/>
  <c r="C649" i="209" s="1"/>
  <c r="C709" i="209" s="1"/>
  <c r="C769" i="209" s="1"/>
  <c r="C100" i="209"/>
  <c r="C160" i="209" s="1"/>
  <c r="C220" i="209" s="1"/>
  <c r="C280" i="209" s="1"/>
  <c r="C340" i="209" s="1"/>
  <c r="C400" i="209" s="1"/>
  <c r="C460" i="209" s="1"/>
  <c r="C520" i="209" s="1"/>
  <c r="C580" i="209" s="1"/>
  <c r="C640" i="209" s="1"/>
  <c r="C700" i="209" s="1"/>
  <c r="C760" i="209" s="1"/>
  <c r="C94" i="209"/>
  <c r="C154" i="209" s="1"/>
  <c r="C214" i="209" s="1"/>
  <c r="C274" i="209" s="1"/>
  <c r="C334" i="209" s="1"/>
  <c r="C394" i="209" s="1"/>
  <c r="C454" i="209" s="1"/>
  <c r="C514" i="209" s="1"/>
  <c r="C574" i="209" s="1"/>
  <c r="C634" i="209" s="1"/>
  <c r="C694" i="209" s="1"/>
  <c r="C754" i="209" s="1"/>
  <c r="V110" i="209"/>
  <c r="V170" i="209" s="1"/>
  <c r="V230" i="209" s="1"/>
  <c r="V290" i="209" s="1"/>
  <c r="V350" i="209" s="1"/>
  <c r="V410" i="209" s="1"/>
  <c r="V470" i="209" s="1"/>
  <c r="V530" i="209" s="1"/>
  <c r="V590" i="209" s="1"/>
  <c r="V650" i="209" s="1"/>
  <c r="V710" i="209" s="1"/>
  <c r="V770" i="209" s="1"/>
  <c r="C110" i="209"/>
  <c r="C170" i="209" s="1"/>
  <c r="C230" i="209" s="1"/>
  <c r="C290" i="209" s="1"/>
  <c r="C350" i="209" s="1"/>
  <c r="C410" i="209" s="1"/>
  <c r="C470" i="209" s="1"/>
  <c r="C530" i="209" s="1"/>
  <c r="C590" i="209" s="1"/>
  <c r="C650" i="209" s="1"/>
  <c r="C710" i="209" s="1"/>
  <c r="C770" i="209" s="1"/>
  <c r="C107" i="209"/>
  <c r="C167" i="209" s="1"/>
  <c r="C227" i="209" s="1"/>
  <c r="C287" i="209" s="1"/>
  <c r="C347" i="209" s="1"/>
  <c r="C407" i="209" s="1"/>
  <c r="C467" i="209" s="1"/>
  <c r="C527" i="209" s="1"/>
  <c r="C587" i="209" s="1"/>
  <c r="C647" i="209" s="1"/>
  <c r="C707" i="209" s="1"/>
  <c r="C767" i="209" s="1"/>
  <c r="V108" i="209"/>
  <c r="V168" i="209" s="1"/>
  <c r="V228" i="209" s="1"/>
  <c r="V288" i="209" s="1"/>
  <c r="V348" i="209" s="1"/>
  <c r="V408" i="209" s="1"/>
  <c r="V468" i="209" s="1"/>
  <c r="V528" i="209" s="1"/>
  <c r="V588" i="209" s="1"/>
  <c r="V648" i="209" s="1"/>
  <c r="V708" i="209" s="1"/>
  <c r="V768" i="209" s="1"/>
  <c r="C108" i="209"/>
  <c r="C168" i="209" s="1"/>
  <c r="C228" i="209" s="1"/>
  <c r="C288" i="209" s="1"/>
  <c r="C348" i="209" s="1"/>
  <c r="C408" i="209" s="1"/>
  <c r="C468" i="209" s="1"/>
  <c r="C528" i="209" s="1"/>
  <c r="C588" i="209" s="1"/>
  <c r="C648" i="209" s="1"/>
  <c r="C708" i="209" s="1"/>
  <c r="C768" i="209" s="1"/>
  <c r="V105" i="209"/>
  <c r="V165" i="209" s="1"/>
  <c r="V225" i="209" s="1"/>
  <c r="V285" i="209" s="1"/>
  <c r="V345" i="209" s="1"/>
  <c r="V405" i="209" s="1"/>
  <c r="V465" i="209" s="1"/>
  <c r="V525" i="209" s="1"/>
  <c r="V585" i="209" s="1"/>
  <c r="V645" i="209" s="1"/>
  <c r="V705" i="209" s="1"/>
  <c r="V765" i="209" s="1"/>
  <c r="C105" i="209"/>
  <c r="C165" i="209" s="1"/>
  <c r="C225" i="209" s="1"/>
  <c r="C285" i="209" s="1"/>
  <c r="C345" i="209" s="1"/>
  <c r="C405" i="209" s="1"/>
  <c r="C465" i="209" s="1"/>
  <c r="C525" i="209" s="1"/>
  <c r="C585" i="209" s="1"/>
  <c r="C645" i="209" s="1"/>
  <c r="C705" i="209" s="1"/>
  <c r="C765" i="209" s="1"/>
  <c r="C102" i="209"/>
  <c r="V102" i="209" s="1"/>
  <c r="V99" i="209"/>
  <c r="V159" i="209" s="1"/>
  <c r="V219" i="209" s="1"/>
  <c r="V279" i="209" s="1"/>
  <c r="V339" i="209" s="1"/>
  <c r="V399" i="209" s="1"/>
  <c r="V459" i="209" s="1"/>
  <c r="V519" i="209" s="1"/>
  <c r="V579" i="209" s="1"/>
  <c r="V639" i="209" s="1"/>
  <c r="V699" i="209" s="1"/>
  <c r="V759" i="209" s="1"/>
  <c r="C99" i="209"/>
  <c r="C159" i="209" s="1"/>
  <c r="C219" i="209" s="1"/>
  <c r="C279" i="209" s="1"/>
  <c r="C339" i="209" s="1"/>
  <c r="C399" i="209" s="1"/>
  <c r="C459" i="209" s="1"/>
  <c r="C519" i="209" s="1"/>
  <c r="C579" i="209" s="1"/>
  <c r="C639" i="209" s="1"/>
  <c r="C699" i="209" s="1"/>
  <c r="C759" i="209" s="1"/>
  <c r="V98" i="209"/>
  <c r="V158" i="209" s="1"/>
  <c r="V218" i="209" s="1"/>
  <c r="V278" i="209" s="1"/>
  <c r="V338" i="209" s="1"/>
  <c r="V398" i="209" s="1"/>
  <c r="V458" i="209" s="1"/>
  <c r="V518" i="209" s="1"/>
  <c r="V578" i="209" s="1"/>
  <c r="V638" i="209" s="1"/>
  <c r="V698" i="209" s="1"/>
  <c r="V758" i="209" s="1"/>
  <c r="C98" i="209"/>
  <c r="C158" i="209" s="1"/>
  <c r="C218" i="209" s="1"/>
  <c r="C278" i="209" s="1"/>
  <c r="C338" i="209" s="1"/>
  <c r="C398" i="209" s="1"/>
  <c r="C458" i="209" s="1"/>
  <c r="C518" i="209" s="1"/>
  <c r="C578" i="209" s="1"/>
  <c r="C638" i="209" s="1"/>
  <c r="C698" i="209" s="1"/>
  <c r="C758" i="209" s="1"/>
  <c r="V95" i="209"/>
  <c r="V155" i="209" s="1"/>
  <c r="V215" i="209" s="1"/>
  <c r="V275" i="209" s="1"/>
  <c r="V335" i="209" s="1"/>
  <c r="V395" i="209" s="1"/>
  <c r="V455" i="209" s="1"/>
  <c r="V515" i="209" s="1"/>
  <c r="V575" i="209" s="1"/>
  <c r="V635" i="209" s="1"/>
  <c r="V695" i="209" s="1"/>
  <c r="V755" i="209" s="1"/>
  <c r="C95" i="209"/>
  <c r="C155" i="209" s="1"/>
  <c r="C215" i="209" s="1"/>
  <c r="C275" i="209" s="1"/>
  <c r="C335" i="209" s="1"/>
  <c r="C395" i="209" s="1"/>
  <c r="C455" i="209" s="1"/>
  <c r="C515" i="209" s="1"/>
  <c r="C575" i="209" s="1"/>
  <c r="C635" i="209" s="1"/>
  <c r="C695" i="209" s="1"/>
  <c r="C755" i="209" s="1"/>
  <c r="V92" i="209"/>
  <c r="V90" i="209"/>
  <c r="V150" i="209" s="1"/>
  <c r="V210" i="209" s="1"/>
  <c r="V270" i="209" s="1"/>
  <c r="V330" i="209" s="1"/>
  <c r="V390" i="209" s="1"/>
  <c r="V450" i="209" s="1"/>
  <c r="V510" i="209" s="1"/>
  <c r="V570" i="209" s="1"/>
  <c r="V630" i="209" s="1"/>
  <c r="V690" i="209" s="1"/>
  <c r="V750" i="209" s="1"/>
  <c r="C90" i="209"/>
  <c r="C150" i="209" s="1"/>
  <c r="C210" i="209" s="1"/>
  <c r="C270" i="209" s="1"/>
  <c r="C330" i="209" s="1"/>
  <c r="C390" i="209" s="1"/>
  <c r="C450" i="209" s="1"/>
  <c r="C510" i="209" s="1"/>
  <c r="C570" i="209" s="1"/>
  <c r="C630" i="209" s="1"/>
  <c r="C690" i="209" s="1"/>
  <c r="C750" i="209" s="1"/>
  <c r="V89" i="209"/>
  <c r="V149" i="209" s="1"/>
  <c r="V209" i="209" s="1"/>
  <c r="V269" i="209" s="1"/>
  <c r="V329" i="209" s="1"/>
  <c r="V389" i="209" s="1"/>
  <c r="V449" i="209" s="1"/>
  <c r="V509" i="209" s="1"/>
  <c r="V569" i="209" s="1"/>
  <c r="V629" i="209" s="1"/>
  <c r="V689" i="209" s="1"/>
  <c r="V749" i="209" s="1"/>
  <c r="C89" i="209"/>
  <c r="C149" i="209" s="1"/>
  <c r="C209" i="209" s="1"/>
  <c r="C269" i="209" s="1"/>
  <c r="C329" i="209" s="1"/>
  <c r="C389" i="209" s="1"/>
  <c r="C449" i="209" s="1"/>
  <c r="C509" i="209" s="1"/>
  <c r="C569" i="209" s="1"/>
  <c r="C629" i="209" s="1"/>
  <c r="C689" i="209" s="1"/>
  <c r="C749" i="209" s="1"/>
  <c r="C88" i="209"/>
  <c r="V87" i="209"/>
  <c r="V147" i="209" s="1"/>
  <c r="V207" i="209" s="1"/>
  <c r="V267" i="209" s="1"/>
  <c r="V327" i="209" s="1"/>
  <c r="V387" i="209" s="1"/>
  <c r="V447" i="209" s="1"/>
  <c r="V507" i="209" s="1"/>
  <c r="V567" i="209" s="1"/>
  <c r="V627" i="209" s="1"/>
  <c r="V687" i="209" s="1"/>
  <c r="V747" i="209" s="1"/>
  <c r="V86" i="209"/>
  <c r="V146" i="209" s="1"/>
  <c r="V206" i="209" s="1"/>
  <c r="V266" i="209" s="1"/>
  <c r="V326" i="209" s="1"/>
  <c r="V386" i="209" s="1"/>
  <c r="V446" i="209" s="1"/>
  <c r="V506" i="209" s="1"/>
  <c r="V566" i="209" s="1"/>
  <c r="V626" i="209" s="1"/>
  <c r="V686" i="209" s="1"/>
  <c r="V746" i="209" s="1"/>
  <c r="C86" i="209"/>
  <c r="C146" i="209" s="1"/>
  <c r="C206" i="209" s="1"/>
  <c r="C266" i="209" s="1"/>
  <c r="C326" i="209" s="1"/>
  <c r="C386" i="209" s="1"/>
  <c r="C446" i="209" s="1"/>
  <c r="C506" i="209" s="1"/>
  <c r="C566" i="209" s="1"/>
  <c r="C626" i="209" s="1"/>
  <c r="C686" i="209" s="1"/>
  <c r="C746" i="209" s="1"/>
  <c r="V84" i="209"/>
  <c r="V144" i="209" s="1"/>
  <c r="V204" i="209" s="1"/>
  <c r="V264" i="209" s="1"/>
  <c r="V324" i="209" s="1"/>
  <c r="G83" i="209"/>
  <c r="E83" i="209"/>
  <c r="D83" i="209"/>
  <c r="V82" i="209"/>
  <c r="V142" i="209" s="1"/>
  <c r="V202" i="209" s="1"/>
  <c r="V262" i="209" s="1"/>
  <c r="G82" i="209"/>
  <c r="E82" i="209"/>
  <c r="D82" i="209"/>
  <c r="V81" i="209"/>
  <c r="V141" i="209" s="1"/>
  <c r="V201" i="209" s="1"/>
  <c r="V261" i="209" s="1"/>
  <c r="G81" i="209"/>
  <c r="E81" i="209"/>
  <c r="D81" i="209"/>
  <c r="V79" i="209"/>
  <c r="V139" i="209" s="1"/>
  <c r="V199" i="209" s="1"/>
  <c r="V259" i="209" s="1"/>
  <c r="V319" i="209" s="1"/>
  <c r="V379" i="209" s="1"/>
  <c r="V439" i="209" s="1"/>
  <c r="V499" i="209" s="1"/>
  <c r="V559" i="209" s="1"/>
  <c r="V619" i="209" s="1"/>
  <c r="V679" i="209" s="1"/>
  <c r="V739" i="209" s="1"/>
  <c r="C79" i="209"/>
  <c r="C139" i="209" s="1"/>
  <c r="C199" i="209" s="1"/>
  <c r="C259" i="209" s="1"/>
  <c r="C319" i="209" s="1"/>
  <c r="C379" i="209" s="1"/>
  <c r="C439" i="209" s="1"/>
  <c r="C499" i="209" s="1"/>
  <c r="C559" i="209" s="1"/>
  <c r="C619" i="209" s="1"/>
  <c r="C679" i="209" s="1"/>
  <c r="C739" i="209" s="1"/>
  <c r="V78" i="209"/>
  <c r="V138" i="209" s="1"/>
  <c r="V198" i="209" s="1"/>
  <c r="V258" i="209" s="1"/>
  <c r="V318" i="209" s="1"/>
  <c r="V378" i="209" s="1"/>
  <c r="V77" i="209"/>
  <c r="V137" i="209" s="1"/>
  <c r="V197" i="209" s="1"/>
  <c r="V257" i="209" s="1"/>
  <c r="V317" i="209" s="1"/>
  <c r="V377" i="209" s="1"/>
  <c r="V76" i="209"/>
  <c r="V136" i="209" s="1"/>
  <c r="V196" i="209" s="1"/>
  <c r="V256" i="209" s="1"/>
  <c r="V316" i="209" s="1"/>
  <c r="V376" i="209" s="1"/>
  <c r="V75" i="209"/>
  <c r="V135" i="209" s="1"/>
  <c r="V195" i="209" s="1"/>
  <c r="V255" i="209" s="1"/>
  <c r="V315" i="209" s="1"/>
  <c r="V375" i="209" s="1"/>
  <c r="V74" i="209"/>
  <c r="V134" i="209" s="1"/>
  <c r="V194" i="209" s="1"/>
  <c r="V254" i="209" s="1"/>
  <c r="V314" i="209" s="1"/>
  <c r="V374" i="209" s="1"/>
  <c r="V72" i="209"/>
  <c r="V132" i="209" s="1"/>
  <c r="V192" i="209" s="1"/>
  <c r="V252" i="209" s="1"/>
  <c r="V312" i="209" s="1"/>
  <c r="V372" i="209" s="1"/>
  <c r="V71" i="209"/>
  <c r="V131" i="209" s="1"/>
  <c r="V191" i="209" s="1"/>
  <c r="V251" i="209" s="1"/>
  <c r="V311" i="209" s="1"/>
  <c r="V371" i="209" s="1"/>
  <c r="V70" i="209"/>
  <c r="V130" i="209" s="1"/>
  <c r="V190" i="209" s="1"/>
  <c r="V250" i="209" s="1"/>
  <c r="V310" i="209" s="1"/>
  <c r="V370" i="209" s="1"/>
  <c r="V69" i="209"/>
  <c r="V129" i="209" s="1"/>
  <c r="V189" i="209" s="1"/>
  <c r="V249" i="209" s="1"/>
  <c r="V309" i="209" s="1"/>
  <c r="V369" i="209" s="1"/>
  <c r="V68" i="209"/>
  <c r="V128" i="209" s="1"/>
  <c r="V188" i="209" s="1"/>
  <c r="V248" i="209" s="1"/>
  <c r="V308" i="209" s="1"/>
  <c r="V368" i="209" s="1"/>
  <c r="V62" i="209"/>
  <c r="V122" i="209" s="1"/>
  <c r="V182" i="209" s="1"/>
  <c r="V242" i="209" s="1"/>
  <c r="V302" i="209" s="1"/>
  <c r="V362" i="209" s="1"/>
  <c r="V422" i="209" s="1"/>
  <c r="V482" i="209" s="1"/>
  <c r="V542" i="209" s="1"/>
  <c r="V602" i="209" s="1"/>
  <c r="V662" i="209" s="1"/>
  <c r="V722" i="209" s="1"/>
  <c r="V782" i="209" s="1"/>
  <c r="V61" i="209"/>
  <c r="V121" i="209" s="1"/>
  <c r="V181" i="209" s="1"/>
  <c r="V241" i="209" s="1"/>
  <c r="V301" i="209" s="1"/>
  <c r="V361" i="209" s="1"/>
  <c r="V421" i="209" s="1"/>
  <c r="V481" i="209" s="1"/>
  <c r="V541" i="209" s="1"/>
  <c r="V601" i="209" s="1"/>
  <c r="V661" i="209" s="1"/>
  <c r="V721" i="209" s="1"/>
  <c r="V781" i="209" s="1"/>
  <c r="V56" i="209"/>
  <c r="G56" i="209"/>
  <c r="E56" i="209"/>
  <c r="D56" i="209"/>
  <c r="U56" i="209" s="1"/>
  <c r="V54" i="209"/>
  <c r="V114" i="209" s="1"/>
  <c r="V174" i="209" s="1"/>
  <c r="V234" i="209" s="1"/>
  <c r="G54" i="209"/>
  <c r="E54" i="209"/>
  <c r="D54" i="209"/>
  <c r="U54" i="209" s="1"/>
  <c r="U114" i="209" s="1"/>
  <c r="U174" i="209" s="1"/>
  <c r="U234" i="209" s="1"/>
  <c r="V53" i="209"/>
  <c r="V113" i="209" s="1"/>
  <c r="V173" i="209" s="1"/>
  <c r="V233" i="209" s="1"/>
  <c r="G53" i="209"/>
  <c r="E53" i="209"/>
  <c r="D53" i="209"/>
  <c r="U53" i="209" s="1"/>
  <c r="U113" i="209" s="1"/>
  <c r="U173" i="209" s="1"/>
  <c r="U233" i="209" s="1"/>
  <c r="V52" i="209"/>
  <c r="V112" i="209" s="1"/>
  <c r="V172" i="209" s="1"/>
  <c r="V232" i="209" s="1"/>
  <c r="G52" i="209"/>
  <c r="E52" i="209"/>
  <c r="D52" i="209"/>
  <c r="U52" i="209" s="1"/>
  <c r="U112" i="209" s="1"/>
  <c r="U172" i="209" s="1"/>
  <c r="U232" i="209" s="1"/>
  <c r="G37" i="209"/>
  <c r="G97" i="209" s="1"/>
  <c r="G157" i="209" s="1"/>
  <c r="G217" i="209" s="1"/>
  <c r="G277" i="209" s="1"/>
  <c r="G337" i="209" s="1"/>
  <c r="G397" i="209" s="1"/>
  <c r="G457" i="209" s="1"/>
  <c r="G517" i="209" s="1"/>
  <c r="G577" i="209" s="1"/>
  <c r="G637" i="209" s="1"/>
  <c r="G697" i="209" s="1"/>
  <c r="G757" i="209" s="1"/>
  <c r="E37" i="209"/>
  <c r="E97" i="209" s="1"/>
  <c r="E157" i="209" s="1"/>
  <c r="E217" i="209" s="1"/>
  <c r="E277" i="209" s="1"/>
  <c r="E337" i="209" s="1"/>
  <c r="E397" i="209" s="1"/>
  <c r="E457" i="209" s="1"/>
  <c r="E517" i="209" s="1"/>
  <c r="E577" i="209" s="1"/>
  <c r="E637" i="209" s="1"/>
  <c r="E697" i="209" s="1"/>
  <c r="E757" i="209" s="1"/>
  <c r="D37" i="209"/>
  <c r="G36" i="209"/>
  <c r="G96" i="209" s="1"/>
  <c r="G156" i="209" s="1"/>
  <c r="G216" i="209" s="1"/>
  <c r="G276" i="209" s="1"/>
  <c r="G336" i="209" s="1"/>
  <c r="G396" i="209" s="1"/>
  <c r="G456" i="209" s="1"/>
  <c r="G516" i="209" s="1"/>
  <c r="G576" i="209" s="1"/>
  <c r="G636" i="209" s="1"/>
  <c r="G696" i="209" s="1"/>
  <c r="G756" i="209" s="1"/>
  <c r="E36" i="209"/>
  <c r="E96" i="209" s="1"/>
  <c r="E156" i="209" s="1"/>
  <c r="E216" i="209" s="1"/>
  <c r="E276" i="209" s="1"/>
  <c r="E336" i="209" s="1"/>
  <c r="E396" i="209" s="1"/>
  <c r="E456" i="209" s="1"/>
  <c r="E516" i="209" s="1"/>
  <c r="E576" i="209" s="1"/>
  <c r="E636" i="209" s="1"/>
  <c r="E696" i="209" s="1"/>
  <c r="E756" i="209" s="1"/>
  <c r="D36" i="209"/>
  <c r="D96" i="209" s="1"/>
  <c r="D156" i="209" s="1"/>
  <c r="D216" i="209" s="1"/>
  <c r="D276" i="209" s="1"/>
  <c r="D336" i="209" s="1"/>
  <c r="D396" i="209" s="1"/>
  <c r="D456" i="209" s="1"/>
  <c r="D516" i="209" s="1"/>
  <c r="D576" i="209" s="1"/>
  <c r="D636" i="209" s="1"/>
  <c r="D696" i="209" s="1"/>
  <c r="D756" i="209" s="1"/>
  <c r="V46" i="209"/>
  <c r="V106" i="209" s="1"/>
  <c r="V166" i="209" s="1"/>
  <c r="V226" i="209" s="1"/>
  <c r="V286" i="209" s="1"/>
  <c r="V346" i="209" s="1"/>
  <c r="V406" i="209" s="1"/>
  <c r="V466" i="209" s="1"/>
  <c r="V526" i="209" s="1"/>
  <c r="V586" i="209" s="1"/>
  <c r="V646" i="209" s="1"/>
  <c r="V706" i="209" s="1"/>
  <c r="V766" i="209" s="1"/>
  <c r="G46" i="209"/>
  <c r="G106" i="209" s="1"/>
  <c r="G166" i="209" s="1"/>
  <c r="G226" i="209" s="1"/>
  <c r="G286" i="209" s="1"/>
  <c r="G346" i="209" s="1"/>
  <c r="G406" i="209" s="1"/>
  <c r="G466" i="209" s="1"/>
  <c r="G526" i="209" s="1"/>
  <c r="G586" i="209" s="1"/>
  <c r="G646" i="209" s="1"/>
  <c r="G706" i="209" s="1"/>
  <c r="G766" i="209" s="1"/>
  <c r="E46" i="209"/>
  <c r="E106" i="209" s="1"/>
  <c r="E166" i="209" s="1"/>
  <c r="E226" i="209" s="1"/>
  <c r="E286" i="209" s="1"/>
  <c r="E346" i="209" s="1"/>
  <c r="E406" i="209" s="1"/>
  <c r="E466" i="209" s="1"/>
  <c r="E526" i="209" s="1"/>
  <c r="E586" i="209" s="1"/>
  <c r="E646" i="209" s="1"/>
  <c r="E706" i="209" s="1"/>
  <c r="E766" i="209" s="1"/>
  <c r="D46" i="209"/>
  <c r="G49" i="209"/>
  <c r="G109" i="209" s="1"/>
  <c r="G169" i="209" s="1"/>
  <c r="G229" i="209" s="1"/>
  <c r="G289" i="209" s="1"/>
  <c r="G349" i="209" s="1"/>
  <c r="G409" i="209" s="1"/>
  <c r="G469" i="209" s="1"/>
  <c r="G529" i="209" s="1"/>
  <c r="G589" i="209" s="1"/>
  <c r="G649" i="209" s="1"/>
  <c r="G709" i="209" s="1"/>
  <c r="G769" i="209" s="1"/>
  <c r="E49" i="209"/>
  <c r="E109" i="209" s="1"/>
  <c r="E169" i="209" s="1"/>
  <c r="E229" i="209" s="1"/>
  <c r="E289" i="209" s="1"/>
  <c r="E349" i="209" s="1"/>
  <c r="E409" i="209" s="1"/>
  <c r="E469" i="209" s="1"/>
  <c r="E529" i="209" s="1"/>
  <c r="E589" i="209" s="1"/>
  <c r="E649" i="209" s="1"/>
  <c r="E709" i="209" s="1"/>
  <c r="E769" i="209" s="1"/>
  <c r="D49" i="209"/>
  <c r="V44" i="209"/>
  <c r="E44" i="209"/>
  <c r="E104" i="209" s="1"/>
  <c r="E164" i="209" s="1"/>
  <c r="E224" i="209" s="1"/>
  <c r="E284" i="209" s="1"/>
  <c r="E344" i="209" s="1"/>
  <c r="E404" i="209" s="1"/>
  <c r="E464" i="209" s="1"/>
  <c r="E524" i="209" s="1"/>
  <c r="E584" i="209" s="1"/>
  <c r="E644" i="209" s="1"/>
  <c r="E704" i="209" s="1"/>
  <c r="E764" i="209" s="1"/>
  <c r="D44" i="209"/>
  <c r="V40" i="209"/>
  <c r="V100" i="209" s="1"/>
  <c r="V160" i="209" s="1"/>
  <c r="V220" i="209" s="1"/>
  <c r="V280" i="209" s="1"/>
  <c r="V340" i="209" s="1"/>
  <c r="V400" i="209" s="1"/>
  <c r="V460" i="209" s="1"/>
  <c r="V520" i="209" s="1"/>
  <c r="V580" i="209" s="1"/>
  <c r="V640" i="209" s="1"/>
  <c r="V700" i="209" s="1"/>
  <c r="V760" i="209" s="1"/>
  <c r="G40" i="209"/>
  <c r="G100" i="209" s="1"/>
  <c r="G160" i="209" s="1"/>
  <c r="G220" i="209" s="1"/>
  <c r="G280" i="209" s="1"/>
  <c r="G340" i="209" s="1"/>
  <c r="G400" i="209" s="1"/>
  <c r="G460" i="209" s="1"/>
  <c r="G520" i="209" s="1"/>
  <c r="G580" i="209" s="1"/>
  <c r="G640" i="209" s="1"/>
  <c r="G700" i="209" s="1"/>
  <c r="G760" i="209" s="1"/>
  <c r="E40" i="209"/>
  <c r="E100" i="209" s="1"/>
  <c r="E160" i="209" s="1"/>
  <c r="E220" i="209" s="1"/>
  <c r="E280" i="209" s="1"/>
  <c r="E340" i="209" s="1"/>
  <c r="E400" i="209" s="1"/>
  <c r="E460" i="209" s="1"/>
  <c r="E520" i="209" s="1"/>
  <c r="E580" i="209" s="1"/>
  <c r="E640" i="209" s="1"/>
  <c r="E700" i="209" s="1"/>
  <c r="E760" i="209" s="1"/>
  <c r="D40" i="209"/>
  <c r="D100" i="209" s="1"/>
  <c r="D160" i="209" s="1"/>
  <c r="D220" i="209" s="1"/>
  <c r="D280" i="209" s="1"/>
  <c r="D340" i="209" s="1"/>
  <c r="D400" i="209" s="1"/>
  <c r="D460" i="209" s="1"/>
  <c r="D520" i="209" s="1"/>
  <c r="D580" i="209" s="1"/>
  <c r="D640" i="209" s="1"/>
  <c r="D700" i="209" s="1"/>
  <c r="D760" i="209" s="1"/>
  <c r="V94" i="209"/>
  <c r="V154" i="209" s="1"/>
  <c r="V214" i="209" s="1"/>
  <c r="V274" i="209" s="1"/>
  <c r="V334" i="209" s="1"/>
  <c r="V394" i="209" s="1"/>
  <c r="V454" i="209" s="1"/>
  <c r="V514" i="209" s="1"/>
  <c r="V574" i="209" s="1"/>
  <c r="V634" i="209" s="1"/>
  <c r="V694" i="209" s="1"/>
  <c r="V754" i="209" s="1"/>
  <c r="G34" i="209"/>
  <c r="G94" i="209" s="1"/>
  <c r="G154" i="209" s="1"/>
  <c r="G214" i="209" s="1"/>
  <c r="G274" i="209" s="1"/>
  <c r="G334" i="209" s="1"/>
  <c r="G394" i="209" s="1"/>
  <c r="G454" i="209" s="1"/>
  <c r="G514" i="209" s="1"/>
  <c r="G574" i="209" s="1"/>
  <c r="G634" i="209" s="1"/>
  <c r="G694" i="209" s="1"/>
  <c r="G754" i="209" s="1"/>
  <c r="E34" i="209"/>
  <c r="E94" i="209" s="1"/>
  <c r="E154" i="209" s="1"/>
  <c r="E214" i="209" s="1"/>
  <c r="E274" i="209" s="1"/>
  <c r="E334" i="209" s="1"/>
  <c r="E394" i="209" s="1"/>
  <c r="E454" i="209" s="1"/>
  <c r="E514" i="209" s="1"/>
  <c r="E574" i="209" s="1"/>
  <c r="E634" i="209" s="1"/>
  <c r="E694" i="209" s="1"/>
  <c r="E754" i="209" s="1"/>
  <c r="D34" i="209"/>
  <c r="U34" i="209" s="1"/>
  <c r="U94" i="209" s="1"/>
  <c r="U154" i="209" s="1"/>
  <c r="U214" i="209" s="1"/>
  <c r="U274" i="209" s="1"/>
  <c r="U334" i="209" s="1"/>
  <c r="U394" i="209" s="1"/>
  <c r="U454" i="209" s="1"/>
  <c r="U514" i="209" s="1"/>
  <c r="U574" i="209" s="1"/>
  <c r="U634" i="209" s="1"/>
  <c r="U694" i="209" s="1"/>
  <c r="U754" i="209" s="1"/>
  <c r="V47" i="209"/>
  <c r="V107" i="209" s="1"/>
  <c r="V167" i="209" s="1"/>
  <c r="V227" i="209" s="1"/>
  <c r="V287" i="209" s="1"/>
  <c r="V347" i="209" s="1"/>
  <c r="V407" i="209" s="1"/>
  <c r="V467" i="209" s="1"/>
  <c r="V527" i="209" s="1"/>
  <c r="V587" i="209" s="1"/>
  <c r="V647" i="209" s="1"/>
  <c r="V707" i="209" s="1"/>
  <c r="V767" i="209" s="1"/>
  <c r="G47" i="209"/>
  <c r="G107" i="209" s="1"/>
  <c r="G167" i="209" s="1"/>
  <c r="G227" i="209" s="1"/>
  <c r="G287" i="209" s="1"/>
  <c r="G347" i="209" s="1"/>
  <c r="G407" i="209" s="1"/>
  <c r="G467" i="209" s="1"/>
  <c r="G527" i="209" s="1"/>
  <c r="G587" i="209" s="1"/>
  <c r="G647" i="209" s="1"/>
  <c r="G707" i="209" s="1"/>
  <c r="G767" i="209" s="1"/>
  <c r="E47" i="209"/>
  <c r="E107" i="209" s="1"/>
  <c r="E167" i="209" s="1"/>
  <c r="E227" i="209" s="1"/>
  <c r="E287" i="209" s="1"/>
  <c r="E347" i="209" s="1"/>
  <c r="E407" i="209" s="1"/>
  <c r="E467" i="209" s="1"/>
  <c r="E527" i="209" s="1"/>
  <c r="E587" i="209" s="1"/>
  <c r="E647" i="209" s="1"/>
  <c r="E707" i="209" s="1"/>
  <c r="E767" i="209" s="1"/>
  <c r="D47" i="209"/>
  <c r="U47" i="209" s="1"/>
  <c r="U107" i="209" s="1"/>
  <c r="U167" i="209" s="1"/>
  <c r="U227" i="209" s="1"/>
  <c r="U287" i="209" s="1"/>
  <c r="U347" i="209" s="1"/>
  <c r="U407" i="209" s="1"/>
  <c r="U467" i="209" s="1"/>
  <c r="U527" i="209" s="1"/>
  <c r="U587" i="209" s="1"/>
  <c r="U647" i="209" s="1"/>
  <c r="U707" i="209" s="1"/>
  <c r="U767" i="209" s="1"/>
  <c r="G48" i="209"/>
  <c r="G108" i="209" s="1"/>
  <c r="G168" i="209" s="1"/>
  <c r="G228" i="209" s="1"/>
  <c r="G288" i="209" s="1"/>
  <c r="G348" i="209" s="1"/>
  <c r="G408" i="209" s="1"/>
  <c r="G468" i="209" s="1"/>
  <c r="G528" i="209" s="1"/>
  <c r="G588" i="209" s="1"/>
  <c r="G648" i="209" s="1"/>
  <c r="G708" i="209" s="1"/>
  <c r="G768" i="209" s="1"/>
  <c r="E48" i="209"/>
  <c r="E108" i="209" s="1"/>
  <c r="E168" i="209" s="1"/>
  <c r="E228" i="209" s="1"/>
  <c r="E288" i="209" s="1"/>
  <c r="E348" i="209" s="1"/>
  <c r="E408" i="209" s="1"/>
  <c r="E468" i="209" s="1"/>
  <c r="E528" i="209" s="1"/>
  <c r="E588" i="209" s="1"/>
  <c r="E648" i="209" s="1"/>
  <c r="E708" i="209" s="1"/>
  <c r="E768" i="209" s="1"/>
  <c r="D48" i="209"/>
  <c r="G45" i="209"/>
  <c r="G105" i="209" s="1"/>
  <c r="G165" i="209" s="1"/>
  <c r="G225" i="209" s="1"/>
  <c r="G285" i="209" s="1"/>
  <c r="G345" i="209" s="1"/>
  <c r="G405" i="209" s="1"/>
  <c r="G465" i="209" s="1"/>
  <c r="G525" i="209" s="1"/>
  <c r="G585" i="209" s="1"/>
  <c r="G645" i="209" s="1"/>
  <c r="G705" i="209" s="1"/>
  <c r="G765" i="209" s="1"/>
  <c r="E45" i="209"/>
  <c r="E105" i="209" s="1"/>
  <c r="E165" i="209" s="1"/>
  <c r="E225" i="209" s="1"/>
  <c r="E285" i="209" s="1"/>
  <c r="E345" i="209" s="1"/>
  <c r="E405" i="209" s="1"/>
  <c r="E465" i="209" s="1"/>
  <c r="E525" i="209" s="1"/>
  <c r="E585" i="209" s="1"/>
  <c r="E645" i="209" s="1"/>
  <c r="E705" i="209" s="1"/>
  <c r="E765" i="209" s="1"/>
  <c r="D45" i="209"/>
  <c r="V42" i="209"/>
  <c r="G41" i="209"/>
  <c r="G101" i="209" s="1"/>
  <c r="G161" i="209" s="1"/>
  <c r="G221" i="209" s="1"/>
  <c r="G281" i="209" s="1"/>
  <c r="G341" i="209" s="1"/>
  <c r="G401" i="209" s="1"/>
  <c r="G461" i="209" s="1"/>
  <c r="G521" i="209" s="1"/>
  <c r="G581" i="209" s="1"/>
  <c r="G641" i="209" s="1"/>
  <c r="G701" i="209" s="1"/>
  <c r="G761" i="209" s="1"/>
  <c r="E41" i="209"/>
  <c r="E101" i="209" s="1"/>
  <c r="E161" i="209" s="1"/>
  <c r="E221" i="209" s="1"/>
  <c r="E281" i="209" s="1"/>
  <c r="E341" i="209" s="1"/>
  <c r="E401" i="209" s="1"/>
  <c r="E461" i="209" s="1"/>
  <c r="E521" i="209" s="1"/>
  <c r="E581" i="209" s="1"/>
  <c r="E641" i="209" s="1"/>
  <c r="E701" i="209" s="1"/>
  <c r="E761" i="209" s="1"/>
  <c r="D41" i="209"/>
  <c r="G39" i="209"/>
  <c r="G99" i="209" s="1"/>
  <c r="G159" i="209" s="1"/>
  <c r="G219" i="209" s="1"/>
  <c r="G279" i="209" s="1"/>
  <c r="G339" i="209" s="1"/>
  <c r="G399" i="209" s="1"/>
  <c r="G459" i="209" s="1"/>
  <c r="G519" i="209" s="1"/>
  <c r="G579" i="209" s="1"/>
  <c r="G639" i="209" s="1"/>
  <c r="G699" i="209" s="1"/>
  <c r="G759" i="209" s="1"/>
  <c r="E39" i="209"/>
  <c r="E99" i="209" s="1"/>
  <c r="E159" i="209" s="1"/>
  <c r="E219" i="209" s="1"/>
  <c r="E279" i="209" s="1"/>
  <c r="E339" i="209" s="1"/>
  <c r="E399" i="209" s="1"/>
  <c r="E459" i="209" s="1"/>
  <c r="E519" i="209" s="1"/>
  <c r="E579" i="209" s="1"/>
  <c r="E639" i="209" s="1"/>
  <c r="E699" i="209" s="1"/>
  <c r="E759" i="209" s="1"/>
  <c r="D39" i="209"/>
  <c r="D99" i="209" s="1"/>
  <c r="D159" i="209" s="1"/>
  <c r="D219" i="209" s="1"/>
  <c r="D279" i="209" s="1"/>
  <c r="D339" i="209" s="1"/>
  <c r="D399" i="209" s="1"/>
  <c r="D459" i="209" s="1"/>
  <c r="D519" i="209" s="1"/>
  <c r="D579" i="209" s="1"/>
  <c r="D639" i="209" s="1"/>
  <c r="D699" i="209" s="1"/>
  <c r="D759" i="209" s="1"/>
  <c r="G38" i="209"/>
  <c r="G98" i="209" s="1"/>
  <c r="G158" i="209" s="1"/>
  <c r="G218" i="209" s="1"/>
  <c r="G278" i="209" s="1"/>
  <c r="G338" i="209" s="1"/>
  <c r="G398" i="209" s="1"/>
  <c r="G458" i="209" s="1"/>
  <c r="G518" i="209" s="1"/>
  <c r="G578" i="209" s="1"/>
  <c r="G638" i="209" s="1"/>
  <c r="G698" i="209" s="1"/>
  <c r="G758" i="209" s="1"/>
  <c r="E38" i="209"/>
  <c r="E98" i="209" s="1"/>
  <c r="E158" i="209" s="1"/>
  <c r="E218" i="209" s="1"/>
  <c r="E278" i="209" s="1"/>
  <c r="E338" i="209" s="1"/>
  <c r="E398" i="209" s="1"/>
  <c r="E458" i="209" s="1"/>
  <c r="E518" i="209" s="1"/>
  <c r="E578" i="209" s="1"/>
  <c r="E638" i="209" s="1"/>
  <c r="E698" i="209" s="1"/>
  <c r="E758" i="209" s="1"/>
  <c r="D38" i="209"/>
  <c r="U38" i="209" s="1"/>
  <c r="U98" i="209" s="1"/>
  <c r="U158" i="209" s="1"/>
  <c r="U218" i="209" s="1"/>
  <c r="U278" i="209" s="1"/>
  <c r="U338" i="209" s="1"/>
  <c r="U398" i="209" s="1"/>
  <c r="U458" i="209" s="1"/>
  <c r="U518" i="209" s="1"/>
  <c r="U578" i="209" s="1"/>
  <c r="U638" i="209" s="1"/>
  <c r="U698" i="209" s="1"/>
  <c r="U758" i="209" s="1"/>
  <c r="G35" i="209"/>
  <c r="G95" i="209" s="1"/>
  <c r="G155" i="209" s="1"/>
  <c r="G215" i="209" s="1"/>
  <c r="G275" i="209" s="1"/>
  <c r="G335" i="209" s="1"/>
  <c r="G395" i="209" s="1"/>
  <c r="G455" i="209" s="1"/>
  <c r="G515" i="209" s="1"/>
  <c r="G575" i="209" s="1"/>
  <c r="G635" i="209" s="1"/>
  <c r="G695" i="209" s="1"/>
  <c r="G755" i="209" s="1"/>
  <c r="E35" i="209"/>
  <c r="E95" i="209" s="1"/>
  <c r="E155" i="209" s="1"/>
  <c r="E215" i="209" s="1"/>
  <c r="E275" i="209" s="1"/>
  <c r="E335" i="209" s="1"/>
  <c r="E395" i="209" s="1"/>
  <c r="E455" i="209" s="1"/>
  <c r="E515" i="209" s="1"/>
  <c r="E575" i="209" s="1"/>
  <c r="E635" i="209" s="1"/>
  <c r="E695" i="209" s="1"/>
  <c r="E755" i="209" s="1"/>
  <c r="D35" i="209"/>
  <c r="V32" i="209"/>
  <c r="G29" i="209"/>
  <c r="G89" i="209" s="1"/>
  <c r="G149" i="209" s="1"/>
  <c r="G209" i="209" s="1"/>
  <c r="G269" i="209" s="1"/>
  <c r="G329" i="209" s="1"/>
  <c r="G389" i="209" s="1"/>
  <c r="G449" i="209" s="1"/>
  <c r="G509" i="209" s="1"/>
  <c r="G569" i="209" s="1"/>
  <c r="G629" i="209" s="1"/>
  <c r="G689" i="209" s="1"/>
  <c r="G749" i="209" s="1"/>
  <c r="E29" i="209"/>
  <c r="E89" i="209" s="1"/>
  <c r="E149" i="209" s="1"/>
  <c r="E209" i="209" s="1"/>
  <c r="E269" i="209" s="1"/>
  <c r="E329" i="209" s="1"/>
  <c r="E389" i="209" s="1"/>
  <c r="E449" i="209" s="1"/>
  <c r="E509" i="209" s="1"/>
  <c r="E569" i="209" s="1"/>
  <c r="E629" i="209" s="1"/>
  <c r="E689" i="209" s="1"/>
  <c r="E749" i="209" s="1"/>
  <c r="D29" i="209"/>
  <c r="D89" i="209" s="1"/>
  <c r="D149" i="209" s="1"/>
  <c r="D209" i="209" s="1"/>
  <c r="D269" i="209" s="1"/>
  <c r="D329" i="209" s="1"/>
  <c r="D389" i="209" s="1"/>
  <c r="D449" i="209" s="1"/>
  <c r="D509" i="209" s="1"/>
  <c r="D569" i="209" s="1"/>
  <c r="D629" i="209" s="1"/>
  <c r="D689" i="209" s="1"/>
  <c r="D749" i="209" s="1"/>
  <c r="G28" i="209"/>
  <c r="G88" i="209" s="1"/>
  <c r="G148" i="209" s="1"/>
  <c r="G208" i="209" s="1"/>
  <c r="G268" i="209" s="1"/>
  <c r="G328" i="209" s="1"/>
  <c r="G388" i="209" s="1"/>
  <c r="G448" i="209" s="1"/>
  <c r="G508" i="209" s="1"/>
  <c r="G568" i="209" s="1"/>
  <c r="G628" i="209" s="1"/>
  <c r="G688" i="209" s="1"/>
  <c r="G748" i="209" s="1"/>
  <c r="E28" i="209"/>
  <c r="E88" i="209" s="1"/>
  <c r="E148" i="209" s="1"/>
  <c r="E208" i="209" s="1"/>
  <c r="E268" i="209" s="1"/>
  <c r="E328" i="209" s="1"/>
  <c r="E388" i="209" s="1"/>
  <c r="E448" i="209" s="1"/>
  <c r="E508" i="209" s="1"/>
  <c r="E568" i="209" s="1"/>
  <c r="E628" i="209" s="1"/>
  <c r="E688" i="209" s="1"/>
  <c r="E748" i="209" s="1"/>
  <c r="D28" i="209"/>
  <c r="G27" i="209"/>
  <c r="G87" i="209" s="1"/>
  <c r="G147" i="209" s="1"/>
  <c r="G207" i="209" s="1"/>
  <c r="G267" i="209" s="1"/>
  <c r="G327" i="209" s="1"/>
  <c r="G387" i="209" s="1"/>
  <c r="G447" i="209" s="1"/>
  <c r="G507" i="209" s="1"/>
  <c r="G567" i="209" s="1"/>
  <c r="G627" i="209" s="1"/>
  <c r="G687" i="209" s="1"/>
  <c r="G747" i="209" s="1"/>
  <c r="E27" i="209"/>
  <c r="E87" i="209" s="1"/>
  <c r="E147" i="209" s="1"/>
  <c r="E207" i="209" s="1"/>
  <c r="E267" i="209" s="1"/>
  <c r="E327" i="209" s="1"/>
  <c r="E387" i="209" s="1"/>
  <c r="E447" i="209" s="1"/>
  <c r="E507" i="209" s="1"/>
  <c r="E567" i="209" s="1"/>
  <c r="E627" i="209" s="1"/>
  <c r="E687" i="209" s="1"/>
  <c r="E747" i="209" s="1"/>
  <c r="D27" i="209"/>
  <c r="D87" i="209" s="1"/>
  <c r="D147" i="209" s="1"/>
  <c r="D207" i="209" s="1"/>
  <c r="D267" i="209" s="1"/>
  <c r="D327" i="209" s="1"/>
  <c r="D387" i="209" s="1"/>
  <c r="D447" i="209" s="1"/>
  <c r="D507" i="209" s="1"/>
  <c r="D567" i="209" s="1"/>
  <c r="D627" i="209" s="1"/>
  <c r="D687" i="209" s="1"/>
  <c r="D747" i="209" s="1"/>
  <c r="G26" i="209"/>
  <c r="G86" i="209" s="1"/>
  <c r="G146" i="209" s="1"/>
  <c r="G206" i="209" s="1"/>
  <c r="G266" i="209" s="1"/>
  <c r="G326" i="209" s="1"/>
  <c r="G386" i="209" s="1"/>
  <c r="G446" i="209" s="1"/>
  <c r="G506" i="209" s="1"/>
  <c r="G566" i="209" s="1"/>
  <c r="G626" i="209" s="1"/>
  <c r="G686" i="209" s="1"/>
  <c r="G746" i="209" s="1"/>
  <c r="E26" i="209"/>
  <c r="E86" i="209" s="1"/>
  <c r="E146" i="209" s="1"/>
  <c r="E206" i="209" s="1"/>
  <c r="E266" i="209" s="1"/>
  <c r="E326" i="209" s="1"/>
  <c r="E386" i="209" s="1"/>
  <c r="E446" i="209" s="1"/>
  <c r="E506" i="209" s="1"/>
  <c r="E566" i="209" s="1"/>
  <c r="E626" i="209" s="1"/>
  <c r="E686" i="209" s="1"/>
  <c r="E746" i="209" s="1"/>
  <c r="D26" i="209"/>
  <c r="V23" i="209"/>
  <c r="G23" i="209"/>
  <c r="E23" i="209"/>
  <c r="D23" i="209"/>
  <c r="U23" i="209" s="1"/>
  <c r="U83" i="209" s="1"/>
  <c r="U143" i="209" s="1"/>
  <c r="U203" i="209" s="1"/>
  <c r="U263" i="209" s="1"/>
  <c r="G22" i="209"/>
  <c r="E22" i="209"/>
  <c r="D22" i="209"/>
  <c r="U22" i="209" s="1"/>
  <c r="U82" i="209" s="1"/>
  <c r="U142" i="209" s="1"/>
  <c r="U202" i="209" s="1"/>
  <c r="U262" i="209" s="1"/>
  <c r="G21" i="209"/>
  <c r="E21" i="209"/>
  <c r="D21" i="209"/>
  <c r="U21" i="209" s="1"/>
  <c r="U81" i="209" s="1"/>
  <c r="U141" i="209" s="1"/>
  <c r="U201" i="209" s="1"/>
  <c r="U261" i="209" s="1"/>
  <c r="G18" i="209"/>
  <c r="G78" i="209" s="1"/>
  <c r="G138" i="209" s="1"/>
  <c r="G198" i="209" s="1"/>
  <c r="G258" i="209" s="1"/>
  <c r="G318" i="209" s="1"/>
  <c r="G378" i="209" s="1"/>
  <c r="G438" i="209" s="1"/>
  <c r="G498" i="209" s="1"/>
  <c r="G558" i="209" s="1"/>
  <c r="G618" i="209" s="1"/>
  <c r="G678" i="209" s="1"/>
  <c r="G738" i="209" s="1"/>
  <c r="E18" i="209"/>
  <c r="E78" i="209" s="1"/>
  <c r="E138" i="209" s="1"/>
  <c r="E198" i="209" s="1"/>
  <c r="E258" i="209" s="1"/>
  <c r="E318" i="209" s="1"/>
  <c r="E378" i="209" s="1"/>
  <c r="E438" i="209" s="1"/>
  <c r="E498" i="209" s="1"/>
  <c r="E558" i="209" s="1"/>
  <c r="E618" i="209" s="1"/>
  <c r="E678" i="209" s="1"/>
  <c r="E738" i="209" s="1"/>
  <c r="D18" i="209"/>
  <c r="G17" i="209"/>
  <c r="G77" i="209" s="1"/>
  <c r="G137" i="209" s="1"/>
  <c r="G197" i="209" s="1"/>
  <c r="G257" i="209" s="1"/>
  <c r="G317" i="209" s="1"/>
  <c r="G377" i="209" s="1"/>
  <c r="G437" i="209" s="1"/>
  <c r="G497" i="209" s="1"/>
  <c r="G557" i="209" s="1"/>
  <c r="G617" i="209" s="1"/>
  <c r="G677" i="209" s="1"/>
  <c r="G737" i="209" s="1"/>
  <c r="E17" i="209"/>
  <c r="E77" i="209" s="1"/>
  <c r="E137" i="209" s="1"/>
  <c r="E197" i="209" s="1"/>
  <c r="E257" i="209" s="1"/>
  <c r="E317" i="209" s="1"/>
  <c r="E377" i="209" s="1"/>
  <c r="E437" i="209" s="1"/>
  <c r="E497" i="209" s="1"/>
  <c r="E557" i="209" s="1"/>
  <c r="E617" i="209" s="1"/>
  <c r="E677" i="209" s="1"/>
  <c r="E737" i="209" s="1"/>
  <c r="D17" i="209"/>
  <c r="G16" i="209"/>
  <c r="G76" i="209" s="1"/>
  <c r="G136" i="209" s="1"/>
  <c r="G196" i="209" s="1"/>
  <c r="G256" i="209" s="1"/>
  <c r="G316" i="209" s="1"/>
  <c r="G376" i="209" s="1"/>
  <c r="G436" i="209" s="1"/>
  <c r="G496" i="209" s="1"/>
  <c r="G556" i="209" s="1"/>
  <c r="G616" i="209" s="1"/>
  <c r="G676" i="209" s="1"/>
  <c r="G736" i="209" s="1"/>
  <c r="E16" i="209"/>
  <c r="E76" i="209" s="1"/>
  <c r="E136" i="209" s="1"/>
  <c r="E196" i="209" s="1"/>
  <c r="E256" i="209" s="1"/>
  <c r="E316" i="209" s="1"/>
  <c r="E376" i="209" s="1"/>
  <c r="E436" i="209" s="1"/>
  <c r="E496" i="209" s="1"/>
  <c r="E556" i="209" s="1"/>
  <c r="E616" i="209" s="1"/>
  <c r="E676" i="209" s="1"/>
  <c r="E736" i="209" s="1"/>
  <c r="D16" i="209"/>
  <c r="D76" i="209" s="1"/>
  <c r="D136" i="209" s="1"/>
  <c r="D196" i="209" s="1"/>
  <c r="D256" i="209" s="1"/>
  <c r="D316" i="209" s="1"/>
  <c r="D376" i="209" s="1"/>
  <c r="D436" i="209" s="1"/>
  <c r="D496" i="209" s="1"/>
  <c r="D556" i="209" s="1"/>
  <c r="D616" i="209" s="1"/>
  <c r="D676" i="209" s="1"/>
  <c r="D736" i="209" s="1"/>
  <c r="G15" i="209"/>
  <c r="G75" i="209" s="1"/>
  <c r="G135" i="209" s="1"/>
  <c r="G195" i="209" s="1"/>
  <c r="G255" i="209" s="1"/>
  <c r="G315" i="209" s="1"/>
  <c r="G375" i="209" s="1"/>
  <c r="G435" i="209" s="1"/>
  <c r="G495" i="209" s="1"/>
  <c r="G555" i="209" s="1"/>
  <c r="G615" i="209" s="1"/>
  <c r="G675" i="209" s="1"/>
  <c r="G735" i="209" s="1"/>
  <c r="E15" i="209"/>
  <c r="E75" i="209" s="1"/>
  <c r="E135" i="209" s="1"/>
  <c r="E195" i="209" s="1"/>
  <c r="E255" i="209" s="1"/>
  <c r="E315" i="209" s="1"/>
  <c r="E375" i="209" s="1"/>
  <c r="E435" i="209" s="1"/>
  <c r="E495" i="209" s="1"/>
  <c r="E555" i="209" s="1"/>
  <c r="E615" i="209" s="1"/>
  <c r="E675" i="209" s="1"/>
  <c r="E735" i="209" s="1"/>
  <c r="D15" i="209"/>
  <c r="G14" i="209"/>
  <c r="G74" i="209" s="1"/>
  <c r="G134" i="209" s="1"/>
  <c r="G194" i="209" s="1"/>
  <c r="G254" i="209" s="1"/>
  <c r="G314" i="209" s="1"/>
  <c r="G374" i="209" s="1"/>
  <c r="G434" i="209" s="1"/>
  <c r="G494" i="209" s="1"/>
  <c r="G554" i="209" s="1"/>
  <c r="G614" i="209" s="1"/>
  <c r="G674" i="209" s="1"/>
  <c r="G734" i="209" s="1"/>
  <c r="E14" i="209"/>
  <c r="E74" i="209" s="1"/>
  <c r="E134" i="209" s="1"/>
  <c r="E194" i="209" s="1"/>
  <c r="E254" i="209" s="1"/>
  <c r="E314" i="209" s="1"/>
  <c r="E374" i="209" s="1"/>
  <c r="E434" i="209" s="1"/>
  <c r="E494" i="209" s="1"/>
  <c r="E554" i="209" s="1"/>
  <c r="E614" i="209" s="1"/>
  <c r="E674" i="209" s="1"/>
  <c r="E734" i="209" s="1"/>
  <c r="D14" i="209"/>
  <c r="U14" i="209" s="1"/>
  <c r="U74" i="209" s="1"/>
  <c r="U134" i="209" s="1"/>
  <c r="U194" i="209" s="1"/>
  <c r="U254" i="209" s="1"/>
  <c r="U314" i="209" s="1"/>
  <c r="U374" i="209" s="1"/>
  <c r="U434" i="209" s="1"/>
  <c r="U494" i="209" s="1"/>
  <c r="U554" i="209" s="1"/>
  <c r="U614" i="209" s="1"/>
  <c r="U674" i="209" s="1"/>
  <c r="U734" i="209" s="1"/>
  <c r="G13" i="209"/>
  <c r="G73" i="209" s="1"/>
  <c r="G133" i="209" s="1"/>
  <c r="G193" i="209" s="1"/>
  <c r="G253" i="209" s="1"/>
  <c r="G313" i="209" s="1"/>
  <c r="G373" i="209" s="1"/>
  <c r="G433" i="209" s="1"/>
  <c r="G493" i="209" s="1"/>
  <c r="G553" i="209" s="1"/>
  <c r="G613" i="209" s="1"/>
  <c r="G673" i="209" s="1"/>
  <c r="G733" i="209" s="1"/>
  <c r="E13" i="209"/>
  <c r="E73" i="209" s="1"/>
  <c r="E133" i="209" s="1"/>
  <c r="E193" i="209" s="1"/>
  <c r="E253" i="209" s="1"/>
  <c r="E313" i="209" s="1"/>
  <c r="E373" i="209" s="1"/>
  <c r="E433" i="209" s="1"/>
  <c r="E493" i="209" s="1"/>
  <c r="E553" i="209" s="1"/>
  <c r="E613" i="209" s="1"/>
  <c r="E673" i="209" s="1"/>
  <c r="E733" i="209" s="1"/>
  <c r="D13" i="209"/>
  <c r="G12" i="209"/>
  <c r="G72" i="209" s="1"/>
  <c r="G132" i="209" s="1"/>
  <c r="G192" i="209" s="1"/>
  <c r="G252" i="209" s="1"/>
  <c r="G312" i="209" s="1"/>
  <c r="G372" i="209" s="1"/>
  <c r="G432" i="209" s="1"/>
  <c r="G492" i="209" s="1"/>
  <c r="G552" i="209" s="1"/>
  <c r="G612" i="209" s="1"/>
  <c r="G672" i="209" s="1"/>
  <c r="G732" i="209" s="1"/>
  <c r="E12" i="209"/>
  <c r="E72" i="209" s="1"/>
  <c r="E132" i="209" s="1"/>
  <c r="E192" i="209" s="1"/>
  <c r="E252" i="209" s="1"/>
  <c r="E312" i="209" s="1"/>
  <c r="E372" i="209" s="1"/>
  <c r="E432" i="209" s="1"/>
  <c r="E492" i="209" s="1"/>
  <c r="E552" i="209" s="1"/>
  <c r="E612" i="209" s="1"/>
  <c r="E672" i="209" s="1"/>
  <c r="E732" i="209" s="1"/>
  <c r="D12" i="209"/>
  <c r="G11" i="209"/>
  <c r="G71" i="209" s="1"/>
  <c r="G131" i="209" s="1"/>
  <c r="G191" i="209" s="1"/>
  <c r="G251" i="209" s="1"/>
  <c r="G311" i="209" s="1"/>
  <c r="G371" i="209" s="1"/>
  <c r="G431" i="209" s="1"/>
  <c r="G491" i="209" s="1"/>
  <c r="G551" i="209" s="1"/>
  <c r="G611" i="209" s="1"/>
  <c r="G671" i="209" s="1"/>
  <c r="G731" i="209" s="1"/>
  <c r="E11" i="209"/>
  <c r="E71" i="209" s="1"/>
  <c r="E131" i="209" s="1"/>
  <c r="E191" i="209" s="1"/>
  <c r="E251" i="209" s="1"/>
  <c r="E311" i="209" s="1"/>
  <c r="E371" i="209" s="1"/>
  <c r="E431" i="209" s="1"/>
  <c r="E491" i="209" s="1"/>
  <c r="E551" i="209" s="1"/>
  <c r="E611" i="209" s="1"/>
  <c r="E671" i="209" s="1"/>
  <c r="E731" i="209" s="1"/>
  <c r="D11" i="209"/>
  <c r="U11" i="209" s="1"/>
  <c r="U71" i="209" s="1"/>
  <c r="U131" i="209" s="1"/>
  <c r="U191" i="209" s="1"/>
  <c r="U251" i="209" s="1"/>
  <c r="U311" i="209" s="1"/>
  <c r="U371" i="209" s="1"/>
  <c r="U431" i="209" s="1"/>
  <c r="U491" i="209" s="1"/>
  <c r="U551" i="209" s="1"/>
  <c r="U611" i="209" s="1"/>
  <c r="U671" i="209" s="1"/>
  <c r="U731" i="209" s="1"/>
  <c r="G10" i="209"/>
  <c r="G70" i="209" s="1"/>
  <c r="G130" i="209" s="1"/>
  <c r="G190" i="209" s="1"/>
  <c r="G250" i="209" s="1"/>
  <c r="G310" i="209" s="1"/>
  <c r="G370" i="209" s="1"/>
  <c r="G430" i="209" s="1"/>
  <c r="G490" i="209" s="1"/>
  <c r="G550" i="209" s="1"/>
  <c r="G610" i="209" s="1"/>
  <c r="G670" i="209" s="1"/>
  <c r="G730" i="209" s="1"/>
  <c r="E10" i="209"/>
  <c r="E70" i="209" s="1"/>
  <c r="E130" i="209" s="1"/>
  <c r="E190" i="209" s="1"/>
  <c r="E250" i="209" s="1"/>
  <c r="E310" i="209" s="1"/>
  <c r="E370" i="209" s="1"/>
  <c r="E430" i="209" s="1"/>
  <c r="E490" i="209" s="1"/>
  <c r="E550" i="209" s="1"/>
  <c r="E610" i="209" s="1"/>
  <c r="E670" i="209" s="1"/>
  <c r="E730" i="209" s="1"/>
  <c r="D10" i="209"/>
  <c r="G9" i="209"/>
  <c r="G69" i="209" s="1"/>
  <c r="G129" i="209" s="1"/>
  <c r="G189" i="209" s="1"/>
  <c r="G249" i="209" s="1"/>
  <c r="G309" i="209" s="1"/>
  <c r="G369" i="209" s="1"/>
  <c r="G429" i="209" s="1"/>
  <c r="G489" i="209" s="1"/>
  <c r="G549" i="209" s="1"/>
  <c r="G609" i="209" s="1"/>
  <c r="G669" i="209" s="1"/>
  <c r="G729" i="209" s="1"/>
  <c r="E9" i="209"/>
  <c r="E69" i="209" s="1"/>
  <c r="E129" i="209" s="1"/>
  <c r="E189" i="209" s="1"/>
  <c r="E249" i="209" s="1"/>
  <c r="E309" i="209" s="1"/>
  <c r="E369" i="209" s="1"/>
  <c r="E429" i="209" s="1"/>
  <c r="E489" i="209" s="1"/>
  <c r="E549" i="209" s="1"/>
  <c r="E609" i="209" s="1"/>
  <c r="E669" i="209" s="1"/>
  <c r="E729" i="209" s="1"/>
  <c r="D9" i="209"/>
  <c r="G8" i="209"/>
  <c r="G68" i="209" s="1"/>
  <c r="G128" i="209" s="1"/>
  <c r="G188" i="209" s="1"/>
  <c r="G248" i="209" s="1"/>
  <c r="G308" i="209" s="1"/>
  <c r="G368" i="209" s="1"/>
  <c r="G428" i="209" s="1"/>
  <c r="G488" i="209" s="1"/>
  <c r="G548" i="209" s="1"/>
  <c r="G608" i="209" s="1"/>
  <c r="G668" i="209" s="1"/>
  <c r="G728" i="209" s="1"/>
  <c r="E8" i="209"/>
  <c r="E68" i="209" s="1"/>
  <c r="E128" i="209" s="1"/>
  <c r="E188" i="209" s="1"/>
  <c r="E248" i="209" s="1"/>
  <c r="E308" i="209" s="1"/>
  <c r="E368" i="209" s="1"/>
  <c r="E428" i="209" s="1"/>
  <c r="E488" i="209" s="1"/>
  <c r="E548" i="209" s="1"/>
  <c r="E608" i="209" s="1"/>
  <c r="E668" i="209" s="1"/>
  <c r="E728" i="209" s="1"/>
  <c r="D8" i="209"/>
  <c r="U8" i="209" s="1"/>
  <c r="U68" i="209" s="1"/>
  <c r="U128" i="209" s="1"/>
  <c r="U188" i="209" s="1"/>
  <c r="U248" i="209" s="1"/>
  <c r="U308" i="209" s="1"/>
  <c r="U368" i="209" s="1"/>
  <c r="U428" i="209" s="1"/>
  <c r="U488" i="209" s="1"/>
  <c r="U548" i="209" s="1"/>
  <c r="U608" i="209" s="1"/>
  <c r="U668" i="209" s="1"/>
  <c r="U728" i="209" s="1"/>
  <c r="S349" i="209"/>
  <c r="K357" i="209"/>
  <c r="O597" i="209"/>
  <c r="P477" i="209"/>
  <c r="G16" i="292"/>
  <c r="O477" i="209"/>
  <c r="E14" i="156"/>
  <c r="N20" i="27"/>
  <c r="N23" i="37"/>
  <c r="R23" i="37" s="1"/>
  <c r="T23" i="37" s="1"/>
  <c r="S262" i="209"/>
  <c r="J511" i="246"/>
  <c r="H32" i="248"/>
  <c r="M657" i="209" s="1"/>
  <c r="N18" i="27"/>
  <c r="R18" i="27" s="1"/>
  <c r="E14" i="139"/>
  <c r="N16" i="27"/>
  <c r="R16" i="27" s="1"/>
  <c r="R13" i="161"/>
  <c r="T13" i="161" s="1"/>
  <c r="J27" i="80"/>
  <c r="D14" i="79" s="1"/>
  <c r="R19" i="80"/>
  <c r="K511" i="246"/>
  <c r="K449" i="246"/>
  <c r="L511" i="246"/>
  <c r="I325" i="246"/>
  <c r="P13" i="241"/>
  <c r="L537" i="209"/>
  <c r="H33" i="248"/>
  <c r="H43" i="187"/>
  <c r="H43" i="141"/>
  <c r="E14" i="215"/>
  <c r="F14" i="215"/>
  <c r="H43" i="356"/>
  <c r="G14" i="215"/>
  <c r="E14" i="118"/>
  <c r="H43" i="295"/>
  <c r="O20" i="241"/>
  <c r="F48" i="248"/>
  <c r="G48" i="247"/>
  <c r="O20" i="214" s="1"/>
  <c r="R18" i="161"/>
  <c r="T18" i="161" s="1"/>
  <c r="N11" i="142"/>
  <c r="R11" i="142" s="1"/>
  <c r="N33" i="36"/>
  <c r="R33" i="36" s="1"/>
  <c r="N22" i="36"/>
  <c r="R22" i="36" s="1"/>
  <c r="N11" i="80"/>
  <c r="R11" i="80" s="1"/>
  <c r="N15" i="49"/>
  <c r="R15" i="49" s="1"/>
  <c r="N11" i="49"/>
  <c r="R11" i="49" s="1"/>
  <c r="N14" i="49"/>
  <c r="R14" i="49" s="1"/>
  <c r="F141" i="5"/>
  <c r="E23" i="294" s="1"/>
  <c r="E42" i="294" s="1"/>
  <c r="E61" i="294" s="1"/>
  <c r="E80" i="294" s="1"/>
  <c r="E99" i="294" s="1"/>
  <c r="E118" i="294" s="1"/>
  <c r="E137" i="294" s="1"/>
  <c r="T16" i="100"/>
  <c r="F138" i="5"/>
  <c r="F59" i="246" s="1"/>
  <c r="F137" i="5"/>
  <c r="F136" i="5"/>
  <c r="D15" i="104"/>
  <c r="E15" i="139"/>
  <c r="E15" i="223" s="1"/>
  <c r="E15" i="162"/>
  <c r="F15" i="215"/>
  <c r="E15" i="215"/>
  <c r="G15" i="215"/>
  <c r="F135" i="5"/>
  <c r="E15" i="118"/>
  <c r="E15" i="156"/>
  <c r="F132" i="5"/>
  <c r="F37" i="246" s="1"/>
  <c r="F99" i="246" s="1"/>
  <c r="F161" i="246" s="1"/>
  <c r="F223" i="246" s="1"/>
  <c r="F285" i="246" s="1"/>
  <c r="F347" i="246" s="1"/>
  <c r="F409" i="246" s="1"/>
  <c r="F471" i="246" s="1"/>
  <c r="F533" i="246" s="1"/>
  <c r="F595" i="246" s="1"/>
  <c r="F657" i="246" s="1"/>
  <c r="F719" i="246" s="1"/>
  <c r="F781" i="246" s="1"/>
  <c r="F131" i="5"/>
  <c r="F36" i="246" s="1"/>
  <c r="F98" i="246" s="1"/>
  <c r="F160" i="246" s="1"/>
  <c r="F222" i="246" s="1"/>
  <c r="F284" i="246" s="1"/>
  <c r="F346" i="246" s="1"/>
  <c r="F408" i="246" s="1"/>
  <c r="F470" i="246" s="1"/>
  <c r="F532" i="246" s="1"/>
  <c r="F594" i="246" s="1"/>
  <c r="F656" i="246" s="1"/>
  <c r="F718" i="246" s="1"/>
  <c r="F780" i="246" s="1"/>
  <c r="F130" i="5"/>
  <c r="F35" i="246" s="1"/>
  <c r="F97" i="246" s="1"/>
  <c r="F159" i="246" s="1"/>
  <c r="F221" i="246" s="1"/>
  <c r="F283" i="246" s="1"/>
  <c r="F345" i="246" s="1"/>
  <c r="F407" i="246" s="1"/>
  <c r="F469" i="246" s="1"/>
  <c r="F531" i="246" s="1"/>
  <c r="F593" i="246" s="1"/>
  <c r="F655" i="246" s="1"/>
  <c r="F717" i="246" s="1"/>
  <c r="F779" i="246" s="1"/>
  <c r="F127" i="5"/>
  <c r="F12" i="246" s="1"/>
  <c r="F74" i="246" s="1"/>
  <c r="F136" i="246" s="1"/>
  <c r="F198" i="246" s="1"/>
  <c r="F260" i="246" s="1"/>
  <c r="F322" i="246" s="1"/>
  <c r="F384" i="246" s="1"/>
  <c r="F446" i="246" s="1"/>
  <c r="F508" i="246" s="1"/>
  <c r="F570" i="246" s="1"/>
  <c r="F632" i="246" s="1"/>
  <c r="F694" i="246" s="1"/>
  <c r="F756" i="246" s="1"/>
  <c r="F126" i="5"/>
  <c r="F125" i="5"/>
  <c r="F13" i="246" s="1"/>
  <c r="F75" i="246" s="1"/>
  <c r="F137" i="246" s="1"/>
  <c r="F199" i="246" s="1"/>
  <c r="F261" i="246" s="1"/>
  <c r="F323" i="246" s="1"/>
  <c r="F385" i="246" s="1"/>
  <c r="F447" i="246" s="1"/>
  <c r="F509" i="246" s="1"/>
  <c r="F571" i="246" s="1"/>
  <c r="F633" i="246" s="1"/>
  <c r="F695" i="246" s="1"/>
  <c r="F757" i="246" s="1"/>
  <c r="F124" i="5"/>
  <c r="F14" i="246" s="1"/>
  <c r="F76" i="246" s="1"/>
  <c r="F138" i="246" s="1"/>
  <c r="F200" i="246" s="1"/>
  <c r="F262" i="246" s="1"/>
  <c r="F324" i="246" s="1"/>
  <c r="F386" i="246" s="1"/>
  <c r="F448" i="246" s="1"/>
  <c r="F510" i="246" s="1"/>
  <c r="F572" i="246" s="1"/>
  <c r="F634" i="246" s="1"/>
  <c r="F696" i="246" s="1"/>
  <c r="F758" i="246" s="1"/>
  <c r="F123" i="5"/>
  <c r="F11" i="246" s="1"/>
  <c r="F73" i="246" s="1"/>
  <c r="F135" i="246" s="1"/>
  <c r="F197" i="246" s="1"/>
  <c r="F259" i="246" s="1"/>
  <c r="F321" i="246" s="1"/>
  <c r="F383" i="246" s="1"/>
  <c r="F445" i="246" s="1"/>
  <c r="F507" i="246" s="1"/>
  <c r="F569" i="246" s="1"/>
  <c r="F631" i="246" s="1"/>
  <c r="F693" i="246" s="1"/>
  <c r="F755" i="246" s="1"/>
  <c r="F117" i="5"/>
  <c r="F114" i="5"/>
  <c r="F32" i="246" s="1"/>
  <c r="F94" i="246" s="1"/>
  <c r="F156" i="246" s="1"/>
  <c r="F218" i="246" s="1"/>
  <c r="F280" i="246" s="1"/>
  <c r="F342" i="246" s="1"/>
  <c r="F404" i="246" s="1"/>
  <c r="F466" i="246" s="1"/>
  <c r="F528" i="246" s="1"/>
  <c r="F590" i="246" s="1"/>
  <c r="F652" i="246" s="1"/>
  <c r="F714" i="246" s="1"/>
  <c r="F776" i="246" s="1"/>
  <c r="F113" i="5"/>
  <c r="F31" i="246" s="1"/>
  <c r="F93" i="246" s="1"/>
  <c r="F155" i="246" s="1"/>
  <c r="F217" i="246" s="1"/>
  <c r="F279" i="246" s="1"/>
  <c r="F341" i="246" s="1"/>
  <c r="F403" i="246" s="1"/>
  <c r="F465" i="246" s="1"/>
  <c r="F527" i="246" s="1"/>
  <c r="F589" i="246" s="1"/>
  <c r="F651" i="246" s="1"/>
  <c r="F713" i="246" s="1"/>
  <c r="F775" i="246" s="1"/>
  <c r="F112" i="5"/>
  <c r="F30" i="246" s="1"/>
  <c r="F92" i="246" s="1"/>
  <c r="F154" i="246" s="1"/>
  <c r="F216" i="246" s="1"/>
  <c r="F278" i="246" s="1"/>
  <c r="F340" i="246" s="1"/>
  <c r="F402" i="246" s="1"/>
  <c r="F464" i="246" s="1"/>
  <c r="F526" i="246" s="1"/>
  <c r="F588" i="246" s="1"/>
  <c r="F650" i="246" s="1"/>
  <c r="F712" i="246" s="1"/>
  <c r="F774" i="246" s="1"/>
  <c r="F111" i="5"/>
  <c r="F29" i="246" s="1"/>
  <c r="F91" i="246" s="1"/>
  <c r="F153" i="246" s="1"/>
  <c r="F215" i="246" s="1"/>
  <c r="F277" i="246" s="1"/>
  <c r="F339" i="246" s="1"/>
  <c r="F401" i="246" s="1"/>
  <c r="F463" i="246" s="1"/>
  <c r="F525" i="246" s="1"/>
  <c r="F587" i="246" s="1"/>
  <c r="F649" i="246" s="1"/>
  <c r="F711" i="246" s="1"/>
  <c r="F773" i="246" s="1"/>
  <c r="F110" i="5"/>
  <c r="F28" i="246" s="1"/>
  <c r="F90" i="246" s="1"/>
  <c r="F152" i="246" s="1"/>
  <c r="F214" i="246" s="1"/>
  <c r="F276" i="246" s="1"/>
  <c r="F338" i="246" s="1"/>
  <c r="F400" i="246" s="1"/>
  <c r="F462" i="246" s="1"/>
  <c r="F524" i="246" s="1"/>
  <c r="F586" i="246" s="1"/>
  <c r="F648" i="246" s="1"/>
  <c r="F710" i="246" s="1"/>
  <c r="F772" i="246" s="1"/>
  <c r="F109" i="5"/>
  <c r="F27" i="246" s="1"/>
  <c r="F89" i="246" s="1"/>
  <c r="F151" i="246" s="1"/>
  <c r="F213" i="246" s="1"/>
  <c r="F275" i="246" s="1"/>
  <c r="F337" i="246" s="1"/>
  <c r="F399" i="246" s="1"/>
  <c r="F461" i="246" s="1"/>
  <c r="F523" i="246" s="1"/>
  <c r="F585" i="246" s="1"/>
  <c r="F647" i="246" s="1"/>
  <c r="F709" i="246" s="1"/>
  <c r="F771" i="246" s="1"/>
  <c r="F105" i="5"/>
  <c r="F104" i="5"/>
  <c r="F8" i="246" s="1"/>
  <c r="F70" i="246" s="1"/>
  <c r="F132" i="246" s="1"/>
  <c r="F194" i="246" s="1"/>
  <c r="F256" i="246" s="1"/>
  <c r="F318" i="246" s="1"/>
  <c r="F380" i="246" s="1"/>
  <c r="F442" i="246" s="1"/>
  <c r="F504" i="246" s="1"/>
  <c r="F566" i="246" s="1"/>
  <c r="F628" i="246" s="1"/>
  <c r="F690" i="246" s="1"/>
  <c r="F752" i="246" s="1"/>
  <c r="F100" i="5"/>
  <c r="E18" i="294" s="1"/>
  <c r="E37" i="294" s="1"/>
  <c r="E56" i="294" s="1"/>
  <c r="E75" i="294" s="1"/>
  <c r="E94" i="294" s="1"/>
  <c r="E113" i="294" s="1"/>
  <c r="E132" i="294" s="1"/>
  <c r="F99" i="5"/>
  <c r="E17" i="294" s="1"/>
  <c r="E36" i="294" s="1"/>
  <c r="E55" i="294" s="1"/>
  <c r="E74" i="294" s="1"/>
  <c r="E93" i="294" s="1"/>
  <c r="E112" i="294" s="1"/>
  <c r="E131" i="294" s="1"/>
  <c r="F98" i="5"/>
  <c r="E16" i="294" s="1"/>
  <c r="E35" i="294" s="1"/>
  <c r="E54" i="294" s="1"/>
  <c r="E73" i="294" s="1"/>
  <c r="E92" i="294" s="1"/>
  <c r="E111" i="294" s="1"/>
  <c r="E130" i="294" s="1"/>
  <c r="F97" i="5"/>
  <c r="E15" i="294" s="1"/>
  <c r="E34" i="294" s="1"/>
  <c r="E53" i="294" s="1"/>
  <c r="E72" i="294" s="1"/>
  <c r="E91" i="294" s="1"/>
  <c r="E110" i="294" s="1"/>
  <c r="E129" i="294" s="1"/>
  <c r="F94" i="5"/>
  <c r="F53" i="246" s="1"/>
  <c r="F115" i="246" s="1"/>
  <c r="F177" i="246" s="1"/>
  <c r="F239" i="246" s="1"/>
  <c r="F301" i="246" s="1"/>
  <c r="F363" i="246" s="1"/>
  <c r="F425" i="246" s="1"/>
  <c r="F487" i="246" s="1"/>
  <c r="F549" i="246" s="1"/>
  <c r="F611" i="246" s="1"/>
  <c r="F673" i="246" s="1"/>
  <c r="F735" i="246" s="1"/>
  <c r="F797" i="246" s="1"/>
  <c r="F93" i="5"/>
  <c r="F52" i="246" s="1"/>
  <c r="F114" i="246" s="1"/>
  <c r="F176" i="246" s="1"/>
  <c r="F238" i="246" s="1"/>
  <c r="F300" i="246" s="1"/>
  <c r="F362" i="246" s="1"/>
  <c r="F424" i="246" s="1"/>
  <c r="F486" i="246" s="1"/>
  <c r="F548" i="246" s="1"/>
  <c r="F610" i="246" s="1"/>
  <c r="F672" i="246" s="1"/>
  <c r="F734" i="246" s="1"/>
  <c r="F796" i="246" s="1"/>
  <c r="F92" i="5"/>
  <c r="F51" i="246" s="1"/>
  <c r="F113" i="246" s="1"/>
  <c r="F175" i="246" s="1"/>
  <c r="F237" i="246" s="1"/>
  <c r="F299" i="246" s="1"/>
  <c r="F361" i="246" s="1"/>
  <c r="F423" i="246" s="1"/>
  <c r="F485" i="246" s="1"/>
  <c r="F547" i="246" s="1"/>
  <c r="F609" i="246" s="1"/>
  <c r="F671" i="246" s="1"/>
  <c r="F733" i="246" s="1"/>
  <c r="F795" i="246" s="1"/>
  <c r="F91" i="5"/>
  <c r="F50" i="246" s="1"/>
  <c r="F112" i="246" s="1"/>
  <c r="F174" i="246" s="1"/>
  <c r="F236" i="246" s="1"/>
  <c r="F298" i="246" s="1"/>
  <c r="F360" i="246" s="1"/>
  <c r="F422" i="246" s="1"/>
  <c r="F484" i="246" s="1"/>
  <c r="F546" i="246" s="1"/>
  <c r="F608" i="246" s="1"/>
  <c r="F670" i="246" s="1"/>
  <c r="F732" i="246" s="1"/>
  <c r="F794" i="246" s="1"/>
  <c r="F90" i="5"/>
  <c r="F49" i="246" s="1"/>
  <c r="F111" i="246" s="1"/>
  <c r="F173" i="246" s="1"/>
  <c r="F235" i="246" s="1"/>
  <c r="F297" i="246" s="1"/>
  <c r="F359" i="246" s="1"/>
  <c r="F421" i="246" s="1"/>
  <c r="F483" i="246" s="1"/>
  <c r="F545" i="246" s="1"/>
  <c r="F607" i="246" s="1"/>
  <c r="F669" i="246" s="1"/>
  <c r="F731" i="246" s="1"/>
  <c r="F793" i="246" s="1"/>
  <c r="F89" i="5"/>
  <c r="F48" i="246" s="1"/>
  <c r="F110" i="246" s="1"/>
  <c r="F172" i="246" s="1"/>
  <c r="F234" i="246" s="1"/>
  <c r="F296" i="246" s="1"/>
  <c r="F358" i="246" s="1"/>
  <c r="F420" i="246" s="1"/>
  <c r="F482" i="246" s="1"/>
  <c r="F544" i="246" s="1"/>
  <c r="F606" i="246" s="1"/>
  <c r="F668" i="246" s="1"/>
  <c r="F730" i="246" s="1"/>
  <c r="F792" i="246" s="1"/>
  <c r="F88" i="5"/>
  <c r="F20" i="246" s="1"/>
  <c r="F82" i="246" s="1"/>
  <c r="F144" i="246" s="1"/>
  <c r="F206" i="246" s="1"/>
  <c r="F268" i="246" s="1"/>
  <c r="F330" i="246" s="1"/>
  <c r="F392" i="246" s="1"/>
  <c r="F454" i="246" s="1"/>
  <c r="F516" i="246" s="1"/>
  <c r="F578" i="246" s="1"/>
  <c r="F640" i="246" s="1"/>
  <c r="F702" i="246" s="1"/>
  <c r="F764" i="246" s="1"/>
  <c r="F87" i="5"/>
  <c r="F47" i="246" s="1"/>
  <c r="F109" i="246" s="1"/>
  <c r="F171" i="246" s="1"/>
  <c r="F233" i="246" s="1"/>
  <c r="F295" i="246" s="1"/>
  <c r="F357" i="246" s="1"/>
  <c r="F419" i="246" s="1"/>
  <c r="F481" i="246" s="1"/>
  <c r="F543" i="246" s="1"/>
  <c r="F605" i="246" s="1"/>
  <c r="F667" i="246" s="1"/>
  <c r="F729" i="246" s="1"/>
  <c r="F791" i="246" s="1"/>
  <c r="F86" i="5"/>
  <c r="F46" i="246" s="1"/>
  <c r="F108" i="246" s="1"/>
  <c r="F170" i="246" s="1"/>
  <c r="F232" i="246" s="1"/>
  <c r="F294" i="246" s="1"/>
  <c r="F356" i="246" s="1"/>
  <c r="F418" i="246" s="1"/>
  <c r="F480" i="246" s="1"/>
  <c r="F542" i="246" s="1"/>
  <c r="F604" i="246" s="1"/>
  <c r="F666" i="246" s="1"/>
  <c r="F728" i="246" s="1"/>
  <c r="F790" i="246" s="1"/>
  <c r="F85" i="5"/>
  <c r="F45" i="246" s="1"/>
  <c r="F107" i="246" s="1"/>
  <c r="F169" i="246" s="1"/>
  <c r="F231" i="246" s="1"/>
  <c r="F293" i="246" s="1"/>
  <c r="F355" i="246" s="1"/>
  <c r="F417" i="246" s="1"/>
  <c r="F479" i="246" s="1"/>
  <c r="F541" i="246" s="1"/>
  <c r="F603" i="246" s="1"/>
  <c r="F665" i="246" s="1"/>
  <c r="F727" i="246" s="1"/>
  <c r="F789" i="246" s="1"/>
  <c r="F84" i="5"/>
  <c r="F44" i="246" s="1"/>
  <c r="F106" i="246" s="1"/>
  <c r="F168" i="246" s="1"/>
  <c r="F230" i="246" s="1"/>
  <c r="F292" i="246" s="1"/>
  <c r="F354" i="246" s="1"/>
  <c r="F416" i="246" s="1"/>
  <c r="F478" i="246" s="1"/>
  <c r="F540" i="246" s="1"/>
  <c r="F602" i="246" s="1"/>
  <c r="F664" i="246" s="1"/>
  <c r="F726" i="246" s="1"/>
  <c r="F788" i="246" s="1"/>
  <c r="F83" i="5"/>
  <c r="F43" i="246" s="1"/>
  <c r="F105" i="246" s="1"/>
  <c r="F167" i="246" s="1"/>
  <c r="F229" i="246" s="1"/>
  <c r="F291" i="246" s="1"/>
  <c r="F353" i="246" s="1"/>
  <c r="F415" i="246" s="1"/>
  <c r="F477" i="246" s="1"/>
  <c r="F539" i="246" s="1"/>
  <c r="F601" i="246" s="1"/>
  <c r="F663" i="246" s="1"/>
  <c r="F725" i="246" s="1"/>
  <c r="F787" i="246" s="1"/>
  <c r="F82" i="5"/>
  <c r="F42" i="246" s="1"/>
  <c r="F104" i="246" s="1"/>
  <c r="F166" i="246" s="1"/>
  <c r="F228" i="246" s="1"/>
  <c r="F290" i="246" s="1"/>
  <c r="F352" i="246" s="1"/>
  <c r="F414" i="246" s="1"/>
  <c r="F476" i="246" s="1"/>
  <c r="F538" i="246" s="1"/>
  <c r="F600" i="246" s="1"/>
  <c r="F662" i="246" s="1"/>
  <c r="F724" i="246" s="1"/>
  <c r="F786" i="246" s="1"/>
  <c r="F81" i="5"/>
  <c r="F41" i="246" s="1"/>
  <c r="F103" i="246" s="1"/>
  <c r="F165" i="246" s="1"/>
  <c r="F227" i="246" s="1"/>
  <c r="F289" i="246" s="1"/>
  <c r="F351" i="246" s="1"/>
  <c r="F413" i="246" s="1"/>
  <c r="F475" i="246" s="1"/>
  <c r="F537" i="246" s="1"/>
  <c r="F599" i="246" s="1"/>
  <c r="F661" i="246" s="1"/>
  <c r="F723" i="246" s="1"/>
  <c r="F785" i="246" s="1"/>
  <c r="F80" i="5"/>
  <c r="F40" i="246" s="1"/>
  <c r="F102" i="246" s="1"/>
  <c r="F164" i="246" s="1"/>
  <c r="F226" i="246" s="1"/>
  <c r="F288" i="246" s="1"/>
  <c r="F350" i="246" s="1"/>
  <c r="F412" i="246" s="1"/>
  <c r="F474" i="246" s="1"/>
  <c r="F536" i="246" s="1"/>
  <c r="F598" i="246" s="1"/>
  <c r="F660" i="246" s="1"/>
  <c r="F722" i="246" s="1"/>
  <c r="F784" i="246" s="1"/>
  <c r="F77" i="5"/>
  <c r="F21" i="246" s="1"/>
  <c r="F83" i="246" s="1"/>
  <c r="F145" i="246" s="1"/>
  <c r="F207" i="246" s="1"/>
  <c r="F269" i="246" s="1"/>
  <c r="F331" i="246" s="1"/>
  <c r="F393" i="246" s="1"/>
  <c r="F455" i="246" s="1"/>
  <c r="F517" i="246" s="1"/>
  <c r="F579" i="246" s="1"/>
  <c r="F641" i="246" s="1"/>
  <c r="F703" i="246" s="1"/>
  <c r="F765" i="246" s="1"/>
  <c r="F76" i="5"/>
  <c r="F19" i="246" s="1"/>
  <c r="F81" i="246" s="1"/>
  <c r="F143" i="246" s="1"/>
  <c r="F205" i="246" s="1"/>
  <c r="F267" i="246" s="1"/>
  <c r="F329" i="246" s="1"/>
  <c r="F391" i="246" s="1"/>
  <c r="F453" i="246" s="1"/>
  <c r="F515" i="246" s="1"/>
  <c r="F577" i="246" s="1"/>
  <c r="F639" i="246" s="1"/>
  <c r="F701" i="246" s="1"/>
  <c r="F763" i="246" s="1"/>
  <c r="F75" i="5"/>
  <c r="F18" i="246" s="1"/>
  <c r="F80" i="246" s="1"/>
  <c r="F142" i="246" s="1"/>
  <c r="F204" i="246" s="1"/>
  <c r="F266" i="246" s="1"/>
  <c r="F328" i="246" s="1"/>
  <c r="F390" i="246" s="1"/>
  <c r="F452" i="246" s="1"/>
  <c r="F514" i="246" s="1"/>
  <c r="F576" i="246" s="1"/>
  <c r="F638" i="246" s="1"/>
  <c r="F700" i="246" s="1"/>
  <c r="F762" i="246" s="1"/>
  <c r="F74" i="5"/>
  <c r="F17" i="246" s="1"/>
  <c r="F79" i="246" s="1"/>
  <c r="F141" i="246" s="1"/>
  <c r="F203" i="246" s="1"/>
  <c r="F265" i="246" s="1"/>
  <c r="F327" i="246" s="1"/>
  <c r="F389" i="246" s="1"/>
  <c r="F451" i="246" s="1"/>
  <c r="F513" i="246" s="1"/>
  <c r="F575" i="246" s="1"/>
  <c r="F637" i="246" s="1"/>
  <c r="F699" i="246" s="1"/>
  <c r="F761" i="246" s="1"/>
  <c r="F71" i="5"/>
  <c r="F46" i="209" s="1"/>
  <c r="F106" i="209" s="1"/>
  <c r="F166" i="209" s="1"/>
  <c r="F226" i="209" s="1"/>
  <c r="F286" i="209" s="1"/>
  <c r="F346" i="209" s="1"/>
  <c r="F406" i="209" s="1"/>
  <c r="F466" i="209" s="1"/>
  <c r="F526" i="209" s="1"/>
  <c r="F586" i="209" s="1"/>
  <c r="F646" i="209" s="1"/>
  <c r="F706" i="209" s="1"/>
  <c r="F766" i="209" s="1"/>
  <c r="F70" i="5"/>
  <c r="F49" i="209" s="1"/>
  <c r="F109" i="209" s="1"/>
  <c r="F169" i="209" s="1"/>
  <c r="F229" i="209" s="1"/>
  <c r="F289" i="209" s="1"/>
  <c r="F349" i="209" s="1"/>
  <c r="F409" i="209" s="1"/>
  <c r="F469" i="209" s="1"/>
  <c r="F529" i="209" s="1"/>
  <c r="F589" i="209" s="1"/>
  <c r="F649" i="209" s="1"/>
  <c r="F709" i="209" s="1"/>
  <c r="F769" i="209" s="1"/>
  <c r="F69" i="5"/>
  <c r="F68" i="5"/>
  <c r="F44" i="209" s="1"/>
  <c r="F104" i="209" s="1"/>
  <c r="F164" i="209" s="1"/>
  <c r="F224" i="209" s="1"/>
  <c r="F284" i="209" s="1"/>
  <c r="F344" i="209" s="1"/>
  <c r="F404" i="209" s="1"/>
  <c r="F464" i="209" s="1"/>
  <c r="F524" i="209" s="1"/>
  <c r="F584" i="209" s="1"/>
  <c r="F644" i="209" s="1"/>
  <c r="F704" i="209" s="1"/>
  <c r="F764" i="209" s="1"/>
  <c r="F65" i="5"/>
  <c r="F48" i="209" s="1"/>
  <c r="F108" i="209" s="1"/>
  <c r="F168" i="209" s="1"/>
  <c r="F228" i="209" s="1"/>
  <c r="F288" i="209" s="1"/>
  <c r="F348" i="209" s="1"/>
  <c r="F408" i="209" s="1"/>
  <c r="F468" i="209" s="1"/>
  <c r="F528" i="209" s="1"/>
  <c r="F588" i="209" s="1"/>
  <c r="F648" i="209" s="1"/>
  <c r="F708" i="209" s="1"/>
  <c r="F768" i="209" s="1"/>
  <c r="F64" i="5"/>
  <c r="F47" i="209" s="1"/>
  <c r="F107" i="209" s="1"/>
  <c r="F167" i="209" s="1"/>
  <c r="F227" i="209" s="1"/>
  <c r="F287" i="209" s="1"/>
  <c r="F347" i="209" s="1"/>
  <c r="F407" i="209" s="1"/>
  <c r="F467" i="209" s="1"/>
  <c r="F527" i="209" s="1"/>
  <c r="F587" i="209" s="1"/>
  <c r="F647" i="209" s="1"/>
  <c r="F707" i="209" s="1"/>
  <c r="F767" i="209" s="1"/>
  <c r="F63" i="5"/>
  <c r="F45" i="209" s="1"/>
  <c r="F105" i="209" s="1"/>
  <c r="F165" i="209" s="1"/>
  <c r="F225" i="209" s="1"/>
  <c r="F285" i="209" s="1"/>
  <c r="F345" i="209" s="1"/>
  <c r="F405" i="209" s="1"/>
  <c r="F465" i="209" s="1"/>
  <c r="F525" i="209" s="1"/>
  <c r="F585" i="209" s="1"/>
  <c r="F645" i="209" s="1"/>
  <c r="F705" i="209" s="1"/>
  <c r="F765" i="209" s="1"/>
  <c r="F60" i="5"/>
  <c r="F59" i="5"/>
  <c r="F29" i="209" s="1"/>
  <c r="F89" i="209" s="1"/>
  <c r="F149" i="209" s="1"/>
  <c r="F209" i="209" s="1"/>
  <c r="F269" i="209" s="1"/>
  <c r="F329" i="209" s="1"/>
  <c r="F389" i="209" s="1"/>
  <c r="F449" i="209" s="1"/>
  <c r="F509" i="209" s="1"/>
  <c r="F569" i="209" s="1"/>
  <c r="F629" i="209" s="1"/>
  <c r="F689" i="209" s="1"/>
  <c r="F749" i="209" s="1"/>
  <c r="F58" i="5"/>
  <c r="F28" i="209" s="1"/>
  <c r="F88" i="209" s="1"/>
  <c r="F148" i="209" s="1"/>
  <c r="F208" i="209" s="1"/>
  <c r="F268" i="209" s="1"/>
  <c r="F328" i="209" s="1"/>
  <c r="F388" i="209" s="1"/>
  <c r="F448" i="209" s="1"/>
  <c r="F508" i="209" s="1"/>
  <c r="F568" i="209" s="1"/>
  <c r="F628" i="209" s="1"/>
  <c r="F688" i="209" s="1"/>
  <c r="F748" i="209" s="1"/>
  <c r="F57" i="5"/>
  <c r="F27" i="209" s="1"/>
  <c r="F87" i="209" s="1"/>
  <c r="F147" i="209" s="1"/>
  <c r="F207" i="209" s="1"/>
  <c r="F267" i="209" s="1"/>
  <c r="F327" i="209" s="1"/>
  <c r="F387" i="209" s="1"/>
  <c r="F447" i="209" s="1"/>
  <c r="F507" i="209" s="1"/>
  <c r="F567" i="209" s="1"/>
  <c r="F627" i="209" s="1"/>
  <c r="F687" i="209" s="1"/>
  <c r="F747" i="209" s="1"/>
  <c r="F56" i="5"/>
  <c r="F26" i="209" s="1"/>
  <c r="F86" i="209" s="1"/>
  <c r="F146" i="209" s="1"/>
  <c r="F206" i="209" s="1"/>
  <c r="F266" i="209" s="1"/>
  <c r="F326" i="209" s="1"/>
  <c r="F386" i="209" s="1"/>
  <c r="F446" i="209" s="1"/>
  <c r="F506" i="209" s="1"/>
  <c r="F566" i="209" s="1"/>
  <c r="F626" i="209" s="1"/>
  <c r="F686" i="209" s="1"/>
  <c r="F746" i="209" s="1"/>
  <c r="F53" i="5"/>
  <c r="E13" i="294" s="1"/>
  <c r="E32" i="294" s="1"/>
  <c r="E51" i="294" s="1"/>
  <c r="E70" i="294" s="1"/>
  <c r="E89" i="294" s="1"/>
  <c r="E108" i="294" s="1"/>
  <c r="E127" i="294" s="1"/>
  <c r="F52" i="5"/>
  <c r="E12" i="294" s="1"/>
  <c r="E31" i="294" s="1"/>
  <c r="E50" i="294" s="1"/>
  <c r="E69" i="294" s="1"/>
  <c r="E88" i="294" s="1"/>
  <c r="E107" i="294" s="1"/>
  <c r="E126" i="294" s="1"/>
  <c r="F51" i="5"/>
  <c r="E11" i="294" s="1"/>
  <c r="E30" i="294" s="1"/>
  <c r="E49" i="294" s="1"/>
  <c r="E68" i="294" s="1"/>
  <c r="E87" i="294" s="1"/>
  <c r="E106" i="294" s="1"/>
  <c r="E125" i="294" s="1"/>
  <c r="F48" i="5"/>
  <c r="F116" i="209" s="1"/>
  <c r="F44" i="5"/>
  <c r="F52" i="209" s="1"/>
  <c r="F46" i="5"/>
  <c r="F45" i="5"/>
  <c r="F53" i="209" s="1"/>
  <c r="F39" i="5"/>
  <c r="F623" i="209" s="1"/>
  <c r="F41" i="5"/>
  <c r="F22" i="209" s="1"/>
  <c r="F40" i="5"/>
  <c r="F36" i="5"/>
  <c r="E9" i="294" s="1"/>
  <c r="E28" i="294" s="1"/>
  <c r="E47" i="294" s="1"/>
  <c r="E66" i="294" s="1"/>
  <c r="E85" i="294" s="1"/>
  <c r="E104" i="294" s="1"/>
  <c r="E123" i="294" s="1"/>
  <c r="F35" i="5"/>
  <c r="E8" i="294" s="1"/>
  <c r="E27" i="294" s="1"/>
  <c r="E46" i="294" s="1"/>
  <c r="E65" i="294" s="1"/>
  <c r="E84" i="294" s="1"/>
  <c r="E103" i="294" s="1"/>
  <c r="E122" i="294" s="1"/>
  <c r="F27" i="5"/>
  <c r="F37" i="209" s="1"/>
  <c r="F97" i="209" s="1"/>
  <c r="F157" i="209" s="1"/>
  <c r="F217" i="209" s="1"/>
  <c r="F277" i="209" s="1"/>
  <c r="F337" i="209" s="1"/>
  <c r="F397" i="209" s="1"/>
  <c r="F457" i="209" s="1"/>
  <c r="F517" i="209" s="1"/>
  <c r="F577" i="209" s="1"/>
  <c r="F637" i="209" s="1"/>
  <c r="F697" i="209" s="1"/>
  <c r="F757" i="209" s="1"/>
  <c r="F26" i="5"/>
  <c r="F25" i="5"/>
  <c r="F24" i="5"/>
  <c r="F36" i="209" s="1"/>
  <c r="F96" i="209" s="1"/>
  <c r="F156" i="209" s="1"/>
  <c r="F216" i="209" s="1"/>
  <c r="F276" i="209" s="1"/>
  <c r="F336" i="209" s="1"/>
  <c r="F396" i="209" s="1"/>
  <c r="F456" i="209" s="1"/>
  <c r="F516" i="209" s="1"/>
  <c r="F576" i="209" s="1"/>
  <c r="F636" i="209" s="1"/>
  <c r="F696" i="209" s="1"/>
  <c r="F756" i="209" s="1"/>
  <c r="F31" i="5"/>
  <c r="F40" i="209" s="1"/>
  <c r="F100" i="209" s="1"/>
  <c r="F160" i="209" s="1"/>
  <c r="F220" i="209" s="1"/>
  <c r="F280" i="209" s="1"/>
  <c r="F340" i="209" s="1"/>
  <c r="F400" i="209" s="1"/>
  <c r="F460" i="209" s="1"/>
  <c r="F520" i="209" s="1"/>
  <c r="F580" i="209" s="1"/>
  <c r="F640" i="209" s="1"/>
  <c r="F700" i="209" s="1"/>
  <c r="F760" i="209" s="1"/>
  <c r="F22" i="5"/>
  <c r="F34" i="209" s="1"/>
  <c r="F94" i="209" s="1"/>
  <c r="F154" i="209" s="1"/>
  <c r="F214" i="209" s="1"/>
  <c r="F274" i="209" s="1"/>
  <c r="F334" i="209" s="1"/>
  <c r="F394" i="209" s="1"/>
  <c r="F454" i="209" s="1"/>
  <c r="F514" i="209" s="1"/>
  <c r="F574" i="209" s="1"/>
  <c r="F634" i="209" s="1"/>
  <c r="F694" i="209" s="1"/>
  <c r="F754" i="209" s="1"/>
  <c r="F32" i="5"/>
  <c r="F41" i="209" s="1"/>
  <c r="F101" i="209" s="1"/>
  <c r="F161" i="209" s="1"/>
  <c r="F221" i="209" s="1"/>
  <c r="F281" i="209" s="1"/>
  <c r="F341" i="209" s="1"/>
  <c r="F401" i="209" s="1"/>
  <c r="F461" i="209" s="1"/>
  <c r="F521" i="209" s="1"/>
  <c r="F581" i="209" s="1"/>
  <c r="F641" i="209" s="1"/>
  <c r="F701" i="209" s="1"/>
  <c r="F761" i="209" s="1"/>
  <c r="F28" i="5"/>
  <c r="F38" i="209" s="1"/>
  <c r="F98" i="209" s="1"/>
  <c r="F158" i="209" s="1"/>
  <c r="F218" i="209" s="1"/>
  <c r="F278" i="209" s="1"/>
  <c r="F338" i="209" s="1"/>
  <c r="F398" i="209" s="1"/>
  <c r="F458" i="209" s="1"/>
  <c r="F518" i="209" s="1"/>
  <c r="F578" i="209" s="1"/>
  <c r="F638" i="209" s="1"/>
  <c r="F698" i="209" s="1"/>
  <c r="F758" i="209" s="1"/>
  <c r="F30" i="5"/>
  <c r="F39" i="209" s="1"/>
  <c r="F99" i="209" s="1"/>
  <c r="F159" i="209" s="1"/>
  <c r="F219" i="209" s="1"/>
  <c r="F279" i="209" s="1"/>
  <c r="F339" i="209" s="1"/>
  <c r="F399" i="209" s="1"/>
  <c r="F459" i="209" s="1"/>
  <c r="F519" i="209" s="1"/>
  <c r="F579" i="209" s="1"/>
  <c r="F639" i="209" s="1"/>
  <c r="F699" i="209" s="1"/>
  <c r="F759" i="209" s="1"/>
  <c r="F29" i="5"/>
  <c r="F23" i="5"/>
  <c r="F35" i="209" s="1"/>
  <c r="F95" i="209" s="1"/>
  <c r="F155" i="209" s="1"/>
  <c r="F215" i="209" s="1"/>
  <c r="F275" i="209" s="1"/>
  <c r="F335" i="209" s="1"/>
  <c r="F395" i="209" s="1"/>
  <c r="F455" i="209" s="1"/>
  <c r="F515" i="209" s="1"/>
  <c r="F575" i="209" s="1"/>
  <c r="F635" i="209" s="1"/>
  <c r="F695" i="209" s="1"/>
  <c r="F755" i="209" s="1"/>
  <c r="F19" i="5"/>
  <c r="F18" i="209" s="1"/>
  <c r="F78" i="209" s="1"/>
  <c r="F138" i="209" s="1"/>
  <c r="F198" i="209" s="1"/>
  <c r="F258" i="209" s="1"/>
  <c r="F318" i="209" s="1"/>
  <c r="F378" i="209" s="1"/>
  <c r="F438" i="209" s="1"/>
  <c r="F498" i="209" s="1"/>
  <c r="F558" i="209" s="1"/>
  <c r="F618" i="209" s="1"/>
  <c r="F678" i="209" s="1"/>
  <c r="F738" i="209" s="1"/>
  <c r="F18" i="5"/>
  <c r="F17" i="209" s="1"/>
  <c r="F77" i="209" s="1"/>
  <c r="F137" i="209" s="1"/>
  <c r="F197" i="209" s="1"/>
  <c r="F257" i="209" s="1"/>
  <c r="F317" i="209" s="1"/>
  <c r="F377" i="209" s="1"/>
  <c r="F437" i="209" s="1"/>
  <c r="F497" i="209" s="1"/>
  <c r="F557" i="209" s="1"/>
  <c r="F617" i="209" s="1"/>
  <c r="F677" i="209" s="1"/>
  <c r="F737" i="209" s="1"/>
  <c r="F17" i="5"/>
  <c r="F16" i="209" s="1"/>
  <c r="F76" i="209" s="1"/>
  <c r="F136" i="209" s="1"/>
  <c r="F196" i="209" s="1"/>
  <c r="F256" i="209" s="1"/>
  <c r="F316" i="209" s="1"/>
  <c r="F376" i="209" s="1"/>
  <c r="F436" i="209" s="1"/>
  <c r="F496" i="209" s="1"/>
  <c r="F556" i="209" s="1"/>
  <c r="F616" i="209" s="1"/>
  <c r="F676" i="209" s="1"/>
  <c r="F736" i="209" s="1"/>
  <c r="F16" i="5"/>
  <c r="F15" i="5"/>
  <c r="F15" i="209" s="1"/>
  <c r="F75" i="209" s="1"/>
  <c r="F135" i="209" s="1"/>
  <c r="F195" i="209" s="1"/>
  <c r="F255" i="209" s="1"/>
  <c r="F315" i="209" s="1"/>
  <c r="F375" i="209" s="1"/>
  <c r="F435" i="209" s="1"/>
  <c r="F495" i="209" s="1"/>
  <c r="F555" i="209" s="1"/>
  <c r="F615" i="209" s="1"/>
  <c r="F675" i="209" s="1"/>
  <c r="F735" i="209" s="1"/>
  <c r="F14" i="5"/>
  <c r="F14" i="209" s="1"/>
  <c r="F74" i="209" s="1"/>
  <c r="F134" i="209" s="1"/>
  <c r="F194" i="209" s="1"/>
  <c r="F254" i="209" s="1"/>
  <c r="F314" i="209" s="1"/>
  <c r="F374" i="209" s="1"/>
  <c r="F434" i="209" s="1"/>
  <c r="F494" i="209" s="1"/>
  <c r="F554" i="209" s="1"/>
  <c r="F614" i="209" s="1"/>
  <c r="F674" i="209" s="1"/>
  <c r="F734" i="209" s="1"/>
  <c r="F13" i="5"/>
  <c r="F13" i="209" s="1"/>
  <c r="F73" i="209" s="1"/>
  <c r="F133" i="209" s="1"/>
  <c r="F193" i="209" s="1"/>
  <c r="F253" i="209" s="1"/>
  <c r="F313" i="209" s="1"/>
  <c r="F373" i="209" s="1"/>
  <c r="F433" i="209" s="1"/>
  <c r="F493" i="209" s="1"/>
  <c r="F553" i="209" s="1"/>
  <c r="F613" i="209" s="1"/>
  <c r="F673" i="209" s="1"/>
  <c r="F733" i="209" s="1"/>
  <c r="F12" i="5"/>
  <c r="F12" i="209" s="1"/>
  <c r="F72" i="209" s="1"/>
  <c r="F132" i="209" s="1"/>
  <c r="F192" i="209" s="1"/>
  <c r="F252" i="209" s="1"/>
  <c r="F312" i="209" s="1"/>
  <c r="F372" i="209" s="1"/>
  <c r="F432" i="209" s="1"/>
  <c r="F492" i="209" s="1"/>
  <c r="F552" i="209" s="1"/>
  <c r="F612" i="209" s="1"/>
  <c r="F672" i="209" s="1"/>
  <c r="F732" i="209" s="1"/>
  <c r="F11" i="5"/>
  <c r="F11" i="209" s="1"/>
  <c r="F71" i="209" s="1"/>
  <c r="F131" i="209" s="1"/>
  <c r="F191" i="209" s="1"/>
  <c r="F251" i="209" s="1"/>
  <c r="F311" i="209" s="1"/>
  <c r="F371" i="209" s="1"/>
  <c r="F431" i="209" s="1"/>
  <c r="F491" i="209" s="1"/>
  <c r="F551" i="209" s="1"/>
  <c r="F611" i="209" s="1"/>
  <c r="F671" i="209" s="1"/>
  <c r="F731" i="209" s="1"/>
  <c r="F10" i="5"/>
  <c r="F10" i="209" s="1"/>
  <c r="F70" i="209" s="1"/>
  <c r="F130" i="209" s="1"/>
  <c r="F190" i="209" s="1"/>
  <c r="F250" i="209" s="1"/>
  <c r="F310" i="209" s="1"/>
  <c r="F370" i="209" s="1"/>
  <c r="F430" i="209" s="1"/>
  <c r="F490" i="209" s="1"/>
  <c r="F550" i="209" s="1"/>
  <c r="F610" i="209" s="1"/>
  <c r="F670" i="209" s="1"/>
  <c r="F730" i="209" s="1"/>
  <c r="F9" i="5"/>
  <c r="F9" i="209" s="1"/>
  <c r="F69" i="209" s="1"/>
  <c r="F129" i="209" s="1"/>
  <c r="F189" i="209" s="1"/>
  <c r="F249" i="209" s="1"/>
  <c r="F309" i="209" s="1"/>
  <c r="F369" i="209" s="1"/>
  <c r="F429" i="209" s="1"/>
  <c r="F489" i="209" s="1"/>
  <c r="F549" i="209" s="1"/>
  <c r="F609" i="209" s="1"/>
  <c r="F669" i="209" s="1"/>
  <c r="F729" i="209" s="1"/>
  <c r="F8" i="5"/>
  <c r="F8" i="209" s="1"/>
  <c r="F68" i="209" s="1"/>
  <c r="F128" i="209" s="1"/>
  <c r="F188" i="209" s="1"/>
  <c r="F248" i="209" s="1"/>
  <c r="F308" i="209" s="1"/>
  <c r="F368" i="209" s="1"/>
  <c r="F428" i="209" s="1"/>
  <c r="F488" i="209" s="1"/>
  <c r="F548" i="209" s="1"/>
  <c r="F608" i="209" s="1"/>
  <c r="F668" i="209" s="1"/>
  <c r="F728" i="209" s="1"/>
  <c r="S285" i="246"/>
  <c r="P14" i="241"/>
  <c r="Q325" i="246"/>
  <c r="Q387" i="246"/>
  <c r="R18" i="49"/>
  <c r="T18" i="49" s="1"/>
  <c r="J16" i="49"/>
  <c r="L623" i="209"/>
  <c r="H43" i="176"/>
  <c r="L20" i="241"/>
  <c r="G46" i="213"/>
  <c r="G45" i="270"/>
  <c r="L176" i="246" s="1"/>
  <c r="G44" i="270"/>
  <c r="R114" i="246" s="1"/>
  <c r="P18" i="241"/>
  <c r="AA30" i="292"/>
  <c r="T12" i="34"/>
  <c r="T13" i="34"/>
  <c r="R37" i="37"/>
  <c r="T37" i="37" s="1"/>
  <c r="P17" i="241"/>
  <c r="H31" i="185"/>
  <c r="H45" i="185" s="1"/>
  <c r="M318" i="209"/>
  <c r="H37" i="334"/>
  <c r="S207" i="209" s="1"/>
  <c r="S267" i="209"/>
  <c r="M346" i="209"/>
  <c r="J324" i="209"/>
  <c r="L504" i="209"/>
  <c r="J387" i="246"/>
  <c r="O573" i="246"/>
  <c r="L728" i="246"/>
  <c r="R449" i="246"/>
  <c r="R697" i="246"/>
  <c r="H24" i="185"/>
  <c r="H38" i="185" s="1"/>
  <c r="H32" i="185"/>
  <c r="M635" i="246" s="1"/>
  <c r="P761" i="209"/>
  <c r="H23" i="185"/>
  <c r="I30" i="292" s="1"/>
  <c r="H46" i="185"/>
  <c r="P18" i="284" s="1"/>
  <c r="J449" i="246"/>
  <c r="R19" i="49"/>
  <c r="T19" i="49" s="1"/>
  <c r="R11" i="155"/>
  <c r="T11" i="155" s="1"/>
  <c r="G43" i="213"/>
  <c r="G47" i="213" s="1"/>
  <c r="R143" i="209" s="1"/>
  <c r="R743" i="209"/>
  <c r="R623" i="209"/>
  <c r="L683" i="209"/>
  <c r="G44" i="213"/>
  <c r="R83" i="209" s="1"/>
  <c r="G18" i="213"/>
  <c r="G40" i="213" s="1"/>
  <c r="L83" i="209" s="1"/>
  <c r="G45" i="213"/>
  <c r="L143" i="209" s="1"/>
  <c r="H37" i="195"/>
  <c r="S234" i="246" s="1"/>
  <c r="H38" i="270"/>
  <c r="M52" i="246" s="1"/>
  <c r="R417" i="209"/>
  <c r="F15" i="178"/>
  <c r="L564" i="209"/>
  <c r="R357" i="209"/>
  <c r="T26" i="27"/>
  <c r="L734" i="246"/>
  <c r="L672" i="246"/>
  <c r="R672" i="246"/>
  <c r="G46" i="270"/>
  <c r="O697" i="246"/>
  <c r="R325" i="246"/>
  <c r="R511" i="246"/>
  <c r="R387" i="246"/>
  <c r="P511" i="246"/>
  <c r="P263" i="246"/>
  <c r="F30" i="292"/>
  <c r="K387" i="246"/>
  <c r="H28" i="185"/>
  <c r="H42" i="185" s="1"/>
  <c r="O387" i="246"/>
  <c r="L573" i="246"/>
  <c r="G48" i="185"/>
  <c r="J573" i="246"/>
  <c r="P573" i="246"/>
  <c r="C30" i="292"/>
  <c r="Q263" i="246"/>
  <c r="Q511" i="246"/>
  <c r="R263" i="246"/>
  <c r="P325" i="246"/>
  <c r="O325" i="246"/>
  <c r="I511" i="246"/>
  <c r="O511" i="246"/>
  <c r="H25" i="185"/>
  <c r="H39" i="185" s="1"/>
  <c r="S15" i="246" s="1"/>
  <c r="L387" i="246"/>
  <c r="P387" i="246"/>
  <c r="K573" i="246"/>
  <c r="Q573" i="246"/>
  <c r="F48" i="185"/>
  <c r="G30" i="292"/>
  <c r="I449" i="246"/>
  <c r="H33" i="185"/>
  <c r="L666" i="246"/>
  <c r="R666" i="246"/>
  <c r="G46" i="141"/>
  <c r="G45" i="141"/>
  <c r="L170" i="246" s="1"/>
  <c r="G44" i="141"/>
  <c r="R108" i="246" s="1"/>
  <c r="L449" i="246"/>
  <c r="T13" i="29"/>
  <c r="R24" i="34"/>
  <c r="T24" i="34" s="1"/>
  <c r="H29" i="185"/>
  <c r="H47" i="185" s="1"/>
  <c r="R573" i="246"/>
  <c r="H30" i="185"/>
  <c r="P449" i="246"/>
  <c r="J325" i="246"/>
  <c r="I573" i="246"/>
  <c r="D48" i="185"/>
  <c r="L20" i="192" s="1"/>
  <c r="G45" i="204"/>
  <c r="L169" i="246" s="1"/>
  <c r="G46" i="204"/>
  <c r="L727" i="246"/>
  <c r="L665" i="246"/>
  <c r="G44" i="204"/>
  <c r="R107" i="246" s="1"/>
  <c r="R665" i="246"/>
  <c r="D5" i="151" a="1"/>
  <c r="H7" i="151" s="1"/>
  <c r="L5" i="151" a="1"/>
  <c r="P7" i="151" s="1"/>
  <c r="D5" i="165" a="1"/>
  <c r="D5" i="165" s="1"/>
  <c r="L5" i="165" a="1"/>
  <c r="D5" i="166" a="1"/>
  <c r="G35" i="166" s="1"/>
  <c r="L5" i="166" a="1"/>
  <c r="M7" i="166" s="1"/>
  <c r="D5" i="187" a="1"/>
  <c r="F7" i="187" s="1"/>
  <c r="L5" i="187" a="1"/>
  <c r="D5" i="195" a="1"/>
  <c r="H7" i="195" s="1"/>
  <c r="L5" i="195" a="1"/>
  <c r="P7" i="195" s="1"/>
  <c r="L5" i="359" a="1"/>
  <c r="O7" i="359" s="1"/>
  <c r="D7" i="359"/>
  <c r="E7" i="359"/>
  <c r="F7" i="359"/>
  <c r="G7" i="359"/>
  <c r="H7" i="359"/>
  <c r="D21" i="359"/>
  <c r="L23" i="359" s="1"/>
  <c r="E21" i="359"/>
  <c r="M23" i="359" s="1"/>
  <c r="F21" i="359"/>
  <c r="N23" i="359" s="1"/>
  <c r="G21" i="359"/>
  <c r="O23" i="359" s="1"/>
  <c r="H21" i="359"/>
  <c r="P23" i="359" s="1"/>
  <c r="D35" i="359"/>
  <c r="E35" i="359"/>
  <c r="F35" i="359"/>
  <c r="G35" i="359"/>
  <c r="H35" i="359"/>
  <c r="D5" i="194" a="1"/>
  <c r="L5" i="194" a="1"/>
  <c r="N23" i="361" s="1"/>
  <c r="D5" i="288" a="1"/>
  <c r="D5" i="288" s="1"/>
  <c r="L5" i="288" a="1"/>
  <c r="M29" i="288" s="1"/>
  <c r="D5" i="156" a="1"/>
  <c r="L5" i="156" a="1"/>
  <c r="L5" i="156" s="1"/>
  <c r="L7" i="156" s="1"/>
  <c r="D5" i="347" a="1"/>
  <c r="F7" i="347" s="1"/>
  <c r="L5" i="347" a="1"/>
  <c r="O7" i="347" s="1"/>
  <c r="D5" i="214" a="1"/>
  <c r="L5" i="214" a="1"/>
  <c r="L5" i="214" s="1"/>
  <c r="L7" i="214" s="1"/>
  <c r="D5" i="160" a="1"/>
  <c r="D5" i="160" s="1"/>
  <c r="L5" i="160" a="1"/>
  <c r="L5" i="160" s="1"/>
  <c r="L7" i="160" s="1"/>
  <c r="D5" i="126" a="1"/>
  <c r="G7" i="126" s="1"/>
  <c r="L5" i="126" a="1"/>
  <c r="P7" i="126" s="1"/>
  <c r="D5" i="293" a="1"/>
  <c r="F7" i="293" s="1"/>
  <c r="L5" i="293" a="1"/>
  <c r="P7" i="293" s="1"/>
  <c r="D5" i="16" a="1"/>
  <c r="G35" i="16" s="1"/>
  <c r="L5" i="16" a="1"/>
  <c r="L5" i="16" s="1"/>
  <c r="L7" i="16" s="1"/>
  <c r="D5" i="289" a="1"/>
  <c r="L5" i="289" a="1"/>
  <c r="L5" i="289" s="1"/>
  <c r="D5" i="349" a="1"/>
  <c r="E7" i="349" s="1"/>
  <c r="L5" i="349" a="1"/>
  <c r="P7" i="349" s="1"/>
  <c r="D5" i="221" a="1"/>
  <c r="G35" i="221" s="1"/>
  <c r="L5" i="221" a="1"/>
  <c r="D5" i="202" a="1"/>
  <c r="F7" i="202" s="1"/>
  <c r="L5" i="202" a="1"/>
  <c r="L5" i="202" s="1"/>
  <c r="L7" i="202" s="1"/>
  <c r="D5" i="220" a="1"/>
  <c r="H7" i="220" s="1"/>
  <c r="L5" i="220" a="1"/>
  <c r="P7" i="220" s="1"/>
  <c r="D5" i="324" a="1"/>
  <c r="H7" i="324" s="1"/>
  <c r="L5" i="324" a="1"/>
  <c r="P29" i="324" s="1"/>
  <c r="D5" i="355" a="1"/>
  <c r="E21" i="355" s="1"/>
  <c r="M23" i="355" s="1"/>
  <c r="L5" i="355" a="1"/>
  <c r="P7" i="355" s="1"/>
  <c r="D5" i="188" a="1"/>
  <c r="H7" i="188" s="1"/>
  <c r="L5" i="188" a="1"/>
  <c r="D5" i="241" a="1"/>
  <c r="L5" i="241" a="1"/>
  <c r="L5" i="241" s="1"/>
  <c r="L7" i="241" s="1"/>
  <c r="E21" i="225"/>
  <c r="D5" i="338" a="1"/>
  <c r="E7" i="338" s="1"/>
  <c r="L5" i="338" a="1"/>
  <c r="D5" i="15" a="1"/>
  <c r="F7" i="15" s="1"/>
  <c r="L5" i="15" a="1"/>
  <c r="O7" i="15" s="1"/>
  <c r="D5" i="123" a="1"/>
  <c r="H7" i="123" s="1"/>
  <c r="L5" i="123" a="1"/>
  <c r="G35" i="84"/>
  <c r="D5" i="279" a="1"/>
  <c r="F35" i="279" s="1"/>
  <c r="L5" i="279" a="1"/>
  <c r="M7" i="279" s="1"/>
  <c r="D5" i="204" a="1"/>
  <c r="L5" i="204" a="1"/>
  <c r="O7" i="204" s="1"/>
  <c r="D5" i="315" a="1"/>
  <c r="H21" i="315" s="1"/>
  <c r="P23" i="315" s="1"/>
  <c r="L5" i="315" a="1"/>
  <c r="L5" i="315" s="1"/>
  <c r="L7" i="315" s="1"/>
  <c r="D5" i="141" a="1"/>
  <c r="L5" i="141" a="1"/>
  <c r="O7" i="141" s="1"/>
  <c r="D5" i="360" a="1"/>
  <c r="H21" i="360" s="1"/>
  <c r="P23" i="360" s="1"/>
  <c r="L5" i="360" a="1"/>
  <c r="N7" i="360" s="1"/>
  <c r="D5" i="137" a="1"/>
  <c r="F7" i="137" s="1"/>
  <c r="L5" i="137" a="1"/>
  <c r="M7" i="137" s="1"/>
  <c r="D5" i="325" a="1"/>
  <c r="L5" i="325" a="1"/>
  <c r="O7" i="325" s="1"/>
  <c r="D5" i="219" a="1"/>
  <c r="L5" i="219" a="1"/>
  <c r="P7" i="219" s="1"/>
  <c r="D5" i="14" a="1"/>
  <c r="H21" i="14" s="1"/>
  <c r="P23" i="14" s="1"/>
  <c r="L5" i="14" a="1"/>
  <c r="N7" i="14" s="1"/>
  <c r="H35" i="184"/>
  <c r="D5" i="72" a="1"/>
  <c r="G7" i="72" s="1"/>
  <c r="L5" i="72" a="1"/>
  <c r="M7" i="72" s="1"/>
  <c r="D5" i="313" a="1"/>
  <c r="L5" i="313" a="1"/>
  <c r="M7" i="313" s="1"/>
  <c r="D5" i="356" a="1"/>
  <c r="L5" i="356" a="1"/>
  <c r="O7" i="356" s="1"/>
  <c r="D5" i="189" a="1"/>
  <c r="H21" i="189" s="1"/>
  <c r="P23" i="189" s="1"/>
  <c r="L5" i="189" a="1"/>
  <c r="D5" i="354" a="1"/>
  <c r="L5" i="354" a="1"/>
  <c r="N7" i="354" s="1"/>
  <c r="D5" i="307" a="1"/>
  <c r="L5" i="307" a="1"/>
  <c r="M7" i="307" s="1"/>
  <c r="D5" i="95" a="1"/>
  <c r="G21" i="95" s="1"/>
  <c r="O23" i="95" s="1"/>
  <c r="L5" i="95" a="1"/>
  <c r="D5" i="362" a="1"/>
  <c r="D5" i="362" s="1"/>
  <c r="L5" i="362" a="1"/>
  <c r="D5" i="99" a="1"/>
  <c r="H7" i="99" s="1"/>
  <c r="L5" i="99" a="1"/>
  <c r="O7" i="99" s="1"/>
  <c r="D5" i="97" a="1"/>
  <c r="E7" i="97" s="1"/>
  <c r="L5" i="97" a="1"/>
  <c r="O7" i="97" s="1"/>
  <c r="D5" i="196" a="1"/>
  <c r="L5" i="196" a="1"/>
  <c r="L5" i="196" s="1"/>
  <c r="L7" i="196" s="1"/>
  <c r="D5" i="215" a="1"/>
  <c r="L5" i="215" a="1"/>
  <c r="D5" i="154" a="1"/>
  <c r="H7" i="154" s="1"/>
  <c r="L5" i="154" a="1"/>
  <c r="N7" i="154" s="1"/>
  <c r="D5" i="192" a="1"/>
  <c r="F35" i="192" s="1"/>
  <c r="L5" i="192" a="1"/>
  <c r="D5" i="4" a="1"/>
  <c r="G21" i="4" s="1"/>
  <c r="O23" i="4" s="1"/>
  <c r="L5" i="4" a="1"/>
  <c r="L5" i="4" s="1"/>
  <c r="L7" i="4" s="1"/>
  <c r="D5" i="13" a="1"/>
  <c r="H35" i="13" s="1"/>
  <c r="L5" i="13" a="1"/>
  <c r="L5" i="13" s="1"/>
  <c r="L7" i="13" s="1"/>
  <c r="D5" i="125" a="1"/>
  <c r="F21" i="125" s="1"/>
  <c r="N23" i="125" s="1"/>
  <c r="L5" i="125" a="1"/>
  <c r="P7" i="125" s="1"/>
  <c r="D5" i="139" a="1"/>
  <c r="H7" i="139" s="1"/>
  <c r="L5" i="139" a="1"/>
  <c r="M7" i="139" s="1"/>
  <c r="D5" i="353" a="1"/>
  <c r="D5" i="353" s="1"/>
  <c r="L5" i="353" a="1"/>
  <c r="L5" i="353" s="1"/>
  <c r="L7" i="353" s="1"/>
  <c r="D5" i="271" a="1"/>
  <c r="G7" i="271" s="1"/>
  <c r="L5" i="271" a="1"/>
  <c r="D5" i="290" a="1"/>
  <c r="F7" i="290" s="1"/>
  <c r="L5" i="290" a="1"/>
  <c r="L5" i="290" s="1"/>
  <c r="D5" i="178" a="1"/>
  <c r="D5" i="178" s="1"/>
  <c r="L5" i="178" a="1"/>
  <c r="O7" i="178" s="1"/>
  <c r="D5" i="162" a="1"/>
  <c r="G7" i="162" s="1"/>
  <c r="L5" i="162" a="1"/>
  <c r="L5" i="162" s="1"/>
  <c r="L7" i="162" s="1"/>
  <c r="D5" i="333" a="1"/>
  <c r="H21" i="333" s="1"/>
  <c r="P23" i="333" s="1"/>
  <c r="L5" i="333" a="1"/>
  <c r="L5" i="333" s="1"/>
  <c r="L29" i="333" s="1"/>
  <c r="D5" i="146" a="1"/>
  <c r="D5" i="146" s="1"/>
  <c r="L5" i="146" a="1"/>
  <c r="L5" i="146" s="1"/>
  <c r="L7" i="146" s="1"/>
  <c r="D5" i="334" a="1"/>
  <c r="F7" i="334" s="1"/>
  <c r="L5" i="334" a="1"/>
  <c r="L5" i="334" s="1"/>
  <c r="L7" i="334" s="1"/>
  <c r="D5" i="344" a="1"/>
  <c r="H7" i="344" s="1"/>
  <c r="L5" i="344" a="1"/>
  <c r="O7" i="344" s="1"/>
  <c r="D5" i="11" a="1"/>
  <c r="D5" i="11" s="1"/>
  <c r="L5" i="11" a="1"/>
  <c r="O7" i="11" s="1"/>
  <c r="D5" i="203" a="1"/>
  <c r="L5" i="203" a="1"/>
  <c r="L5" i="203" s="1"/>
  <c r="L7" i="203" s="1"/>
  <c r="D5" i="296" a="1"/>
  <c r="H21" i="296" s="1"/>
  <c r="P23" i="296" s="1"/>
  <c r="L5" i="296" a="1"/>
  <c r="P7" i="296" s="1"/>
  <c r="D5" i="9" a="1"/>
  <c r="D5" i="9" s="1"/>
  <c r="L5" i="9" a="1"/>
  <c r="L5" i="9" s="1"/>
  <c r="L7" i="9" s="1"/>
  <c r="D5" i="79" a="1"/>
  <c r="G7" i="79" s="1"/>
  <c r="L5" i="79" a="1"/>
  <c r="D5" i="10" a="1"/>
  <c r="F7" i="10" s="1"/>
  <c r="L5" i="10" a="1"/>
  <c r="L5" i="10" s="1"/>
  <c r="L7" i="10" s="1"/>
  <c r="D5" i="191" a="1"/>
  <c r="H7" i="191" s="1"/>
  <c r="L5" i="191" a="1"/>
  <c r="O7" i="191" s="1"/>
  <c r="D5" i="118" a="1"/>
  <c r="G7" i="118" s="1"/>
  <c r="L5" i="118" a="1"/>
  <c r="O7" i="118" s="1"/>
  <c r="D5" i="91" a="1"/>
  <c r="G7" i="91" s="1"/>
  <c r="L5" i="91" a="1"/>
  <c r="L5" i="91" s="1"/>
  <c r="L7" i="91" s="1"/>
  <c r="D5" i="216" a="1"/>
  <c r="H21" i="216" s="1"/>
  <c r="P23" i="216" s="1"/>
  <c r="L5" i="216" a="1"/>
  <c r="P7" i="216" s="1"/>
  <c r="D5" i="105" a="1"/>
  <c r="D5" i="105" s="1"/>
  <c r="L5" i="105" a="1"/>
  <c r="L5" i="105" s="1"/>
  <c r="L7" i="105" s="1"/>
  <c r="D5" i="7" a="1"/>
  <c r="G7" i="7" s="1"/>
  <c r="L5" i="7" a="1"/>
  <c r="M7" i="7" s="1"/>
  <c r="D5" i="295" a="1"/>
  <c r="H7" i="295" s="1"/>
  <c r="L5" i="295" a="1"/>
  <c r="M29" i="295" s="1"/>
  <c r="D5" i="345" a="1"/>
  <c r="G7" i="345" s="1"/>
  <c r="L5" i="345" a="1"/>
  <c r="L5" i="345" s="1"/>
  <c r="L7" i="345" s="1"/>
  <c r="D5" i="270" a="1"/>
  <c r="E7" i="270" s="1"/>
  <c r="L5" i="270" a="1"/>
  <c r="P7" i="270" s="1"/>
  <c r="D5" i="6" a="1"/>
  <c r="D5" i="6" s="1"/>
  <c r="D7" i="6" s="1"/>
  <c r="L5" i="6" a="1"/>
  <c r="N7" i="6" s="1"/>
  <c r="D5" i="284" a="1"/>
  <c r="D5" i="284" s="1"/>
  <c r="L5" i="284" a="1"/>
  <c r="L5" i="284" s="1"/>
  <c r="L7" i="284" s="1"/>
  <c r="D5" i="337" a="1"/>
  <c r="F7" i="337" s="1"/>
  <c r="L5" i="337" a="1"/>
  <c r="L5" i="337" s="1"/>
  <c r="L7" i="337" s="1"/>
  <c r="D5" i="101" a="1"/>
  <c r="L5" i="101" a="1"/>
  <c r="O7" i="101" s="1"/>
  <c r="D5" i="190" a="1"/>
  <c r="G7" i="190" s="1"/>
  <c r="L5" i="190" a="1"/>
  <c r="O7" i="190" s="1"/>
  <c r="D5" i="39" a="1"/>
  <c r="G7" i="39" s="1"/>
  <c r="L5" i="39" a="1"/>
  <c r="L5" i="39" s="1"/>
  <c r="L7" i="39" s="1"/>
  <c r="D5" i="176" a="1"/>
  <c r="E7" i="176" s="1"/>
  <c r="L5" i="176" a="1"/>
  <c r="P7" i="176" s="1"/>
  <c r="D5" i="213" a="1"/>
  <c r="D5" i="213" s="1"/>
  <c r="D7" i="213" s="1"/>
  <c r="L5" i="213" a="1"/>
  <c r="L5" i="213" s="1"/>
  <c r="L7" i="213" s="1"/>
  <c r="G21" i="330"/>
  <c r="E21" i="44"/>
  <c r="H35" i="326"/>
  <c r="D5" i="183" a="1"/>
  <c r="G7" i="183" s="1"/>
  <c r="L5" i="183" a="1"/>
  <c r="H38" i="271" l="1"/>
  <c r="M29" i="246" s="1"/>
  <c r="L657" i="246"/>
  <c r="H31" i="326"/>
  <c r="H45" i="326" s="1"/>
  <c r="P17" i="324" s="1"/>
  <c r="S381" i="209"/>
  <c r="M322" i="246"/>
  <c r="H47" i="213"/>
  <c r="S143" i="209" s="1"/>
  <c r="S266" i="246"/>
  <c r="H39" i="6"/>
  <c r="S18" i="209" s="1"/>
  <c r="H30" i="291"/>
  <c r="K17" i="292" s="1"/>
  <c r="S329" i="246"/>
  <c r="V19" i="129"/>
  <c r="S338" i="246"/>
  <c r="T11" i="33"/>
  <c r="H38" i="195"/>
  <c r="M48" i="246" s="1"/>
  <c r="S346" i="209"/>
  <c r="H37" i="189"/>
  <c r="S235" i="246" s="1"/>
  <c r="N19" i="30"/>
  <c r="R657" i="246"/>
  <c r="J18" i="70"/>
  <c r="J30" i="70" s="1"/>
  <c r="X51" i="70" s="1"/>
  <c r="T15" i="161"/>
  <c r="G46" i="191"/>
  <c r="S301" i="246"/>
  <c r="O26" i="191"/>
  <c r="G43" i="191" s="1"/>
  <c r="G47" i="191" s="1"/>
  <c r="R161" i="246" s="1"/>
  <c r="S331" i="246"/>
  <c r="G44" i="191"/>
  <c r="R99" i="246" s="1"/>
  <c r="M349" i="209"/>
  <c r="S284" i="246"/>
  <c r="L719" i="246"/>
  <c r="H43" i="334"/>
  <c r="E14" i="223"/>
  <c r="R564" i="209"/>
  <c r="J24" i="28"/>
  <c r="M318" i="246"/>
  <c r="T11" i="70"/>
  <c r="R18" i="70"/>
  <c r="L641" i="246"/>
  <c r="R16" i="37"/>
  <c r="N31" i="37"/>
  <c r="N13" i="37"/>
  <c r="J17" i="37"/>
  <c r="N27" i="37"/>
  <c r="N15" i="37"/>
  <c r="R15" i="37" s="1"/>
  <c r="T15" i="37" s="1"/>
  <c r="N11" i="32"/>
  <c r="J17" i="32"/>
  <c r="J20" i="32" s="1"/>
  <c r="T22" i="28"/>
  <c r="S299" i="246"/>
  <c r="AA17" i="292"/>
  <c r="S383" i="209"/>
  <c r="S323" i="209"/>
  <c r="S261" i="246"/>
  <c r="N14" i="33"/>
  <c r="S330" i="246"/>
  <c r="V11" i="33"/>
  <c r="H37" i="11"/>
  <c r="S194" i="209" s="1"/>
  <c r="F18" i="334"/>
  <c r="F39" i="334" s="1"/>
  <c r="Q27" i="209" s="1"/>
  <c r="S336" i="246"/>
  <c r="H47" i="97"/>
  <c r="S151" i="246" s="1"/>
  <c r="H43" i="118"/>
  <c r="J21" i="27"/>
  <c r="J27" i="27" s="1"/>
  <c r="J37" i="27" s="1"/>
  <c r="S306" i="246"/>
  <c r="H37" i="345"/>
  <c r="S229" i="209" s="1"/>
  <c r="S342" i="246"/>
  <c r="S353" i="209"/>
  <c r="M360" i="246"/>
  <c r="H43" i="203"/>
  <c r="H47" i="345"/>
  <c r="S169" i="209" s="1"/>
  <c r="J14" i="155"/>
  <c r="J19" i="155" s="1"/>
  <c r="D14" i="44"/>
  <c r="H43" i="196"/>
  <c r="R25" i="29"/>
  <c r="F14" i="14" s="1"/>
  <c r="E14" i="14" s="1"/>
  <c r="D14" i="14" s="1"/>
  <c r="H37" i="356"/>
  <c r="S226" i="209" s="1"/>
  <c r="M357" i="246"/>
  <c r="F11" i="72"/>
  <c r="D11" i="72"/>
  <c r="E11" i="72"/>
  <c r="G11" i="72"/>
  <c r="H47" i="216"/>
  <c r="S149" i="209" s="1"/>
  <c r="E18" i="213"/>
  <c r="E37" i="213" s="1"/>
  <c r="P203" i="209" s="1"/>
  <c r="H43" i="344"/>
  <c r="J623" i="209"/>
  <c r="G48" i="326"/>
  <c r="O20" i="324" s="1"/>
  <c r="P17" i="292"/>
  <c r="J18" i="36"/>
  <c r="H39" i="126"/>
  <c r="S42" i="246" s="1"/>
  <c r="H43" i="349"/>
  <c r="E15" i="185"/>
  <c r="H43" i="91"/>
  <c r="H43" i="338"/>
  <c r="N17" i="36"/>
  <c r="R17" i="36" s="1"/>
  <c r="T17" i="36" s="1"/>
  <c r="E15" i="103"/>
  <c r="T16" i="161"/>
  <c r="F11" i="162"/>
  <c r="N26" i="162" s="1"/>
  <c r="F43" i="162" s="1"/>
  <c r="F47" i="162" s="1"/>
  <c r="Q148" i="209" s="1"/>
  <c r="H47" i="202"/>
  <c r="S143" i="246" s="1"/>
  <c r="H43" i="271"/>
  <c r="S324" i="246"/>
  <c r="M348" i="209"/>
  <c r="J21" i="49"/>
  <c r="J23" i="49" s="1"/>
  <c r="J25" i="49" s="1"/>
  <c r="H43" i="214"/>
  <c r="S309" i="209"/>
  <c r="I324" i="209"/>
  <c r="G32" i="250"/>
  <c r="N26" i="213"/>
  <c r="Q743" i="209" s="1"/>
  <c r="F46" i="213"/>
  <c r="Q623" i="209"/>
  <c r="F18" i="213"/>
  <c r="F40" i="213" s="1"/>
  <c r="K83" i="209" s="1"/>
  <c r="K564" i="209"/>
  <c r="F44" i="213"/>
  <c r="Q83" i="209" s="1"/>
  <c r="K683" i="209"/>
  <c r="S536" i="246"/>
  <c r="H39" i="196"/>
  <c r="S37" i="209" s="1"/>
  <c r="M321" i="209"/>
  <c r="D14" i="15"/>
  <c r="E14" i="15" s="1"/>
  <c r="F14" i="15" s="1"/>
  <c r="G14" i="15" s="1"/>
  <c r="H43" i="10"/>
  <c r="M336" i="209"/>
  <c r="H39" i="214"/>
  <c r="S21" i="209" s="1"/>
  <c r="S293" i="209"/>
  <c r="G24" i="250"/>
  <c r="D32" i="250"/>
  <c r="F32" i="250"/>
  <c r="F24" i="250"/>
  <c r="D18" i="292" s="1"/>
  <c r="E28" i="250"/>
  <c r="E32" i="250"/>
  <c r="F28" i="250"/>
  <c r="G48" i="291"/>
  <c r="O20" i="290" s="1"/>
  <c r="S296" i="209"/>
  <c r="R14" i="340"/>
  <c r="T14" i="340" s="1"/>
  <c r="J384" i="209"/>
  <c r="H30" i="247"/>
  <c r="K15" i="292" s="1"/>
  <c r="F13" i="250"/>
  <c r="S327" i="246"/>
  <c r="F11" i="354"/>
  <c r="N26" i="354" s="1"/>
  <c r="F43" i="354" s="1"/>
  <c r="F47" i="354" s="1"/>
  <c r="H43" i="355"/>
  <c r="F14" i="91"/>
  <c r="F14" i="103" s="1"/>
  <c r="H47" i="146"/>
  <c r="S174" i="246" s="1"/>
  <c r="S338" i="209"/>
  <c r="S329" i="209"/>
  <c r="H37" i="176"/>
  <c r="S218" i="246" s="1"/>
  <c r="H39" i="7"/>
  <c r="S17" i="209" s="1"/>
  <c r="S310" i="209"/>
  <c r="H43" i="288"/>
  <c r="M336" i="246"/>
  <c r="H38" i="156"/>
  <c r="M11" i="246" s="1"/>
  <c r="H43" i="165"/>
  <c r="D24" i="250"/>
  <c r="D30" i="250"/>
  <c r="E30" i="250"/>
  <c r="D12" i="250"/>
  <c r="D14" i="250"/>
  <c r="D16" i="250"/>
  <c r="G26" i="250"/>
  <c r="D33" i="250"/>
  <c r="P25" i="247"/>
  <c r="L25" i="250"/>
  <c r="P25" i="250" s="1"/>
  <c r="E24" i="250"/>
  <c r="D28" i="250"/>
  <c r="M25" i="250"/>
  <c r="N25" i="250"/>
  <c r="G13" i="250"/>
  <c r="G15" i="250"/>
  <c r="G17" i="250"/>
  <c r="O25" i="250"/>
  <c r="G28" i="250"/>
  <c r="G30" i="250"/>
  <c r="S255" i="209"/>
  <c r="S259" i="246"/>
  <c r="S350" i="246"/>
  <c r="H43" i="166"/>
  <c r="H38" i="215"/>
  <c r="M26" i="209" s="1"/>
  <c r="S267" i="246"/>
  <c r="S341" i="246"/>
  <c r="M347" i="246"/>
  <c r="F14" i="250"/>
  <c r="F16" i="250"/>
  <c r="F23" i="250"/>
  <c r="C18" i="292" s="1"/>
  <c r="F27" i="250"/>
  <c r="F33" i="250"/>
  <c r="D13" i="250"/>
  <c r="D15" i="250"/>
  <c r="D17" i="250"/>
  <c r="G11" i="354"/>
  <c r="G45" i="354" s="1"/>
  <c r="M352" i="209"/>
  <c r="E14" i="250"/>
  <c r="E16" i="250"/>
  <c r="D23" i="250"/>
  <c r="D25" i="250"/>
  <c r="D27" i="250"/>
  <c r="D29" i="250"/>
  <c r="E27" i="250"/>
  <c r="E31" i="250"/>
  <c r="G14" i="250"/>
  <c r="G16" i="250"/>
  <c r="G25" i="250"/>
  <c r="G29" i="250"/>
  <c r="G31" i="250"/>
  <c r="G33" i="250"/>
  <c r="E23" i="250"/>
  <c r="O652" i="209"/>
  <c r="N15" i="292"/>
  <c r="P15" i="292" s="1"/>
  <c r="F12" i="250"/>
  <c r="N18" i="292" s="1"/>
  <c r="J504" i="209"/>
  <c r="E25" i="250"/>
  <c r="E29" i="250"/>
  <c r="E33" i="250"/>
  <c r="C24" i="250"/>
  <c r="C32" i="250"/>
  <c r="R684" i="209"/>
  <c r="G12" i="250"/>
  <c r="R721" i="209" s="1"/>
  <c r="G23" i="250"/>
  <c r="R324" i="209"/>
  <c r="F25" i="250"/>
  <c r="F29" i="250"/>
  <c r="F48" i="247"/>
  <c r="N20" i="213" s="1"/>
  <c r="F31" i="250"/>
  <c r="G18" i="292" s="1"/>
  <c r="C25" i="250"/>
  <c r="C33" i="250"/>
  <c r="G27" i="250"/>
  <c r="C26" i="250"/>
  <c r="E13" i="250"/>
  <c r="E15" i="250"/>
  <c r="E17" i="250"/>
  <c r="D26" i="250"/>
  <c r="C27" i="250"/>
  <c r="F15" i="250"/>
  <c r="F17" i="250"/>
  <c r="E26" i="250"/>
  <c r="C28" i="250"/>
  <c r="F15" i="292"/>
  <c r="F26" i="250"/>
  <c r="F18" i="292" s="1"/>
  <c r="E15" i="292"/>
  <c r="F30" i="250"/>
  <c r="C29" i="250"/>
  <c r="C30" i="250"/>
  <c r="P684" i="209"/>
  <c r="E12" i="250"/>
  <c r="P721" i="209" s="1"/>
  <c r="D31" i="250"/>
  <c r="D48" i="250" s="1"/>
  <c r="H28" i="291"/>
  <c r="H42" i="291" s="1"/>
  <c r="P14" i="290" s="1"/>
  <c r="C23" i="250"/>
  <c r="C31" i="250"/>
  <c r="H43" i="11"/>
  <c r="H43" i="293"/>
  <c r="H39" i="162"/>
  <c r="S28" i="209" s="1"/>
  <c r="K623" i="209"/>
  <c r="H23" i="248"/>
  <c r="I16" i="292" s="1"/>
  <c r="H30" i="248"/>
  <c r="K16" i="292" s="1"/>
  <c r="H23" i="291"/>
  <c r="H37" i="291" s="1"/>
  <c r="E15" i="104"/>
  <c r="H43" i="16"/>
  <c r="M345" i="246"/>
  <c r="M338" i="246"/>
  <c r="H28" i="248"/>
  <c r="H42" i="248" s="1"/>
  <c r="P14" i="221" s="1"/>
  <c r="H33" i="291"/>
  <c r="I384" i="209"/>
  <c r="H27" i="247"/>
  <c r="H41" i="247" s="1"/>
  <c r="M204" i="209" s="1"/>
  <c r="F45" i="334"/>
  <c r="K147" i="209" s="1"/>
  <c r="K687" i="209"/>
  <c r="K627" i="209"/>
  <c r="D11" i="353"/>
  <c r="O647" i="209" s="1"/>
  <c r="G11" i="9"/>
  <c r="L616" i="209" s="1"/>
  <c r="E11" i="334"/>
  <c r="J627" i="209" s="1"/>
  <c r="N26" i="334"/>
  <c r="F43" i="334" s="1"/>
  <c r="F47" i="334" s="1"/>
  <c r="Q147" i="209" s="1"/>
  <c r="Q627" i="209"/>
  <c r="G11" i="353"/>
  <c r="G46" i="353" s="1"/>
  <c r="F11" i="353"/>
  <c r="K647" i="209" s="1"/>
  <c r="D11" i="9"/>
  <c r="D44" i="9" s="1"/>
  <c r="O76" i="209" s="1"/>
  <c r="N20" i="241"/>
  <c r="R384" i="209"/>
  <c r="R537" i="209"/>
  <c r="I417" i="209"/>
  <c r="R504" i="209"/>
  <c r="M20" i="241"/>
  <c r="K537" i="209"/>
  <c r="Q477" i="209"/>
  <c r="Q717" i="209"/>
  <c r="H24" i="248"/>
  <c r="J16" i="292" s="1"/>
  <c r="I477" i="209"/>
  <c r="O537" i="209"/>
  <c r="H43" i="221"/>
  <c r="I597" i="209"/>
  <c r="Q564" i="209"/>
  <c r="L384" i="209"/>
  <c r="L324" i="209"/>
  <c r="M323" i="209"/>
  <c r="H24" i="247"/>
  <c r="J15" i="292" s="1"/>
  <c r="AA16" i="292"/>
  <c r="H31" i="247"/>
  <c r="H45" i="247" s="1"/>
  <c r="P17" i="105" s="1"/>
  <c r="H33" i="247"/>
  <c r="H47" i="290"/>
  <c r="H26" i="291"/>
  <c r="H40" i="291" s="1"/>
  <c r="P12" i="288" s="1"/>
  <c r="Q417" i="209"/>
  <c r="L477" i="209"/>
  <c r="D48" i="248"/>
  <c r="L20" i="364" s="1"/>
  <c r="H25" i="248"/>
  <c r="S357" i="209" s="1"/>
  <c r="O417" i="209"/>
  <c r="S417" i="209" s="1"/>
  <c r="R297" i="209"/>
  <c r="K477" i="209"/>
  <c r="C16" i="292"/>
  <c r="Q537" i="209"/>
  <c r="N20" i="220"/>
  <c r="N20" i="364"/>
  <c r="D48" i="247"/>
  <c r="L20" i="213" s="1"/>
  <c r="Q504" i="209"/>
  <c r="J564" i="209"/>
  <c r="K444" i="209"/>
  <c r="E48" i="247"/>
  <c r="M20" i="105" s="1"/>
  <c r="K384" i="209"/>
  <c r="R444" i="209"/>
  <c r="I504" i="209"/>
  <c r="M504" i="209" s="1"/>
  <c r="I444" i="209"/>
  <c r="O564" i="209"/>
  <c r="O384" i="209"/>
  <c r="Q384" i="209"/>
  <c r="O264" i="209"/>
  <c r="O324" i="209"/>
  <c r="O504" i="209"/>
  <c r="H25" i="247"/>
  <c r="H39" i="247" s="1"/>
  <c r="P11" i="213" s="1"/>
  <c r="I564" i="209"/>
  <c r="M564" i="209" s="1"/>
  <c r="S274" i="209"/>
  <c r="M342" i="246"/>
  <c r="S261" i="209"/>
  <c r="M329" i="246"/>
  <c r="E44" i="188"/>
  <c r="P106" i="246" s="1"/>
  <c r="P564" i="209"/>
  <c r="H39" i="95"/>
  <c r="S36" i="246" s="1"/>
  <c r="M327" i="246"/>
  <c r="R264" i="209"/>
  <c r="Q357" i="209"/>
  <c r="H26" i="248"/>
  <c r="H40" i="248" s="1"/>
  <c r="P12" i="220" s="1"/>
  <c r="J597" i="209"/>
  <c r="F48" i="291"/>
  <c r="N20" i="288" s="1"/>
  <c r="J13" i="142"/>
  <c r="X36" i="142" s="1"/>
  <c r="S252" i="209"/>
  <c r="S262" i="246"/>
  <c r="S708" i="246"/>
  <c r="S275" i="209"/>
  <c r="H43" i="13"/>
  <c r="M341" i="246"/>
  <c r="E16" i="231"/>
  <c r="P25" i="223"/>
  <c r="E46" i="191"/>
  <c r="P657" i="246"/>
  <c r="E44" i="191"/>
  <c r="P99" i="246" s="1"/>
  <c r="J719" i="246"/>
  <c r="E45" i="191"/>
  <c r="J161" i="246" s="1"/>
  <c r="J657" i="246"/>
  <c r="H39" i="97"/>
  <c r="S27" i="246" s="1"/>
  <c r="D46" i="183"/>
  <c r="I735" i="246"/>
  <c r="H46" i="291"/>
  <c r="P18" i="289" s="1"/>
  <c r="T11" i="37"/>
  <c r="S341" i="209"/>
  <c r="D48" i="291"/>
  <c r="L20" i="290" s="1"/>
  <c r="N12" i="142"/>
  <c r="R12" i="142" s="1"/>
  <c r="R13" i="142" s="1"/>
  <c r="P324" i="209"/>
  <c r="T14" i="161"/>
  <c r="H32" i="291"/>
  <c r="M361" i="246"/>
  <c r="C15" i="292"/>
  <c r="P357" i="209"/>
  <c r="N29" i="34"/>
  <c r="M26" i="213"/>
  <c r="E43" i="213" s="1"/>
  <c r="E47" i="213" s="1"/>
  <c r="P143" i="209" s="1"/>
  <c r="J683" i="209"/>
  <c r="N20" i="129"/>
  <c r="H31" i="291"/>
  <c r="H45" i="291" s="1"/>
  <c r="P17" i="289" s="1"/>
  <c r="Q684" i="209"/>
  <c r="S340" i="246"/>
  <c r="H38" i="105"/>
  <c r="M22" i="209" s="1"/>
  <c r="P623" i="209"/>
  <c r="E45" i="213"/>
  <c r="J143" i="209" s="1"/>
  <c r="Q444" i="209"/>
  <c r="Q324" i="209"/>
  <c r="P537" i="209"/>
  <c r="E44" i="213"/>
  <c r="P83" i="209" s="1"/>
  <c r="E48" i="248"/>
  <c r="H43" i="7"/>
  <c r="M359" i="246"/>
  <c r="H43" i="195"/>
  <c r="S253" i="209"/>
  <c r="K649" i="246"/>
  <c r="D11" i="271"/>
  <c r="I649" i="246" s="1"/>
  <c r="S363" i="246"/>
  <c r="S362" i="246"/>
  <c r="H47" i="360"/>
  <c r="H43" i="354"/>
  <c r="S298" i="246"/>
  <c r="Q667" i="246"/>
  <c r="E11" i="271"/>
  <c r="E45" i="271" s="1"/>
  <c r="J153" i="246" s="1"/>
  <c r="E11" i="39"/>
  <c r="F45" i="137"/>
  <c r="K171" i="246" s="1"/>
  <c r="K729" i="246"/>
  <c r="G11" i="271"/>
  <c r="G45" i="271" s="1"/>
  <c r="L153" i="246" s="1"/>
  <c r="F11" i="39"/>
  <c r="S323" i="246"/>
  <c r="S279" i="246"/>
  <c r="H43" i="99"/>
  <c r="H38" i="97"/>
  <c r="M27" i="246" s="1"/>
  <c r="S328" i="246"/>
  <c r="H43" i="14"/>
  <c r="F14" i="139"/>
  <c r="F14" i="223" s="1"/>
  <c r="E11" i="354"/>
  <c r="E46" i="354" s="1"/>
  <c r="M354" i="209"/>
  <c r="H43" i="289"/>
  <c r="S382" i="209"/>
  <c r="S250" i="209"/>
  <c r="S327" i="209"/>
  <c r="G29" i="171"/>
  <c r="H38" i="162"/>
  <c r="M28" i="209" s="1"/>
  <c r="M622" i="209"/>
  <c r="M352" i="246"/>
  <c r="F14" i="178"/>
  <c r="F14" i="225" s="1"/>
  <c r="S322" i="209"/>
  <c r="S269" i="209"/>
  <c r="S316" i="209"/>
  <c r="S251" i="209"/>
  <c r="R29" i="34"/>
  <c r="D14" i="9" s="1"/>
  <c r="E14" i="9" s="1"/>
  <c r="F14" i="9" s="1"/>
  <c r="G14" i="9" s="1"/>
  <c r="T21" i="34"/>
  <c r="H43" i="347"/>
  <c r="H38" i="15"/>
  <c r="M9" i="209" s="1"/>
  <c r="S353" i="246"/>
  <c r="S321" i="246"/>
  <c r="M296" i="209"/>
  <c r="H39" i="220"/>
  <c r="S54" i="209" s="1"/>
  <c r="S351" i="246"/>
  <c r="M476" i="209"/>
  <c r="H47" i="325"/>
  <c r="E48" i="326"/>
  <c r="M20" i="324" s="1"/>
  <c r="M507" i="246"/>
  <c r="G13" i="171"/>
  <c r="F33" i="171"/>
  <c r="H47" i="125"/>
  <c r="S133" i="209" s="1"/>
  <c r="M340" i="209"/>
  <c r="G46" i="194"/>
  <c r="H43" i="337"/>
  <c r="N26" i="196"/>
  <c r="F43" i="196" s="1"/>
  <c r="F47" i="196" s="1"/>
  <c r="Q157" i="209" s="1"/>
  <c r="S339" i="209"/>
  <c r="N26" i="101"/>
  <c r="F43" i="101" s="1"/>
  <c r="F47" i="101" s="1"/>
  <c r="Q155" i="246" s="1"/>
  <c r="H37" i="337"/>
  <c r="S220" i="209" s="1"/>
  <c r="M328" i="246"/>
  <c r="S344" i="209"/>
  <c r="D17" i="171"/>
  <c r="E11" i="324"/>
  <c r="N122" i="294" s="1"/>
  <c r="D75" i="246"/>
  <c r="D137" i="246" s="1"/>
  <c r="D199" i="246" s="1"/>
  <c r="D261" i="246" s="1"/>
  <c r="D323" i="246" s="1"/>
  <c r="D385" i="246" s="1"/>
  <c r="D447" i="246" s="1"/>
  <c r="D509" i="246" s="1"/>
  <c r="D571" i="246" s="1"/>
  <c r="D633" i="246" s="1"/>
  <c r="D695" i="246" s="1"/>
  <c r="D757" i="246" s="1"/>
  <c r="D12" i="309"/>
  <c r="G11" i="324"/>
  <c r="G44" i="324" s="1"/>
  <c r="U27" i="294" s="1"/>
  <c r="S607" i="246"/>
  <c r="E14" i="123"/>
  <c r="H43" i="189"/>
  <c r="S268" i="246"/>
  <c r="S294" i="246"/>
  <c r="H37" i="139"/>
  <c r="S207" i="246" s="1"/>
  <c r="H47" i="353"/>
  <c r="S167" i="209" s="1"/>
  <c r="M615" i="209"/>
  <c r="H43" i="9"/>
  <c r="H43" i="39"/>
  <c r="S249" i="209"/>
  <c r="S315" i="209"/>
  <c r="S281" i="209"/>
  <c r="H43" i="15"/>
  <c r="M314" i="209"/>
  <c r="R257" i="246"/>
  <c r="D70" i="246"/>
  <c r="D132" i="246" s="1"/>
  <c r="D194" i="246" s="1"/>
  <c r="D256" i="246" s="1"/>
  <c r="D318" i="246" s="1"/>
  <c r="D380" i="246" s="1"/>
  <c r="D442" i="246" s="1"/>
  <c r="D504" i="246" s="1"/>
  <c r="D566" i="246" s="1"/>
  <c r="D628" i="246" s="1"/>
  <c r="D690" i="246" s="1"/>
  <c r="D752" i="246" s="1"/>
  <c r="F46" i="288"/>
  <c r="D11" i="324"/>
  <c r="D18" i="324" s="1"/>
  <c r="R122" i="294" s="1"/>
  <c r="E11" i="202"/>
  <c r="E45" i="202" s="1"/>
  <c r="J143" i="246" s="1"/>
  <c r="G11" i="202"/>
  <c r="O26" i="202" s="1"/>
  <c r="G43" i="202" s="1"/>
  <c r="G47" i="202" s="1"/>
  <c r="R143" i="246" s="1"/>
  <c r="E33" i="171"/>
  <c r="E33" i="84"/>
  <c r="E11" i="359"/>
  <c r="J646" i="246" s="1"/>
  <c r="N26" i="202"/>
  <c r="F43" i="202" s="1"/>
  <c r="F47" i="202" s="1"/>
  <c r="Q143" i="246" s="1"/>
  <c r="F45" i="202"/>
  <c r="K143" i="246" s="1"/>
  <c r="D11" i="202"/>
  <c r="I701" i="246" s="1"/>
  <c r="S263" i="209"/>
  <c r="E14" i="212"/>
  <c r="E14" i="228" s="1"/>
  <c r="G14" i="162"/>
  <c r="G14" i="212" s="1"/>
  <c r="F14" i="212"/>
  <c r="G15" i="178"/>
  <c r="G15" i="225" s="1"/>
  <c r="F15" i="225"/>
  <c r="U12" i="246"/>
  <c r="U74" i="246" s="1"/>
  <c r="U136" i="246" s="1"/>
  <c r="U198" i="246" s="1"/>
  <c r="U260" i="246" s="1"/>
  <c r="U322" i="246" s="1"/>
  <c r="U384" i="246" s="1"/>
  <c r="U446" i="246" s="1"/>
  <c r="U508" i="246" s="1"/>
  <c r="U570" i="246" s="1"/>
  <c r="U632" i="246" s="1"/>
  <c r="U694" i="246" s="1"/>
  <c r="H25" i="326"/>
  <c r="H39" i="326" s="1"/>
  <c r="P11" i="324" s="1"/>
  <c r="F15" i="162"/>
  <c r="E15" i="212"/>
  <c r="E16" i="173"/>
  <c r="S293" i="246"/>
  <c r="M354" i="246"/>
  <c r="H43" i="194"/>
  <c r="F202" i="209"/>
  <c r="M515" i="209"/>
  <c r="M529" i="209"/>
  <c r="M532" i="209"/>
  <c r="S698" i="209"/>
  <c r="M375" i="209"/>
  <c r="M594" i="209"/>
  <c r="M567" i="209"/>
  <c r="S549" i="209"/>
  <c r="M553" i="209"/>
  <c r="M558" i="209"/>
  <c r="S438" i="209"/>
  <c r="V104" i="209"/>
  <c r="V164" i="209"/>
  <c r="U40" i="209"/>
  <c r="U100" i="209" s="1"/>
  <c r="U160" i="209" s="1"/>
  <c r="U220" i="209" s="1"/>
  <c r="U280" i="209" s="1"/>
  <c r="U340" i="209" s="1"/>
  <c r="U400" i="209" s="1"/>
  <c r="U460" i="209" s="1"/>
  <c r="U520" i="209" s="1"/>
  <c r="U580" i="209" s="1"/>
  <c r="U640" i="209" s="1"/>
  <c r="U700" i="209" s="1"/>
  <c r="U760" i="209" s="1"/>
  <c r="M464" i="209"/>
  <c r="M579" i="209"/>
  <c r="M489" i="209"/>
  <c r="J19" i="340"/>
  <c r="J26" i="340" s="1"/>
  <c r="L743" i="209"/>
  <c r="M509" i="246"/>
  <c r="I65" i="164"/>
  <c r="M547" i="246"/>
  <c r="M356" i="246"/>
  <c r="M331" i="246"/>
  <c r="H47" i="333"/>
  <c r="M369" i="246"/>
  <c r="D18" i="191"/>
  <c r="D42" i="191" s="1"/>
  <c r="I285" i="246" s="1"/>
  <c r="M312" i="209"/>
  <c r="H47" i="6"/>
  <c r="S138" i="209" s="1"/>
  <c r="M315" i="209"/>
  <c r="S314" i="209"/>
  <c r="S369" i="246"/>
  <c r="H43" i="156"/>
  <c r="F28" i="171"/>
  <c r="G31" i="171"/>
  <c r="C27" i="84"/>
  <c r="J13" i="164"/>
  <c r="J20" i="164" s="1"/>
  <c r="J33" i="164" s="1"/>
  <c r="L36" i="209" s="1"/>
  <c r="M539" i="246"/>
  <c r="H29" i="326"/>
  <c r="H47" i="326" s="1"/>
  <c r="M584" i="246"/>
  <c r="M370" i="209"/>
  <c r="M378" i="209"/>
  <c r="S429" i="209"/>
  <c r="M441" i="209"/>
  <c r="S442" i="209"/>
  <c r="M443" i="209"/>
  <c r="S507" i="209"/>
  <c r="S509" i="209"/>
  <c r="M533" i="209"/>
  <c r="S534" i="209"/>
  <c r="M536" i="209"/>
  <c r="M552" i="209"/>
  <c r="M555" i="209"/>
  <c r="H26" i="326"/>
  <c r="H40" i="326" s="1"/>
  <c r="P12" i="325" s="1"/>
  <c r="M526" i="209"/>
  <c r="C30" i="228"/>
  <c r="J17" i="28"/>
  <c r="M514" i="209"/>
  <c r="M518" i="209"/>
  <c r="S279" i="209"/>
  <c r="I719" i="246"/>
  <c r="D46" i="191"/>
  <c r="D45" i="191"/>
  <c r="I161" i="246" s="1"/>
  <c r="O657" i="246"/>
  <c r="L26" i="191"/>
  <c r="D43" i="191" s="1"/>
  <c r="D47" i="191" s="1"/>
  <c r="O161" i="246" s="1"/>
  <c r="I657" i="246"/>
  <c r="Q650" i="246"/>
  <c r="E48" i="361"/>
  <c r="M20" i="296" s="1"/>
  <c r="F11" i="362"/>
  <c r="F18" i="362" s="1"/>
  <c r="F39" i="362" s="1"/>
  <c r="O38" i="294" s="1"/>
  <c r="D11" i="362"/>
  <c r="M133" i="294" s="1"/>
  <c r="E11" i="362"/>
  <c r="E44" i="362" s="1"/>
  <c r="S38" i="294" s="1"/>
  <c r="J717" i="246"/>
  <c r="M414" i="209"/>
  <c r="M473" i="209"/>
  <c r="S474" i="209"/>
  <c r="M502" i="209"/>
  <c r="E48" i="103"/>
  <c r="M20" i="91" s="1"/>
  <c r="M460" i="209"/>
  <c r="M466" i="209"/>
  <c r="M472" i="209"/>
  <c r="S495" i="209"/>
  <c r="M561" i="209"/>
  <c r="S593" i="209"/>
  <c r="S596" i="209"/>
  <c r="D14" i="6"/>
  <c r="E14" i="6" s="1"/>
  <c r="F14" i="6" s="1"/>
  <c r="G14" i="6" s="1"/>
  <c r="J25" i="37"/>
  <c r="N23" i="326"/>
  <c r="M474" i="209"/>
  <c r="H33" i="326"/>
  <c r="S472" i="209"/>
  <c r="M490" i="209"/>
  <c r="M492" i="209"/>
  <c r="J12" i="36"/>
  <c r="N24" i="37"/>
  <c r="J13" i="37"/>
  <c r="J16" i="29"/>
  <c r="X55" i="29" s="1"/>
  <c r="K550" i="246"/>
  <c r="F11" i="347"/>
  <c r="F45" i="196"/>
  <c r="K157" i="209" s="1"/>
  <c r="D44" i="347"/>
  <c r="O112" i="209" s="1"/>
  <c r="G11" i="356"/>
  <c r="O26" i="356" s="1"/>
  <c r="R766" i="209" s="1"/>
  <c r="O646" i="209"/>
  <c r="D11" i="289"/>
  <c r="L26" i="289" s="1"/>
  <c r="D43" i="289" s="1"/>
  <c r="D47" i="289" s="1"/>
  <c r="R50" i="294" s="1"/>
  <c r="F11" i="356"/>
  <c r="F46" i="356" s="1"/>
  <c r="E11" i="356"/>
  <c r="J646" i="209" s="1"/>
  <c r="L26" i="356"/>
  <c r="D43" i="356" s="1"/>
  <c r="D47" i="356" s="1"/>
  <c r="O166" i="209" s="1"/>
  <c r="D46" i="356"/>
  <c r="D45" i="356"/>
  <c r="I166" i="209" s="1"/>
  <c r="D18" i="356"/>
  <c r="D39" i="356" s="1"/>
  <c r="O46" i="209" s="1"/>
  <c r="D44" i="356"/>
  <c r="O106" i="209" s="1"/>
  <c r="I646" i="209"/>
  <c r="P23" i="44"/>
  <c r="M23" i="291"/>
  <c r="H30" i="326"/>
  <c r="K12" i="292" s="1"/>
  <c r="N23" i="330"/>
  <c r="H35" i="190"/>
  <c r="G21" i="247"/>
  <c r="J31" i="164"/>
  <c r="O23" i="172"/>
  <c r="F21" i="160"/>
  <c r="N23" i="160" s="1"/>
  <c r="H7" i="97"/>
  <c r="P23" i="248"/>
  <c r="H21" i="248"/>
  <c r="F13" i="84"/>
  <c r="G48" i="103"/>
  <c r="O20" i="91" s="1"/>
  <c r="X53" i="70"/>
  <c r="K324" i="209"/>
  <c r="M334" i="209"/>
  <c r="S394" i="209"/>
  <c r="H47" i="324"/>
  <c r="H43" i="190"/>
  <c r="E11" i="4"/>
  <c r="M26" i="4" s="1"/>
  <c r="E43" i="4" s="1"/>
  <c r="E47" i="4" s="1"/>
  <c r="P131" i="209" s="1"/>
  <c r="E11" i="9"/>
  <c r="M26" i="9" s="1"/>
  <c r="P736" i="209" s="1"/>
  <c r="M25" i="228"/>
  <c r="D28" i="171"/>
  <c r="G11" i="359"/>
  <c r="G18" i="359" s="1"/>
  <c r="G39" i="359" s="1"/>
  <c r="R26" i="246" s="1"/>
  <c r="D11" i="359"/>
  <c r="I708" i="246" s="1"/>
  <c r="F44" i="137"/>
  <c r="Q109" i="246" s="1"/>
  <c r="Q701" i="209"/>
  <c r="F26" i="171"/>
  <c r="F46" i="137"/>
  <c r="D88" i="246"/>
  <c r="D150" i="246" s="1"/>
  <c r="D212" i="246" s="1"/>
  <c r="D274" i="246" s="1"/>
  <c r="D336" i="246" s="1"/>
  <c r="D398" i="246" s="1"/>
  <c r="D460" i="246" s="1"/>
  <c r="D522" i="246" s="1"/>
  <c r="D584" i="246" s="1"/>
  <c r="D646" i="246" s="1"/>
  <c r="D708" i="246" s="1"/>
  <c r="D770" i="246" s="1"/>
  <c r="N26" i="359"/>
  <c r="F43" i="359" s="1"/>
  <c r="F47" i="359" s="1"/>
  <c r="Q150" i="246" s="1"/>
  <c r="P668" i="209"/>
  <c r="E11" i="97"/>
  <c r="P647" i="246" s="1"/>
  <c r="F23" i="84"/>
  <c r="C28" i="292" s="1"/>
  <c r="G42" i="213"/>
  <c r="L263" i="209" s="1"/>
  <c r="N23" i="248"/>
  <c r="F21" i="333"/>
  <c r="N23" i="333" s="1"/>
  <c r="G39" i="213"/>
  <c r="R23" i="209" s="1"/>
  <c r="T18" i="27"/>
  <c r="S283" i="246"/>
  <c r="M344" i="209"/>
  <c r="M491" i="209"/>
  <c r="E33" i="228"/>
  <c r="G37" i="213"/>
  <c r="R203" i="209" s="1"/>
  <c r="N23" i="44"/>
  <c r="G38" i="213"/>
  <c r="L23" i="209" s="1"/>
  <c r="D45" i="347"/>
  <c r="I172" i="209" s="1"/>
  <c r="H43" i="220"/>
  <c r="S336" i="209"/>
  <c r="F7" i="353"/>
  <c r="O23" i="291"/>
  <c r="M7" i="6"/>
  <c r="I24" i="164"/>
  <c r="E21" i="171"/>
  <c r="P23" i="226"/>
  <c r="G41" i="213"/>
  <c r="L203" i="209" s="1"/>
  <c r="F15" i="313"/>
  <c r="F18" i="313" s="1"/>
  <c r="H43" i="151"/>
  <c r="S334" i="209"/>
  <c r="M610" i="209"/>
  <c r="G16" i="184"/>
  <c r="M540" i="246"/>
  <c r="H43" i="160"/>
  <c r="M350" i="246"/>
  <c r="D31" i="231"/>
  <c r="S278" i="209"/>
  <c r="M372" i="209"/>
  <c r="S432" i="209"/>
  <c r="M371" i="209"/>
  <c r="K646" i="246"/>
  <c r="H43" i="307"/>
  <c r="H29" i="308"/>
  <c r="H43" i="308" s="1"/>
  <c r="P15" i="307" s="1"/>
  <c r="H43" i="95"/>
  <c r="H47" i="192"/>
  <c r="S136" i="246" s="1"/>
  <c r="S260" i="246"/>
  <c r="S277" i="246"/>
  <c r="M525" i="246"/>
  <c r="S525" i="246"/>
  <c r="S276" i="246"/>
  <c r="U27" i="209"/>
  <c r="U87" i="209" s="1"/>
  <c r="U147" i="209" s="1"/>
  <c r="U207" i="209" s="1"/>
  <c r="U267" i="209" s="1"/>
  <c r="U327" i="209" s="1"/>
  <c r="U387" i="209" s="1"/>
  <c r="U447" i="209" s="1"/>
  <c r="U507" i="209" s="1"/>
  <c r="U567" i="209" s="1"/>
  <c r="U627" i="209" s="1"/>
  <c r="U687" i="209" s="1"/>
  <c r="U747" i="209" s="1"/>
  <c r="F45" i="288"/>
  <c r="O49" i="294" s="1"/>
  <c r="F44" i="288"/>
  <c r="T30" i="294" s="1"/>
  <c r="D107" i="209"/>
  <c r="D167" i="209" s="1"/>
  <c r="D227" i="209" s="1"/>
  <c r="D287" i="209" s="1"/>
  <c r="D347" i="209" s="1"/>
  <c r="D407" i="209" s="1"/>
  <c r="D467" i="209" s="1"/>
  <c r="D527" i="209" s="1"/>
  <c r="D587" i="209" s="1"/>
  <c r="D647" i="209" s="1"/>
  <c r="D707" i="209" s="1"/>
  <c r="D767" i="209" s="1"/>
  <c r="E12" i="309"/>
  <c r="D11" i="337"/>
  <c r="L26" i="337" s="1"/>
  <c r="D43" i="337" s="1"/>
  <c r="D47" i="337" s="1"/>
  <c r="O160" i="209" s="1"/>
  <c r="O125" i="294"/>
  <c r="E11" i="288"/>
  <c r="E45" i="288" s="1"/>
  <c r="N49" i="294" s="1"/>
  <c r="F442" i="209"/>
  <c r="F46" i="123"/>
  <c r="G11" i="288"/>
  <c r="G45" i="288" s="1"/>
  <c r="P49" i="294" s="1"/>
  <c r="D11" i="288"/>
  <c r="L26" i="288" s="1"/>
  <c r="Q635" i="209"/>
  <c r="F83" i="209"/>
  <c r="P343" i="246"/>
  <c r="F683" i="209"/>
  <c r="N26" i="288"/>
  <c r="F43" i="288" s="1"/>
  <c r="F47" i="288" s="1"/>
  <c r="T49" i="294" s="1"/>
  <c r="F11" i="337"/>
  <c r="F44" i="337" s="1"/>
  <c r="Q100" i="209" s="1"/>
  <c r="D17" i="184"/>
  <c r="E21" i="248"/>
  <c r="H21" i="361"/>
  <c r="O23" i="18"/>
  <c r="E35" i="58"/>
  <c r="H21" i="291"/>
  <c r="H21" i="250"/>
  <c r="I58" i="164"/>
  <c r="J24" i="164"/>
  <c r="G21" i="361"/>
  <c r="E35" i="226"/>
  <c r="E7" i="187"/>
  <c r="J31" i="33"/>
  <c r="J32" i="33" s="1"/>
  <c r="J36" i="33" s="1"/>
  <c r="J40" i="33" s="1"/>
  <c r="N31" i="34"/>
  <c r="K24" i="164"/>
  <c r="F21" i="326"/>
  <c r="G35" i="291"/>
  <c r="K43" i="164"/>
  <c r="F21" i="172"/>
  <c r="C29" i="328"/>
  <c r="H21" i="309"/>
  <c r="E21" i="326"/>
  <c r="E21" i="18"/>
  <c r="F21" i="291"/>
  <c r="E35" i="250"/>
  <c r="J43" i="164"/>
  <c r="H24" i="164"/>
  <c r="M23" i="185"/>
  <c r="E35" i="361"/>
  <c r="G21" i="223"/>
  <c r="G35" i="309"/>
  <c r="U39" i="209"/>
  <c r="U99" i="209" s="1"/>
  <c r="U159" i="209" s="1"/>
  <c r="U219" i="209" s="1"/>
  <c r="U279" i="209" s="1"/>
  <c r="U339" i="209" s="1"/>
  <c r="U399" i="209" s="1"/>
  <c r="U459" i="209" s="1"/>
  <c r="U519" i="209" s="1"/>
  <c r="U579" i="209" s="1"/>
  <c r="U639" i="209" s="1"/>
  <c r="U699" i="209" s="1"/>
  <c r="U759" i="209" s="1"/>
  <c r="D17" i="84"/>
  <c r="G21" i="58"/>
  <c r="J58" i="164"/>
  <c r="G21" i="186"/>
  <c r="G21" i="226"/>
  <c r="G35" i="18"/>
  <c r="H21" i="308"/>
  <c r="E21" i="291"/>
  <c r="F21" i="223"/>
  <c r="H21" i="225"/>
  <c r="T16" i="27"/>
  <c r="H35" i="104"/>
  <c r="K65" i="164"/>
  <c r="I43" i="164"/>
  <c r="K9" i="164"/>
  <c r="H21" i="185"/>
  <c r="F35" i="104"/>
  <c r="H21" i="330"/>
  <c r="H35" i="247"/>
  <c r="J65" i="164"/>
  <c r="H43" i="164"/>
  <c r="I9" i="164"/>
  <c r="G21" i="185"/>
  <c r="E21" i="308"/>
  <c r="H35" i="84"/>
  <c r="F35" i="171"/>
  <c r="E35" i="309"/>
  <c r="M434" i="209"/>
  <c r="S506" i="209"/>
  <c r="M566" i="209"/>
  <c r="F28" i="84"/>
  <c r="G21" i="44"/>
  <c r="E21" i="330"/>
  <c r="F21" i="247"/>
  <c r="G21" i="248"/>
  <c r="K58" i="164"/>
  <c r="I31" i="164"/>
  <c r="H21" i="186"/>
  <c r="G35" i="184"/>
  <c r="F35" i="103"/>
  <c r="E21" i="84"/>
  <c r="H21" i="226"/>
  <c r="H21" i="212"/>
  <c r="F562" i="209"/>
  <c r="M382" i="209"/>
  <c r="M406" i="209"/>
  <c r="M447" i="209"/>
  <c r="M449" i="209"/>
  <c r="S469" i="209"/>
  <c r="S466" i="209"/>
  <c r="M498" i="209"/>
  <c r="M503" i="209"/>
  <c r="M596" i="209"/>
  <c r="Q597" i="209"/>
  <c r="P16" i="241"/>
  <c r="H21" i="172"/>
  <c r="F45" i="359"/>
  <c r="K150" i="246" s="1"/>
  <c r="F18" i="359"/>
  <c r="F40" i="359" s="1"/>
  <c r="K88" i="246" s="1"/>
  <c r="Q646" i="246"/>
  <c r="K708" i="246"/>
  <c r="F44" i="359"/>
  <c r="Q88" i="246" s="1"/>
  <c r="H25" i="308"/>
  <c r="H39" i="308" s="1"/>
  <c r="S60" i="246" s="1"/>
  <c r="H43" i="191"/>
  <c r="S345" i="246"/>
  <c r="I591" i="246"/>
  <c r="I529" i="246"/>
  <c r="D48" i="104"/>
  <c r="L20" i="359" s="1"/>
  <c r="O405" i="246"/>
  <c r="S278" i="246"/>
  <c r="S339" i="246"/>
  <c r="K711" i="246"/>
  <c r="S275" i="246"/>
  <c r="O25" i="84"/>
  <c r="F16" i="84"/>
  <c r="D13" i="84"/>
  <c r="H43" i="72"/>
  <c r="M548" i="246"/>
  <c r="F33" i="173"/>
  <c r="S448" i="209"/>
  <c r="S508" i="209"/>
  <c r="G11" i="79"/>
  <c r="L639" i="209" s="1"/>
  <c r="J655" i="246"/>
  <c r="C24" i="328"/>
  <c r="D11" i="315"/>
  <c r="D45" i="315" s="1"/>
  <c r="W33" i="315" s="1"/>
  <c r="H23" i="223"/>
  <c r="H37" i="223" s="1"/>
  <c r="S208" i="246" s="1"/>
  <c r="C28" i="328"/>
  <c r="D11" i="279"/>
  <c r="D44" i="279" s="1"/>
  <c r="O97" i="246" s="1"/>
  <c r="G11" i="10"/>
  <c r="L675" i="209" s="1"/>
  <c r="H27" i="326"/>
  <c r="H41" i="326" s="1"/>
  <c r="P13" i="325" s="1"/>
  <c r="M578" i="209"/>
  <c r="M338" i="209"/>
  <c r="M458" i="209"/>
  <c r="M339" i="209"/>
  <c r="S700" i="209"/>
  <c r="M556" i="209"/>
  <c r="S375" i="209"/>
  <c r="H47" i="362"/>
  <c r="I673" i="246"/>
  <c r="D45" i="183"/>
  <c r="I177" i="246" s="1"/>
  <c r="O673" i="246"/>
  <c r="H43" i="270"/>
  <c r="S358" i="246"/>
  <c r="S357" i="246"/>
  <c r="S356" i="246"/>
  <c r="J726" i="246"/>
  <c r="E46" i="188"/>
  <c r="P664" i="246"/>
  <c r="J664" i="246"/>
  <c r="G44" i="194"/>
  <c r="R102" i="246" s="1"/>
  <c r="H43" i="139"/>
  <c r="L456" i="246"/>
  <c r="R394" i="246"/>
  <c r="L580" i="246"/>
  <c r="R580" i="246"/>
  <c r="G48" i="223"/>
  <c r="D12" i="231"/>
  <c r="O746" i="246" s="1"/>
  <c r="H43" i="315"/>
  <c r="M408" i="209"/>
  <c r="S468" i="209"/>
  <c r="M527" i="209"/>
  <c r="J707" i="209"/>
  <c r="M26" i="353"/>
  <c r="E43" i="353" s="1"/>
  <c r="E47" i="353" s="1"/>
  <c r="P167" i="209" s="1"/>
  <c r="S345" i="209"/>
  <c r="F28" i="228"/>
  <c r="E31" i="228"/>
  <c r="H29" i="225"/>
  <c r="H47" i="225" s="1"/>
  <c r="P19" i="356" s="1"/>
  <c r="K350" i="209"/>
  <c r="F16" i="228"/>
  <c r="H43" i="162"/>
  <c r="C30" i="173"/>
  <c r="G30" i="228"/>
  <c r="H43" i="215"/>
  <c r="S266" i="209"/>
  <c r="D11" i="118"/>
  <c r="D46" i="118" s="1"/>
  <c r="G11" i="97"/>
  <c r="G44" i="97" s="1"/>
  <c r="R89" i="246" s="1"/>
  <c r="D16" i="173"/>
  <c r="Q343" i="246"/>
  <c r="L26" i="347"/>
  <c r="D43" i="347" s="1"/>
  <c r="D47" i="347" s="1"/>
  <c r="O172" i="209" s="1"/>
  <c r="F44" i="118"/>
  <c r="Q92" i="246" s="1"/>
  <c r="D11" i="101"/>
  <c r="O651" i="246" s="1"/>
  <c r="I712" i="209"/>
  <c r="G11" i="347"/>
  <c r="F11" i="97"/>
  <c r="F45" i="97" s="1"/>
  <c r="K151" i="246" s="1"/>
  <c r="D11" i="6"/>
  <c r="D45" i="6" s="1"/>
  <c r="I138" i="209" s="1"/>
  <c r="G11" i="333"/>
  <c r="G44" i="333" s="1"/>
  <c r="U42" i="294" s="1"/>
  <c r="R641" i="246"/>
  <c r="D46" i="347"/>
  <c r="F11" i="333"/>
  <c r="N26" i="333" s="1"/>
  <c r="F43" i="333" s="1"/>
  <c r="F47" i="333" s="1"/>
  <c r="T61" i="294" s="1"/>
  <c r="E11" i="347"/>
  <c r="D30" i="184"/>
  <c r="O621" i="246" s="1"/>
  <c r="P18" i="190"/>
  <c r="Q472" i="246"/>
  <c r="D18" i="347"/>
  <c r="I652" i="209"/>
  <c r="E11" i="118"/>
  <c r="J712" i="246" s="1"/>
  <c r="E11" i="333"/>
  <c r="E44" i="333" s="1"/>
  <c r="S42" i="294" s="1"/>
  <c r="U20" i="246"/>
  <c r="U82" i="246" s="1"/>
  <c r="U144" i="246" s="1"/>
  <c r="U206" i="246" s="1"/>
  <c r="U268" i="246" s="1"/>
  <c r="U330" i="246" s="1"/>
  <c r="U392" i="246" s="1"/>
  <c r="U454" i="246" s="1"/>
  <c r="U516" i="246" s="1"/>
  <c r="U578" i="246" s="1"/>
  <c r="U640" i="246" s="1"/>
  <c r="U702" i="246" s="1"/>
  <c r="G11" i="118"/>
  <c r="L712" i="246" s="1"/>
  <c r="M396" i="209"/>
  <c r="M374" i="209"/>
  <c r="S369" i="209"/>
  <c r="M432" i="209"/>
  <c r="M495" i="209"/>
  <c r="M369" i="209"/>
  <c r="F23" i="309"/>
  <c r="H43" i="313"/>
  <c r="C26" i="184"/>
  <c r="S573" i="246"/>
  <c r="F17" i="170"/>
  <c r="D16" i="231"/>
  <c r="S291" i="246"/>
  <c r="M405" i="209"/>
  <c r="P450" i="209"/>
  <c r="H26" i="212"/>
  <c r="H40" i="212" s="1"/>
  <c r="M90" i="209" s="1"/>
  <c r="E46" i="165"/>
  <c r="P637" i="246"/>
  <c r="M26" i="165"/>
  <c r="E43" i="165" s="1"/>
  <c r="E47" i="165" s="1"/>
  <c r="P141" i="246" s="1"/>
  <c r="J699" i="246"/>
  <c r="I357" i="209"/>
  <c r="G28" i="173"/>
  <c r="G29" i="184"/>
  <c r="P23" i="186"/>
  <c r="T15" i="340"/>
  <c r="G45" i="289"/>
  <c r="P50" i="294" s="1"/>
  <c r="F18" i="202"/>
  <c r="F37" i="202" s="1"/>
  <c r="Q205" i="246" s="1"/>
  <c r="F46" i="202"/>
  <c r="S290" i="246"/>
  <c r="G18" i="289"/>
  <c r="G37" i="289" s="1"/>
  <c r="K31" i="294" s="1"/>
  <c r="Q639" i="246"/>
  <c r="H26" i="225"/>
  <c r="H40" i="225" s="1"/>
  <c r="P12" i="345" s="1"/>
  <c r="X52" i="70"/>
  <c r="V12" i="33"/>
  <c r="F15" i="103"/>
  <c r="M446" i="209"/>
  <c r="M448" i="209"/>
  <c r="S717" i="246"/>
  <c r="D48" i="212"/>
  <c r="E48" i="223"/>
  <c r="C27" i="171"/>
  <c r="G24" i="171"/>
  <c r="M23" i="18"/>
  <c r="M23" i="58"/>
  <c r="F21" i="39"/>
  <c r="N23" i="39" s="1"/>
  <c r="O23" i="247"/>
  <c r="P23" i="250"/>
  <c r="F82" i="209"/>
  <c r="T14" i="29"/>
  <c r="K639" i="246"/>
  <c r="H37" i="194"/>
  <c r="S226" i="246" s="1"/>
  <c r="E35" i="44"/>
  <c r="H35" i="18"/>
  <c r="H35" i="58"/>
  <c r="M23" i="247"/>
  <c r="N23" i="250"/>
  <c r="H65" i="164"/>
  <c r="K31" i="164"/>
  <c r="J9" i="164"/>
  <c r="F35" i="186"/>
  <c r="F21" i="184"/>
  <c r="H21" i="103"/>
  <c r="E21" i="104"/>
  <c r="N23" i="171"/>
  <c r="H21" i="223"/>
  <c r="N23" i="309"/>
  <c r="H21" i="324"/>
  <c r="K701" i="246"/>
  <c r="R21" i="340"/>
  <c r="R23" i="340" s="1"/>
  <c r="J30" i="340" s="1"/>
  <c r="M345" i="209"/>
  <c r="S352" i="209"/>
  <c r="P23" i="290"/>
  <c r="G35" i="95"/>
  <c r="G35" i="360"/>
  <c r="H43" i="4"/>
  <c r="M353" i="246"/>
  <c r="S326" i="209"/>
  <c r="S348" i="209"/>
  <c r="O357" i="209"/>
  <c r="D113" i="246"/>
  <c r="D175" i="246" s="1"/>
  <c r="D237" i="246" s="1"/>
  <c r="D299" i="246" s="1"/>
  <c r="D361" i="246" s="1"/>
  <c r="D423" i="246" s="1"/>
  <c r="D485" i="246" s="1"/>
  <c r="D547" i="246" s="1"/>
  <c r="D609" i="246" s="1"/>
  <c r="D671" i="246" s="1"/>
  <c r="D733" i="246" s="1"/>
  <c r="D795" i="246" s="1"/>
  <c r="M638" i="209"/>
  <c r="S354" i="246"/>
  <c r="P444" i="209"/>
  <c r="O26" i="39"/>
  <c r="G45" i="39"/>
  <c r="L161" i="209" s="1"/>
  <c r="L701" i="209"/>
  <c r="D98" i="209"/>
  <c r="D158" i="209" s="1"/>
  <c r="D218" i="209" s="1"/>
  <c r="D278" i="209" s="1"/>
  <c r="D338" i="209" s="1"/>
  <c r="D398" i="209" s="1"/>
  <c r="D458" i="209" s="1"/>
  <c r="D518" i="209" s="1"/>
  <c r="D578" i="209" s="1"/>
  <c r="D638" i="209" s="1"/>
  <c r="D698" i="209" s="1"/>
  <c r="D758" i="209" s="1"/>
  <c r="P126" i="294"/>
  <c r="S263" i="246"/>
  <c r="O122" i="294"/>
  <c r="G46" i="289"/>
  <c r="G46" i="189"/>
  <c r="L660" i="246"/>
  <c r="D74" i="209"/>
  <c r="D134" i="209" s="1"/>
  <c r="D194" i="209" s="1"/>
  <c r="D254" i="209" s="1"/>
  <c r="D314" i="209" s="1"/>
  <c r="D374" i="209" s="1"/>
  <c r="D434" i="209" s="1"/>
  <c r="D494" i="209" s="1"/>
  <c r="D554" i="209" s="1"/>
  <c r="D614" i="209" s="1"/>
  <c r="D674" i="209" s="1"/>
  <c r="D734" i="209" s="1"/>
  <c r="G11" i="325"/>
  <c r="G18" i="325" s="1"/>
  <c r="D13" i="228"/>
  <c r="C31" i="84"/>
  <c r="F45" i="324"/>
  <c r="O46" i="294" s="1"/>
  <c r="G45" i="194"/>
  <c r="L164" i="246" s="1"/>
  <c r="D11" i="39"/>
  <c r="G11" i="337"/>
  <c r="G44" i="337" s="1"/>
  <c r="R100" i="209" s="1"/>
  <c r="F46" i="324"/>
  <c r="L722" i="246"/>
  <c r="Q613" i="209"/>
  <c r="U29" i="209"/>
  <c r="U89" i="209" s="1"/>
  <c r="U149" i="209" s="1"/>
  <c r="U209" i="209" s="1"/>
  <c r="U269" i="209" s="1"/>
  <c r="U329" i="209" s="1"/>
  <c r="U389" i="209" s="1"/>
  <c r="U449" i="209" s="1"/>
  <c r="U509" i="209" s="1"/>
  <c r="U569" i="209" s="1"/>
  <c r="U629" i="209" s="1"/>
  <c r="U689" i="209" s="1"/>
  <c r="U749" i="209" s="1"/>
  <c r="N26" i="324"/>
  <c r="F43" i="324" s="1"/>
  <c r="F47" i="324" s="1"/>
  <c r="T46" i="294" s="1"/>
  <c r="E16" i="84"/>
  <c r="F44" i="324"/>
  <c r="T27" i="294" s="1"/>
  <c r="F11" i="345"/>
  <c r="F46" i="345" s="1"/>
  <c r="F29" i="84"/>
  <c r="F7" i="16"/>
  <c r="U28" i="209"/>
  <c r="U88" i="209" s="1"/>
  <c r="U148" i="209" s="1"/>
  <c r="U208" i="209" s="1"/>
  <c r="U268" i="209" s="1"/>
  <c r="U328" i="209" s="1"/>
  <c r="U388" i="209" s="1"/>
  <c r="U448" i="209" s="1"/>
  <c r="U508" i="209" s="1"/>
  <c r="U568" i="209" s="1"/>
  <c r="U628" i="209" s="1"/>
  <c r="U688" i="209" s="1"/>
  <c r="U748" i="209" s="1"/>
  <c r="D88" i="209"/>
  <c r="D148" i="209" s="1"/>
  <c r="D208" i="209" s="1"/>
  <c r="D268" i="209" s="1"/>
  <c r="D328" i="209" s="1"/>
  <c r="D388" i="209" s="1"/>
  <c r="D448" i="209" s="1"/>
  <c r="D508" i="209" s="1"/>
  <c r="D568" i="209" s="1"/>
  <c r="D628" i="209" s="1"/>
  <c r="D688" i="209" s="1"/>
  <c r="D748" i="209" s="1"/>
  <c r="F21" i="362"/>
  <c r="N23" i="362" s="1"/>
  <c r="F353" i="209"/>
  <c r="M23" i="326"/>
  <c r="O23" i="44"/>
  <c r="N23" i="18"/>
  <c r="M23" i="330"/>
  <c r="P23" i="247"/>
  <c r="O23" i="248"/>
  <c r="O23" i="250"/>
  <c r="O7" i="6"/>
  <c r="O29" i="296"/>
  <c r="N23" i="186"/>
  <c r="G21" i="338"/>
  <c r="O23" i="338" s="1"/>
  <c r="G35" i="324"/>
  <c r="H7" i="160"/>
  <c r="G18" i="39"/>
  <c r="F15" i="139"/>
  <c r="F15" i="223" s="1"/>
  <c r="D5" i="192"/>
  <c r="D7" i="192" s="1"/>
  <c r="G35" i="192"/>
  <c r="M23" i="44"/>
  <c r="N23" i="291"/>
  <c r="N23" i="247"/>
  <c r="M23" i="248"/>
  <c r="M23" i="250"/>
  <c r="P23" i="185"/>
  <c r="G44" i="39"/>
  <c r="R101" i="209" s="1"/>
  <c r="F714" i="209"/>
  <c r="F294" i="209"/>
  <c r="F354" i="209"/>
  <c r="L20" i="156"/>
  <c r="L20" i="284"/>
  <c r="O23" i="212"/>
  <c r="O23" i="104"/>
  <c r="M23" i="308"/>
  <c r="P23" i="291"/>
  <c r="O23" i="326"/>
  <c r="F430" i="246"/>
  <c r="F306" i="246"/>
  <c r="P23" i="58"/>
  <c r="G7" i="203"/>
  <c r="F7" i="203"/>
  <c r="P7" i="4"/>
  <c r="P23" i="103"/>
  <c r="E7" i="214"/>
  <c r="F21" i="214"/>
  <c r="N23" i="214" s="1"/>
  <c r="E21" i="173"/>
  <c r="F35" i="225"/>
  <c r="F35" i="226"/>
  <c r="E21" i="172"/>
  <c r="E21" i="184"/>
  <c r="F21" i="185"/>
  <c r="H9" i="164"/>
  <c r="H31" i="164"/>
  <c r="H58" i="164"/>
  <c r="G35" i="250"/>
  <c r="F35" i="248"/>
  <c r="F21" i="58"/>
  <c r="F21" i="330"/>
  <c r="F35" i="18"/>
  <c r="F35" i="44"/>
  <c r="G46" i="39"/>
  <c r="G7" i="289"/>
  <c r="G35" i="289"/>
  <c r="F21" i="195"/>
  <c r="N23" i="195" s="1"/>
  <c r="L641" i="209"/>
  <c r="F15" i="156"/>
  <c r="F15" i="185" s="1"/>
  <c r="H21" i="326"/>
  <c r="P23" i="330"/>
  <c r="O23" i="58"/>
  <c r="P23" i="326"/>
  <c r="P23" i="18"/>
  <c r="O23" i="330"/>
  <c r="N23" i="58"/>
  <c r="E21" i="250"/>
  <c r="H7" i="16"/>
  <c r="F35" i="160"/>
  <c r="R641" i="209"/>
  <c r="O26" i="289"/>
  <c r="G43" i="289" s="1"/>
  <c r="G47" i="289" s="1"/>
  <c r="U50" i="294" s="1"/>
  <c r="M381" i="209"/>
  <c r="M383" i="209"/>
  <c r="M386" i="209"/>
  <c r="M387" i="209"/>
  <c r="M389" i="209"/>
  <c r="S408" i="209"/>
  <c r="S404" i="209"/>
  <c r="S409" i="209"/>
  <c r="S406" i="209"/>
  <c r="S413" i="209"/>
  <c r="S416" i="209"/>
  <c r="C25" i="171"/>
  <c r="C33" i="171"/>
  <c r="H44" i="291"/>
  <c r="P16" i="290" s="1"/>
  <c r="S465" i="209"/>
  <c r="S454" i="209"/>
  <c r="S460" i="209"/>
  <c r="F48" i="326"/>
  <c r="N20" i="325" s="1"/>
  <c r="M504" i="246"/>
  <c r="S575" i="209"/>
  <c r="S578" i="209"/>
  <c r="S579" i="209"/>
  <c r="S713" i="246"/>
  <c r="G16" i="170"/>
  <c r="D16" i="170"/>
  <c r="S537" i="246"/>
  <c r="S464" i="209"/>
  <c r="M557" i="209"/>
  <c r="S548" i="209"/>
  <c r="S256" i="246"/>
  <c r="E23" i="84"/>
  <c r="H28" i="103"/>
  <c r="H42" i="103" s="1"/>
  <c r="P14" i="270" s="1"/>
  <c r="S360" i="246"/>
  <c r="N25" i="231"/>
  <c r="G24" i="231"/>
  <c r="C28" i="231"/>
  <c r="F29" i="231"/>
  <c r="E13" i="173"/>
  <c r="M388" i="209"/>
  <c r="G11" i="360"/>
  <c r="G45" i="360" s="1"/>
  <c r="P59" i="294" s="1"/>
  <c r="F113" i="209"/>
  <c r="L25" i="173"/>
  <c r="E18" i="190"/>
  <c r="E42" i="190" s="1"/>
  <c r="J261" i="246" s="1"/>
  <c r="D27" i="328"/>
  <c r="D11" i="125"/>
  <c r="AA27" i="292"/>
  <c r="M26" i="190"/>
  <c r="E43" i="190" s="1"/>
  <c r="E47" i="190" s="1"/>
  <c r="P137" i="246" s="1"/>
  <c r="G23" i="328"/>
  <c r="E11" i="125"/>
  <c r="P613" i="209" s="1"/>
  <c r="F33" i="328"/>
  <c r="E23" i="328"/>
  <c r="F45" i="125"/>
  <c r="K133" i="209" s="1"/>
  <c r="P699" i="209"/>
  <c r="E28" i="328"/>
  <c r="F46" i="125"/>
  <c r="F13" i="328"/>
  <c r="R702" i="209"/>
  <c r="K673" i="209"/>
  <c r="G11" i="125"/>
  <c r="G46" i="125" s="1"/>
  <c r="E44" i="337"/>
  <c r="P100" i="209" s="1"/>
  <c r="M26" i="337"/>
  <c r="E18" i="337"/>
  <c r="E40" i="337" s="1"/>
  <c r="J100" i="209" s="1"/>
  <c r="P640" i="209"/>
  <c r="J640" i="209"/>
  <c r="J700" i="209"/>
  <c r="E46" i="337"/>
  <c r="E45" i="337"/>
  <c r="J160" i="209" s="1"/>
  <c r="R12" i="37"/>
  <c r="R13" i="37" s="1"/>
  <c r="M29" i="296"/>
  <c r="F35" i="178"/>
  <c r="F7" i="192"/>
  <c r="P7" i="99"/>
  <c r="F7" i="95"/>
  <c r="L5" i="141"/>
  <c r="L7" i="141" s="1"/>
  <c r="F35" i="15"/>
  <c r="H35" i="16"/>
  <c r="F21" i="293"/>
  <c r="N23" i="293" s="1"/>
  <c r="G35" i="160"/>
  <c r="F21" i="170"/>
  <c r="M501" i="209"/>
  <c r="S502" i="209"/>
  <c r="H28" i="247"/>
  <c r="H42" i="247" s="1"/>
  <c r="P14" i="213" s="1"/>
  <c r="H24" i="291"/>
  <c r="J17" i="292" s="1"/>
  <c r="N21" i="49"/>
  <c r="G7" i="178"/>
  <c r="E7" i="192"/>
  <c r="M7" i="99"/>
  <c r="H7" i="72"/>
  <c r="O7" i="220"/>
  <c r="F35" i="349"/>
  <c r="G21" i="16"/>
  <c r="O23" i="16" s="1"/>
  <c r="N7" i="293"/>
  <c r="S368" i="209"/>
  <c r="S374" i="209"/>
  <c r="S377" i="209"/>
  <c r="M395" i="209"/>
  <c r="M407" i="209"/>
  <c r="M394" i="209"/>
  <c r="M397" i="209"/>
  <c r="M457" i="209"/>
  <c r="S488" i="209"/>
  <c r="S492" i="209"/>
  <c r="S493" i="209"/>
  <c r="S494" i="209"/>
  <c r="S713" i="209"/>
  <c r="S714" i="209"/>
  <c r="H29" i="247"/>
  <c r="H29" i="248"/>
  <c r="H30" i="212"/>
  <c r="K20" i="292" s="1"/>
  <c r="D14" i="184"/>
  <c r="H24" i="104"/>
  <c r="J27" i="292" s="1"/>
  <c r="J590" i="209"/>
  <c r="G31" i="228"/>
  <c r="G35" i="44"/>
  <c r="F35" i="291"/>
  <c r="F35" i="6"/>
  <c r="F21" i="334"/>
  <c r="N23" i="334" s="1"/>
  <c r="H21" i="353"/>
  <c r="P23" i="353" s="1"/>
  <c r="H35" i="192"/>
  <c r="P7" i="356"/>
  <c r="H35" i="212"/>
  <c r="M7" i="220"/>
  <c r="F21" i="16"/>
  <c r="N23" i="16" s="1"/>
  <c r="M7" i="293"/>
  <c r="H24" i="326"/>
  <c r="J12" i="292" s="1"/>
  <c r="G35" i="330"/>
  <c r="P7" i="213"/>
  <c r="N7" i="295"/>
  <c r="M7" i="334"/>
  <c r="O7" i="307"/>
  <c r="N7" i="356"/>
  <c r="Q570" i="209"/>
  <c r="O7" i="290"/>
  <c r="H21" i="192"/>
  <c r="P23" i="192" s="1"/>
  <c r="L5" i="219"/>
  <c r="L7" i="219" s="1"/>
  <c r="N29" i="360"/>
  <c r="H21" i="289"/>
  <c r="P23" i="289" s="1"/>
  <c r="F7" i="126"/>
  <c r="P29" i="288"/>
  <c r="M373" i="209"/>
  <c r="M488" i="209"/>
  <c r="M496" i="209"/>
  <c r="M593" i="209"/>
  <c r="S594" i="209"/>
  <c r="H25" i="291"/>
  <c r="H39" i="291" s="1"/>
  <c r="O25" i="170"/>
  <c r="M7" i="191"/>
  <c r="F21" i="192"/>
  <c r="N23" i="192" s="1"/>
  <c r="P7" i="313"/>
  <c r="H21" i="184"/>
  <c r="D5" i="16"/>
  <c r="D7" i="16" s="1"/>
  <c r="D11" i="188"/>
  <c r="D46" i="188" s="1"/>
  <c r="E21" i="192"/>
  <c r="M23" i="192" s="1"/>
  <c r="G21" i="99"/>
  <c r="O23" i="99" s="1"/>
  <c r="F21" i="103"/>
  <c r="S387" i="209"/>
  <c r="S388" i="209"/>
  <c r="S389" i="209"/>
  <c r="M429" i="209"/>
  <c r="M435" i="209"/>
  <c r="M438" i="209"/>
  <c r="S441" i="209"/>
  <c r="M509" i="209"/>
  <c r="S528" i="209"/>
  <c r="S529" i="209"/>
  <c r="M534" i="209"/>
  <c r="S567" i="209"/>
  <c r="S568" i="209"/>
  <c r="M588" i="209"/>
  <c r="M580" i="209"/>
  <c r="M584" i="209"/>
  <c r="M589" i="209"/>
  <c r="M586" i="209"/>
  <c r="M576" i="209"/>
  <c r="M592" i="209"/>
  <c r="S681" i="209"/>
  <c r="S682" i="209"/>
  <c r="S712" i="209"/>
  <c r="M447" i="246"/>
  <c r="M452" i="246"/>
  <c r="M463" i="246"/>
  <c r="S741" i="246"/>
  <c r="O297" i="209"/>
  <c r="D48" i="326"/>
  <c r="L20" i="324" s="1"/>
  <c r="S457" i="209"/>
  <c r="M313" i="209"/>
  <c r="M497" i="209"/>
  <c r="S248" i="209"/>
  <c r="M428" i="209"/>
  <c r="M398" i="246"/>
  <c r="M460" i="246"/>
  <c r="P370" i="246"/>
  <c r="D48" i="308"/>
  <c r="L20" i="307" s="1"/>
  <c r="D16" i="172"/>
  <c r="F39" i="271"/>
  <c r="Q29" i="246" s="1"/>
  <c r="K773" i="246"/>
  <c r="F41" i="271"/>
  <c r="K215" i="246" s="1"/>
  <c r="E24" i="84"/>
  <c r="F27" i="84"/>
  <c r="E32" i="84"/>
  <c r="P529" i="246"/>
  <c r="D16" i="84"/>
  <c r="F25" i="172"/>
  <c r="C28" i="170"/>
  <c r="E26" i="231"/>
  <c r="O25" i="231"/>
  <c r="C26" i="171"/>
  <c r="D29" i="171"/>
  <c r="G30" i="171"/>
  <c r="S265" i="246"/>
  <c r="D27" i="171"/>
  <c r="O25" i="171"/>
  <c r="E17" i="231"/>
  <c r="O25" i="228"/>
  <c r="S347" i="209"/>
  <c r="M585" i="209"/>
  <c r="G26" i="228"/>
  <c r="F29" i="228"/>
  <c r="K694" i="209"/>
  <c r="N26" i="338"/>
  <c r="Q754" i="209" s="1"/>
  <c r="F18" i="338"/>
  <c r="F41" i="338" s="1"/>
  <c r="K214" i="209" s="1"/>
  <c r="F45" i="338"/>
  <c r="K154" i="209" s="1"/>
  <c r="F44" i="338"/>
  <c r="Q94" i="209" s="1"/>
  <c r="F24" i="228"/>
  <c r="D22" i="292" s="1"/>
  <c r="D20" i="292"/>
  <c r="H46" i="212"/>
  <c r="G31" i="173"/>
  <c r="H31" i="212"/>
  <c r="H45" i="212" s="1"/>
  <c r="M150" i="209" s="1"/>
  <c r="E12" i="171"/>
  <c r="P706" i="246" s="1"/>
  <c r="L671" i="246"/>
  <c r="G45" i="203"/>
  <c r="L175" i="246" s="1"/>
  <c r="L733" i="246"/>
  <c r="G44" i="203"/>
  <c r="R113" i="246" s="1"/>
  <c r="D11" i="296"/>
  <c r="L26" i="296" s="1"/>
  <c r="D43" i="296" s="1"/>
  <c r="D47" i="296" s="1"/>
  <c r="R56" i="294" s="1"/>
  <c r="F11" i="296"/>
  <c r="O132" i="294" s="1"/>
  <c r="F12" i="228"/>
  <c r="E18" i="220"/>
  <c r="E45" i="220"/>
  <c r="J174" i="209" s="1"/>
  <c r="D115" i="246"/>
  <c r="D177" i="246" s="1"/>
  <c r="D239" i="246" s="1"/>
  <c r="D301" i="246" s="1"/>
  <c r="D363" i="246" s="1"/>
  <c r="D425" i="246" s="1"/>
  <c r="D487" i="246" s="1"/>
  <c r="D549" i="246" s="1"/>
  <c r="D611" i="246" s="1"/>
  <c r="D673" i="246" s="1"/>
  <c r="D735" i="246" s="1"/>
  <c r="D797" i="246" s="1"/>
  <c r="D11" i="220"/>
  <c r="F11" i="220"/>
  <c r="G11" i="220"/>
  <c r="G18" i="220" s="1"/>
  <c r="G40" i="220" s="1"/>
  <c r="L114" i="209" s="1"/>
  <c r="E46" i="279"/>
  <c r="E45" i="279"/>
  <c r="J159" i="246" s="1"/>
  <c r="P655" i="246"/>
  <c r="M26" i="279"/>
  <c r="E43" i="279" s="1"/>
  <c r="E47" i="279" s="1"/>
  <c r="P159" i="246" s="1"/>
  <c r="E18" i="279"/>
  <c r="E42" i="279" s="1"/>
  <c r="J283" i="246" s="1"/>
  <c r="E11" i="315"/>
  <c r="J704" i="209" s="1"/>
  <c r="F11" i="315"/>
  <c r="F46" i="315" s="1"/>
  <c r="O720" i="246"/>
  <c r="D12" i="172"/>
  <c r="O738" i="246" s="1"/>
  <c r="I394" i="246"/>
  <c r="D23" i="231"/>
  <c r="G45" i="362"/>
  <c r="P57" i="294" s="1"/>
  <c r="D97" i="246"/>
  <c r="D159" i="246" s="1"/>
  <c r="D221" i="246" s="1"/>
  <c r="D283" i="246" s="1"/>
  <c r="D345" i="246" s="1"/>
  <c r="D407" i="246" s="1"/>
  <c r="D469" i="246" s="1"/>
  <c r="D531" i="246" s="1"/>
  <c r="D593" i="246" s="1"/>
  <c r="D655" i="246" s="1"/>
  <c r="D717" i="246" s="1"/>
  <c r="D779" i="246" s="1"/>
  <c r="U35" i="246"/>
  <c r="U97" i="246" s="1"/>
  <c r="U159" i="246" s="1"/>
  <c r="U221" i="246" s="1"/>
  <c r="U283" i="246" s="1"/>
  <c r="U345" i="246" s="1"/>
  <c r="U407" i="246" s="1"/>
  <c r="U469" i="246" s="1"/>
  <c r="U531" i="246" s="1"/>
  <c r="U593" i="246" s="1"/>
  <c r="U655" i="246" s="1"/>
  <c r="U717" i="246" s="1"/>
  <c r="F11" i="355"/>
  <c r="N26" i="355" s="1"/>
  <c r="F43" i="355" s="1"/>
  <c r="F47" i="355" s="1"/>
  <c r="E11" i="355"/>
  <c r="E45" i="355" s="1"/>
  <c r="D11" i="355"/>
  <c r="G11" i="355"/>
  <c r="C32" i="228"/>
  <c r="P26" i="292"/>
  <c r="L688" i="209"/>
  <c r="G46" i="162"/>
  <c r="G44" i="162"/>
  <c r="R88" i="209" s="1"/>
  <c r="G45" i="162"/>
  <c r="L148" i="209" s="1"/>
  <c r="O26" i="162"/>
  <c r="G44" i="344"/>
  <c r="O26" i="344"/>
  <c r="G43" i="344" s="1"/>
  <c r="G47" i="344" s="1"/>
  <c r="D44" i="16"/>
  <c r="O68" i="209" s="1"/>
  <c r="D18" i="16"/>
  <c r="D40" i="16" s="1"/>
  <c r="I68" i="209" s="1"/>
  <c r="P690" i="209"/>
  <c r="E12" i="173"/>
  <c r="F11" i="16"/>
  <c r="F46" i="16" s="1"/>
  <c r="G11" i="16"/>
  <c r="G18" i="16" s="1"/>
  <c r="R628" i="209"/>
  <c r="F46" i="295"/>
  <c r="D31" i="309"/>
  <c r="D48" i="309" s="1"/>
  <c r="L20" i="308" s="1"/>
  <c r="J510" i="209"/>
  <c r="K343" i="246"/>
  <c r="F29" i="170"/>
  <c r="E45" i="190"/>
  <c r="J137" i="246" s="1"/>
  <c r="E44" i="190"/>
  <c r="P75" i="246" s="1"/>
  <c r="J695" i="246"/>
  <c r="J633" i="246"/>
  <c r="P633" i="246"/>
  <c r="H30" i="103"/>
  <c r="F533" i="209"/>
  <c r="F473" i="209"/>
  <c r="F713" i="209"/>
  <c r="F413" i="209"/>
  <c r="F653" i="209"/>
  <c r="F173" i="209"/>
  <c r="F293" i="209"/>
  <c r="F773" i="209"/>
  <c r="P133" i="294"/>
  <c r="O26" i="362"/>
  <c r="G43" i="362" s="1"/>
  <c r="G47" i="362" s="1"/>
  <c r="U57" i="294" s="1"/>
  <c r="G46" i="362"/>
  <c r="G44" i="362"/>
  <c r="U38" i="294" s="1"/>
  <c r="F11" i="176"/>
  <c r="F18" i="176" s="1"/>
  <c r="D11" i="176"/>
  <c r="D46" i="176" s="1"/>
  <c r="Q742" i="246"/>
  <c r="F12" i="309"/>
  <c r="O518" i="246"/>
  <c r="I518" i="246"/>
  <c r="O394" i="246"/>
  <c r="D25" i="173"/>
  <c r="D352" i="209"/>
  <c r="U292" i="209"/>
  <c r="L330" i="209"/>
  <c r="L628" i="209"/>
  <c r="D68" i="209"/>
  <c r="D128" i="209" s="1"/>
  <c r="D188" i="209" s="1"/>
  <c r="D248" i="209" s="1"/>
  <c r="D308" i="209" s="1"/>
  <c r="D368" i="209" s="1"/>
  <c r="D428" i="209" s="1"/>
  <c r="D488" i="209" s="1"/>
  <c r="D548" i="209" s="1"/>
  <c r="D608" i="209" s="1"/>
  <c r="D668" i="209" s="1"/>
  <c r="D728" i="209" s="1"/>
  <c r="K330" i="209"/>
  <c r="E24" i="228"/>
  <c r="H29" i="103"/>
  <c r="U29" i="246"/>
  <c r="U91" i="246" s="1"/>
  <c r="U153" i="246" s="1"/>
  <c r="U215" i="246" s="1"/>
  <c r="U277" i="246" s="1"/>
  <c r="U339" i="246" s="1"/>
  <c r="U401" i="246" s="1"/>
  <c r="U463" i="246" s="1"/>
  <c r="U525" i="246" s="1"/>
  <c r="U587" i="246" s="1"/>
  <c r="U649" i="246" s="1"/>
  <c r="U711" i="246" s="1"/>
  <c r="Q616" i="209"/>
  <c r="F46" i="9"/>
  <c r="F45" i="9"/>
  <c r="K136" i="209" s="1"/>
  <c r="G45" i="344"/>
  <c r="G46" i="344"/>
  <c r="F44" i="9"/>
  <c r="Q76" i="209" s="1"/>
  <c r="G46" i="203"/>
  <c r="Q510" i="209"/>
  <c r="J410" i="209"/>
  <c r="D11" i="7"/>
  <c r="E11" i="7"/>
  <c r="E44" i="7" s="1"/>
  <c r="P77" i="209" s="1"/>
  <c r="E11" i="6"/>
  <c r="J618" i="209" s="1"/>
  <c r="F11" i="6"/>
  <c r="K678" i="209" s="1"/>
  <c r="I534" i="246"/>
  <c r="D25" i="184"/>
  <c r="C25" i="309"/>
  <c r="O370" i="246"/>
  <c r="F27" i="231"/>
  <c r="J40" i="36"/>
  <c r="N40" i="36" s="1"/>
  <c r="R40" i="36" s="1"/>
  <c r="R42" i="36" s="1"/>
  <c r="C27" i="292"/>
  <c r="K405" i="246"/>
  <c r="K529" i="246"/>
  <c r="Q405" i="246"/>
  <c r="F31" i="84"/>
  <c r="G28" i="292" s="1"/>
  <c r="F48" i="104"/>
  <c r="N20" i="118" s="1"/>
  <c r="G27" i="292"/>
  <c r="K591" i="246"/>
  <c r="E17" i="84"/>
  <c r="C24" i="84"/>
  <c r="F25" i="84"/>
  <c r="E30" i="84"/>
  <c r="D29" i="84"/>
  <c r="D11" i="338"/>
  <c r="E11" i="338"/>
  <c r="G11" i="338"/>
  <c r="G45" i="338" s="1"/>
  <c r="L154" i="209" s="1"/>
  <c r="E11" i="344"/>
  <c r="D11" i="344"/>
  <c r="D45" i="344" s="1"/>
  <c r="E32" i="171"/>
  <c r="R671" i="246"/>
  <c r="D23" i="171"/>
  <c r="O570" i="209"/>
  <c r="D12" i="170"/>
  <c r="E11" i="16"/>
  <c r="F11" i="344"/>
  <c r="F45" i="344" s="1"/>
  <c r="M17" i="241"/>
  <c r="E44" i="241"/>
  <c r="P116" i="209" s="1"/>
  <c r="K695" i="209"/>
  <c r="F45" i="123"/>
  <c r="K155" i="209" s="1"/>
  <c r="N26" i="123"/>
  <c r="F43" i="123" s="1"/>
  <c r="F47" i="123" s="1"/>
  <c r="Q155" i="209" s="1"/>
  <c r="F44" i="123"/>
  <c r="Q95" i="209" s="1"/>
  <c r="F11" i="4"/>
  <c r="G11" i="4"/>
  <c r="Q637" i="209"/>
  <c r="F44" i="196"/>
  <c r="Q97" i="209" s="1"/>
  <c r="K697" i="209"/>
  <c r="F44" i="271"/>
  <c r="Q91" i="246" s="1"/>
  <c r="F46" i="271"/>
  <c r="F45" i="271"/>
  <c r="K153" i="246" s="1"/>
  <c r="N26" i="271"/>
  <c r="F43" i="271" s="1"/>
  <c r="F47" i="271" s="1"/>
  <c r="Q153" i="246" s="1"/>
  <c r="Q649" i="246"/>
  <c r="K518" i="246"/>
  <c r="D15" i="84"/>
  <c r="D17" i="228"/>
  <c r="F27" i="173"/>
  <c r="E32" i="228"/>
  <c r="M25" i="84"/>
  <c r="G17" i="84"/>
  <c r="G30" i="84"/>
  <c r="C26" i="84"/>
  <c r="F17" i="228"/>
  <c r="E29" i="84"/>
  <c r="R590" i="209"/>
  <c r="E12" i="228"/>
  <c r="P722" i="209" s="1"/>
  <c r="F35" i="183"/>
  <c r="G21" i="250"/>
  <c r="G21" i="91"/>
  <c r="O23" i="91" s="1"/>
  <c r="E35" i="9"/>
  <c r="H7" i="11"/>
  <c r="M29" i="324"/>
  <c r="F35" i="347"/>
  <c r="H35" i="288"/>
  <c r="M7" i="359"/>
  <c r="P647" i="209"/>
  <c r="O684" i="209"/>
  <c r="O444" i="209"/>
  <c r="P384" i="209"/>
  <c r="P264" i="209"/>
  <c r="P504" i="209"/>
  <c r="J444" i="209"/>
  <c r="Q264" i="209"/>
  <c r="H26" i="247"/>
  <c r="H40" i="247" s="1"/>
  <c r="L444" i="209"/>
  <c r="AA15" i="292"/>
  <c r="H46" i="247"/>
  <c r="P18" i="213" s="1"/>
  <c r="H32" i="247"/>
  <c r="M624" i="209" s="1"/>
  <c r="R717" i="209"/>
  <c r="S717" i="209" s="1"/>
  <c r="R477" i="209"/>
  <c r="S477" i="209" s="1"/>
  <c r="P417" i="209"/>
  <c r="P297" i="209"/>
  <c r="J417" i="209"/>
  <c r="Q297" i="209"/>
  <c r="N20" i="37"/>
  <c r="J21" i="37"/>
  <c r="R12" i="340"/>
  <c r="T12" i="340" s="1"/>
  <c r="N19" i="340"/>
  <c r="T12" i="49"/>
  <c r="R16" i="49"/>
  <c r="Q678" i="209"/>
  <c r="D24" i="328"/>
  <c r="G17" i="328"/>
  <c r="P678" i="209"/>
  <c r="C33" i="328"/>
  <c r="F25" i="328"/>
  <c r="F11" i="292"/>
  <c r="O699" i="209"/>
  <c r="D30" i="18"/>
  <c r="D30" i="327" s="1"/>
  <c r="G11" i="292"/>
  <c r="E26" i="328"/>
  <c r="D25" i="328"/>
  <c r="O678" i="209"/>
  <c r="C27" i="328"/>
  <c r="R699" i="209"/>
  <c r="G27" i="328"/>
  <c r="G28" i="328"/>
  <c r="R678" i="209"/>
  <c r="K342" i="209"/>
  <c r="D33" i="328"/>
  <c r="Q699" i="209"/>
  <c r="H43" i="359"/>
  <c r="H47" i="359"/>
  <c r="S150" i="246" s="1"/>
  <c r="G21" i="292"/>
  <c r="F48" i="225"/>
  <c r="N20" i="345" s="1"/>
  <c r="F21" i="11"/>
  <c r="N23" i="11" s="1"/>
  <c r="N7" i="359"/>
  <c r="E7" i="190"/>
  <c r="H35" i="291"/>
  <c r="L5" i="6"/>
  <c r="L7" i="6" s="1"/>
  <c r="P7" i="91"/>
  <c r="H21" i="9"/>
  <c r="P23" i="9" s="1"/>
  <c r="G21" i="296"/>
  <c r="O23" i="296" s="1"/>
  <c r="G7" i="11"/>
  <c r="F35" i="162"/>
  <c r="H21" i="347"/>
  <c r="P23" i="347" s="1"/>
  <c r="J647" i="209"/>
  <c r="D45" i="4"/>
  <c r="I131" i="209" s="1"/>
  <c r="E38" i="213"/>
  <c r="J23" i="209" s="1"/>
  <c r="E42" i="213"/>
  <c r="J263" i="209" s="1"/>
  <c r="E40" i="213"/>
  <c r="J83" i="209" s="1"/>
  <c r="E41" i="213"/>
  <c r="J203" i="209" s="1"/>
  <c r="E39" i="213"/>
  <c r="P23" i="209" s="1"/>
  <c r="J743" i="209"/>
  <c r="H37" i="7"/>
  <c r="S197" i="209" s="1"/>
  <c r="S257" i="209"/>
  <c r="H37" i="6"/>
  <c r="S198" i="209" s="1"/>
  <c r="S258" i="209"/>
  <c r="H39" i="337"/>
  <c r="S40" i="209" s="1"/>
  <c r="S340" i="209"/>
  <c r="H47" i="101"/>
  <c r="S155" i="246" s="1"/>
  <c r="H43" i="101"/>
  <c r="H38" i="190"/>
  <c r="M13" i="246" s="1"/>
  <c r="M323" i="246"/>
  <c r="H38" i="39"/>
  <c r="M41" i="209" s="1"/>
  <c r="M341" i="209"/>
  <c r="D46" i="213"/>
  <c r="I683" i="209"/>
  <c r="M683" i="209" s="1"/>
  <c r="O623" i="209"/>
  <c r="D18" i="213"/>
  <c r="D39" i="213" s="1"/>
  <c r="O23" i="209" s="1"/>
  <c r="I623" i="209"/>
  <c r="L26" i="213"/>
  <c r="D44" i="213"/>
  <c r="O83" i="209" s="1"/>
  <c r="D45" i="213"/>
  <c r="I143" i="209" s="1"/>
  <c r="H38" i="183"/>
  <c r="M53" i="246" s="1"/>
  <c r="M363" i="246"/>
  <c r="G67" i="164"/>
  <c r="G68" i="164"/>
  <c r="N11" i="124"/>
  <c r="R11" i="124" s="1"/>
  <c r="T11" i="124" s="1"/>
  <c r="J13" i="124"/>
  <c r="J16" i="124" s="1"/>
  <c r="J19" i="124" s="1"/>
  <c r="N14" i="100"/>
  <c r="N18" i="100" s="1"/>
  <c r="J18" i="100"/>
  <c r="J21" i="100" s="1"/>
  <c r="R11" i="28"/>
  <c r="R13" i="28" s="1"/>
  <c r="R17" i="28" s="1"/>
  <c r="N13" i="28"/>
  <c r="N21" i="28"/>
  <c r="N24" i="28" s="1"/>
  <c r="J13" i="30"/>
  <c r="N12" i="30"/>
  <c r="R16" i="34"/>
  <c r="R17" i="34" s="1"/>
  <c r="N17" i="34"/>
  <c r="N12" i="80"/>
  <c r="R12" i="80" s="1"/>
  <c r="T12" i="80" s="1"/>
  <c r="J15" i="80"/>
  <c r="J21" i="80" s="1"/>
  <c r="N23" i="36"/>
  <c r="R23" i="36" s="1"/>
  <c r="T23" i="36" s="1"/>
  <c r="J24" i="36"/>
  <c r="H35" i="347"/>
  <c r="E35" i="284"/>
  <c r="M7" i="91"/>
  <c r="F21" i="9"/>
  <c r="N23" i="9" s="1"/>
  <c r="M7" i="296"/>
  <c r="H35" i="11"/>
  <c r="F7" i="11"/>
  <c r="G21" i="162"/>
  <c r="O23" i="162" s="1"/>
  <c r="P7" i="139"/>
  <c r="G35" i="13"/>
  <c r="H21" i="95"/>
  <c r="P23" i="95" s="1"/>
  <c r="O7" i="354"/>
  <c r="E35" i="308"/>
  <c r="P35" i="325"/>
  <c r="E21" i="338"/>
  <c r="M23" i="338" s="1"/>
  <c r="E21" i="324"/>
  <c r="F21" i="349"/>
  <c r="N23" i="349" s="1"/>
  <c r="G35" i="126"/>
  <c r="E35" i="160"/>
  <c r="P7" i="214"/>
  <c r="M7" i="347"/>
  <c r="N7" i="288"/>
  <c r="G35" i="165"/>
  <c r="I611" i="209"/>
  <c r="E18" i="353"/>
  <c r="E42" i="353" s="1"/>
  <c r="J287" i="209" s="1"/>
  <c r="F183" i="246"/>
  <c r="E14" i="185"/>
  <c r="F14" i="156"/>
  <c r="H39" i="203"/>
  <c r="S51" i="246" s="1"/>
  <c r="S361" i="246"/>
  <c r="H37" i="9"/>
  <c r="S196" i="209" s="1"/>
  <c r="S256" i="209"/>
  <c r="F14" i="191"/>
  <c r="G14" i="191" s="1"/>
  <c r="G18" i="191" s="1"/>
  <c r="G42" i="191" s="1"/>
  <c r="L285" i="246" s="1"/>
  <c r="E18" i="191"/>
  <c r="E41" i="191" s="1"/>
  <c r="J223" i="246" s="1"/>
  <c r="H39" i="91"/>
  <c r="S8" i="246" s="1"/>
  <c r="S318" i="246"/>
  <c r="H47" i="105"/>
  <c r="S142" i="209" s="1"/>
  <c r="H43" i="105"/>
  <c r="R17" i="161"/>
  <c r="T17" i="161" s="1"/>
  <c r="N19" i="161"/>
  <c r="D46" i="4"/>
  <c r="I671" i="209"/>
  <c r="G21" i="18"/>
  <c r="N7" i="105"/>
  <c r="E7" i="91"/>
  <c r="E7" i="10"/>
  <c r="H7" i="9"/>
  <c r="G35" i="11"/>
  <c r="E7" i="11"/>
  <c r="H35" i="333"/>
  <c r="F21" i="162"/>
  <c r="N23" i="162" s="1"/>
  <c r="F21" i="97"/>
  <c r="N23" i="97" s="1"/>
  <c r="D5" i="72"/>
  <c r="D7" i="72" s="1"/>
  <c r="P23" i="325"/>
  <c r="G35" i="361"/>
  <c r="F21" i="355"/>
  <c r="N23" i="355" s="1"/>
  <c r="F7" i="324"/>
  <c r="F21" i="202"/>
  <c r="N23" i="202" s="1"/>
  <c r="H21" i="16"/>
  <c r="P23" i="16" s="1"/>
  <c r="P29" i="293"/>
  <c r="F21" i="126"/>
  <c r="N23" i="126" s="1"/>
  <c r="H21" i="160"/>
  <c r="P23" i="160" s="1"/>
  <c r="M7" i="214"/>
  <c r="G7" i="347"/>
  <c r="H7" i="288"/>
  <c r="G35" i="187"/>
  <c r="E21" i="165"/>
  <c r="M23" i="165" s="1"/>
  <c r="L26" i="4"/>
  <c r="O731" i="209" s="1"/>
  <c r="E44" i="353"/>
  <c r="P107" i="209" s="1"/>
  <c r="O611" i="209"/>
  <c r="R11" i="32"/>
  <c r="N17" i="32"/>
  <c r="H39" i="241"/>
  <c r="S56" i="209" s="1"/>
  <c r="S356" i="209"/>
  <c r="H46" i="241"/>
  <c r="S656" i="209" s="1"/>
  <c r="M656" i="209"/>
  <c r="D11" i="15"/>
  <c r="D44" i="15" s="1"/>
  <c r="O69" i="209" s="1"/>
  <c r="F11" i="15"/>
  <c r="F46" i="15" s="1"/>
  <c r="H39" i="123"/>
  <c r="S35" i="209" s="1"/>
  <c r="S335" i="209"/>
  <c r="H37" i="315"/>
  <c r="S224" i="209" s="1"/>
  <c r="S284" i="209"/>
  <c r="H47" i="137"/>
  <c r="S171" i="246" s="1"/>
  <c r="H43" i="137"/>
  <c r="H37" i="72"/>
  <c r="S216" i="209" s="1"/>
  <c r="S276" i="209"/>
  <c r="H39" i="189"/>
  <c r="S49" i="246" s="1"/>
  <c r="S359" i="246"/>
  <c r="E15" i="186"/>
  <c r="E15" i="184" s="1"/>
  <c r="F15" i="95"/>
  <c r="H47" i="154"/>
  <c r="S158" i="209" s="1"/>
  <c r="H43" i="154"/>
  <c r="H38" i="196"/>
  <c r="M37" i="209" s="1"/>
  <c r="M337" i="209"/>
  <c r="H38" i="353"/>
  <c r="M47" i="209" s="1"/>
  <c r="M347" i="209"/>
  <c r="H37" i="162"/>
  <c r="S208" i="209" s="1"/>
  <c r="S268" i="209"/>
  <c r="H38" i="334"/>
  <c r="M27" i="209" s="1"/>
  <c r="M327" i="209"/>
  <c r="H27" i="291"/>
  <c r="H41" i="291" s="1"/>
  <c r="E48" i="291"/>
  <c r="M20" i="289" s="1"/>
  <c r="G12" i="228"/>
  <c r="R722" i="209" s="1"/>
  <c r="R690" i="209"/>
  <c r="E23" i="228"/>
  <c r="J390" i="209"/>
  <c r="C25" i="173"/>
  <c r="C25" i="228"/>
  <c r="G33" i="173"/>
  <c r="G33" i="228"/>
  <c r="H33" i="212"/>
  <c r="C35" i="292"/>
  <c r="K394" i="246"/>
  <c r="D5" i="296"/>
  <c r="D35" i="296" s="1"/>
  <c r="F35" i="11"/>
  <c r="G21" i="333"/>
  <c r="O23" i="333" s="1"/>
  <c r="H7" i="162"/>
  <c r="N29" i="290"/>
  <c r="E35" i="353"/>
  <c r="E35" i="362"/>
  <c r="E21" i="361"/>
  <c r="E7" i="355"/>
  <c r="E7" i="324"/>
  <c r="O29" i="293"/>
  <c r="G21" i="160"/>
  <c r="O23" i="160" s="1"/>
  <c r="H7" i="214"/>
  <c r="H7" i="187"/>
  <c r="E45" i="353"/>
  <c r="J167" i="209" s="1"/>
  <c r="F46" i="338"/>
  <c r="Q634" i="209"/>
  <c r="K634" i="209"/>
  <c r="P654" i="209"/>
  <c r="E44" i="220"/>
  <c r="P114" i="209" s="1"/>
  <c r="J654" i="209"/>
  <c r="J714" i="209"/>
  <c r="M26" i="220"/>
  <c r="E46" i="220"/>
  <c r="N20" i="221"/>
  <c r="N20" i="347"/>
  <c r="H38" i="160"/>
  <c r="M41" i="246" s="1"/>
  <c r="M351" i="246"/>
  <c r="H43" i="126"/>
  <c r="H47" i="126"/>
  <c r="S166" i="246" s="1"/>
  <c r="F11" i="289"/>
  <c r="E11" i="289"/>
  <c r="E46" i="289" s="1"/>
  <c r="H38" i="221"/>
  <c r="M53" i="209" s="1"/>
  <c r="M353" i="209"/>
  <c r="H37" i="220"/>
  <c r="S234" i="209" s="1"/>
  <c r="S294" i="209"/>
  <c r="K672" i="209"/>
  <c r="Q612" i="209"/>
  <c r="H37" i="347"/>
  <c r="S232" i="209" s="1"/>
  <c r="S292" i="209"/>
  <c r="P11" i="241"/>
  <c r="E35" i="11"/>
  <c r="F21" i="337"/>
  <c r="N23" i="337" s="1"/>
  <c r="P7" i="6"/>
  <c r="G35" i="296"/>
  <c r="G21" i="203"/>
  <c r="O23" i="203" s="1"/>
  <c r="H21" i="11"/>
  <c r="P23" i="11" s="1"/>
  <c r="N7" i="344"/>
  <c r="M7" i="333"/>
  <c r="D5" i="162"/>
  <c r="D35" i="162" s="1"/>
  <c r="N23" i="290"/>
  <c r="E21" i="353"/>
  <c r="M23" i="353" s="1"/>
  <c r="F7" i="4"/>
  <c r="H7" i="362"/>
  <c r="F35" i="189"/>
  <c r="L5" i="313"/>
  <c r="L7" i="313" s="1"/>
  <c r="M7" i="315"/>
  <c r="H21" i="104"/>
  <c r="G21" i="84"/>
  <c r="G7" i="15"/>
  <c r="N7" i="241"/>
  <c r="F7" i="221"/>
  <c r="N29" i="289"/>
  <c r="P23" i="229"/>
  <c r="P7" i="359"/>
  <c r="L5" i="359"/>
  <c r="L7" i="359" s="1"/>
  <c r="O8" i="294"/>
  <c r="H46" i="248"/>
  <c r="P18" i="364" s="1"/>
  <c r="L597" i="209"/>
  <c r="G48" i="248"/>
  <c r="O20" i="364" s="1"/>
  <c r="H31" i="248"/>
  <c r="H45" i="248" s="1"/>
  <c r="J537" i="209"/>
  <c r="P9" i="241"/>
  <c r="F42" i="324"/>
  <c r="O65" i="294" s="1"/>
  <c r="F261" i="209"/>
  <c r="F141" i="209"/>
  <c r="F245" i="246"/>
  <c r="F617" i="246"/>
  <c r="F741" i="246"/>
  <c r="F369" i="246"/>
  <c r="F555" i="246"/>
  <c r="F679" i="246"/>
  <c r="F121" i="246"/>
  <c r="F803" i="246"/>
  <c r="F493" i="246"/>
  <c r="F431" i="246"/>
  <c r="F307" i="246"/>
  <c r="U18" i="209"/>
  <c r="U78" i="209" s="1"/>
  <c r="U138" i="209" s="1"/>
  <c r="U198" i="209" s="1"/>
  <c r="U258" i="209" s="1"/>
  <c r="U318" i="209" s="1"/>
  <c r="U378" i="209" s="1"/>
  <c r="U438" i="209" s="1"/>
  <c r="U498" i="209" s="1"/>
  <c r="U558" i="209" s="1"/>
  <c r="U618" i="209" s="1"/>
  <c r="U678" i="209" s="1"/>
  <c r="U738" i="209" s="1"/>
  <c r="D78" i="209"/>
  <c r="D138" i="209" s="1"/>
  <c r="D198" i="209" s="1"/>
  <c r="D258" i="209" s="1"/>
  <c r="D318" i="209" s="1"/>
  <c r="D378" i="209" s="1"/>
  <c r="D438" i="209" s="1"/>
  <c r="D498" i="209" s="1"/>
  <c r="D558" i="209" s="1"/>
  <c r="D618" i="209" s="1"/>
  <c r="D678" i="209" s="1"/>
  <c r="D738" i="209" s="1"/>
  <c r="D86" i="209"/>
  <c r="D146" i="209" s="1"/>
  <c r="D206" i="209" s="1"/>
  <c r="D266" i="209" s="1"/>
  <c r="D326" i="209" s="1"/>
  <c r="D386" i="209" s="1"/>
  <c r="D446" i="209" s="1"/>
  <c r="D506" i="209" s="1"/>
  <c r="D566" i="209" s="1"/>
  <c r="D626" i="209" s="1"/>
  <c r="D686" i="209" s="1"/>
  <c r="D746" i="209" s="1"/>
  <c r="U26" i="209"/>
  <c r="U86" i="209" s="1"/>
  <c r="U146" i="209" s="1"/>
  <c r="U206" i="209" s="1"/>
  <c r="U266" i="209" s="1"/>
  <c r="U326" i="209" s="1"/>
  <c r="U386" i="209" s="1"/>
  <c r="U446" i="209" s="1"/>
  <c r="U506" i="209" s="1"/>
  <c r="U566" i="209" s="1"/>
  <c r="U626" i="209" s="1"/>
  <c r="U686" i="209" s="1"/>
  <c r="U746" i="209" s="1"/>
  <c r="U37" i="209"/>
  <c r="U97" i="209" s="1"/>
  <c r="U157" i="209" s="1"/>
  <c r="U217" i="209" s="1"/>
  <c r="U277" i="209" s="1"/>
  <c r="U337" i="209" s="1"/>
  <c r="U397" i="209" s="1"/>
  <c r="U457" i="209" s="1"/>
  <c r="U517" i="209" s="1"/>
  <c r="U577" i="209" s="1"/>
  <c r="U637" i="209" s="1"/>
  <c r="U697" i="209" s="1"/>
  <c r="U757" i="209" s="1"/>
  <c r="D97" i="209"/>
  <c r="D157" i="209" s="1"/>
  <c r="D217" i="209" s="1"/>
  <c r="D277" i="209" s="1"/>
  <c r="D337" i="209" s="1"/>
  <c r="D397" i="209" s="1"/>
  <c r="D457" i="209" s="1"/>
  <c r="D517" i="209" s="1"/>
  <c r="D577" i="209" s="1"/>
  <c r="D637" i="209" s="1"/>
  <c r="D697" i="209" s="1"/>
  <c r="D757" i="209" s="1"/>
  <c r="P597" i="209"/>
  <c r="J477" i="209"/>
  <c r="M437" i="209"/>
  <c r="M469" i="209"/>
  <c r="S501" i="209"/>
  <c r="S503" i="209"/>
  <c r="M442" i="209"/>
  <c r="S443" i="209"/>
  <c r="S533" i="209"/>
  <c r="S536" i="209"/>
  <c r="S552" i="209"/>
  <c r="S556" i="209"/>
  <c r="S557" i="209"/>
  <c r="S558" i="209"/>
  <c r="S561" i="209"/>
  <c r="S563" i="209"/>
  <c r="M574" i="209"/>
  <c r="H23" i="247"/>
  <c r="R597" i="209"/>
  <c r="S597" i="209" s="1"/>
  <c r="D31" i="173"/>
  <c r="H23" i="326"/>
  <c r="H37" i="326" s="1"/>
  <c r="H46" i="326"/>
  <c r="P18" i="324" s="1"/>
  <c r="E27" i="170"/>
  <c r="M433" i="209"/>
  <c r="S435" i="209"/>
  <c r="S449" i="209"/>
  <c r="S585" i="209"/>
  <c r="S588" i="209"/>
  <c r="S584" i="209"/>
  <c r="S589" i="209"/>
  <c r="S586" i="209"/>
  <c r="S576" i="209"/>
  <c r="S592" i="209"/>
  <c r="S554" i="246"/>
  <c r="M368" i="209"/>
  <c r="M376" i="209"/>
  <c r="S401" i="209"/>
  <c r="S405" i="209"/>
  <c r="S400" i="209"/>
  <c r="S397" i="209"/>
  <c r="M549" i="209"/>
  <c r="M550" i="209"/>
  <c r="S431" i="246"/>
  <c r="S732" i="246"/>
  <c r="O302" i="246"/>
  <c r="L364" i="246"/>
  <c r="M436" i="209"/>
  <c r="S562" i="209"/>
  <c r="M563" i="209"/>
  <c r="M380" i="246"/>
  <c r="M386" i="246"/>
  <c r="M390" i="246"/>
  <c r="M393" i="246"/>
  <c r="M399" i="246"/>
  <c r="M402" i="246"/>
  <c r="M403" i="246"/>
  <c r="M408" i="246"/>
  <c r="M409" i="246"/>
  <c r="M416" i="246"/>
  <c r="M418" i="246"/>
  <c r="M423" i="246"/>
  <c r="M424" i="246"/>
  <c r="S492" i="246"/>
  <c r="M493" i="246"/>
  <c r="S570" i="246"/>
  <c r="S572" i="246"/>
  <c r="S576" i="246"/>
  <c r="S579" i="246"/>
  <c r="S588" i="246"/>
  <c r="S589" i="246"/>
  <c r="S590" i="246"/>
  <c r="S593" i="246"/>
  <c r="S594" i="246"/>
  <c r="S595" i="246"/>
  <c r="S598" i="246"/>
  <c r="S604" i="246"/>
  <c r="S610" i="246"/>
  <c r="E14" i="186"/>
  <c r="E23" i="18"/>
  <c r="E23" i="327" s="1"/>
  <c r="H28" i="326"/>
  <c r="H42" i="326" s="1"/>
  <c r="P14" i="324" s="1"/>
  <c r="E23" i="170"/>
  <c r="C25" i="170"/>
  <c r="D28" i="170"/>
  <c r="E31" i="170"/>
  <c r="C33" i="170"/>
  <c r="S524" i="246"/>
  <c r="R488" i="246"/>
  <c r="S574" i="209"/>
  <c r="S580" i="209"/>
  <c r="P17" i="325"/>
  <c r="S399" i="209"/>
  <c r="S433" i="209"/>
  <c r="S553" i="209"/>
  <c r="M377" i="209"/>
  <c r="S555" i="209"/>
  <c r="S371" i="209"/>
  <c r="S311" i="209"/>
  <c r="S551" i="209"/>
  <c r="M308" i="209"/>
  <c r="M522" i="246"/>
  <c r="P618" i="246"/>
  <c r="S368" i="246"/>
  <c r="M383" i="246"/>
  <c r="E26" i="84"/>
  <c r="H33" i="104"/>
  <c r="P405" i="246"/>
  <c r="O488" i="246"/>
  <c r="E31" i="231"/>
  <c r="G29" i="231"/>
  <c r="G33" i="231"/>
  <c r="E12" i="231"/>
  <c r="P746" i="246" s="1"/>
  <c r="M417" i="246"/>
  <c r="S603" i="246"/>
  <c r="G33" i="170"/>
  <c r="F26" i="231"/>
  <c r="F37" i="292" s="1"/>
  <c r="H43" i="204"/>
  <c r="C29" i="231"/>
  <c r="J612" i="246"/>
  <c r="P302" i="246"/>
  <c r="G29" i="170"/>
  <c r="H26" i="223"/>
  <c r="H40" i="223" s="1"/>
  <c r="M84" i="246" s="1"/>
  <c r="E27" i="231"/>
  <c r="D25" i="171"/>
  <c r="C30" i="171"/>
  <c r="G27" i="231"/>
  <c r="F32" i="231"/>
  <c r="E16" i="171"/>
  <c r="E13" i="171"/>
  <c r="D26" i="170"/>
  <c r="C23" i="228"/>
  <c r="C27" i="173"/>
  <c r="M506" i="209"/>
  <c r="E28" i="173"/>
  <c r="E28" i="228"/>
  <c r="C29" i="228"/>
  <c r="D11" i="216"/>
  <c r="E11" i="216"/>
  <c r="E44" i="216" s="1"/>
  <c r="P89" i="209" s="1"/>
  <c r="R350" i="209"/>
  <c r="F25" i="228"/>
  <c r="G11" i="216"/>
  <c r="O26" i="216" s="1"/>
  <c r="D31" i="18"/>
  <c r="R669" i="246"/>
  <c r="C29" i="170"/>
  <c r="F656" i="209"/>
  <c r="R450" i="209"/>
  <c r="F17" i="18"/>
  <c r="O674" i="209"/>
  <c r="P25" i="225"/>
  <c r="L25" i="228"/>
  <c r="H13" i="164"/>
  <c r="H20" i="164" s="1"/>
  <c r="I13" i="164"/>
  <c r="I20" i="164" s="1"/>
  <c r="I35" i="164" s="1"/>
  <c r="K96" i="209" s="1"/>
  <c r="G13" i="164"/>
  <c r="G20" i="164" s="1"/>
  <c r="P257" i="246"/>
  <c r="Q257" i="246"/>
  <c r="C28" i="171"/>
  <c r="C28" i="84"/>
  <c r="F29" i="171"/>
  <c r="F48" i="103"/>
  <c r="E31" i="84"/>
  <c r="E13" i="231"/>
  <c r="E13" i="170"/>
  <c r="H24" i="226"/>
  <c r="M364" i="246" s="1"/>
  <c r="I426" i="246"/>
  <c r="D24" i="231"/>
  <c r="G25" i="170"/>
  <c r="L550" i="246"/>
  <c r="D46" i="354"/>
  <c r="D18" i="354"/>
  <c r="D39" i="354" s="1"/>
  <c r="D45" i="354"/>
  <c r="F11" i="215"/>
  <c r="F18" i="215" s="1"/>
  <c r="D11" i="215"/>
  <c r="G11" i="215"/>
  <c r="L686" i="209" s="1"/>
  <c r="E11" i="215"/>
  <c r="J626" i="209" s="1"/>
  <c r="K648" i="209"/>
  <c r="F45" i="178"/>
  <c r="K168" i="209" s="1"/>
  <c r="P720" i="246"/>
  <c r="E12" i="184"/>
  <c r="P745" i="246" s="1"/>
  <c r="F25" i="309"/>
  <c r="Q432" i="246"/>
  <c r="E48" i="308"/>
  <c r="M20" i="307" s="1"/>
  <c r="E31" i="309"/>
  <c r="E48" i="309" s="1"/>
  <c r="M20" i="308" s="1"/>
  <c r="P715" i="246"/>
  <c r="E12" i="84"/>
  <c r="P744" i="246" s="1"/>
  <c r="H25" i="225"/>
  <c r="H39" i="225" s="1"/>
  <c r="P11" i="356" s="1"/>
  <c r="P467" i="246"/>
  <c r="F45" i="101"/>
  <c r="K155" i="246" s="1"/>
  <c r="O11" i="294"/>
  <c r="J11" i="294"/>
  <c r="F41" i="288"/>
  <c r="J68" i="294" s="1"/>
  <c r="F37" i="288"/>
  <c r="J30" i="294" s="1"/>
  <c r="F40" i="288"/>
  <c r="J49" i="294" s="1"/>
  <c r="G45" i="189"/>
  <c r="L173" i="246" s="1"/>
  <c r="K637" i="209"/>
  <c r="F38" i="288"/>
  <c r="T11" i="294" s="1"/>
  <c r="F44" i="101"/>
  <c r="Q93" i="246" s="1"/>
  <c r="F25" i="184"/>
  <c r="E48" i="226"/>
  <c r="J34" i="36"/>
  <c r="N32" i="36"/>
  <c r="F802" i="246"/>
  <c r="F182" i="246"/>
  <c r="F616" i="246"/>
  <c r="F740" i="246"/>
  <c r="F120" i="246"/>
  <c r="F58" i="246"/>
  <c r="F554" i="246"/>
  <c r="F11" i="216"/>
  <c r="F18" i="216" s="1"/>
  <c r="N20" i="292"/>
  <c r="Q690" i="209"/>
  <c r="Q674" i="209"/>
  <c r="P674" i="209"/>
  <c r="R674" i="209"/>
  <c r="E17" i="18"/>
  <c r="E17" i="327" s="1"/>
  <c r="E16" i="18"/>
  <c r="E16" i="327" s="1"/>
  <c r="D12" i="18"/>
  <c r="D12" i="327" s="1"/>
  <c r="O692" i="209" s="1"/>
  <c r="C27" i="18"/>
  <c r="C27" i="327" s="1"/>
  <c r="F23" i="18"/>
  <c r="C10" i="292" s="1"/>
  <c r="E27" i="18"/>
  <c r="E27" i="327" s="1"/>
  <c r="D23" i="18"/>
  <c r="G30" i="18"/>
  <c r="G30" i="327" s="1"/>
  <c r="C24" i="18"/>
  <c r="F24" i="18"/>
  <c r="F24" i="327" s="1"/>
  <c r="E33" i="18"/>
  <c r="J405" i="246"/>
  <c r="Q281" i="246"/>
  <c r="J467" i="246"/>
  <c r="P281" i="246"/>
  <c r="J591" i="246"/>
  <c r="P591" i="246"/>
  <c r="E28" i="171"/>
  <c r="E28" i="84"/>
  <c r="G44" i="139"/>
  <c r="R83" i="246" s="1"/>
  <c r="F176" i="209"/>
  <c r="F716" i="209"/>
  <c r="F416" i="209"/>
  <c r="G45" i="139"/>
  <c r="L145" i="246" s="1"/>
  <c r="O350" i="209"/>
  <c r="R742" i="246"/>
  <c r="S742" i="246" s="1"/>
  <c r="K676" i="209"/>
  <c r="N26" i="9"/>
  <c r="K616" i="209"/>
  <c r="E48" i="104"/>
  <c r="M20" i="354" s="1"/>
  <c r="E24" i="18"/>
  <c r="D11" i="293"/>
  <c r="E11" i="293"/>
  <c r="G11" i="293"/>
  <c r="G11" i="349"/>
  <c r="G45" i="349" s="1"/>
  <c r="P54" i="294" s="1"/>
  <c r="F11" i="349"/>
  <c r="F45" i="349" s="1"/>
  <c r="O54" i="294" s="1"/>
  <c r="D11" i="349"/>
  <c r="E11" i="349"/>
  <c r="G11" i="219"/>
  <c r="E11" i="219"/>
  <c r="F11" i="219"/>
  <c r="D11" i="79"/>
  <c r="D44" i="79" s="1"/>
  <c r="O99" i="209" s="1"/>
  <c r="E11" i="79"/>
  <c r="P639" i="209" s="1"/>
  <c r="F11" i="79"/>
  <c r="D11" i="295"/>
  <c r="G11" i="295"/>
  <c r="G46" i="295" s="1"/>
  <c r="E11" i="295"/>
  <c r="K450" i="209"/>
  <c r="K390" i="209"/>
  <c r="D25" i="228"/>
  <c r="I570" i="209"/>
  <c r="D29" i="228"/>
  <c r="D29" i="173"/>
  <c r="AA20" i="292"/>
  <c r="R570" i="209"/>
  <c r="M25" i="172"/>
  <c r="D33" i="184"/>
  <c r="I556" i="246"/>
  <c r="L394" i="246"/>
  <c r="G23" i="171"/>
  <c r="H25" i="223"/>
  <c r="G25" i="231"/>
  <c r="L518" i="246"/>
  <c r="AA35" i="292"/>
  <c r="G32" i="231"/>
  <c r="G32" i="173"/>
  <c r="G27" i="84"/>
  <c r="H27" i="104"/>
  <c r="H41" i="104" s="1"/>
  <c r="P13" i="271" s="1"/>
  <c r="E11" i="360"/>
  <c r="F11" i="360"/>
  <c r="P470" i="209"/>
  <c r="E12" i="170"/>
  <c r="P710" i="209"/>
  <c r="C21" i="292"/>
  <c r="Q290" i="209"/>
  <c r="F11" i="307"/>
  <c r="N26" i="307" s="1"/>
  <c r="G11" i="307"/>
  <c r="D11" i="307"/>
  <c r="L26" i="307" s="1"/>
  <c r="E11" i="307"/>
  <c r="P678" i="246" s="1"/>
  <c r="F11" i="105"/>
  <c r="F46" i="105" s="1"/>
  <c r="D11" i="105"/>
  <c r="I622" i="209" s="1"/>
  <c r="E31" i="184"/>
  <c r="P621" i="246" s="1"/>
  <c r="E31" i="172"/>
  <c r="D33" i="171"/>
  <c r="D33" i="84"/>
  <c r="D44" i="354"/>
  <c r="N26" i="295"/>
  <c r="F43" i="295" s="1"/>
  <c r="F47" i="295" s="1"/>
  <c r="T55" i="294" s="1"/>
  <c r="F18" i="295"/>
  <c r="G11" i="101"/>
  <c r="R651" i="246" s="1"/>
  <c r="F45" i="295"/>
  <c r="O55" i="294" s="1"/>
  <c r="K530" i="209"/>
  <c r="D26" i="231"/>
  <c r="J450" i="209"/>
  <c r="K713" i="246"/>
  <c r="E18" i="165"/>
  <c r="J761" i="246" s="1"/>
  <c r="E44" i="165"/>
  <c r="P79" i="246" s="1"/>
  <c r="E45" i="165"/>
  <c r="J141" i="246" s="1"/>
  <c r="J637" i="246"/>
  <c r="D92" i="246"/>
  <c r="D154" i="246" s="1"/>
  <c r="D216" i="246" s="1"/>
  <c r="D278" i="246" s="1"/>
  <c r="D340" i="246" s="1"/>
  <c r="D402" i="246" s="1"/>
  <c r="D464" i="246" s="1"/>
  <c r="D526" i="246" s="1"/>
  <c r="D588" i="246" s="1"/>
  <c r="D650" i="246" s="1"/>
  <c r="D712" i="246" s="1"/>
  <c r="D774" i="246" s="1"/>
  <c r="U30" i="246"/>
  <c r="U92" i="246" s="1"/>
  <c r="U154" i="246" s="1"/>
  <c r="U216" i="246" s="1"/>
  <c r="U278" i="246" s="1"/>
  <c r="U340" i="246" s="1"/>
  <c r="U402" i="246" s="1"/>
  <c r="U464" i="246" s="1"/>
  <c r="U526" i="246" s="1"/>
  <c r="U588" i="246" s="1"/>
  <c r="U650" i="246" s="1"/>
  <c r="U712" i="246" s="1"/>
  <c r="D104" i="246"/>
  <c r="D166" i="246" s="1"/>
  <c r="D228" i="246" s="1"/>
  <c r="D290" i="246" s="1"/>
  <c r="D352" i="246" s="1"/>
  <c r="D414" i="246" s="1"/>
  <c r="D476" i="246" s="1"/>
  <c r="D538" i="246" s="1"/>
  <c r="D600" i="246" s="1"/>
  <c r="D662" i="246" s="1"/>
  <c r="D724" i="246" s="1"/>
  <c r="D786" i="246" s="1"/>
  <c r="U42" i="246"/>
  <c r="U104" i="246" s="1"/>
  <c r="U166" i="246" s="1"/>
  <c r="U228" i="246" s="1"/>
  <c r="U290" i="246" s="1"/>
  <c r="U352" i="246" s="1"/>
  <c r="U414" i="246" s="1"/>
  <c r="U476" i="246" s="1"/>
  <c r="U538" i="246" s="1"/>
  <c r="U600" i="246" s="1"/>
  <c r="U662" i="246" s="1"/>
  <c r="U724" i="246" s="1"/>
  <c r="D11" i="165"/>
  <c r="L26" i="165" s="1"/>
  <c r="D43" i="165" s="1"/>
  <c r="D47" i="165" s="1"/>
  <c r="O141" i="246" s="1"/>
  <c r="F11" i="165"/>
  <c r="G11" i="165"/>
  <c r="G45" i="165" s="1"/>
  <c r="L141" i="246" s="1"/>
  <c r="O677" i="209"/>
  <c r="S677" i="209" s="1"/>
  <c r="D64" i="36"/>
  <c r="P677" i="209"/>
  <c r="Q677" i="209"/>
  <c r="H30" i="225"/>
  <c r="H44" i="225" s="1"/>
  <c r="S110" i="209" s="1"/>
  <c r="L470" i="209"/>
  <c r="D23" i="84"/>
  <c r="O257" i="246"/>
  <c r="L669" i="246"/>
  <c r="F44" i="295"/>
  <c r="T36" i="294" s="1"/>
  <c r="F42" i="288"/>
  <c r="O68" i="294" s="1"/>
  <c r="Q410" i="209"/>
  <c r="F236" i="209"/>
  <c r="D36" i="292"/>
  <c r="P596" i="246"/>
  <c r="G24" i="173"/>
  <c r="E32" i="18"/>
  <c r="E32" i="327" s="1"/>
  <c r="D11" i="139"/>
  <c r="E11" i="139"/>
  <c r="F11" i="139"/>
  <c r="F46" i="101"/>
  <c r="K651" i="246"/>
  <c r="F18" i="101"/>
  <c r="I450" i="209"/>
  <c r="O270" i="209"/>
  <c r="D23" i="173"/>
  <c r="K510" i="209"/>
  <c r="F33" i="228"/>
  <c r="H24" i="186"/>
  <c r="J348" i="246"/>
  <c r="J529" i="246"/>
  <c r="E25" i="84"/>
  <c r="F48" i="361"/>
  <c r="N20" i="296" s="1"/>
  <c r="H33" i="225"/>
  <c r="D33" i="228"/>
  <c r="G44" i="189"/>
  <c r="R111" i="246" s="1"/>
  <c r="E12" i="172"/>
  <c r="P738" i="246" s="1"/>
  <c r="Q450" i="209"/>
  <c r="T125" i="294"/>
  <c r="F536" i="209"/>
  <c r="P270" i="209"/>
  <c r="E11" i="101"/>
  <c r="M26" i="101" s="1"/>
  <c r="E43" i="101" s="1"/>
  <c r="E47" i="101" s="1"/>
  <c r="P155" i="246" s="1"/>
  <c r="D69" i="209"/>
  <c r="D129" i="209" s="1"/>
  <c r="D189" i="209" s="1"/>
  <c r="D249" i="209" s="1"/>
  <c r="D309" i="209" s="1"/>
  <c r="D369" i="209" s="1"/>
  <c r="D429" i="209" s="1"/>
  <c r="D489" i="209" s="1"/>
  <c r="D549" i="209" s="1"/>
  <c r="D609" i="209" s="1"/>
  <c r="D669" i="209" s="1"/>
  <c r="D729" i="209" s="1"/>
  <c r="U9" i="209"/>
  <c r="U69" i="209" s="1"/>
  <c r="U129" i="209" s="1"/>
  <c r="U189" i="209" s="1"/>
  <c r="U249" i="209" s="1"/>
  <c r="U309" i="209" s="1"/>
  <c r="U369" i="209" s="1"/>
  <c r="U429" i="209" s="1"/>
  <c r="U489" i="209" s="1"/>
  <c r="U549" i="209" s="1"/>
  <c r="U609" i="209" s="1"/>
  <c r="U669" i="209" s="1"/>
  <c r="U729" i="209" s="1"/>
  <c r="D109" i="209"/>
  <c r="D169" i="209" s="1"/>
  <c r="D229" i="209" s="1"/>
  <c r="D289" i="209" s="1"/>
  <c r="D349" i="209" s="1"/>
  <c r="D409" i="209" s="1"/>
  <c r="D469" i="209" s="1"/>
  <c r="D529" i="209" s="1"/>
  <c r="D589" i="209" s="1"/>
  <c r="D649" i="209" s="1"/>
  <c r="D709" i="209" s="1"/>
  <c r="D769" i="209" s="1"/>
  <c r="U49" i="209"/>
  <c r="U109" i="209" s="1"/>
  <c r="U169" i="209" s="1"/>
  <c r="U229" i="209" s="1"/>
  <c r="U289" i="209" s="1"/>
  <c r="U349" i="209" s="1"/>
  <c r="U409" i="209" s="1"/>
  <c r="U469" i="209" s="1"/>
  <c r="U529" i="209" s="1"/>
  <c r="U589" i="209" s="1"/>
  <c r="U649" i="209" s="1"/>
  <c r="U709" i="209" s="1"/>
  <c r="U769" i="209" s="1"/>
  <c r="D16" i="184"/>
  <c r="O494" i="246"/>
  <c r="D48" i="226"/>
  <c r="H28" i="186"/>
  <c r="H42" i="186" s="1"/>
  <c r="P14" i="191" s="1"/>
  <c r="E17" i="170"/>
  <c r="F54" i="209"/>
  <c r="U16" i="209"/>
  <c r="U76" i="209" s="1"/>
  <c r="U136" i="209" s="1"/>
  <c r="U196" i="209" s="1"/>
  <c r="U256" i="209" s="1"/>
  <c r="U316" i="209" s="1"/>
  <c r="U376" i="209" s="1"/>
  <c r="U436" i="209" s="1"/>
  <c r="U496" i="209" s="1"/>
  <c r="U556" i="209" s="1"/>
  <c r="U616" i="209" s="1"/>
  <c r="U676" i="209" s="1"/>
  <c r="U736" i="209" s="1"/>
  <c r="S705" i="209"/>
  <c r="J330" i="209"/>
  <c r="H28" i="212"/>
  <c r="H42" i="212" s="1"/>
  <c r="M270" i="209" s="1"/>
  <c r="J432" i="246"/>
  <c r="F32" i="170"/>
  <c r="E17" i="172"/>
  <c r="J596" i="246"/>
  <c r="D11" i="192"/>
  <c r="D18" i="192" s="1"/>
  <c r="R348" i="246"/>
  <c r="D32" i="231"/>
  <c r="H32" i="231" s="1"/>
  <c r="M684" i="246" s="1"/>
  <c r="D32" i="170"/>
  <c r="N20" i="284"/>
  <c r="N20" i="192"/>
  <c r="D5" i="183"/>
  <c r="D21" i="183" s="1"/>
  <c r="L23" i="183" s="1"/>
  <c r="H35" i="330"/>
  <c r="F21" i="213"/>
  <c r="N23" i="213" s="1"/>
  <c r="F35" i="176"/>
  <c r="G21" i="39"/>
  <c r="O23" i="39" s="1"/>
  <c r="G35" i="190"/>
  <c r="E21" i="6"/>
  <c r="M23" i="6" s="1"/>
  <c r="P7" i="345"/>
  <c r="G35" i="7"/>
  <c r="D5" i="7"/>
  <c r="D21" i="7" s="1"/>
  <c r="L23" i="7" s="1"/>
  <c r="H35" i="216"/>
  <c r="D5" i="216"/>
  <c r="D7" i="216" s="1"/>
  <c r="F7" i="91"/>
  <c r="F7" i="9"/>
  <c r="F21" i="296"/>
  <c r="N23" i="296" s="1"/>
  <c r="O7" i="334"/>
  <c r="G35" i="333"/>
  <c r="L7" i="333"/>
  <c r="P7" i="162"/>
  <c r="E21" i="178"/>
  <c r="M23" i="178" s="1"/>
  <c r="O23" i="290"/>
  <c r="G21" i="353"/>
  <c r="O23" i="353" s="1"/>
  <c r="E21" i="139"/>
  <c r="M23" i="139" s="1"/>
  <c r="D5" i="95"/>
  <c r="D35" i="95" s="1"/>
  <c r="G7" i="95"/>
  <c r="H7" i="95"/>
  <c r="E21" i="95"/>
  <c r="M23" i="95" s="1"/>
  <c r="E7" i="95"/>
  <c r="F35" i="95"/>
  <c r="P7" i="354"/>
  <c r="L5" i="354"/>
  <c r="L7" i="354" s="1"/>
  <c r="M7" i="354"/>
  <c r="E7" i="219"/>
  <c r="F21" i="219"/>
  <c r="N23" i="219" s="1"/>
  <c r="F21" i="141"/>
  <c r="N23" i="141" s="1"/>
  <c r="E35" i="141"/>
  <c r="D5" i="279"/>
  <c r="D7" i="279" s="1"/>
  <c r="F7" i="279"/>
  <c r="E21" i="279"/>
  <c r="M23" i="279" s="1"/>
  <c r="G21" i="279"/>
  <c r="O23" i="279" s="1"/>
  <c r="G35" i="279"/>
  <c r="D44" i="333"/>
  <c r="R42" i="294" s="1"/>
  <c r="D45" i="333"/>
  <c r="M61" i="294" s="1"/>
  <c r="G35" i="196"/>
  <c r="F7" i="196"/>
  <c r="E44" i="290"/>
  <c r="M26" i="290"/>
  <c r="E43" i="290" s="1"/>
  <c r="E47" i="290" s="1"/>
  <c r="S51" i="294" s="1"/>
  <c r="E18" i="290"/>
  <c r="N127" i="294"/>
  <c r="E46" i="290"/>
  <c r="G46" i="6"/>
  <c r="R618" i="209"/>
  <c r="G45" i="6"/>
  <c r="L138" i="209" s="1"/>
  <c r="L618" i="209"/>
  <c r="L678" i="209"/>
  <c r="O26" i="6"/>
  <c r="R738" i="209" s="1"/>
  <c r="G44" i="6"/>
  <c r="R78" i="209" s="1"/>
  <c r="T17" i="129"/>
  <c r="R20" i="129"/>
  <c r="H21" i="176"/>
  <c r="P23" i="176" s="1"/>
  <c r="O29" i="333"/>
  <c r="G7" i="354"/>
  <c r="F7" i="354"/>
  <c r="D5" i="354"/>
  <c r="D35" i="354" s="1"/>
  <c r="E35" i="223"/>
  <c r="E21" i="223"/>
  <c r="G21" i="183"/>
  <c r="O23" i="183" s="1"/>
  <c r="F35" i="326"/>
  <c r="N7" i="213"/>
  <c r="O7" i="176"/>
  <c r="M7" i="39"/>
  <c r="E35" i="190"/>
  <c r="N7" i="101"/>
  <c r="H21" i="284"/>
  <c r="P23" i="284" s="1"/>
  <c r="H35" i="270"/>
  <c r="H21" i="7"/>
  <c r="P23" i="7" s="1"/>
  <c r="E35" i="216"/>
  <c r="E35" i="91"/>
  <c r="H7" i="296"/>
  <c r="E21" i="11"/>
  <c r="M23" i="11" s="1"/>
  <c r="M7" i="344"/>
  <c r="H7" i="334"/>
  <c r="N29" i="333"/>
  <c r="D5" i="333"/>
  <c r="D21" i="333" s="1"/>
  <c r="L23" i="333" s="1"/>
  <c r="F7" i="162"/>
  <c r="F7" i="178"/>
  <c r="M23" i="290"/>
  <c r="G35" i="353"/>
  <c r="H7" i="353"/>
  <c r="O7" i="139"/>
  <c r="D5" i="241"/>
  <c r="D35" i="241" s="1"/>
  <c r="E7" i="241"/>
  <c r="H7" i="241"/>
  <c r="G35" i="241"/>
  <c r="D71" i="209"/>
  <c r="D131" i="209" s="1"/>
  <c r="D191" i="209" s="1"/>
  <c r="D251" i="209" s="1"/>
  <c r="D311" i="209" s="1"/>
  <c r="D371" i="209" s="1"/>
  <c r="D431" i="209" s="1"/>
  <c r="D491" i="209" s="1"/>
  <c r="D551" i="209" s="1"/>
  <c r="D611" i="209" s="1"/>
  <c r="D671" i="209" s="1"/>
  <c r="D731" i="209" s="1"/>
  <c r="F35" i="7"/>
  <c r="D5" i="137"/>
  <c r="D7" i="137" s="1"/>
  <c r="G7" i="137"/>
  <c r="E21" i="137"/>
  <c r="M23" i="137" s="1"/>
  <c r="H35" i="137"/>
  <c r="G7" i="156"/>
  <c r="H21" i="156"/>
  <c r="P23" i="156" s="1"/>
  <c r="E35" i="156"/>
  <c r="F35" i="156"/>
  <c r="D5" i="156"/>
  <c r="D7" i="156" s="1"/>
  <c r="F21" i="183"/>
  <c r="N23" i="183" s="1"/>
  <c r="E35" i="326"/>
  <c r="M7" i="213"/>
  <c r="M7" i="176"/>
  <c r="H7" i="39"/>
  <c r="H21" i="190"/>
  <c r="P23" i="190" s="1"/>
  <c r="M7" i="101"/>
  <c r="F21" i="248"/>
  <c r="E21" i="284"/>
  <c r="M23" i="284" s="1"/>
  <c r="E35" i="270"/>
  <c r="O29" i="295"/>
  <c r="G21" i="7"/>
  <c r="O23" i="7" s="1"/>
  <c r="O7" i="105"/>
  <c r="G21" i="216"/>
  <c r="O23" i="216" s="1"/>
  <c r="D5" i="91"/>
  <c r="D35" i="91" s="1"/>
  <c r="H35" i="296"/>
  <c r="L5" i="344"/>
  <c r="L7" i="344" s="1"/>
  <c r="E7" i="334"/>
  <c r="P7" i="290"/>
  <c r="F35" i="353"/>
  <c r="G7" i="353"/>
  <c r="L5" i="139"/>
  <c r="L7" i="139" s="1"/>
  <c r="E35" i="95"/>
  <c r="G21" i="172"/>
  <c r="G35" i="172"/>
  <c r="H21" i="183"/>
  <c r="P23" i="183" s="1"/>
  <c r="P7" i="13"/>
  <c r="M7" i="13"/>
  <c r="N7" i="221"/>
  <c r="M7" i="221"/>
  <c r="O7" i="221"/>
  <c r="P7" i="221"/>
  <c r="G21" i="270"/>
  <c r="O23" i="270" s="1"/>
  <c r="F21" i="7"/>
  <c r="N23" i="7" s="1"/>
  <c r="F21" i="216"/>
  <c r="N23" i="216" s="1"/>
  <c r="O7" i="10"/>
  <c r="H21" i="99"/>
  <c r="P23" i="99" s="1"/>
  <c r="D5" i="99"/>
  <c r="D7" i="99" s="1"/>
  <c r="E35" i="99"/>
  <c r="G35" i="99"/>
  <c r="F21" i="99"/>
  <c r="N23" i="99" s="1"/>
  <c r="G35" i="354"/>
  <c r="F35" i="308"/>
  <c r="F21" i="308"/>
  <c r="O7" i="14"/>
  <c r="L5" i="14"/>
  <c r="L7" i="14" s="1"/>
  <c r="H21" i="325"/>
  <c r="E7" i="325"/>
  <c r="F7" i="204"/>
  <c r="E21" i="204"/>
  <c r="M23" i="204" s="1"/>
  <c r="H21" i="204"/>
  <c r="P23" i="204" s="1"/>
  <c r="F35" i="204"/>
  <c r="F381" i="209"/>
  <c r="F621" i="209"/>
  <c r="F561" i="209"/>
  <c r="F21" i="209"/>
  <c r="F681" i="209"/>
  <c r="F321" i="209"/>
  <c r="F501" i="209"/>
  <c r="F81" i="209"/>
  <c r="F741" i="209"/>
  <c r="F441" i="209"/>
  <c r="F201" i="209"/>
  <c r="F35" i="190"/>
  <c r="G35" i="216"/>
  <c r="H7" i="183"/>
  <c r="F7" i="213"/>
  <c r="F21" i="190"/>
  <c r="N23" i="190" s="1"/>
  <c r="H35" i="183"/>
  <c r="E7" i="183"/>
  <c r="L5" i="176"/>
  <c r="L7" i="176" s="1"/>
  <c r="D5" i="39"/>
  <c r="D35" i="39" s="1"/>
  <c r="E21" i="190"/>
  <c r="M23" i="190" s="1"/>
  <c r="G35" i="247"/>
  <c r="H7" i="6"/>
  <c r="H7" i="270"/>
  <c r="L5" i="295"/>
  <c r="L7" i="295" s="1"/>
  <c r="F7" i="7"/>
  <c r="M7" i="105"/>
  <c r="M7" i="216"/>
  <c r="F21" i="91"/>
  <c r="N23" i="91" s="1"/>
  <c r="M7" i="118"/>
  <c r="N7" i="10"/>
  <c r="P7" i="333"/>
  <c r="O29" i="290"/>
  <c r="E7" i="290"/>
  <c r="O7" i="13"/>
  <c r="G21" i="354"/>
  <c r="O23" i="354" s="1"/>
  <c r="H35" i="189"/>
  <c r="H7" i="189"/>
  <c r="F21" i="189"/>
  <c r="N23" i="189" s="1"/>
  <c r="G21" i="189"/>
  <c r="O23" i="189" s="1"/>
  <c r="D5" i="189"/>
  <c r="D21" i="189" s="1"/>
  <c r="L23" i="189" s="1"/>
  <c r="N7" i="313"/>
  <c r="O7" i="313"/>
  <c r="F35" i="137"/>
  <c r="N7" i="338"/>
  <c r="O7" i="338"/>
  <c r="T14" i="27"/>
  <c r="L5" i="192"/>
  <c r="L7" i="192" s="1"/>
  <c r="P7" i="192"/>
  <c r="G35" i="183"/>
  <c r="F7" i="190"/>
  <c r="H35" i="6"/>
  <c r="E7" i="6"/>
  <c r="E7" i="7"/>
  <c r="H7" i="216"/>
  <c r="L5" i="118"/>
  <c r="L7" i="118" s="1"/>
  <c r="M7" i="9"/>
  <c r="O7" i="333"/>
  <c r="H35" i="178"/>
  <c r="N7" i="13"/>
  <c r="H21" i="137"/>
  <c r="P23" i="137" s="1"/>
  <c r="G21" i="171"/>
  <c r="G35" i="171"/>
  <c r="F21" i="212"/>
  <c r="F35" i="212"/>
  <c r="R10" i="36"/>
  <c r="T10" i="36" s="1"/>
  <c r="R12" i="29"/>
  <c r="R16" i="29" s="1"/>
  <c r="G35" i="362"/>
  <c r="M7" i="141"/>
  <c r="F21" i="171"/>
  <c r="G21" i="309"/>
  <c r="E21" i="15"/>
  <c r="M23" i="15" s="1"/>
  <c r="H21" i="338"/>
  <c r="P23" i="338" s="1"/>
  <c r="F7" i="338"/>
  <c r="G7" i="324"/>
  <c r="N7" i="220"/>
  <c r="E7" i="221"/>
  <c r="E35" i="16"/>
  <c r="G7" i="16"/>
  <c r="N29" i="293"/>
  <c r="G35" i="347"/>
  <c r="H7" i="347"/>
  <c r="M7" i="288"/>
  <c r="F21" i="187"/>
  <c r="N23" i="187" s="1"/>
  <c r="F21" i="165"/>
  <c r="N23" i="165" s="1"/>
  <c r="F37" i="271"/>
  <c r="Q215" i="246" s="1"/>
  <c r="E21" i="226"/>
  <c r="G35" i="15"/>
  <c r="F21" i="338"/>
  <c r="N23" i="338" s="1"/>
  <c r="D5" i="338"/>
  <c r="D35" i="338" s="1"/>
  <c r="N29" i="324"/>
  <c r="L5" i="220"/>
  <c r="L7" i="220" s="1"/>
  <c r="L5" i="288"/>
  <c r="L7" i="288" s="1"/>
  <c r="F563" i="209"/>
  <c r="F503" i="209"/>
  <c r="L5" i="99"/>
  <c r="L7" i="99" s="1"/>
  <c r="E7" i="362"/>
  <c r="L5" i="356"/>
  <c r="L7" i="356" s="1"/>
  <c r="G21" i="184"/>
  <c r="P7" i="325"/>
  <c r="E7" i="360"/>
  <c r="H35" i="338"/>
  <c r="E35" i="225"/>
  <c r="N29" i="349"/>
  <c r="H7" i="293"/>
  <c r="E7" i="126"/>
  <c r="E21" i="347"/>
  <c r="M23" i="347" s="1"/>
  <c r="O29" i="288"/>
  <c r="H35" i="151"/>
  <c r="F40" i="271"/>
  <c r="K91" i="246" s="1"/>
  <c r="F233" i="209"/>
  <c r="F593" i="209"/>
  <c r="T11" i="161"/>
  <c r="F35" i="72"/>
  <c r="N23" i="223"/>
  <c r="G35" i="338"/>
  <c r="M7" i="241"/>
  <c r="G21" i="324"/>
  <c r="F35" i="220"/>
  <c r="E35" i="202"/>
  <c r="D5" i="289"/>
  <c r="D7" i="289" s="1"/>
  <c r="P7" i="16"/>
  <c r="G35" i="293"/>
  <c r="N7" i="160"/>
  <c r="P7" i="347"/>
  <c r="N29" i="288"/>
  <c r="H21" i="231"/>
  <c r="M7" i="151"/>
  <c r="F42" i="271"/>
  <c r="K277" i="246" s="1"/>
  <c r="H21" i="72"/>
  <c r="P23" i="72" s="1"/>
  <c r="M7" i="219"/>
  <c r="M7" i="204"/>
  <c r="H21" i="15"/>
  <c r="P23" i="15" s="1"/>
  <c r="F35" i="338"/>
  <c r="H7" i="338"/>
  <c r="P23" i="225"/>
  <c r="F21" i="324"/>
  <c r="E35" i="220"/>
  <c r="G21" i="202"/>
  <c r="O23" i="202" s="1"/>
  <c r="H7" i="221"/>
  <c r="M7" i="349"/>
  <c r="M7" i="16"/>
  <c r="N7" i="347"/>
  <c r="O7" i="288"/>
  <c r="P23" i="327"/>
  <c r="C162" i="209"/>
  <c r="C222" i="209" s="1"/>
  <c r="N26" i="125"/>
  <c r="F44" i="125"/>
  <c r="Q73" i="209" s="1"/>
  <c r="F21" i="15"/>
  <c r="N23" i="15" s="1"/>
  <c r="G7" i="338"/>
  <c r="H43" i="123"/>
  <c r="S370" i="209"/>
  <c r="S373" i="209"/>
  <c r="S378" i="209"/>
  <c r="M416" i="209"/>
  <c r="S473" i="209"/>
  <c r="M507" i="209"/>
  <c r="M508" i="209"/>
  <c r="S518" i="209"/>
  <c r="S527" i="209"/>
  <c r="S520" i="209"/>
  <c r="S516" i="209"/>
  <c r="S517" i="209"/>
  <c r="S513" i="246"/>
  <c r="S516" i="246"/>
  <c r="S517" i="246"/>
  <c r="S523" i="246"/>
  <c r="S527" i="246"/>
  <c r="S528" i="246"/>
  <c r="S531" i="246"/>
  <c r="S532" i="246"/>
  <c r="S533" i="246"/>
  <c r="S539" i="246"/>
  <c r="S540" i="246"/>
  <c r="S541" i="246"/>
  <c r="S542" i="246"/>
  <c r="S543" i="246"/>
  <c r="S544" i="246"/>
  <c r="S547" i="246"/>
  <c r="S548" i="246"/>
  <c r="S690" i="246"/>
  <c r="S702" i="246"/>
  <c r="S709" i="246"/>
  <c r="S719" i="246"/>
  <c r="S723" i="246"/>
  <c r="S725" i="246"/>
  <c r="S729" i="246"/>
  <c r="S731" i="246"/>
  <c r="S733" i="246"/>
  <c r="I537" i="209"/>
  <c r="M537" i="209" s="1"/>
  <c r="N25" i="171"/>
  <c r="G24" i="84"/>
  <c r="G32" i="84"/>
  <c r="C26" i="170"/>
  <c r="G30" i="170"/>
  <c r="G30" i="175" s="1"/>
  <c r="E32" i="170"/>
  <c r="L25" i="231"/>
  <c r="S407" i="209"/>
  <c r="H47" i="241"/>
  <c r="S176" i="209" s="1"/>
  <c r="M25" i="170"/>
  <c r="M520" i="209"/>
  <c r="M516" i="209"/>
  <c r="M517" i="209"/>
  <c r="S683" i="209"/>
  <c r="S687" i="209"/>
  <c r="S689" i="209"/>
  <c r="S695" i="209"/>
  <c r="S697" i="209"/>
  <c r="S716" i="209"/>
  <c r="M569" i="209"/>
  <c r="S669" i="209"/>
  <c r="S673" i="209"/>
  <c r="S708" i="209"/>
  <c r="S707" i="209"/>
  <c r="S709" i="209"/>
  <c r="S696" i="209"/>
  <c r="G25" i="184"/>
  <c r="G12" i="171"/>
  <c r="G16" i="173"/>
  <c r="G12" i="84"/>
  <c r="R744" i="246" s="1"/>
  <c r="R591" i="246"/>
  <c r="D27" i="228"/>
  <c r="G28" i="228"/>
  <c r="C29" i="173"/>
  <c r="S355" i="246"/>
  <c r="M346" i="246"/>
  <c r="M409" i="209"/>
  <c r="M412" i="209"/>
  <c r="M467" i="209"/>
  <c r="M454" i="209"/>
  <c r="S497" i="209"/>
  <c r="M508" i="246"/>
  <c r="M555" i="246"/>
  <c r="H29" i="291"/>
  <c r="E16" i="172"/>
  <c r="G32" i="171"/>
  <c r="R25" i="161"/>
  <c r="X50" i="161" s="1"/>
  <c r="M515" i="246"/>
  <c r="M526" i="246"/>
  <c r="S616" i="246"/>
  <c r="M617" i="246"/>
  <c r="P12" i="241"/>
  <c r="D26" i="173"/>
  <c r="N25" i="84"/>
  <c r="G11" i="188"/>
  <c r="G18" i="188" s="1"/>
  <c r="S514" i="209"/>
  <c r="M400" i="209"/>
  <c r="P25" i="326"/>
  <c r="S577" i="209"/>
  <c r="S277" i="209"/>
  <c r="M459" i="209"/>
  <c r="S521" i="209"/>
  <c r="M317" i="209"/>
  <c r="S676" i="209"/>
  <c r="S671" i="209"/>
  <c r="S308" i="209"/>
  <c r="M461" i="209"/>
  <c r="S581" i="209"/>
  <c r="M493" i="209"/>
  <c r="F46" i="13"/>
  <c r="K612" i="209"/>
  <c r="F44" i="13"/>
  <c r="Q72" i="209" s="1"/>
  <c r="N26" i="13"/>
  <c r="S437" i="209"/>
  <c r="M551" i="209"/>
  <c r="S431" i="209"/>
  <c r="M548" i="209"/>
  <c r="I608" i="209"/>
  <c r="O608" i="209"/>
  <c r="D46" i="16"/>
  <c r="L26" i="16"/>
  <c r="D43" i="16" s="1"/>
  <c r="D47" i="16" s="1"/>
  <c r="O128" i="209" s="1"/>
  <c r="D45" i="16"/>
  <c r="I128" i="209" s="1"/>
  <c r="D48" i="361"/>
  <c r="L20" i="333" s="1"/>
  <c r="D41" i="360"/>
  <c r="H78" i="294" s="1"/>
  <c r="M135" i="294"/>
  <c r="D42" i="360"/>
  <c r="M78" i="294" s="1"/>
  <c r="S274" i="246"/>
  <c r="K618" i="246"/>
  <c r="D28" i="184"/>
  <c r="H32" i="309"/>
  <c r="I370" i="246"/>
  <c r="D24" i="184"/>
  <c r="Q308" i="246"/>
  <c r="L556" i="246"/>
  <c r="F32" i="292"/>
  <c r="S307" i="246"/>
  <c r="F31" i="309"/>
  <c r="F48" i="309" s="1"/>
  <c r="N20" i="308" s="1"/>
  <c r="C24" i="184"/>
  <c r="E26" i="184"/>
  <c r="C28" i="184"/>
  <c r="G32" i="184"/>
  <c r="E23" i="309"/>
  <c r="C33" i="184"/>
  <c r="F26" i="184"/>
  <c r="F33" i="292" s="1"/>
  <c r="R370" i="246"/>
  <c r="F48" i="308"/>
  <c r="N20" i="307" s="1"/>
  <c r="G25" i="309"/>
  <c r="H25" i="309" s="1"/>
  <c r="H39" i="309" s="1"/>
  <c r="E23" i="184"/>
  <c r="G33" i="184"/>
  <c r="H25" i="186"/>
  <c r="H39" i="186" s="1"/>
  <c r="P11" i="95" s="1"/>
  <c r="P472" i="246"/>
  <c r="O596" i="246"/>
  <c r="E24" i="184"/>
  <c r="F31" i="184"/>
  <c r="G33" i="292" s="1"/>
  <c r="H43" i="279"/>
  <c r="L25" i="184"/>
  <c r="N31" i="292"/>
  <c r="H37" i="185"/>
  <c r="P9" i="190" s="1"/>
  <c r="M384" i="246"/>
  <c r="M385" i="246"/>
  <c r="S571" i="246"/>
  <c r="M324" i="246"/>
  <c r="S510" i="246"/>
  <c r="P25" i="185"/>
  <c r="S696" i="246"/>
  <c r="H25" i="104"/>
  <c r="H39" i="104" s="1"/>
  <c r="H31" i="104"/>
  <c r="H45" i="104" s="1"/>
  <c r="P17" i="354" s="1"/>
  <c r="D25" i="84"/>
  <c r="C32" i="84"/>
  <c r="F33" i="84"/>
  <c r="L25" i="84"/>
  <c r="P25" i="84" s="1"/>
  <c r="G17" i="172"/>
  <c r="G13" i="172"/>
  <c r="G13" i="84"/>
  <c r="H46" i="103"/>
  <c r="G39" i="362"/>
  <c r="P38" i="294" s="1"/>
  <c r="H30" i="361"/>
  <c r="H44" i="361" s="1"/>
  <c r="P16" i="296" s="1"/>
  <c r="S549" i="246"/>
  <c r="H43" i="183"/>
  <c r="M425" i="246"/>
  <c r="S611" i="246"/>
  <c r="L25" i="170"/>
  <c r="P25" i="170" s="1"/>
  <c r="P25" i="226"/>
  <c r="L25" i="172"/>
  <c r="G12" i="170"/>
  <c r="S546" i="246"/>
  <c r="K364" i="246"/>
  <c r="M422" i="246"/>
  <c r="S608" i="246"/>
  <c r="M420" i="246"/>
  <c r="S606" i="246"/>
  <c r="C26" i="231"/>
  <c r="Q518" i="246"/>
  <c r="Q394" i="246"/>
  <c r="D29" i="231"/>
  <c r="G30" i="231"/>
  <c r="M330" i="246"/>
  <c r="G16" i="231"/>
  <c r="G17" i="231"/>
  <c r="J426" i="246"/>
  <c r="H29" i="226"/>
  <c r="H43" i="226" s="1"/>
  <c r="E24" i="170"/>
  <c r="D29" i="170"/>
  <c r="J364" i="246"/>
  <c r="E32" i="231"/>
  <c r="M419" i="246"/>
  <c r="P488" i="246"/>
  <c r="I612" i="246"/>
  <c r="S295" i="246"/>
  <c r="E24" i="172"/>
  <c r="E24" i="231"/>
  <c r="S727" i="246"/>
  <c r="M415" i="246"/>
  <c r="S601" i="246"/>
  <c r="M414" i="246"/>
  <c r="S600" i="246"/>
  <c r="S538" i="246"/>
  <c r="X19" i="129"/>
  <c r="S289" i="246"/>
  <c r="M413" i="246"/>
  <c r="S599" i="246"/>
  <c r="M412" i="246"/>
  <c r="D23" i="170"/>
  <c r="E26" i="170"/>
  <c r="C23" i="170"/>
  <c r="C31" i="170"/>
  <c r="E29" i="231"/>
  <c r="F27" i="171"/>
  <c r="K456" i="246"/>
  <c r="D35" i="292"/>
  <c r="F31" i="171"/>
  <c r="F23" i="171"/>
  <c r="F23" i="173"/>
  <c r="C25" i="231"/>
  <c r="F35" i="292"/>
  <c r="C33" i="231"/>
  <c r="F31" i="173"/>
  <c r="F48" i="223"/>
  <c r="O332" i="246"/>
  <c r="C29" i="171"/>
  <c r="F30" i="173"/>
  <c r="F24" i="231"/>
  <c r="D37" i="292" s="1"/>
  <c r="F28" i="173"/>
  <c r="F24" i="173"/>
  <c r="R332" i="246"/>
  <c r="L332" i="246"/>
  <c r="Q580" i="246"/>
  <c r="K580" i="246"/>
  <c r="F30" i="231"/>
  <c r="E37" i="292" s="1"/>
  <c r="R270" i="246"/>
  <c r="N25" i="173"/>
  <c r="G46" i="139"/>
  <c r="O26" i="139"/>
  <c r="L703" i="246"/>
  <c r="M514" i="246"/>
  <c r="E32" i="173"/>
  <c r="M389" i="246"/>
  <c r="S575" i="246"/>
  <c r="G16" i="171"/>
  <c r="G13" i="231"/>
  <c r="G12" i="231"/>
  <c r="R746" i="246" s="1"/>
  <c r="R456" i="246"/>
  <c r="R704" i="246"/>
  <c r="S704" i="246" s="1"/>
  <c r="G12" i="173"/>
  <c r="S524" i="209"/>
  <c r="M404" i="209"/>
  <c r="G16" i="228"/>
  <c r="H28" i="225"/>
  <c r="H42" i="225" s="1"/>
  <c r="P14" i="356" s="1"/>
  <c r="Q530" i="209"/>
  <c r="C31" i="228"/>
  <c r="K590" i="209"/>
  <c r="F31" i="228"/>
  <c r="G22" i="292" s="1"/>
  <c r="S587" i="209"/>
  <c r="E26" i="228"/>
  <c r="S285" i="209"/>
  <c r="S525" i="209"/>
  <c r="M568" i="209"/>
  <c r="H32" i="212"/>
  <c r="M630" i="209" s="1"/>
  <c r="S386" i="209"/>
  <c r="G26" i="173"/>
  <c r="S446" i="209"/>
  <c r="D30" i="228"/>
  <c r="E27" i="228"/>
  <c r="O25" i="173"/>
  <c r="S686" i="209"/>
  <c r="F11" i="156"/>
  <c r="E11" i="156"/>
  <c r="E18" i="156" s="1"/>
  <c r="D11" i="156"/>
  <c r="G11" i="156"/>
  <c r="F11" i="187"/>
  <c r="K702" i="246" s="1"/>
  <c r="D11" i="187"/>
  <c r="E11" i="187"/>
  <c r="J702" i="246" s="1"/>
  <c r="G11" i="187"/>
  <c r="E11" i="154"/>
  <c r="D11" i="154"/>
  <c r="G11" i="154"/>
  <c r="L638" i="209" s="1"/>
  <c r="F11" i="154"/>
  <c r="G45" i="315"/>
  <c r="L164" i="209" s="1"/>
  <c r="O26" i="315"/>
  <c r="R764" i="209" s="1"/>
  <c r="G44" i="315"/>
  <c r="R104" i="209" s="1"/>
  <c r="G46" i="315"/>
  <c r="L704" i="209"/>
  <c r="G18" i="315"/>
  <c r="R644" i="209"/>
  <c r="G46" i="151"/>
  <c r="L663" i="246"/>
  <c r="F11" i="95"/>
  <c r="G11" i="95"/>
  <c r="R656" i="246" s="1"/>
  <c r="E11" i="95"/>
  <c r="D11" i="95"/>
  <c r="G11" i="146"/>
  <c r="G18" i="146" s="1"/>
  <c r="F11" i="146"/>
  <c r="F18" i="146" s="1"/>
  <c r="E11" i="146"/>
  <c r="D11" i="146"/>
  <c r="I670" i="246" s="1"/>
  <c r="E11" i="214"/>
  <c r="G11" i="214"/>
  <c r="F11" i="214"/>
  <c r="D11" i="214"/>
  <c r="G41" i="362"/>
  <c r="K76" i="294" s="1"/>
  <c r="U133" i="294"/>
  <c r="G42" i="362"/>
  <c r="P76" i="294" s="1"/>
  <c r="K19" i="294"/>
  <c r="G37" i="362"/>
  <c r="K38" i="294" s="1"/>
  <c r="P19" i="294"/>
  <c r="G38" i="362"/>
  <c r="U19" i="294" s="1"/>
  <c r="O20" i="156"/>
  <c r="O20" i="284"/>
  <c r="O20" i="190"/>
  <c r="G11" i="195"/>
  <c r="G45" i="195" s="1"/>
  <c r="L172" i="246" s="1"/>
  <c r="D11" i="195"/>
  <c r="I88" i="209"/>
  <c r="D40" i="162"/>
  <c r="F143" i="209"/>
  <c r="F743" i="209"/>
  <c r="F383" i="209"/>
  <c r="F443" i="209"/>
  <c r="F323" i="209"/>
  <c r="F203" i="209"/>
  <c r="F263" i="209"/>
  <c r="F23" i="209"/>
  <c r="F414" i="209"/>
  <c r="F234" i="209"/>
  <c r="F654" i="209"/>
  <c r="F534" i="209"/>
  <c r="F594" i="209"/>
  <c r="F474" i="209"/>
  <c r="F774" i="209"/>
  <c r="F174" i="209"/>
  <c r="U41" i="209"/>
  <c r="U101" i="209" s="1"/>
  <c r="U161" i="209" s="1"/>
  <c r="U221" i="209" s="1"/>
  <c r="U281" i="209" s="1"/>
  <c r="U341" i="209" s="1"/>
  <c r="U401" i="209" s="1"/>
  <c r="U461" i="209" s="1"/>
  <c r="U521" i="209" s="1"/>
  <c r="U581" i="209" s="1"/>
  <c r="U641" i="209" s="1"/>
  <c r="U701" i="209" s="1"/>
  <c r="U761" i="209" s="1"/>
  <c r="D101" i="209"/>
  <c r="D161" i="209" s="1"/>
  <c r="D221" i="209" s="1"/>
  <c r="D281" i="209" s="1"/>
  <c r="D341" i="209" s="1"/>
  <c r="D401" i="209" s="1"/>
  <c r="D461" i="209" s="1"/>
  <c r="D521" i="209" s="1"/>
  <c r="D581" i="209" s="1"/>
  <c r="D641" i="209" s="1"/>
  <c r="D701" i="209" s="1"/>
  <c r="D761" i="209" s="1"/>
  <c r="N25" i="228"/>
  <c r="N25" i="170"/>
  <c r="G26" i="171"/>
  <c r="H26" i="103"/>
  <c r="H40" i="103" s="1"/>
  <c r="P12" i="91" s="1"/>
  <c r="G11" i="345"/>
  <c r="D11" i="345"/>
  <c r="D11" i="284"/>
  <c r="D46" i="284" s="1"/>
  <c r="E11" i="284"/>
  <c r="F11" i="284"/>
  <c r="K634" i="246" s="1"/>
  <c r="G11" i="284"/>
  <c r="L696" i="246" s="1"/>
  <c r="E11" i="176"/>
  <c r="E46" i="176" s="1"/>
  <c r="G11" i="176"/>
  <c r="F23" i="228"/>
  <c r="C20" i="292"/>
  <c r="Q270" i="209"/>
  <c r="O330" i="209"/>
  <c r="H25" i="212"/>
  <c r="I510" i="209"/>
  <c r="O390" i="209"/>
  <c r="C26" i="228"/>
  <c r="C26" i="173"/>
  <c r="G12" i="184"/>
  <c r="R720" i="246"/>
  <c r="D31" i="292"/>
  <c r="K348" i="246"/>
  <c r="F24" i="172"/>
  <c r="L596" i="246"/>
  <c r="G48" i="186"/>
  <c r="E24" i="309"/>
  <c r="P494" i="246"/>
  <c r="J370" i="246"/>
  <c r="L25" i="309"/>
  <c r="P25" i="309" s="1"/>
  <c r="P25" i="308"/>
  <c r="G26" i="309"/>
  <c r="H26" i="309" s="1"/>
  <c r="H40" i="309" s="1"/>
  <c r="H26" i="308"/>
  <c r="H40" i="308" s="1"/>
  <c r="M122" i="246" s="1"/>
  <c r="G26" i="184"/>
  <c r="E28" i="309"/>
  <c r="E28" i="184"/>
  <c r="D30" i="309"/>
  <c r="H30" i="309" s="1"/>
  <c r="H44" i="309" s="1"/>
  <c r="H30" i="308"/>
  <c r="D33" i="309"/>
  <c r="H33" i="309" s="1"/>
  <c r="H33" i="308"/>
  <c r="R518" i="246"/>
  <c r="D30" i="84"/>
  <c r="I467" i="246"/>
  <c r="Q470" i="209"/>
  <c r="N21" i="292"/>
  <c r="Q710" i="209"/>
  <c r="R290" i="209"/>
  <c r="R410" i="209"/>
  <c r="F26" i="170"/>
  <c r="F21" i="292"/>
  <c r="E29" i="170"/>
  <c r="E48" i="225"/>
  <c r="G48" i="225"/>
  <c r="O20" i="345" s="1"/>
  <c r="L590" i="209"/>
  <c r="U35" i="209"/>
  <c r="U95" i="209" s="1"/>
  <c r="U155" i="209" s="1"/>
  <c r="U215" i="209" s="1"/>
  <c r="U275" i="209" s="1"/>
  <c r="U335" i="209" s="1"/>
  <c r="U395" i="209" s="1"/>
  <c r="U455" i="209" s="1"/>
  <c r="U515" i="209" s="1"/>
  <c r="U575" i="209" s="1"/>
  <c r="U635" i="209" s="1"/>
  <c r="U695" i="209" s="1"/>
  <c r="U755" i="209" s="1"/>
  <c r="D95" i="209"/>
  <c r="D155" i="209" s="1"/>
  <c r="D215" i="209" s="1"/>
  <c r="D275" i="209" s="1"/>
  <c r="D335" i="209" s="1"/>
  <c r="D395" i="209" s="1"/>
  <c r="D455" i="209" s="1"/>
  <c r="D515" i="209" s="1"/>
  <c r="D575" i="209" s="1"/>
  <c r="D635" i="209" s="1"/>
  <c r="D695" i="209" s="1"/>
  <c r="D755" i="209" s="1"/>
  <c r="D108" i="209"/>
  <c r="D168" i="209" s="1"/>
  <c r="D228" i="209" s="1"/>
  <c r="D288" i="209" s="1"/>
  <c r="D348" i="209" s="1"/>
  <c r="D408" i="209" s="1"/>
  <c r="D468" i="209" s="1"/>
  <c r="D528" i="209" s="1"/>
  <c r="D588" i="209" s="1"/>
  <c r="D648" i="209" s="1"/>
  <c r="D708" i="209" s="1"/>
  <c r="D768" i="209" s="1"/>
  <c r="U48" i="209"/>
  <c r="U108" i="209" s="1"/>
  <c r="U168" i="209" s="1"/>
  <c r="U228" i="209" s="1"/>
  <c r="U288" i="209" s="1"/>
  <c r="U348" i="209" s="1"/>
  <c r="U408" i="209" s="1"/>
  <c r="U468" i="209" s="1"/>
  <c r="U528" i="209" s="1"/>
  <c r="U588" i="209" s="1"/>
  <c r="U648" i="209" s="1"/>
  <c r="U708" i="209" s="1"/>
  <c r="U768" i="209" s="1"/>
  <c r="E30" i="171"/>
  <c r="AA26" i="292"/>
  <c r="G11" i="279"/>
  <c r="F11" i="279"/>
  <c r="F18" i="279" s="1"/>
  <c r="D11" i="325"/>
  <c r="M123" i="294" s="1"/>
  <c r="F11" i="325"/>
  <c r="G11" i="14"/>
  <c r="F11" i="14"/>
  <c r="D11" i="14"/>
  <c r="E11" i="14"/>
  <c r="G11" i="13"/>
  <c r="L672" i="209" s="1"/>
  <c r="D11" i="13"/>
  <c r="E11" i="13"/>
  <c r="K650" i="246"/>
  <c r="K712" i="246"/>
  <c r="F46" i="118"/>
  <c r="F45" i="118"/>
  <c r="K154" i="246" s="1"/>
  <c r="E11" i="105"/>
  <c r="G11" i="105"/>
  <c r="G44" i="105" s="1"/>
  <c r="R82" i="209" s="1"/>
  <c r="F11" i="7"/>
  <c r="G11" i="7"/>
  <c r="G11" i="190"/>
  <c r="F11" i="190"/>
  <c r="Q633" i="246" s="1"/>
  <c r="D11" i="190"/>
  <c r="Q390" i="209"/>
  <c r="E13" i="184"/>
  <c r="C25" i="172"/>
  <c r="C25" i="184"/>
  <c r="P25" i="186"/>
  <c r="O25" i="184"/>
  <c r="E27" i="184"/>
  <c r="E27" i="172"/>
  <c r="Q596" i="246"/>
  <c r="F30" i="172"/>
  <c r="F13" i="171"/>
  <c r="F13" i="231"/>
  <c r="O761" i="209"/>
  <c r="N25" i="18"/>
  <c r="C31" i="18"/>
  <c r="F31" i="18"/>
  <c r="F31" i="327" s="1"/>
  <c r="D29" i="18"/>
  <c r="O668" i="209"/>
  <c r="F32" i="18"/>
  <c r="F32" i="327" s="1"/>
  <c r="C33" i="18"/>
  <c r="C33" i="327" s="1"/>
  <c r="D25" i="18"/>
  <c r="E12" i="18"/>
  <c r="R761" i="209"/>
  <c r="D17" i="18"/>
  <c r="D17" i="327" s="1"/>
  <c r="E31" i="18"/>
  <c r="E31" i="327" s="1"/>
  <c r="C25" i="18"/>
  <c r="C25" i="327" s="1"/>
  <c r="F33" i="18"/>
  <c r="F33" i="327" s="1"/>
  <c r="G29" i="328"/>
  <c r="D32" i="328"/>
  <c r="E31" i="328"/>
  <c r="E29" i="18"/>
  <c r="E29" i="327" s="1"/>
  <c r="E13" i="18"/>
  <c r="E13" i="327" s="1"/>
  <c r="F27" i="18"/>
  <c r="F27" i="327" s="1"/>
  <c r="E26" i="18"/>
  <c r="O25" i="18"/>
  <c r="O25" i="327" s="1"/>
  <c r="C29" i="18"/>
  <c r="G27" i="18"/>
  <c r="C26" i="18"/>
  <c r="C26" i="327" s="1"/>
  <c r="Q761" i="209"/>
  <c r="C32" i="18"/>
  <c r="C32" i="327" s="1"/>
  <c r="M25" i="18"/>
  <c r="M25" i="327" s="1"/>
  <c r="F30" i="18"/>
  <c r="F30" i="327" s="1"/>
  <c r="Q668" i="209"/>
  <c r="F26" i="18"/>
  <c r="E27" i="328"/>
  <c r="G25" i="328"/>
  <c r="G33" i="328"/>
  <c r="E32" i="328"/>
  <c r="E33" i="328"/>
  <c r="F25" i="18"/>
  <c r="R668" i="209"/>
  <c r="D64" i="28"/>
  <c r="G17" i="18"/>
  <c r="F13" i="18"/>
  <c r="F13" i="327" s="1"/>
  <c r="G24" i="18"/>
  <c r="G24" i="327" s="1"/>
  <c r="G23" i="18"/>
  <c r="G23" i="327" s="1"/>
  <c r="D24" i="18"/>
  <c r="D26" i="18"/>
  <c r="G29" i="18"/>
  <c r="G29" i="327" s="1"/>
  <c r="C23" i="18"/>
  <c r="C23" i="327" s="1"/>
  <c r="D16" i="18"/>
  <c r="D16" i="327" s="1"/>
  <c r="F29" i="328"/>
  <c r="P701" i="209"/>
  <c r="N25" i="328"/>
  <c r="G30" i="328"/>
  <c r="C31" i="328"/>
  <c r="F16" i="328"/>
  <c r="D13" i="18"/>
  <c r="D13" i="327" s="1"/>
  <c r="G32" i="18"/>
  <c r="G32" i="327" s="1"/>
  <c r="E25" i="18"/>
  <c r="D33" i="18"/>
  <c r="F12" i="18"/>
  <c r="E30" i="18"/>
  <c r="E30" i="327" s="1"/>
  <c r="G12" i="18"/>
  <c r="G33" i="18"/>
  <c r="G33" i="327" s="1"/>
  <c r="C23" i="328"/>
  <c r="F17" i="328"/>
  <c r="G32" i="328"/>
  <c r="G16" i="328"/>
  <c r="D27" i="18"/>
  <c r="D27" i="327" s="1"/>
  <c r="G25" i="18"/>
  <c r="G25" i="327" s="1"/>
  <c r="E28" i="18"/>
  <c r="E28" i="327" s="1"/>
  <c r="D28" i="18"/>
  <c r="D28" i="327" s="1"/>
  <c r="D55" i="27"/>
  <c r="C30" i="18"/>
  <c r="C30" i="327" s="1"/>
  <c r="F16" i="18"/>
  <c r="F16" i="327" s="1"/>
  <c r="G26" i="18"/>
  <c r="G26" i="327" s="1"/>
  <c r="C32" i="328"/>
  <c r="O701" i="209"/>
  <c r="S701" i="209" s="1"/>
  <c r="Q702" i="209"/>
  <c r="C28" i="18"/>
  <c r="D32" i="18"/>
  <c r="D32" i="327" s="1"/>
  <c r="F29" i="18"/>
  <c r="F29" i="327" s="1"/>
  <c r="G28" i="18"/>
  <c r="G13" i="18"/>
  <c r="G13" i="327" s="1"/>
  <c r="F28" i="18"/>
  <c r="G16" i="18"/>
  <c r="G16" i="327" s="1"/>
  <c r="G31" i="18"/>
  <c r="G31" i="327" s="1"/>
  <c r="L25" i="18"/>
  <c r="L25" i="327" s="1"/>
  <c r="G26" i="328"/>
  <c r="F32" i="328"/>
  <c r="J462" i="209"/>
  <c r="D27" i="292"/>
  <c r="P27" i="292" s="1"/>
  <c r="F24" i="84"/>
  <c r="D28" i="292" s="1"/>
  <c r="Q529" i="246"/>
  <c r="F27" i="292"/>
  <c r="F26" i="172"/>
  <c r="F26" i="84"/>
  <c r="F28" i="292" s="1"/>
  <c r="K467" i="246"/>
  <c r="Q591" i="246"/>
  <c r="F32" i="172"/>
  <c r="F32" i="84"/>
  <c r="C25" i="84"/>
  <c r="O343" i="246"/>
  <c r="C33" i="84"/>
  <c r="C33" i="172"/>
  <c r="G17" i="170"/>
  <c r="D21" i="292"/>
  <c r="F24" i="170"/>
  <c r="K410" i="209"/>
  <c r="F114" i="209"/>
  <c r="E11" i="221"/>
  <c r="G11" i="221"/>
  <c r="D11" i="221"/>
  <c r="F11" i="221"/>
  <c r="E11" i="15"/>
  <c r="G11" i="15"/>
  <c r="O26" i="15" s="1"/>
  <c r="F11" i="290"/>
  <c r="N26" i="290" s="1"/>
  <c r="F43" i="290" s="1"/>
  <c r="F47" i="290" s="1"/>
  <c r="T51" i="294" s="1"/>
  <c r="G11" i="290"/>
  <c r="D11" i="290"/>
  <c r="E11" i="162"/>
  <c r="D11" i="162"/>
  <c r="G11" i="11"/>
  <c r="D11" i="11"/>
  <c r="E11" i="11"/>
  <c r="F11" i="11"/>
  <c r="G11" i="296"/>
  <c r="E11" i="296"/>
  <c r="S710" i="209"/>
  <c r="S704" i="209"/>
  <c r="S706" i="209"/>
  <c r="E13" i="228"/>
  <c r="E17" i="228"/>
  <c r="G23" i="173"/>
  <c r="O286" i="246"/>
  <c r="R472" i="246"/>
  <c r="Q556" i="246"/>
  <c r="G48" i="308"/>
  <c r="O20" i="307" s="1"/>
  <c r="D28" i="228"/>
  <c r="G26" i="84"/>
  <c r="C32" i="171"/>
  <c r="D31" i="84"/>
  <c r="G13" i="170"/>
  <c r="F17" i="172"/>
  <c r="E16" i="170"/>
  <c r="H23" i="361"/>
  <c r="H37" i="361" s="1"/>
  <c r="P9" i="360" s="1"/>
  <c r="H25" i="361"/>
  <c r="H39" i="361" s="1"/>
  <c r="P11" i="295" s="1"/>
  <c r="H27" i="361"/>
  <c r="H41" i="361" s="1"/>
  <c r="P13" i="295" s="1"/>
  <c r="H29" i="361"/>
  <c r="H43" i="361" s="1"/>
  <c r="H33" i="361"/>
  <c r="C30" i="84"/>
  <c r="H21" i="79"/>
  <c r="P23" i="79" s="1"/>
  <c r="E21" i="356"/>
  <c r="M23" i="356" s="1"/>
  <c r="F21" i="356"/>
  <c r="N23" i="356" s="1"/>
  <c r="G7" i="356"/>
  <c r="N21" i="27"/>
  <c r="N27" i="27" s="1"/>
  <c r="R20" i="27"/>
  <c r="T20" i="27" s="1"/>
  <c r="D75" i="209"/>
  <c r="D135" i="209" s="1"/>
  <c r="D195" i="209" s="1"/>
  <c r="D255" i="209" s="1"/>
  <c r="D315" i="209" s="1"/>
  <c r="D375" i="209" s="1"/>
  <c r="D435" i="209" s="1"/>
  <c r="D495" i="209" s="1"/>
  <c r="D555" i="209" s="1"/>
  <c r="D615" i="209" s="1"/>
  <c r="D675" i="209" s="1"/>
  <c r="D735" i="209" s="1"/>
  <c r="U15" i="209"/>
  <c r="U75" i="209" s="1"/>
  <c r="U135" i="209" s="1"/>
  <c r="U195" i="209" s="1"/>
  <c r="U255" i="209" s="1"/>
  <c r="U315" i="209" s="1"/>
  <c r="U375" i="209" s="1"/>
  <c r="U435" i="209" s="1"/>
  <c r="U495" i="209" s="1"/>
  <c r="U555" i="209" s="1"/>
  <c r="U615" i="209" s="1"/>
  <c r="U675" i="209" s="1"/>
  <c r="U735" i="209" s="1"/>
  <c r="U19" i="246"/>
  <c r="U81" i="246" s="1"/>
  <c r="U143" i="246" s="1"/>
  <c r="U205" i="246" s="1"/>
  <c r="U267" i="246" s="1"/>
  <c r="U329" i="246" s="1"/>
  <c r="U391" i="246" s="1"/>
  <c r="U453" i="246" s="1"/>
  <c r="U515" i="246" s="1"/>
  <c r="U577" i="246" s="1"/>
  <c r="U639" i="246" s="1"/>
  <c r="U701" i="246" s="1"/>
  <c r="D81" i="246"/>
  <c r="D143" i="246" s="1"/>
  <c r="D205" i="246" s="1"/>
  <c r="D267" i="246" s="1"/>
  <c r="D329" i="246" s="1"/>
  <c r="D391" i="246" s="1"/>
  <c r="D453" i="246" s="1"/>
  <c r="D515" i="246" s="1"/>
  <c r="D577" i="246" s="1"/>
  <c r="D639" i="246" s="1"/>
  <c r="D701" i="246" s="1"/>
  <c r="D763" i="246" s="1"/>
  <c r="N14" i="155"/>
  <c r="R12" i="155"/>
  <c r="R14" i="155" s="1"/>
  <c r="E21" i="58"/>
  <c r="E21" i="213"/>
  <c r="M23" i="213" s="1"/>
  <c r="E7" i="213"/>
  <c r="E35" i="176"/>
  <c r="H7" i="176"/>
  <c r="L5" i="190"/>
  <c r="L7" i="190" s="1"/>
  <c r="H21" i="247"/>
  <c r="H21" i="270"/>
  <c r="P23" i="270" s="1"/>
  <c r="L5" i="270"/>
  <c r="L7" i="270" s="1"/>
  <c r="G35" i="295"/>
  <c r="G35" i="105"/>
  <c r="H21" i="118"/>
  <c r="P23" i="118" s="1"/>
  <c r="G21" i="79"/>
  <c r="O23" i="79" s="1"/>
  <c r="F35" i="9"/>
  <c r="G7" i="9"/>
  <c r="N29" i="296"/>
  <c r="E7" i="203"/>
  <c r="N7" i="334"/>
  <c r="F21" i="146"/>
  <c r="N23" i="146" s="1"/>
  <c r="N7" i="178"/>
  <c r="G21" i="271"/>
  <c r="O23" i="271" s="1"/>
  <c r="M7" i="353"/>
  <c r="F21" i="139"/>
  <c r="N23" i="139" s="1"/>
  <c r="D5" i="125"/>
  <c r="D21" i="125" s="1"/>
  <c r="L23" i="125" s="1"/>
  <c r="G35" i="356"/>
  <c r="F35" i="184"/>
  <c r="G35" i="325"/>
  <c r="G7" i="123"/>
  <c r="H21" i="123"/>
  <c r="P23" i="123" s="1"/>
  <c r="E35" i="123"/>
  <c r="F35" i="123"/>
  <c r="D5" i="123"/>
  <c r="D35" i="123" s="1"/>
  <c r="F21" i="123"/>
  <c r="N23" i="123" s="1"/>
  <c r="M23" i="225"/>
  <c r="M23" i="173"/>
  <c r="G7" i="215"/>
  <c r="E35" i="215"/>
  <c r="E7" i="215"/>
  <c r="F35" i="215"/>
  <c r="H7" i="215"/>
  <c r="H35" i="215"/>
  <c r="D5" i="215"/>
  <c r="D35" i="215" s="1"/>
  <c r="H21" i="215"/>
  <c r="P23" i="215" s="1"/>
  <c r="H7" i="105"/>
  <c r="F21" i="10"/>
  <c r="N23" i="10" s="1"/>
  <c r="F21" i="79"/>
  <c r="N23" i="79" s="1"/>
  <c r="G35" i="290"/>
  <c r="F21" i="271"/>
  <c r="N23" i="271" s="1"/>
  <c r="H35" i="196"/>
  <c r="D5" i="196"/>
  <c r="E21" i="196"/>
  <c r="M23" i="196" s="1"/>
  <c r="F35" i="196"/>
  <c r="G7" i="196"/>
  <c r="H21" i="196"/>
  <c r="P23" i="196" s="1"/>
  <c r="F21" i="84"/>
  <c r="F35" i="84"/>
  <c r="H21" i="171"/>
  <c r="H35" i="171"/>
  <c r="G15" i="176"/>
  <c r="R12" i="124"/>
  <c r="G35" i="58"/>
  <c r="H35" i="213"/>
  <c r="O7" i="213"/>
  <c r="G21" i="176"/>
  <c r="O23" i="176" s="1"/>
  <c r="P7" i="39"/>
  <c r="P7" i="190"/>
  <c r="P7" i="337"/>
  <c r="F21" i="284"/>
  <c r="N23" i="284" s="1"/>
  <c r="G35" i="6"/>
  <c r="F21" i="270"/>
  <c r="N23" i="270" s="1"/>
  <c r="D5" i="270"/>
  <c r="D7" i="270" s="1"/>
  <c r="M7" i="345"/>
  <c r="N29" i="295"/>
  <c r="H35" i="7"/>
  <c r="H7" i="7"/>
  <c r="G7" i="105"/>
  <c r="L5" i="216"/>
  <c r="L7" i="216" s="1"/>
  <c r="N7" i="118"/>
  <c r="N7" i="191"/>
  <c r="P7" i="10"/>
  <c r="H35" i="79"/>
  <c r="H7" i="79"/>
  <c r="L5" i="296"/>
  <c r="F21" i="203"/>
  <c r="N23" i="203" s="1"/>
  <c r="D5" i="203"/>
  <c r="D7" i="203" s="1"/>
  <c r="M7" i="146"/>
  <c r="P29" i="333"/>
  <c r="N7" i="333"/>
  <c r="E35" i="162"/>
  <c r="M7" i="162"/>
  <c r="G35" i="178"/>
  <c r="H7" i="178"/>
  <c r="P29" i="290"/>
  <c r="F21" i="290"/>
  <c r="H35" i="271"/>
  <c r="H7" i="271"/>
  <c r="G7" i="4"/>
  <c r="H7" i="4"/>
  <c r="F21" i="4"/>
  <c r="N23" i="4" s="1"/>
  <c r="E35" i="4"/>
  <c r="M7" i="192"/>
  <c r="P7" i="307"/>
  <c r="L5" i="307"/>
  <c r="L7" i="307" s="1"/>
  <c r="N7" i="307"/>
  <c r="O23" i="308"/>
  <c r="P7" i="137"/>
  <c r="N7" i="137"/>
  <c r="O7" i="137"/>
  <c r="L5" i="137"/>
  <c r="L7" i="137" s="1"/>
  <c r="M23" i="103"/>
  <c r="F21" i="104"/>
  <c r="G35" i="225"/>
  <c r="G21" i="225"/>
  <c r="O7" i="165"/>
  <c r="L5" i="165"/>
  <c r="L7" i="165" s="1"/>
  <c r="M7" i="165"/>
  <c r="P7" i="165"/>
  <c r="N7" i="165"/>
  <c r="H35" i="105"/>
  <c r="H21" i="146"/>
  <c r="P23" i="146" s="1"/>
  <c r="F21" i="44"/>
  <c r="G35" i="213"/>
  <c r="F21" i="176"/>
  <c r="N23" i="176" s="1"/>
  <c r="D5" i="176"/>
  <c r="D21" i="176" s="1"/>
  <c r="L23" i="176" s="1"/>
  <c r="N7" i="190"/>
  <c r="O7" i="337"/>
  <c r="O7" i="270"/>
  <c r="H7" i="345"/>
  <c r="F21" i="105"/>
  <c r="N23" i="105" s="1"/>
  <c r="F7" i="105"/>
  <c r="H35" i="118"/>
  <c r="G35" i="79"/>
  <c r="F7" i="79"/>
  <c r="L5" i="11"/>
  <c r="L7" i="11" s="1"/>
  <c r="H7" i="146"/>
  <c r="G35" i="271"/>
  <c r="F7" i="271"/>
  <c r="G21" i="215"/>
  <c r="O23" i="215" s="1"/>
  <c r="G21" i="196"/>
  <c r="O23" i="196" s="1"/>
  <c r="H7" i="356"/>
  <c r="F35" i="14"/>
  <c r="H35" i="361"/>
  <c r="F21" i="361"/>
  <c r="F35" i="361"/>
  <c r="M7" i="355"/>
  <c r="N7" i="355"/>
  <c r="O7" i="355"/>
  <c r="L5" i="355"/>
  <c r="L7" i="355" s="1"/>
  <c r="O7" i="194"/>
  <c r="N7" i="194"/>
  <c r="N23" i="173"/>
  <c r="O23" i="173"/>
  <c r="M23" i="223"/>
  <c r="M23" i="175"/>
  <c r="M23" i="170"/>
  <c r="P23" i="173"/>
  <c r="M23" i="228"/>
  <c r="M23" i="174"/>
  <c r="M23" i="231"/>
  <c r="N23" i="175"/>
  <c r="N23" i="170"/>
  <c r="N23" i="228"/>
  <c r="N23" i="174"/>
  <c r="N23" i="231"/>
  <c r="O23" i="175"/>
  <c r="O23" i="170"/>
  <c r="M23" i="229"/>
  <c r="O23" i="228"/>
  <c r="M23" i="328"/>
  <c r="M23" i="327"/>
  <c r="O23" i="174"/>
  <c r="O23" i="231"/>
  <c r="N23" i="212"/>
  <c r="M23" i="309"/>
  <c r="N23" i="226"/>
  <c r="P23" i="223"/>
  <c r="L5" i="194"/>
  <c r="O23" i="229"/>
  <c r="O23" i="328"/>
  <c r="O23" i="327"/>
  <c r="M7" i="194"/>
  <c r="P23" i="228"/>
  <c r="P23" i="174"/>
  <c r="N23" i="225"/>
  <c r="O23" i="309"/>
  <c r="O23" i="223"/>
  <c r="O23" i="184"/>
  <c r="P23" i="308"/>
  <c r="P23" i="175"/>
  <c r="M23" i="212"/>
  <c r="O23" i="225"/>
  <c r="P23" i="309"/>
  <c r="M23" i="171"/>
  <c r="M23" i="361"/>
  <c r="P23" i="184"/>
  <c r="N23" i="328"/>
  <c r="P23" i="231"/>
  <c r="P23" i="212"/>
  <c r="M23" i="226"/>
  <c r="M23" i="172"/>
  <c r="O23" i="171"/>
  <c r="O23" i="361"/>
  <c r="M23" i="84"/>
  <c r="M23" i="104"/>
  <c r="N23" i="103"/>
  <c r="N23" i="185"/>
  <c r="P23" i="328"/>
  <c r="O23" i="226"/>
  <c r="N23" i="172"/>
  <c r="P23" i="171"/>
  <c r="P23" i="361"/>
  <c r="N23" i="84"/>
  <c r="N23" i="104"/>
  <c r="O23" i="103"/>
  <c r="M23" i="186"/>
  <c r="O23" i="185"/>
  <c r="N23" i="229"/>
  <c r="N23" i="327"/>
  <c r="P23" i="172"/>
  <c r="P23" i="84"/>
  <c r="P23" i="104"/>
  <c r="M23" i="184"/>
  <c r="N23" i="308"/>
  <c r="O23" i="186"/>
  <c r="O7" i="187"/>
  <c r="M7" i="187"/>
  <c r="N7" i="187"/>
  <c r="P7" i="187"/>
  <c r="L5" i="187"/>
  <c r="L7" i="187" s="1"/>
  <c r="F21" i="345"/>
  <c r="N23" i="345" s="1"/>
  <c r="L5" i="125"/>
  <c r="L7" i="125" s="1"/>
  <c r="M7" i="125"/>
  <c r="H21" i="125"/>
  <c r="P23" i="125" s="1"/>
  <c r="G21" i="125"/>
  <c r="O23" i="125" s="1"/>
  <c r="H7" i="125"/>
  <c r="E35" i="125"/>
  <c r="G35" i="215"/>
  <c r="H7" i="325"/>
  <c r="H35" i="325"/>
  <c r="D5" i="325"/>
  <c r="E21" i="325"/>
  <c r="F7" i="325"/>
  <c r="G21" i="325"/>
  <c r="F35" i="325"/>
  <c r="M7" i="190"/>
  <c r="M7" i="337"/>
  <c r="E35" i="345"/>
  <c r="H7" i="118"/>
  <c r="E7" i="271"/>
  <c r="O7" i="125"/>
  <c r="H21" i="13"/>
  <c r="P23" i="13" s="1"/>
  <c r="D5" i="13"/>
  <c r="D21" i="13" s="1"/>
  <c r="L23" i="13" s="1"/>
  <c r="F21" i="13"/>
  <c r="N23" i="13" s="1"/>
  <c r="H7" i="13"/>
  <c r="E35" i="13"/>
  <c r="F21" i="215"/>
  <c r="N23" i="215" s="1"/>
  <c r="F21" i="196"/>
  <c r="N23" i="196" s="1"/>
  <c r="F7" i="356"/>
  <c r="F21" i="325"/>
  <c r="H35" i="141"/>
  <c r="D5" i="141"/>
  <c r="D35" i="141" s="1"/>
  <c r="G21" i="141"/>
  <c r="O23" i="141" s="1"/>
  <c r="H21" i="141"/>
  <c r="P23" i="141" s="1"/>
  <c r="F7" i="141"/>
  <c r="F35" i="141"/>
  <c r="H7" i="141"/>
  <c r="G35" i="141"/>
  <c r="G35" i="103"/>
  <c r="G21" i="103"/>
  <c r="G35" i="212"/>
  <c r="G21" i="212"/>
  <c r="H21" i="271"/>
  <c r="P23" i="271" s="1"/>
  <c r="T16" i="70"/>
  <c r="F35" i="105"/>
  <c r="F21" i="118"/>
  <c r="N23" i="118" s="1"/>
  <c r="E21" i="146"/>
  <c r="M23" i="146" s="1"/>
  <c r="E7" i="139"/>
  <c r="H35" i="139"/>
  <c r="O7" i="362"/>
  <c r="M7" i="362"/>
  <c r="N29" i="362"/>
  <c r="N7" i="362"/>
  <c r="O29" i="362"/>
  <c r="L5" i="362"/>
  <c r="L29" i="362" s="1"/>
  <c r="H35" i="14"/>
  <c r="H7" i="14"/>
  <c r="G35" i="14"/>
  <c r="D5" i="14"/>
  <c r="D35" i="14" s="1"/>
  <c r="F21" i="14"/>
  <c r="N23" i="14" s="1"/>
  <c r="G21" i="14"/>
  <c r="O23" i="14" s="1"/>
  <c r="E7" i="14"/>
  <c r="E35" i="14"/>
  <c r="E35" i="325"/>
  <c r="T19" i="37"/>
  <c r="U13" i="209"/>
  <c r="U73" i="209" s="1"/>
  <c r="U133" i="209" s="1"/>
  <c r="U193" i="209" s="1"/>
  <c r="U253" i="209" s="1"/>
  <c r="U313" i="209" s="1"/>
  <c r="U373" i="209" s="1"/>
  <c r="U433" i="209" s="1"/>
  <c r="U493" i="209" s="1"/>
  <c r="U553" i="209" s="1"/>
  <c r="U613" i="209" s="1"/>
  <c r="U673" i="209" s="1"/>
  <c r="U733" i="209" s="1"/>
  <c r="D73" i="209"/>
  <c r="D133" i="209" s="1"/>
  <c r="D193" i="209" s="1"/>
  <c r="D253" i="209" s="1"/>
  <c r="D313" i="209" s="1"/>
  <c r="D373" i="209" s="1"/>
  <c r="D433" i="209" s="1"/>
  <c r="D493" i="209" s="1"/>
  <c r="D553" i="209" s="1"/>
  <c r="D613" i="209" s="1"/>
  <c r="D673" i="209" s="1"/>
  <c r="D733" i="209" s="1"/>
  <c r="H21" i="18"/>
  <c r="F35" i="213"/>
  <c r="M7" i="284"/>
  <c r="F7" i="345"/>
  <c r="E21" i="105"/>
  <c r="M23" i="105" s="1"/>
  <c r="E7" i="105"/>
  <c r="G35" i="118"/>
  <c r="F35" i="79"/>
  <c r="E7" i="79"/>
  <c r="P7" i="203"/>
  <c r="G7" i="146"/>
  <c r="F35" i="271"/>
  <c r="E35" i="183"/>
  <c r="F7" i="183"/>
  <c r="H7" i="213"/>
  <c r="H35" i="176"/>
  <c r="N7" i="176"/>
  <c r="E35" i="39"/>
  <c r="F7" i="39"/>
  <c r="H7" i="190"/>
  <c r="L5" i="101"/>
  <c r="L7" i="101" s="1"/>
  <c r="H7" i="337"/>
  <c r="H7" i="284"/>
  <c r="G7" i="6"/>
  <c r="G35" i="270"/>
  <c r="M7" i="270"/>
  <c r="M7" i="295"/>
  <c r="E35" i="7"/>
  <c r="P7" i="105"/>
  <c r="O7" i="216"/>
  <c r="H7" i="91"/>
  <c r="F35" i="118"/>
  <c r="F7" i="118"/>
  <c r="L5" i="191"/>
  <c r="L7" i="191" s="1"/>
  <c r="M7" i="10"/>
  <c r="E35" i="79"/>
  <c r="E21" i="9"/>
  <c r="M23" i="9" s="1"/>
  <c r="O7" i="296"/>
  <c r="M7" i="203"/>
  <c r="N7" i="11"/>
  <c r="F35" i="146"/>
  <c r="F7" i="146"/>
  <c r="M29" i="333"/>
  <c r="H7" i="333"/>
  <c r="H21" i="162"/>
  <c r="P23" i="162" s="1"/>
  <c r="E7" i="162"/>
  <c r="H21" i="178"/>
  <c r="P23" i="178" s="1"/>
  <c r="E7" i="178"/>
  <c r="M29" i="290"/>
  <c r="M7" i="290"/>
  <c r="E35" i="271"/>
  <c r="G7" i="139"/>
  <c r="N7" i="125"/>
  <c r="G21" i="13"/>
  <c r="O23" i="13" s="1"/>
  <c r="F7" i="215"/>
  <c r="L5" i="97"/>
  <c r="L7" i="97" s="1"/>
  <c r="M7" i="97"/>
  <c r="N7" i="97"/>
  <c r="P7" i="97"/>
  <c r="E35" i="185"/>
  <c r="E21" i="185"/>
  <c r="E35" i="186"/>
  <c r="E21" i="186"/>
  <c r="G35" i="308"/>
  <c r="G21" i="308"/>
  <c r="N23" i="184"/>
  <c r="L5" i="360"/>
  <c r="O7" i="360"/>
  <c r="P7" i="360"/>
  <c r="M29" i="360"/>
  <c r="O29" i="360"/>
  <c r="P29" i="360"/>
  <c r="M7" i="360"/>
  <c r="G7" i="315"/>
  <c r="E35" i="315"/>
  <c r="F35" i="315"/>
  <c r="H7" i="315"/>
  <c r="F21" i="315"/>
  <c r="N23" i="315" s="1"/>
  <c r="D5" i="204"/>
  <c r="D7" i="204" s="1"/>
  <c r="F21" i="204"/>
  <c r="N23" i="204" s="1"/>
  <c r="G35" i="204"/>
  <c r="E7" i="204"/>
  <c r="G21" i="204"/>
  <c r="O23" i="204" s="1"/>
  <c r="H35" i="204"/>
  <c r="G7" i="204"/>
  <c r="H7" i="204"/>
  <c r="E35" i="204"/>
  <c r="P7" i="279"/>
  <c r="N7" i="279"/>
  <c r="O7" i="279"/>
  <c r="L5" i="279"/>
  <c r="L7" i="279" s="1"/>
  <c r="O23" i="84"/>
  <c r="H35" i="223"/>
  <c r="F21" i="226"/>
  <c r="G21" i="123"/>
  <c r="O23" i="123" s="1"/>
  <c r="M7" i="178"/>
  <c r="O7" i="154"/>
  <c r="L5" i="154"/>
  <c r="L7" i="154" s="1"/>
  <c r="M7" i="154"/>
  <c r="E35" i="196"/>
  <c r="N7" i="270"/>
  <c r="G7" i="213"/>
  <c r="G35" i="176"/>
  <c r="E7" i="337"/>
  <c r="F35" i="284"/>
  <c r="G7" i="284"/>
  <c r="F21" i="6"/>
  <c r="N23" i="6" s="1"/>
  <c r="F7" i="6"/>
  <c r="F35" i="270"/>
  <c r="G21" i="345"/>
  <c r="O23" i="345" s="1"/>
  <c r="D5" i="345"/>
  <c r="D7" i="345" s="1"/>
  <c r="N7" i="216"/>
  <c r="E35" i="118"/>
  <c r="E7" i="118"/>
  <c r="H7" i="10"/>
  <c r="D5" i="79"/>
  <c r="D7" i="79" s="1"/>
  <c r="P29" i="296"/>
  <c r="N7" i="296"/>
  <c r="E35" i="203"/>
  <c r="H7" i="203"/>
  <c r="M7" i="11"/>
  <c r="P7" i="334"/>
  <c r="F21" i="178"/>
  <c r="N23" i="178" s="1"/>
  <c r="L5" i="178"/>
  <c r="L7" i="178" s="1"/>
  <c r="H7" i="290"/>
  <c r="D5" i="271"/>
  <c r="D7" i="271" s="1"/>
  <c r="G35" i="139"/>
  <c r="F7" i="139"/>
  <c r="O7" i="192"/>
  <c r="N7" i="192"/>
  <c r="H7" i="196"/>
  <c r="P7" i="362"/>
  <c r="L5" i="95"/>
  <c r="L7" i="95" s="1"/>
  <c r="M7" i="95"/>
  <c r="O7" i="95"/>
  <c r="H21" i="313"/>
  <c r="P23" i="313" s="1"/>
  <c r="E7" i="313"/>
  <c r="G35" i="313"/>
  <c r="H7" i="313"/>
  <c r="H35" i="313"/>
  <c r="F21" i="313"/>
  <c r="N23" i="313" s="1"/>
  <c r="F7" i="14"/>
  <c r="G7" i="325"/>
  <c r="G7" i="360"/>
  <c r="H35" i="360"/>
  <c r="F7" i="360"/>
  <c r="F21" i="360"/>
  <c r="N23" i="360" s="1"/>
  <c r="H7" i="360"/>
  <c r="G21" i="360"/>
  <c r="O23" i="360" s="1"/>
  <c r="D5" i="360"/>
  <c r="E35" i="360"/>
  <c r="E35" i="103"/>
  <c r="E21" i="103"/>
  <c r="E35" i="212"/>
  <c r="E21" i="212"/>
  <c r="P7" i="188"/>
  <c r="N7" i="188"/>
  <c r="M7" i="188"/>
  <c r="F35" i="362"/>
  <c r="E21" i="362"/>
  <c r="M23" i="362" s="1"/>
  <c r="E35" i="354"/>
  <c r="E35" i="184"/>
  <c r="H7" i="219"/>
  <c r="E35" i="137"/>
  <c r="H7" i="137"/>
  <c r="N7" i="141"/>
  <c r="P7" i="204"/>
  <c r="H35" i="279"/>
  <c r="F21" i="279"/>
  <c r="N23" i="279" s="1"/>
  <c r="M7" i="126"/>
  <c r="N7" i="126"/>
  <c r="O7" i="126"/>
  <c r="L5" i="126"/>
  <c r="L7" i="126" s="1"/>
  <c r="L5" i="123"/>
  <c r="L7" i="123" s="1"/>
  <c r="M7" i="123"/>
  <c r="O7" i="324"/>
  <c r="M23" i="324"/>
  <c r="M7" i="324"/>
  <c r="N23" i="324"/>
  <c r="P7" i="324"/>
  <c r="O23" i="324"/>
  <c r="P23" i="324"/>
  <c r="H35" i="95"/>
  <c r="F21" i="95"/>
  <c r="N23" i="95" s="1"/>
  <c r="H7" i="354"/>
  <c r="G35" i="189"/>
  <c r="E35" i="72"/>
  <c r="N29" i="325"/>
  <c r="F21" i="137"/>
  <c r="N23" i="137" s="1"/>
  <c r="E35" i="279"/>
  <c r="H35" i="172"/>
  <c r="F35" i="309"/>
  <c r="F21" i="309"/>
  <c r="D5" i="15"/>
  <c r="E35" i="15"/>
  <c r="E7" i="15"/>
  <c r="G21" i="15"/>
  <c r="O23" i="15" s="1"/>
  <c r="H35" i="15"/>
  <c r="P7" i="338"/>
  <c r="M7" i="338"/>
  <c r="L5" i="338"/>
  <c r="L7" i="338" s="1"/>
  <c r="O7" i="202"/>
  <c r="M7" i="202"/>
  <c r="N7" i="202"/>
  <c r="N7" i="139"/>
  <c r="M7" i="4"/>
  <c r="E35" i="192"/>
  <c r="H7" i="192"/>
  <c r="N7" i="196"/>
  <c r="H35" i="97"/>
  <c r="F7" i="97"/>
  <c r="G7" i="362"/>
  <c r="F21" i="354"/>
  <c r="N23" i="354" s="1"/>
  <c r="E7" i="354"/>
  <c r="E35" i="189"/>
  <c r="F7" i="189"/>
  <c r="G21" i="72"/>
  <c r="O23" i="72" s="1"/>
  <c r="M7" i="14"/>
  <c r="O35" i="325"/>
  <c r="O23" i="325"/>
  <c r="M7" i="325"/>
  <c r="H7" i="279"/>
  <c r="M7" i="15"/>
  <c r="E7" i="188"/>
  <c r="F21" i="188"/>
  <c r="N23" i="188" s="1"/>
  <c r="H21" i="355"/>
  <c r="P23" i="355" s="1"/>
  <c r="H7" i="355"/>
  <c r="F35" i="355"/>
  <c r="G35" i="355"/>
  <c r="H35" i="355"/>
  <c r="E7" i="151"/>
  <c r="F21" i="151"/>
  <c r="N23" i="151" s="1"/>
  <c r="H21" i="151"/>
  <c r="P23" i="151" s="1"/>
  <c r="F35" i="151"/>
  <c r="F21" i="353"/>
  <c r="N23" i="353" s="1"/>
  <c r="G7" i="192"/>
  <c r="M7" i="196"/>
  <c r="G35" i="97"/>
  <c r="N7" i="99"/>
  <c r="H35" i="362"/>
  <c r="H21" i="362"/>
  <c r="P23" i="362" s="1"/>
  <c r="F7" i="362"/>
  <c r="H35" i="354"/>
  <c r="M7" i="356"/>
  <c r="F21" i="72"/>
  <c r="N23" i="72" s="1"/>
  <c r="N7" i="219"/>
  <c r="N23" i="325"/>
  <c r="G35" i="137"/>
  <c r="H21" i="279"/>
  <c r="P23" i="279" s="1"/>
  <c r="G7" i="279"/>
  <c r="H21" i="84"/>
  <c r="H7" i="15"/>
  <c r="D5" i="220"/>
  <c r="D7" i="220" s="1"/>
  <c r="E21" i="220"/>
  <c r="M23" i="220" s="1"/>
  <c r="G35" i="220"/>
  <c r="F21" i="220"/>
  <c r="N23" i="220" s="1"/>
  <c r="H35" i="220"/>
  <c r="E7" i="220"/>
  <c r="G21" i="220"/>
  <c r="O23" i="220" s="1"/>
  <c r="F7" i="220"/>
  <c r="H21" i="220"/>
  <c r="P23" i="220" s="1"/>
  <c r="M29" i="289"/>
  <c r="E35" i="338"/>
  <c r="F35" i="241"/>
  <c r="H35" i="324"/>
  <c r="D5" i="324"/>
  <c r="F21" i="221"/>
  <c r="N23" i="221" s="1"/>
  <c r="L5" i="221"/>
  <c r="L7" i="221" s="1"/>
  <c r="H7" i="349"/>
  <c r="G21" i="289"/>
  <c r="O23" i="289" s="1"/>
  <c r="F35" i="16"/>
  <c r="E21" i="16"/>
  <c r="M23" i="16" s="1"/>
  <c r="E7" i="16"/>
  <c r="M29" i="293"/>
  <c r="L5" i="293"/>
  <c r="M7" i="160"/>
  <c r="F21" i="347"/>
  <c r="N23" i="347" s="1"/>
  <c r="E7" i="347"/>
  <c r="G21" i="156"/>
  <c r="O23" i="156" s="1"/>
  <c r="G35" i="288"/>
  <c r="H21" i="288"/>
  <c r="P23" i="288" s="1"/>
  <c r="G7" i="288"/>
  <c r="O7" i="195"/>
  <c r="F35" i="165"/>
  <c r="F21" i="289"/>
  <c r="N23" i="289" s="1"/>
  <c r="L5" i="347"/>
  <c r="L7" i="347" s="1"/>
  <c r="F21" i="156"/>
  <c r="N23" i="156" s="1"/>
  <c r="F35" i="288"/>
  <c r="G21" i="288"/>
  <c r="O23" i="288" s="1"/>
  <c r="F7" i="288"/>
  <c r="N7" i="195"/>
  <c r="F35" i="166"/>
  <c r="H7" i="165"/>
  <c r="I645" i="209"/>
  <c r="L26" i="219"/>
  <c r="D46" i="219"/>
  <c r="D45" i="219"/>
  <c r="I165" i="209" s="1"/>
  <c r="I705" i="209"/>
  <c r="D18" i="219"/>
  <c r="O645" i="209"/>
  <c r="D44" i="219"/>
  <c r="O105" i="209" s="1"/>
  <c r="D46" i="333"/>
  <c r="M137" i="294"/>
  <c r="D18" i="333"/>
  <c r="L26" i="333"/>
  <c r="H21" i="241"/>
  <c r="P23" i="241" s="1"/>
  <c r="F35" i="324"/>
  <c r="M7" i="289"/>
  <c r="M7" i="156"/>
  <c r="E35" i="288"/>
  <c r="F21" i="288"/>
  <c r="N23" i="288" s="1"/>
  <c r="M7" i="195"/>
  <c r="H21" i="166"/>
  <c r="P23" i="166" s="1"/>
  <c r="G7" i="165"/>
  <c r="F21" i="241"/>
  <c r="N23" i="241" s="1"/>
  <c r="E35" i="324"/>
  <c r="H7" i="202"/>
  <c r="G35" i="349"/>
  <c r="H35" i="289"/>
  <c r="H7" i="289"/>
  <c r="O7" i="16"/>
  <c r="O7" i="293"/>
  <c r="H35" i="126"/>
  <c r="H7" i="126"/>
  <c r="H7" i="156"/>
  <c r="E21" i="288"/>
  <c r="M23" i="288" s="1"/>
  <c r="E21" i="328"/>
  <c r="L5" i="195"/>
  <c r="L7" i="195" s="1"/>
  <c r="F21" i="166"/>
  <c r="N23" i="166" s="1"/>
  <c r="H21" i="165"/>
  <c r="P23" i="165" s="1"/>
  <c r="E7" i="165"/>
  <c r="O7" i="151"/>
  <c r="H7" i="166"/>
  <c r="P15" i="241"/>
  <c r="P19" i="241"/>
  <c r="E14" i="79"/>
  <c r="F14" i="79" s="1"/>
  <c r="G14" i="79" s="1"/>
  <c r="T11" i="36"/>
  <c r="G38" i="344"/>
  <c r="G37" i="344"/>
  <c r="G39" i="344"/>
  <c r="G40" i="344"/>
  <c r="G42" i="344"/>
  <c r="G41" i="344"/>
  <c r="J716" i="209"/>
  <c r="J656" i="209"/>
  <c r="M26" i="241"/>
  <c r="E46" i="241"/>
  <c r="E45" i="241"/>
  <c r="J176" i="209" s="1"/>
  <c r="P656" i="209"/>
  <c r="E18" i="241"/>
  <c r="E14" i="104"/>
  <c r="E14" i="84" s="1"/>
  <c r="F14" i="118"/>
  <c r="V14" i="33"/>
  <c r="V13" i="33"/>
  <c r="F356" i="209"/>
  <c r="F776" i="209"/>
  <c r="F476" i="209"/>
  <c r="F56" i="209"/>
  <c r="F296" i="209"/>
  <c r="F596" i="209"/>
  <c r="O20" i="213"/>
  <c r="O20" i="105"/>
  <c r="R11" i="100"/>
  <c r="T11" i="100" s="1"/>
  <c r="F142" i="209"/>
  <c r="F622" i="209"/>
  <c r="F382" i="209"/>
  <c r="F682" i="209"/>
  <c r="F742" i="209"/>
  <c r="F502" i="209"/>
  <c r="F262" i="209"/>
  <c r="F322" i="209"/>
  <c r="D94" i="209"/>
  <c r="D154" i="209" s="1"/>
  <c r="D214" i="209" s="1"/>
  <c r="D274" i="209" s="1"/>
  <c r="D334" i="209" s="1"/>
  <c r="D394" i="209" s="1"/>
  <c r="D454" i="209" s="1"/>
  <c r="D514" i="209" s="1"/>
  <c r="D574" i="209" s="1"/>
  <c r="D634" i="209" s="1"/>
  <c r="D694" i="209" s="1"/>
  <c r="D754" i="209" s="1"/>
  <c r="T28" i="37"/>
  <c r="D105" i="209"/>
  <c r="D165" i="209" s="1"/>
  <c r="D225" i="209" s="1"/>
  <c r="D285" i="209" s="1"/>
  <c r="D345" i="209" s="1"/>
  <c r="D405" i="209" s="1"/>
  <c r="D465" i="209" s="1"/>
  <c r="D525" i="209" s="1"/>
  <c r="D585" i="209" s="1"/>
  <c r="D645" i="209" s="1"/>
  <c r="D705" i="209" s="1"/>
  <c r="D765" i="209" s="1"/>
  <c r="U45" i="209"/>
  <c r="U105" i="209" s="1"/>
  <c r="U165" i="209" s="1"/>
  <c r="U225" i="209" s="1"/>
  <c r="U285" i="209" s="1"/>
  <c r="U345" i="209" s="1"/>
  <c r="U405" i="209" s="1"/>
  <c r="U465" i="209" s="1"/>
  <c r="U525" i="209" s="1"/>
  <c r="U585" i="209" s="1"/>
  <c r="U645" i="209" s="1"/>
  <c r="U705" i="209" s="1"/>
  <c r="U765" i="209" s="1"/>
  <c r="S476" i="209"/>
  <c r="S515" i="209"/>
  <c r="S526" i="209"/>
  <c r="F368" i="246"/>
  <c r="F112" i="209"/>
  <c r="F172" i="209" s="1"/>
  <c r="F232" i="209" s="1"/>
  <c r="F292" i="209" s="1"/>
  <c r="F352" i="209" s="1"/>
  <c r="F412" i="209" s="1"/>
  <c r="F472" i="209" s="1"/>
  <c r="F532" i="209" s="1"/>
  <c r="F592" i="209" s="1"/>
  <c r="F652" i="209" s="1"/>
  <c r="F712" i="209" s="1"/>
  <c r="F772" i="209" s="1"/>
  <c r="F244" i="246"/>
  <c r="S447" i="209"/>
  <c r="D18" i="97"/>
  <c r="U36" i="209"/>
  <c r="U96" i="209" s="1"/>
  <c r="U156" i="209" s="1"/>
  <c r="U216" i="209" s="1"/>
  <c r="U276" i="209" s="1"/>
  <c r="U336" i="209" s="1"/>
  <c r="U396" i="209" s="1"/>
  <c r="U456" i="209" s="1"/>
  <c r="U516" i="209" s="1"/>
  <c r="U576" i="209" s="1"/>
  <c r="U636" i="209" s="1"/>
  <c r="U696" i="209" s="1"/>
  <c r="U756" i="209" s="1"/>
  <c r="T16" i="37"/>
  <c r="F18" i="196"/>
  <c r="F678" i="246"/>
  <c r="F492" i="246"/>
  <c r="F15" i="118"/>
  <c r="T11" i="80"/>
  <c r="R13" i="27"/>
  <c r="T13" i="27" s="1"/>
  <c r="T15" i="29"/>
  <c r="S455" i="209"/>
  <c r="S458" i="209"/>
  <c r="S467" i="209"/>
  <c r="S496" i="209"/>
  <c r="M26" i="188"/>
  <c r="E43" i="188" s="1"/>
  <c r="E47" i="188" s="1"/>
  <c r="P168" i="246" s="1"/>
  <c r="E18" i="188"/>
  <c r="L417" i="209"/>
  <c r="D13" i="184"/>
  <c r="F11" i="203"/>
  <c r="F18" i="203" s="1"/>
  <c r="D14" i="173"/>
  <c r="H24" i="361"/>
  <c r="H38" i="361" s="1"/>
  <c r="P10" i="360" s="1"/>
  <c r="H26" i="361"/>
  <c r="H40" i="361" s="1"/>
  <c r="P12" i="360" s="1"/>
  <c r="H28" i="361"/>
  <c r="H42" i="361" s="1"/>
  <c r="P14" i="360" s="1"/>
  <c r="H32" i="361"/>
  <c r="T11" i="129"/>
  <c r="D11" i="270"/>
  <c r="I734" i="246" s="1"/>
  <c r="M734" i="246" s="1"/>
  <c r="F11" i="141"/>
  <c r="D15" i="173"/>
  <c r="S395" i="209"/>
  <c r="M413" i="209"/>
  <c r="S414" i="209"/>
  <c r="S430" i="209"/>
  <c r="M431" i="209"/>
  <c r="S456" i="209"/>
  <c r="M525" i="209"/>
  <c r="M528" i="209"/>
  <c r="S554" i="209"/>
  <c r="S566" i="246"/>
  <c r="S578" i="246"/>
  <c r="S734" i="246"/>
  <c r="H26" i="186"/>
  <c r="H40" i="186" s="1"/>
  <c r="F11" i="188"/>
  <c r="N26" i="188" s="1"/>
  <c r="F43" i="188" s="1"/>
  <c r="F47" i="188" s="1"/>
  <c r="Q168" i="246" s="1"/>
  <c r="T17" i="27"/>
  <c r="M399" i="209"/>
  <c r="S412" i="209"/>
  <c r="M587" i="209"/>
  <c r="M577" i="209"/>
  <c r="S670" i="209"/>
  <c r="S672" i="209"/>
  <c r="S675" i="209"/>
  <c r="S383" i="246"/>
  <c r="S422" i="246"/>
  <c r="M442" i="246"/>
  <c r="M445" i="246"/>
  <c r="M446" i="246"/>
  <c r="M448" i="246"/>
  <c r="M454" i="246"/>
  <c r="M455" i="246"/>
  <c r="M461" i="246"/>
  <c r="M464" i="246"/>
  <c r="M465" i="246"/>
  <c r="K596" i="246"/>
  <c r="R308" i="246"/>
  <c r="J556" i="246"/>
  <c r="O618" i="246"/>
  <c r="T12" i="161"/>
  <c r="T27" i="34"/>
  <c r="T29" i="34" s="1"/>
  <c r="M455" i="209"/>
  <c r="M465" i="209"/>
  <c r="M468" i="209"/>
  <c r="S489" i="209"/>
  <c r="M494" i="209"/>
  <c r="S694" i="209"/>
  <c r="D15" i="228"/>
  <c r="P12" i="292"/>
  <c r="T19" i="129"/>
  <c r="M430" i="209"/>
  <c r="M554" i="209"/>
  <c r="T13" i="129"/>
  <c r="S545" i="246"/>
  <c r="M421" i="246"/>
  <c r="Q456" i="246"/>
  <c r="H29" i="223"/>
  <c r="AA36" i="292"/>
  <c r="Q302" i="246"/>
  <c r="M517" i="246"/>
  <c r="M453" i="246"/>
  <c r="M513" i="246"/>
  <c r="F25" i="171"/>
  <c r="M451" i="246"/>
  <c r="I332" i="246"/>
  <c r="D16" i="171"/>
  <c r="M524" i="209"/>
  <c r="I590" i="209"/>
  <c r="AA21" i="292"/>
  <c r="L350" i="209"/>
  <c r="G28" i="170"/>
  <c r="C32" i="170"/>
  <c r="F33" i="170"/>
  <c r="H27" i="212"/>
  <c r="H41" i="212" s="1"/>
  <c r="M210" i="209" s="1"/>
  <c r="S566" i="209"/>
  <c r="C31" i="173"/>
  <c r="F27" i="228"/>
  <c r="C27" i="228"/>
  <c r="F17" i="173"/>
  <c r="AA12" i="292"/>
  <c r="M398" i="209"/>
  <c r="S398" i="209"/>
  <c r="H43" i="79"/>
  <c r="M519" i="209"/>
  <c r="S519" i="209"/>
  <c r="E45" i="325"/>
  <c r="N47" i="294" s="1"/>
  <c r="E18" i="325"/>
  <c r="M26" i="325"/>
  <c r="E43" i="325" s="1"/>
  <c r="E47" i="325" s="1"/>
  <c r="S47" i="294" s="1"/>
  <c r="E46" i="325"/>
  <c r="N123" i="294"/>
  <c r="J8" i="294"/>
  <c r="F41" i="324"/>
  <c r="J65" i="294" s="1"/>
  <c r="F37" i="324"/>
  <c r="J27" i="294" s="1"/>
  <c r="F38" i="324"/>
  <c r="T8" i="294" s="1"/>
  <c r="F39" i="324"/>
  <c r="O27" i="294" s="1"/>
  <c r="F40" i="324"/>
  <c r="J46" i="294" s="1"/>
  <c r="M335" i="209"/>
  <c r="M575" i="209"/>
  <c r="S459" i="209"/>
  <c r="M521" i="209"/>
  <c r="M401" i="209"/>
  <c r="S461" i="209"/>
  <c r="S372" i="209"/>
  <c r="M316" i="209"/>
  <c r="S376" i="209"/>
  <c r="S436" i="209"/>
  <c r="S434" i="209"/>
  <c r="M310" i="209"/>
  <c r="S490" i="209"/>
  <c r="M311" i="209"/>
  <c r="S491" i="209"/>
  <c r="S428" i="209"/>
  <c r="I668" i="209"/>
  <c r="D40" i="360"/>
  <c r="H59" i="294" s="1"/>
  <c r="D38" i="360"/>
  <c r="R21" i="294" s="1"/>
  <c r="D37" i="360"/>
  <c r="H40" i="294" s="1"/>
  <c r="H21" i="294"/>
  <c r="M21" i="294"/>
  <c r="D39" i="360"/>
  <c r="M40" i="294" s="1"/>
  <c r="D45" i="360"/>
  <c r="M59" i="294" s="1"/>
  <c r="D46" i="360"/>
  <c r="D44" i="360"/>
  <c r="R40" i="294" s="1"/>
  <c r="L26" i="360"/>
  <c r="H29" i="309"/>
  <c r="H43" i="309" s="1"/>
  <c r="P432" i="246"/>
  <c r="AA32" i="292"/>
  <c r="E25" i="309"/>
  <c r="J494" i="246"/>
  <c r="L494" i="246"/>
  <c r="M368" i="246"/>
  <c r="J618" i="246"/>
  <c r="I618" i="246"/>
  <c r="H46" i="308"/>
  <c r="Q370" i="246"/>
  <c r="P556" i="246"/>
  <c r="R432" i="246"/>
  <c r="H23" i="309"/>
  <c r="H37" i="309" s="1"/>
  <c r="G23" i="184"/>
  <c r="E16" i="184"/>
  <c r="G32" i="172"/>
  <c r="I348" i="246"/>
  <c r="F29" i="172"/>
  <c r="K534" i="246"/>
  <c r="L348" i="246"/>
  <c r="I472" i="246"/>
  <c r="H31" i="186"/>
  <c r="H45" i="186" s="1"/>
  <c r="E26" i="172"/>
  <c r="O410" i="246"/>
  <c r="D31" i="172"/>
  <c r="F29" i="184"/>
  <c r="C28" i="172"/>
  <c r="O534" i="246"/>
  <c r="D23" i="172"/>
  <c r="I410" i="246"/>
  <c r="F48" i="186"/>
  <c r="N20" i="95" s="1"/>
  <c r="J472" i="246"/>
  <c r="S347" i="246"/>
  <c r="O472" i="246"/>
  <c r="M407" i="246"/>
  <c r="G29" i="172"/>
  <c r="M531" i="246"/>
  <c r="O348" i="246"/>
  <c r="O25" i="172"/>
  <c r="S322" i="246"/>
  <c r="S694" i="246"/>
  <c r="L20" i="190"/>
  <c r="O20" i="192"/>
  <c r="P19" i="156"/>
  <c r="P19" i="359"/>
  <c r="P19" i="284"/>
  <c r="P19" i="192"/>
  <c r="H43" i="185"/>
  <c r="M325" i="246"/>
  <c r="H43" i="284"/>
  <c r="M510" i="246"/>
  <c r="S139" i="246"/>
  <c r="N20" i="190"/>
  <c r="P18" i="156"/>
  <c r="P18" i="359"/>
  <c r="P19" i="190"/>
  <c r="N20" i="156"/>
  <c r="P18" i="192"/>
  <c r="S635" i="246"/>
  <c r="M528" i="246"/>
  <c r="M404" i="246"/>
  <c r="M527" i="246"/>
  <c r="L467" i="246"/>
  <c r="H29" i="104"/>
  <c r="H43" i="104" s="1"/>
  <c r="P15" i="118" s="1"/>
  <c r="S526" i="246"/>
  <c r="G24" i="172"/>
  <c r="G29" i="84"/>
  <c r="M340" i="246"/>
  <c r="G25" i="172"/>
  <c r="L343" i="246"/>
  <c r="M401" i="246"/>
  <c r="S587" i="246"/>
  <c r="S711" i="246"/>
  <c r="M400" i="246"/>
  <c r="S586" i="246"/>
  <c r="C26" i="172"/>
  <c r="M524" i="246"/>
  <c r="N25" i="172"/>
  <c r="M523" i="246"/>
  <c r="E33" i="172"/>
  <c r="E27" i="84"/>
  <c r="C29" i="84"/>
  <c r="C24" i="172"/>
  <c r="D27" i="172"/>
  <c r="F17" i="84"/>
  <c r="D12" i="84"/>
  <c r="O744" i="246" s="1"/>
  <c r="P10" i="284"/>
  <c r="M15" i="246"/>
  <c r="P10" i="192"/>
  <c r="P10" i="190"/>
  <c r="P10" i="156"/>
  <c r="P10" i="359"/>
  <c r="S325" i="246"/>
  <c r="J30" i="292"/>
  <c r="S471" i="246"/>
  <c r="S476" i="246"/>
  <c r="S480" i="246"/>
  <c r="S482" i="246"/>
  <c r="S483" i="246"/>
  <c r="S486" i="246"/>
  <c r="S577" i="246"/>
  <c r="S398" i="246"/>
  <c r="S460" i="246"/>
  <c r="S522" i="246"/>
  <c r="S584" i="246"/>
  <c r="M466" i="246"/>
  <c r="M469" i="246"/>
  <c r="M470" i="246"/>
  <c r="D109" i="246"/>
  <c r="D171" i="246" s="1"/>
  <c r="D233" i="246" s="1"/>
  <c r="D295" i="246" s="1"/>
  <c r="D357" i="246" s="1"/>
  <c r="D419" i="246" s="1"/>
  <c r="D481" i="246" s="1"/>
  <c r="D543" i="246" s="1"/>
  <c r="D605" i="246" s="1"/>
  <c r="D667" i="246" s="1"/>
  <c r="D729" i="246" s="1"/>
  <c r="D791" i="246" s="1"/>
  <c r="S385" i="246"/>
  <c r="S400" i="246"/>
  <c r="S412" i="246"/>
  <c r="M610" i="246"/>
  <c r="S470" i="246"/>
  <c r="S487" i="246"/>
  <c r="S740" i="246"/>
  <c r="U36" i="246"/>
  <c r="U98" i="246" s="1"/>
  <c r="U160" i="246" s="1"/>
  <c r="U222" i="246" s="1"/>
  <c r="U284" i="246" s="1"/>
  <c r="U346" i="246" s="1"/>
  <c r="U408" i="246" s="1"/>
  <c r="U470" i="246" s="1"/>
  <c r="U532" i="246" s="1"/>
  <c r="U594" i="246" s="1"/>
  <c r="U656" i="246" s="1"/>
  <c r="U718" i="246" s="1"/>
  <c r="S380" i="246"/>
  <c r="S384" i="246"/>
  <c r="S386" i="246"/>
  <c r="S389" i="246"/>
  <c r="S390" i="246"/>
  <c r="S391" i="246"/>
  <c r="S392" i="246"/>
  <c r="S393" i="246"/>
  <c r="S399" i="246"/>
  <c r="S401" i="246"/>
  <c r="S402" i="246"/>
  <c r="S403" i="246"/>
  <c r="S404" i="246"/>
  <c r="S407" i="246"/>
  <c r="S408" i="246"/>
  <c r="S409" i="246"/>
  <c r="S413" i="246"/>
  <c r="S414" i="246"/>
  <c r="M571" i="246"/>
  <c r="M587" i="246"/>
  <c r="M600" i="246"/>
  <c r="M462" i="246"/>
  <c r="M474" i="246"/>
  <c r="M475" i="246"/>
  <c r="S415" i="246"/>
  <c r="U37" i="246"/>
  <c r="U99" i="246" s="1"/>
  <c r="U161" i="246" s="1"/>
  <c r="U223" i="246" s="1"/>
  <c r="U285" i="246" s="1"/>
  <c r="U347" i="246" s="1"/>
  <c r="U409" i="246" s="1"/>
  <c r="U471" i="246" s="1"/>
  <c r="U533" i="246" s="1"/>
  <c r="U595" i="246" s="1"/>
  <c r="U657" i="246" s="1"/>
  <c r="U719" i="246" s="1"/>
  <c r="S416" i="246"/>
  <c r="S442" i="246"/>
  <c r="S446" i="246"/>
  <c r="M430" i="246"/>
  <c r="M536" i="246"/>
  <c r="M537" i="246"/>
  <c r="M538" i="246"/>
  <c r="M541" i="246"/>
  <c r="M542" i="246"/>
  <c r="M554" i="246"/>
  <c r="S693" i="246"/>
  <c r="S703" i="246"/>
  <c r="S710" i="246"/>
  <c r="S712" i="246"/>
  <c r="S718" i="246"/>
  <c r="S447" i="246"/>
  <c r="S448" i="246"/>
  <c r="S451" i="246"/>
  <c r="D80" i="246"/>
  <c r="D142" i="246" s="1"/>
  <c r="D204" i="246" s="1"/>
  <c r="D266" i="246" s="1"/>
  <c r="D328" i="246" s="1"/>
  <c r="D390" i="246" s="1"/>
  <c r="D452" i="246" s="1"/>
  <c r="D514" i="246" s="1"/>
  <c r="D576" i="246" s="1"/>
  <c r="D638" i="246" s="1"/>
  <c r="D700" i="246" s="1"/>
  <c r="D762" i="246" s="1"/>
  <c r="D110" i="246"/>
  <c r="D172" i="246" s="1"/>
  <c r="D234" i="246" s="1"/>
  <c r="D296" i="246" s="1"/>
  <c r="D358" i="246" s="1"/>
  <c r="D420" i="246" s="1"/>
  <c r="D482" i="246" s="1"/>
  <c r="D544" i="246" s="1"/>
  <c r="D606" i="246" s="1"/>
  <c r="D668" i="246" s="1"/>
  <c r="D730" i="246" s="1"/>
  <c r="D792" i="246" s="1"/>
  <c r="M544" i="246"/>
  <c r="M545" i="246"/>
  <c r="M546" i="246"/>
  <c r="M549" i="246"/>
  <c r="S722" i="246"/>
  <c r="S417" i="246"/>
  <c r="M449" i="246"/>
  <c r="S418" i="246"/>
  <c r="S419" i="246"/>
  <c r="M616" i="246"/>
  <c r="S617" i="246"/>
  <c r="S461" i="246"/>
  <c r="S463" i="246"/>
  <c r="S504" i="246"/>
  <c r="S507" i="246"/>
  <c r="S508" i="246"/>
  <c r="S509" i="246"/>
  <c r="S555" i="246"/>
  <c r="U46" i="246"/>
  <c r="U108" i="246" s="1"/>
  <c r="U170" i="246" s="1"/>
  <c r="U232" i="246" s="1"/>
  <c r="U294" i="246" s="1"/>
  <c r="U356" i="246" s="1"/>
  <c r="U418" i="246" s="1"/>
  <c r="U480" i="246" s="1"/>
  <c r="U542" i="246" s="1"/>
  <c r="U604" i="246" s="1"/>
  <c r="U666" i="246" s="1"/>
  <c r="U728" i="246" s="1"/>
  <c r="S445" i="246"/>
  <c r="S455" i="246"/>
  <c r="S464" i="246"/>
  <c r="S465" i="246"/>
  <c r="S469" i="246"/>
  <c r="M492" i="246"/>
  <c r="S493" i="246"/>
  <c r="M566" i="246"/>
  <c r="M569" i="246"/>
  <c r="M570" i="246"/>
  <c r="M572" i="246"/>
  <c r="M575" i="246"/>
  <c r="M576" i="246"/>
  <c r="M577" i="246"/>
  <c r="M578" i="246"/>
  <c r="M579" i="246"/>
  <c r="M585" i="246"/>
  <c r="M586" i="246"/>
  <c r="M588" i="246"/>
  <c r="M589" i="246"/>
  <c r="M590" i="246"/>
  <c r="M594" i="246"/>
  <c r="M595" i="246"/>
  <c r="M598" i="246"/>
  <c r="M599" i="246"/>
  <c r="M601" i="246"/>
  <c r="M602" i="246"/>
  <c r="M603" i="246"/>
  <c r="M604" i="246"/>
  <c r="M605" i="246"/>
  <c r="M607" i="246"/>
  <c r="M608" i="246"/>
  <c r="M609" i="246"/>
  <c r="M611" i="246"/>
  <c r="D103" i="246"/>
  <c r="D165" i="246" s="1"/>
  <c r="D227" i="246" s="1"/>
  <c r="D289" i="246" s="1"/>
  <c r="D351" i="246" s="1"/>
  <c r="D413" i="246" s="1"/>
  <c r="D475" i="246" s="1"/>
  <c r="D537" i="246" s="1"/>
  <c r="D599" i="246" s="1"/>
  <c r="D661" i="246" s="1"/>
  <c r="D723" i="246" s="1"/>
  <c r="D785" i="246" s="1"/>
  <c r="S420" i="246"/>
  <c r="S421" i="246"/>
  <c r="S423" i="246"/>
  <c r="U49" i="246"/>
  <c r="U111" i="246" s="1"/>
  <c r="U173" i="246" s="1"/>
  <c r="U235" i="246" s="1"/>
  <c r="U297" i="246" s="1"/>
  <c r="U359" i="246" s="1"/>
  <c r="U421" i="246" s="1"/>
  <c r="U483" i="246" s="1"/>
  <c r="U545" i="246" s="1"/>
  <c r="U607" i="246" s="1"/>
  <c r="U669" i="246" s="1"/>
  <c r="U731" i="246" s="1"/>
  <c r="M573" i="246"/>
  <c r="D94" i="246"/>
  <c r="D156" i="246" s="1"/>
  <c r="D218" i="246" s="1"/>
  <c r="D280" i="246" s="1"/>
  <c r="D342" i="246" s="1"/>
  <c r="D404" i="246" s="1"/>
  <c r="D466" i="246" s="1"/>
  <c r="D528" i="246" s="1"/>
  <c r="D590" i="246" s="1"/>
  <c r="D652" i="246" s="1"/>
  <c r="D714" i="246" s="1"/>
  <c r="D776" i="246" s="1"/>
  <c r="S605" i="246"/>
  <c r="M471" i="246"/>
  <c r="M476" i="246"/>
  <c r="M477" i="246"/>
  <c r="M478" i="246"/>
  <c r="M479" i="246"/>
  <c r="M480" i="246"/>
  <c r="M481" i="246"/>
  <c r="M483" i="246"/>
  <c r="M484" i="246"/>
  <c r="M485" i="246"/>
  <c r="M486" i="246"/>
  <c r="M487" i="246"/>
  <c r="U17" i="246"/>
  <c r="U79" i="246" s="1"/>
  <c r="U141" i="246" s="1"/>
  <c r="U203" i="246" s="1"/>
  <c r="U265" i="246" s="1"/>
  <c r="U327" i="246" s="1"/>
  <c r="U389" i="246" s="1"/>
  <c r="U451" i="246" s="1"/>
  <c r="U513" i="246" s="1"/>
  <c r="U575" i="246" s="1"/>
  <c r="U637" i="246" s="1"/>
  <c r="U699" i="246" s="1"/>
  <c r="S425" i="246"/>
  <c r="S430" i="246"/>
  <c r="M431" i="246"/>
  <c r="D106" i="246"/>
  <c r="D168" i="246" s="1"/>
  <c r="D230" i="246" s="1"/>
  <c r="D292" i="246" s="1"/>
  <c r="D354" i="246" s="1"/>
  <c r="D416" i="246" s="1"/>
  <c r="D478" i="246" s="1"/>
  <c r="D540" i="246" s="1"/>
  <c r="D602" i="246" s="1"/>
  <c r="D664" i="246" s="1"/>
  <c r="D726" i="246" s="1"/>
  <c r="D788" i="246" s="1"/>
  <c r="S475" i="246"/>
  <c r="D90" i="246"/>
  <c r="D152" i="246" s="1"/>
  <c r="D214" i="246" s="1"/>
  <c r="D276" i="246" s="1"/>
  <c r="D338" i="246" s="1"/>
  <c r="D400" i="246" s="1"/>
  <c r="D462" i="246" s="1"/>
  <c r="D524" i="246" s="1"/>
  <c r="D586" i="246" s="1"/>
  <c r="D648" i="246" s="1"/>
  <c r="D710" i="246" s="1"/>
  <c r="D772" i="246" s="1"/>
  <c r="M391" i="246"/>
  <c r="M516" i="246"/>
  <c r="M532" i="246"/>
  <c r="M533" i="246"/>
  <c r="M593" i="246"/>
  <c r="M606" i="246"/>
  <c r="M392" i="246"/>
  <c r="S477" i="246"/>
  <c r="S478" i="246"/>
  <c r="S479" i="246"/>
  <c r="S484" i="246"/>
  <c r="S485" i="246"/>
  <c r="S602" i="246"/>
  <c r="M482" i="246"/>
  <c r="S454" i="246"/>
  <c r="S569" i="246"/>
  <c r="S585" i="246"/>
  <c r="S609" i="246"/>
  <c r="D102" i="246"/>
  <c r="D164" i="246" s="1"/>
  <c r="D226" i="246" s="1"/>
  <c r="D288" i="246" s="1"/>
  <c r="D350" i="246" s="1"/>
  <c r="D412" i="246" s="1"/>
  <c r="D474" i="246" s="1"/>
  <c r="D536" i="246" s="1"/>
  <c r="D598" i="246" s="1"/>
  <c r="D660" i="246" s="1"/>
  <c r="D722" i="246" s="1"/>
  <c r="D784" i="246" s="1"/>
  <c r="S452" i="246"/>
  <c r="S453" i="246"/>
  <c r="S514" i="246"/>
  <c r="S515" i="246"/>
  <c r="S474" i="246"/>
  <c r="U43" i="246"/>
  <c r="U105" i="246" s="1"/>
  <c r="U167" i="246" s="1"/>
  <c r="U229" i="246" s="1"/>
  <c r="U291" i="246" s="1"/>
  <c r="U353" i="246" s="1"/>
  <c r="U415" i="246" s="1"/>
  <c r="U477" i="246" s="1"/>
  <c r="U539" i="246" s="1"/>
  <c r="U601" i="246" s="1"/>
  <c r="U663" i="246" s="1"/>
  <c r="U725" i="246" s="1"/>
  <c r="S462" i="246"/>
  <c r="S481" i="246"/>
  <c r="M543" i="246"/>
  <c r="U11" i="246"/>
  <c r="U73" i="246" s="1"/>
  <c r="U135" i="246" s="1"/>
  <c r="U197" i="246" s="1"/>
  <c r="U259" i="246" s="1"/>
  <c r="U321" i="246" s="1"/>
  <c r="U383" i="246" s="1"/>
  <c r="U445" i="246" s="1"/>
  <c r="U507" i="246" s="1"/>
  <c r="U569" i="246" s="1"/>
  <c r="U631" i="246" s="1"/>
  <c r="U693" i="246" s="1"/>
  <c r="S466" i="246"/>
  <c r="S511" i="246"/>
  <c r="S424" i="246"/>
  <c r="U21" i="246"/>
  <c r="U83" i="246" s="1"/>
  <c r="U145" i="246" s="1"/>
  <c r="U207" i="246" s="1"/>
  <c r="U269" i="246" s="1"/>
  <c r="U331" i="246" s="1"/>
  <c r="U393" i="246" s="1"/>
  <c r="U455" i="246" s="1"/>
  <c r="U517" i="246" s="1"/>
  <c r="U579" i="246" s="1"/>
  <c r="U641" i="246" s="1"/>
  <c r="U703" i="246" s="1"/>
  <c r="U31" i="246"/>
  <c r="U93" i="246" s="1"/>
  <c r="U155" i="246" s="1"/>
  <c r="U217" i="246" s="1"/>
  <c r="U279" i="246" s="1"/>
  <c r="U341" i="246" s="1"/>
  <c r="U403" i="246" s="1"/>
  <c r="U465" i="246" s="1"/>
  <c r="U527" i="246" s="1"/>
  <c r="U589" i="246" s="1"/>
  <c r="U651" i="246" s="1"/>
  <c r="U713" i="246" s="1"/>
  <c r="S695" i="246"/>
  <c r="S699" i="246"/>
  <c r="S701" i="246"/>
  <c r="S714" i="246"/>
  <c r="S724" i="246"/>
  <c r="S726" i="246"/>
  <c r="S728" i="246"/>
  <c r="S730" i="246"/>
  <c r="S735" i="246"/>
  <c r="L488" i="246"/>
  <c r="R426" i="246"/>
  <c r="L426" i="246"/>
  <c r="H23" i="226"/>
  <c r="I36" i="292" s="1"/>
  <c r="R550" i="246"/>
  <c r="G23" i="231"/>
  <c r="G23" i="170"/>
  <c r="H30" i="226"/>
  <c r="K36" i="292" s="1"/>
  <c r="I488" i="246"/>
  <c r="D30" i="170"/>
  <c r="O612" i="246"/>
  <c r="D30" i="172"/>
  <c r="P426" i="246"/>
  <c r="P550" i="246"/>
  <c r="J550" i="246"/>
  <c r="G31" i="172"/>
  <c r="L612" i="246"/>
  <c r="G31" i="231"/>
  <c r="G31" i="170"/>
  <c r="G48" i="226"/>
  <c r="H31" i="226"/>
  <c r="H45" i="226" s="1"/>
  <c r="M178" i="246" s="1"/>
  <c r="H46" i="226"/>
  <c r="S674" i="246" s="1"/>
  <c r="R612" i="246"/>
  <c r="C27" i="172"/>
  <c r="C27" i="231"/>
  <c r="F28" i="170"/>
  <c r="F28" i="172"/>
  <c r="F28" i="231"/>
  <c r="H44" i="185"/>
  <c r="K30" i="292"/>
  <c r="O129" i="294"/>
  <c r="F44" i="293"/>
  <c r="T34" i="294" s="1"/>
  <c r="F18" i="293"/>
  <c r="F46" i="293"/>
  <c r="N26" i="293"/>
  <c r="F43" i="293" s="1"/>
  <c r="F47" i="293" s="1"/>
  <c r="T53" i="294" s="1"/>
  <c r="I700" i="246"/>
  <c r="O638" i="246"/>
  <c r="D45" i="166"/>
  <c r="I142" i="246" s="1"/>
  <c r="L26" i="166"/>
  <c r="D43" i="166" s="1"/>
  <c r="D47" i="166" s="1"/>
  <c r="O142" i="246" s="1"/>
  <c r="D18" i="166"/>
  <c r="D46" i="166"/>
  <c r="D44" i="166"/>
  <c r="O80" i="246" s="1"/>
  <c r="D104" i="209"/>
  <c r="D164" i="209" s="1"/>
  <c r="D224" i="209" s="1"/>
  <c r="D284" i="209" s="1"/>
  <c r="D344" i="209" s="1"/>
  <c r="D404" i="209" s="1"/>
  <c r="D464" i="209" s="1"/>
  <c r="D524" i="209" s="1"/>
  <c r="D584" i="209" s="1"/>
  <c r="D644" i="209" s="1"/>
  <c r="D704" i="209" s="1"/>
  <c r="D764" i="209" s="1"/>
  <c r="U44" i="209"/>
  <c r="U104" i="209" s="1"/>
  <c r="U164" i="209" s="1"/>
  <c r="U224" i="209" s="1"/>
  <c r="U284" i="209" s="1"/>
  <c r="U344" i="209" s="1"/>
  <c r="U404" i="209" s="1"/>
  <c r="U464" i="209" s="1"/>
  <c r="U524" i="209" s="1"/>
  <c r="U584" i="209" s="1"/>
  <c r="U644" i="209" s="1"/>
  <c r="U704" i="209" s="1"/>
  <c r="U764" i="209" s="1"/>
  <c r="E11" i="126"/>
  <c r="M26" i="126" s="1"/>
  <c r="E43" i="126" s="1"/>
  <c r="E47" i="126" s="1"/>
  <c r="P166" i="246" s="1"/>
  <c r="D11" i="126"/>
  <c r="F11" i="126"/>
  <c r="K679" i="246"/>
  <c r="K741" i="246"/>
  <c r="F45" i="313"/>
  <c r="K183" i="246" s="1"/>
  <c r="N26" i="313"/>
  <c r="F43" i="313" s="1"/>
  <c r="F47" i="313" s="1"/>
  <c r="Q183" i="246" s="1"/>
  <c r="F46" i="313"/>
  <c r="F44" i="313"/>
  <c r="Q121" i="246" s="1"/>
  <c r="F46" i="178"/>
  <c r="F44" i="178"/>
  <c r="Q108" i="209" s="1"/>
  <c r="N26" i="178"/>
  <c r="Q648" i="209"/>
  <c r="K708" i="209"/>
  <c r="D76" i="246"/>
  <c r="D138" i="246" s="1"/>
  <c r="D200" i="246" s="1"/>
  <c r="D262" i="246" s="1"/>
  <c r="D324" i="246" s="1"/>
  <c r="D386" i="246" s="1"/>
  <c r="D448" i="246" s="1"/>
  <c r="D510" i="246" s="1"/>
  <c r="D572" i="246" s="1"/>
  <c r="D634" i="246" s="1"/>
  <c r="D696" i="246" s="1"/>
  <c r="D758" i="246" s="1"/>
  <c r="U14" i="246"/>
  <c r="U76" i="246" s="1"/>
  <c r="U138" i="246" s="1"/>
  <c r="U200" i="246" s="1"/>
  <c r="U262" i="246" s="1"/>
  <c r="U324" i="246" s="1"/>
  <c r="U386" i="246" s="1"/>
  <c r="U448" i="246" s="1"/>
  <c r="U510" i="246" s="1"/>
  <c r="U572" i="246" s="1"/>
  <c r="U634" i="246" s="1"/>
  <c r="U696" i="246" s="1"/>
  <c r="U45" i="246"/>
  <c r="U107" i="246" s="1"/>
  <c r="U169" i="246" s="1"/>
  <c r="U231" i="246" s="1"/>
  <c r="U293" i="246" s="1"/>
  <c r="U355" i="246" s="1"/>
  <c r="U417" i="246" s="1"/>
  <c r="U479" i="246" s="1"/>
  <c r="U541" i="246" s="1"/>
  <c r="U603" i="246" s="1"/>
  <c r="U665" i="246" s="1"/>
  <c r="U727" i="246" s="1"/>
  <c r="D107" i="246"/>
  <c r="D169" i="246" s="1"/>
  <c r="D231" i="246" s="1"/>
  <c r="D293" i="246" s="1"/>
  <c r="D355" i="246" s="1"/>
  <c r="D417" i="246" s="1"/>
  <c r="D479" i="246" s="1"/>
  <c r="D541" i="246" s="1"/>
  <c r="D603" i="246" s="1"/>
  <c r="D665" i="246" s="1"/>
  <c r="D727" i="246" s="1"/>
  <c r="D789" i="246" s="1"/>
  <c r="U50" i="246"/>
  <c r="U112" i="246" s="1"/>
  <c r="U174" i="246" s="1"/>
  <c r="U236" i="246" s="1"/>
  <c r="U298" i="246" s="1"/>
  <c r="U360" i="246" s="1"/>
  <c r="U422" i="246" s="1"/>
  <c r="U484" i="246" s="1"/>
  <c r="U546" i="246" s="1"/>
  <c r="U608" i="246" s="1"/>
  <c r="U670" i="246" s="1"/>
  <c r="U732" i="246" s="1"/>
  <c r="D112" i="246"/>
  <c r="D174" i="246" s="1"/>
  <c r="D236" i="246" s="1"/>
  <c r="D298" i="246" s="1"/>
  <c r="D360" i="246" s="1"/>
  <c r="D422" i="246" s="1"/>
  <c r="D484" i="246" s="1"/>
  <c r="D546" i="246" s="1"/>
  <c r="D608" i="246" s="1"/>
  <c r="D670" i="246" s="1"/>
  <c r="D732" i="246" s="1"/>
  <c r="D794" i="246" s="1"/>
  <c r="D32" i="172"/>
  <c r="D32" i="184"/>
  <c r="H46" i="186"/>
  <c r="H32" i="186"/>
  <c r="M658" i="246" s="1"/>
  <c r="H33" i="186"/>
  <c r="G33" i="172"/>
  <c r="L534" i="246"/>
  <c r="G13" i="309"/>
  <c r="G13" i="184"/>
  <c r="F16" i="309"/>
  <c r="F16" i="184"/>
  <c r="P308" i="246"/>
  <c r="D23" i="184"/>
  <c r="H23" i="308"/>
  <c r="O308" i="246"/>
  <c r="I432" i="246"/>
  <c r="O432" i="246"/>
  <c r="I494" i="246"/>
  <c r="O556" i="246"/>
  <c r="G24" i="184"/>
  <c r="H24" i="308"/>
  <c r="L432" i="246"/>
  <c r="R556" i="246"/>
  <c r="R494" i="246"/>
  <c r="G24" i="309"/>
  <c r="H24" i="309" s="1"/>
  <c r="H38" i="309" s="1"/>
  <c r="L370" i="246"/>
  <c r="N25" i="309"/>
  <c r="N25" i="184"/>
  <c r="D27" i="309"/>
  <c r="H27" i="309" s="1"/>
  <c r="H41" i="309" s="1"/>
  <c r="D27" i="184"/>
  <c r="H27" i="308"/>
  <c r="H41" i="308" s="1"/>
  <c r="G28" i="309"/>
  <c r="H28" i="309" s="1"/>
  <c r="H42" i="309" s="1"/>
  <c r="H28" i="308"/>
  <c r="H42" i="308" s="1"/>
  <c r="M308" i="246" s="1"/>
  <c r="G28" i="184"/>
  <c r="Q618" i="246"/>
  <c r="F30" i="309"/>
  <c r="K494" i="246"/>
  <c r="C32" i="309"/>
  <c r="C32" i="184"/>
  <c r="F33" i="309"/>
  <c r="K556" i="246"/>
  <c r="K332" i="246"/>
  <c r="J332" i="246"/>
  <c r="E24" i="173"/>
  <c r="P456" i="246"/>
  <c r="E24" i="171"/>
  <c r="M25" i="231"/>
  <c r="M25" i="173"/>
  <c r="E27" i="171"/>
  <c r="E27" i="173"/>
  <c r="J580" i="246"/>
  <c r="P580" i="246"/>
  <c r="E31" i="171"/>
  <c r="E33" i="231"/>
  <c r="E33" i="173"/>
  <c r="O467" i="246"/>
  <c r="J343" i="246"/>
  <c r="I405" i="246"/>
  <c r="O529" i="246"/>
  <c r="D24" i="172"/>
  <c r="I343" i="246"/>
  <c r="D26" i="84"/>
  <c r="H26" i="104"/>
  <c r="H40" i="104" s="1"/>
  <c r="H28" i="104"/>
  <c r="H42" i="104" s="1"/>
  <c r="D28" i="84"/>
  <c r="D28" i="172"/>
  <c r="H30" i="104"/>
  <c r="O591" i="246"/>
  <c r="D32" i="84"/>
  <c r="H32" i="104"/>
  <c r="M653" i="246" s="1"/>
  <c r="C23" i="84"/>
  <c r="O281" i="246"/>
  <c r="C23" i="172"/>
  <c r="G48" i="361"/>
  <c r="H31" i="361"/>
  <c r="H45" i="361" s="1"/>
  <c r="H46" i="361"/>
  <c r="E25" i="170"/>
  <c r="P350" i="209"/>
  <c r="G27" i="228"/>
  <c r="G27" i="170"/>
  <c r="E33" i="170"/>
  <c r="D14" i="84"/>
  <c r="D14" i="171"/>
  <c r="D24" i="84"/>
  <c r="H24" i="103"/>
  <c r="D24" i="171"/>
  <c r="G25" i="84"/>
  <c r="H25" i="103"/>
  <c r="H39" i="103" s="1"/>
  <c r="G25" i="171"/>
  <c r="E26" i="292"/>
  <c r="F30" i="171"/>
  <c r="F30" i="84"/>
  <c r="H32" i="103"/>
  <c r="G33" i="84"/>
  <c r="G33" i="171"/>
  <c r="H33" i="103"/>
  <c r="N30" i="292"/>
  <c r="P30" i="292" s="1"/>
  <c r="F12" i="184"/>
  <c r="N33" i="292" s="1"/>
  <c r="O263" i="246"/>
  <c r="C23" i="184"/>
  <c r="K325" i="246"/>
  <c r="L325" i="246"/>
  <c r="F24" i="171"/>
  <c r="F24" i="184"/>
  <c r="I387" i="246"/>
  <c r="M387" i="246" s="1"/>
  <c r="H26" i="185"/>
  <c r="H40" i="185" s="1"/>
  <c r="D26" i="171"/>
  <c r="H27" i="185"/>
  <c r="H41" i="185" s="1"/>
  <c r="G27" i="171"/>
  <c r="E29" i="171"/>
  <c r="E48" i="185"/>
  <c r="F32" i="171"/>
  <c r="F32" i="184"/>
  <c r="M25" i="184"/>
  <c r="M25" i="171"/>
  <c r="D13" i="172"/>
  <c r="D17" i="172"/>
  <c r="D17" i="170"/>
  <c r="F11" i="99"/>
  <c r="E11" i="99"/>
  <c r="G11" i="99"/>
  <c r="D11" i="99"/>
  <c r="E11" i="196"/>
  <c r="D11" i="196"/>
  <c r="G11" i="196"/>
  <c r="G11" i="178"/>
  <c r="D11" i="178"/>
  <c r="E11" i="178"/>
  <c r="G46" i="10"/>
  <c r="F46" i="10"/>
  <c r="D46" i="10"/>
  <c r="D45" i="10"/>
  <c r="I135" i="209" s="1"/>
  <c r="E45" i="10"/>
  <c r="J135" i="209" s="1"/>
  <c r="F45" i="10"/>
  <c r="K135" i="209" s="1"/>
  <c r="E46" i="10"/>
  <c r="G45" i="10"/>
  <c r="L135" i="209" s="1"/>
  <c r="E11" i="10"/>
  <c r="F11" i="10"/>
  <c r="D11" i="10"/>
  <c r="G13" i="228"/>
  <c r="G17" i="173"/>
  <c r="G17" i="228"/>
  <c r="H24" i="212"/>
  <c r="D24" i="173"/>
  <c r="I390" i="209"/>
  <c r="O510" i="209"/>
  <c r="I330" i="209"/>
  <c r="G25" i="228"/>
  <c r="G25" i="173"/>
  <c r="R330" i="209"/>
  <c r="L510" i="209"/>
  <c r="F20" i="292"/>
  <c r="F26" i="228"/>
  <c r="F22" i="292" s="1"/>
  <c r="F26" i="173"/>
  <c r="G29" i="228"/>
  <c r="G48" i="212"/>
  <c r="G29" i="173"/>
  <c r="H29" i="212"/>
  <c r="L570" i="209"/>
  <c r="P570" i="209"/>
  <c r="E31" i="173"/>
  <c r="C33" i="173"/>
  <c r="C33" i="228"/>
  <c r="F13" i="184"/>
  <c r="F13" i="172"/>
  <c r="K410" i="246"/>
  <c r="Q534" i="246"/>
  <c r="Q286" i="246"/>
  <c r="F23" i="184"/>
  <c r="Q410" i="246"/>
  <c r="F27" i="184"/>
  <c r="F27" i="172"/>
  <c r="D48" i="186"/>
  <c r="I596" i="246"/>
  <c r="D29" i="184"/>
  <c r="H29" i="186"/>
  <c r="H47" i="186" s="1"/>
  <c r="P19" i="95" s="1"/>
  <c r="D29" i="172"/>
  <c r="AA31" i="292"/>
  <c r="R596" i="246"/>
  <c r="H30" i="186"/>
  <c r="G30" i="172"/>
  <c r="G30" i="184"/>
  <c r="D106" i="209"/>
  <c r="D166" i="209" s="1"/>
  <c r="D226" i="209" s="1"/>
  <c r="D286" i="209" s="1"/>
  <c r="D346" i="209" s="1"/>
  <c r="D406" i="209" s="1"/>
  <c r="D466" i="209" s="1"/>
  <c r="D526" i="209" s="1"/>
  <c r="D586" i="209" s="1"/>
  <c r="D646" i="209" s="1"/>
  <c r="D706" i="209" s="1"/>
  <c r="D766" i="209" s="1"/>
  <c r="U46" i="209"/>
  <c r="U106" i="209" s="1"/>
  <c r="U166" i="209" s="1"/>
  <c r="U226" i="209" s="1"/>
  <c r="U286" i="209" s="1"/>
  <c r="U346" i="209" s="1"/>
  <c r="U406" i="209" s="1"/>
  <c r="U466" i="209" s="1"/>
  <c r="U526" i="209" s="1"/>
  <c r="U586" i="209" s="1"/>
  <c r="U646" i="209" s="1"/>
  <c r="U706" i="209" s="1"/>
  <c r="U766" i="209" s="1"/>
  <c r="U27" i="246"/>
  <c r="U89" i="246" s="1"/>
  <c r="U151" i="246" s="1"/>
  <c r="U213" i="246" s="1"/>
  <c r="U275" i="246" s="1"/>
  <c r="U337" i="246" s="1"/>
  <c r="U399" i="246" s="1"/>
  <c r="U461" i="246" s="1"/>
  <c r="U523" i="246" s="1"/>
  <c r="U585" i="246" s="1"/>
  <c r="U647" i="246" s="1"/>
  <c r="U709" i="246" s="1"/>
  <c r="D89" i="246"/>
  <c r="D151" i="246" s="1"/>
  <c r="D213" i="246" s="1"/>
  <c r="D275" i="246" s="1"/>
  <c r="D337" i="246" s="1"/>
  <c r="D399" i="246" s="1"/>
  <c r="D461" i="246" s="1"/>
  <c r="D523" i="246" s="1"/>
  <c r="D585" i="246" s="1"/>
  <c r="D647" i="246" s="1"/>
  <c r="D709" i="246" s="1"/>
  <c r="D771" i="246" s="1"/>
  <c r="D114" i="246"/>
  <c r="D176" i="246" s="1"/>
  <c r="D238" i="246" s="1"/>
  <c r="D300" i="246" s="1"/>
  <c r="D362" i="246" s="1"/>
  <c r="D424" i="246" s="1"/>
  <c r="D486" i="246" s="1"/>
  <c r="D548" i="246" s="1"/>
  <c r="D610" i="246" s="1"/>
  <c r="D672" i="246" s="1"/>
  <c r="D734" i="246" s="1"/>
  <c r="D796" i="246" s="1"/>
  <c r="U52" i="246"/>
  <c r="U114" i="246" s="1"/>
  <c r="U176" i="246" s="1"/>
  <c r="U238" i="246" s="1"/>
  <c r="U300" i="246" s="1"/>
  <c r="U362" i="246" s="1"/>
  <c r="U424" i="246" s="1"/>
  <c r="U486" i="246" s="1"/>
  <c r="U548" i="246" s="1"/>
  <c r="U610" i="246" s="1"/>
  <c r="U672" i="246" s="1"/>
  <c r="U734" i="246" s="1"/>
  <c r="G11" i="334"/>
  <c r="D11" i="334"/>
  <c r="F11" i="91"/>
  <c r="G11" i="91"/>
  <c r="E11" i="91"/>
  <c r="I47" i="164"/>
  <c r="I54" i="164" s="1"/>
  <c r="J47" i="164"/>
  <c r="J54" i="164" s="1"/>
  <c r="H47" i="164"/>
  <c r="H54" i="164" s="1"/>
  <c r="C24" i="228"/>
  <c r="C24" i="173"/>
  <c r="F25" i="173"/>
  <c r="C28" i="173"/>
  <c r="C28" i="228"/>
  <c r="F48" i="212"/>
  <c r="F29" i="173"/>
  <c r="K570" i="209"/>
  <c r="J410" i="246"/>
  <c r="E23" i="172"/>
  <c r="P286" i="246"/>
  <c r="C29" i="184"/>
  <c r="C29" i="172"/>
  <c r="E31" i="292"/>
  <c r="K472" i="246"/>
  <c r="F30" i="184"/>
  <c r="E33" i="292" s="1"/>
  <c r="F33" i="172"/>
  <c r="F33" i="184"/>
  <c r="F24" i="309"/>
  <c r="K432" i="246"/>
  <c r="D32" i="292"/>
  <c r="P32" i="292" s="1"/>
  <c r="Q494" i="246"/>
  <c r="K370" i="246"/>
  <c r="C27" i="309"/>
  <c r="C27" i="184"/>
  <c r="F28" i="309"/>
  <c r="F28" i="184"/>
  <c r="G31" i="309"/>
  <c r="G48" i="309" s="1"/>
  <c r="O20" i="308" s="1"/>
  <c r="G31" i="184"/>
  <c r="H31" i="184" s="1"/>
  <c r="H45" i="184" s="1"/>
  <c r="M187" i="246" s="1"/>
  <c r="H31" i="308"/>
  <c r="H45" i="308" s="1"/>
  <c r="R618" i="246"/>
  <c r="E33" i="309"/>
  <c r="E33" i="184"/>
  <c r="O456" i="246"/>
  <c r="H24" i="223"/>
  <c r="H27" i="223"/>
  <c r="H41" i="223" s="1"/>
  <c r="M208" i="246" s="1"/>
  <c r="D27" i="173"/>
  <c r="D48" i="223"/>
  <c r="H31" i="223"/>
  <c r="H45" i="223" s="1"/>
  <c r="M146" i="246" s="1"/>
  <c r="D31" i="171"/>
  <c r="I580" i="246"/>
  <c r="H33" i="223"/>
  <c r="D33" i="173"/>
  <c r="G23" i="84"/>
  <c r="L405" i="246"/>
  <c r="R281" i="246"/>
  <c r="H23" i="104"/>
  <c r="L529" i="246"/>
  <c r="R405" i="246"/>
  <c r="R343" i="246"/>
  <c r="R529" i="246"/>
  <c r="L591" i="246"/>
  <c r="G31" i="84"/>
  <c r="H46" i="104"/>
  <c r="G48" i="104"/>
  <c r="D14" i="228"/>
  <c r="F13" i="228"/>
  <c r="G32" i="228"/>
  <c r="E17" i="171"/>
  <c r="C24" i="171"/>
  <c r="D27" i="84"/>
  <c r="H27" i="103"/>
  <c r="H41" i="103" s="1"/>
  <c r="G28" i="171"/>
  <c r="G28" i="84"/>
  <c r="D15" i="171"/>
  <c r="D15" i="184"/>
  <c r="G17" i="184"/>
  <c r="G17" i="171"/>
  <c r="L25" i="171"/>
  <c r="G11" i="160"/>
  <c r="G18" i="160" s="1"/>
  <c r="D11" i="160"/>
  <c r="D18" i="160" s="1"/>
  <c r="E11" i="160"/>
  <c r="E18" i="160" s="1"/>
  <c r="F11" i="160"/>
  <c r="F18" i="160" s="1"/>
  <c r="D72" i="209"/>
  <c r="D132" i="209" s="1"/>
  <c r="D192" i="209" s="1"/>
  <c r="D252" i="209" s="1"/>
  <c r="D312" i="209" s="1"/>
  <c r="D372" i="209" s="1"/>
  <c r="D432" i="209" s="1"/>
  <c r="D492" i="209" s="1"/>
  <c r="D552" i="209" s="1"/>
  <c r="D612" i="209" s="1"/>
  <c r="D672" i="209" s="1"/>
  <c r="D732" i="209" s="1"/>
  <c r="U12" i="209"/>
  <c r="U72" i="209" s="1"/>
  <c r="U132" i="209" s="1"/>
  <c r="U192" i="209" s="1"/>
  <c r="U252" i="209" s="1"/>
  <c r="U312" i="209" s="1"/>
  <c r="U372" i="209" s="1"/>
  <c r="U432" i="209" s="1"/>
  <c r="U492" i="209" s="1"/>
  <c r="U552" i="209" s="1"/>
  <c r="U612" i="209" s="1"/>
  <c r="U672" i="209" s="1"/>
  <c r="U732" i="209" s="1"/>
  <c r="U17" i="209"/>
  <c r="U77" i="209" s="1"/>
  <c r="U137" i="209" s="1"/>
  <c r="U197" i="209" s="1"/>
  <c r="U257" i="209" s="1"/>
  <c r="U317" i="209" s="1"/>
  <c r="U377" i="209" s="1"/>
  <c r="U437" i="209" s="1"/>
  <c r="U497" i="209" s="1"/>
  <c r="U557" i="209" s="1"/>
  <c r="U617" i="209" s="1"/>
  <c r="U677" i="209" s="1"/>
  <c r="U737" i="209" s="1"/>
  <c r="D77" i="209"/>
  <c r="D137" i="209" s="1"/>
  <c r="D197" i="209" s="1"/>
  <c r="D257" i="209" s="1"/>
  <c r="D317" i="209" s="1"/>
  <c r="D377" i="209" s="1"/>
  <c r="D437" i="209" s="1"/>
  <c r="D497" i="209" s="1"/>
  <c r="D557" i="209" s="1"/>
  <c r="D617" i="209" s="1"/>
  <c r="D677" i="209" s="1"/>
  <c r="D737" i="209" s="1"/>
  <c r="G11" i="313"/>
  <c r="D11" i="313"/>
  <c r="E11" i="313"/>
  <c r="E11" i="192"/>
  <c r="F11" i="192"/>
  <c r="G11" i="192"/>
  <c r="E11" i="195"/>
  <c r="E18" i="195" s="1"/>
  <c r="D70" i="209"/>
  <c r="D130" i="209" s="1"/>
  <c r="D190" i="209" s="1"/>
  <c r="D250" i="209" s="1"/>
  <c r="D310" i="209" s="1"/>
  <c r="D370" i="209" s="1"/>
  <c r="D430" i="209" s="1"/>
  <c r="D490" i="209" s="1"/>
  <c r="D550" i="209" s="1"/>
  <c r="D610" i="209" s="1"/>
  <c r="D670" i="209" s="1"/>
  <c r="D730" i="209" s="1"/>
  <c r="U10" i="209"/>
  <c r="U70" i="209" s="1"/>
  <c r="U130" i="209" s="1"/>
  <c r="U190" i="209" s="1"/>
  <c r="U250" i="209" s="1"/>
  <c r="U310" i="209" s="1"/>
  <c r="U370" i="209" s="1"/>
  <c r="U430" i="209" s="1"/>
  <c r="U490" i="209" s="1"/>
  <c r="U550" i="209" s="1"/>
  <c r="U610" i="209" s="1"/>
  <c r="U670" i="209" s="1"/>
  <c r="U730" i="209" s="1"/>
  <c r="F11" i="166"/>
  <c r="G11" i="166"/>
  <c r="G44" i="166" s="1"/>
  <c r="R80" i="246" s="1"/>
  <c r="E11" i="166"/>
  <c r="G11" i="241"/>
  <c r="D11" i="241"/>
  <c r="F11" i="241"/>
  <c r="D11" i="103"/>
  <c r="D45" i="91"/>
  <c r="I132" i="246" s="1"/>
  <c r="D11" i="123"/>
  <c r="E11" i="123"/>
  <c r="G11" i="123"/>
  <c r="O450" i="209"/>
  <c r="E25" i="172"/>
  <c r="G27" i="172"/>
  <c r="C31" i="172"/>
  <c r="D48" i="103"/>
  <c r="D11" i="204"/>
  <c r="D18" i="204" s="1"/>
  <c r="C32" i="173"/>
  <c r="D30" i="231"/>
  <c r="S700" i="246"/>
  <c r="F16" i="173"/>
  <c r="E23" i="173"/>
  <c r="S688" i="209"/>
  <c r="E29" i="173"/>
  <c r="L618" i="246"/>
  <c r="D17" i="231"/>
  <c r="H31" i="103"/>
  <c r="H45" i="103" s="1"/>
  <c r="F12" i="172"/>
  <c r="Q738" i="246" s="1"/>
  <c r="F16" i="172"/>
  <c r="P364" i="246"/>
  <c r="E28" i="170"/>
  <c r="C30" i="172"/>
  <c r="D33" i="172"/>
  <c r="F11" i="204"/>
  <c r="F18" i="204" s="1"/>
  <c r="F17" i="231"/>
  <c r="H43" i="296"/>
  <c r="S300" i="246"/>
  <c r="S736" i="246"/>
  <c r="Q736" i="246"/>
  <c r="D27" i="170"/>
  <c r="C32" i="231"/>
  <c r="C24" i="170"/>
  <c r="F33" i="231"/>
  <c r="E30" i="172"/>
  <c r="C32" i="172"/>
  <c r="H27" i="226"/>
  <c r="H41" i="226" s="1"/>
  <c r="M240" i="246" s="1"/>
  <c r="P612" i="246"/>
  <c r="C24" i="231"/>
  <c r="R364" i="246"/>
  <c r="I364" i="246"/>
  <c r="F25" i="231"/>
  <c r="J488" i="246"/>
  <c r="E30" i="231"/>
  <c r="G28" i="172"/>
  <c r="F25" i="170"/>
  <c r="D27" i="231"/>
  <c r="H28" i="226"/>
  <c r="H42" i="226" s="1"/>
  <c r="M302" i="246" s="1"/>
  <c r="Q364" i="246"/>
  <c r="G28" i="231"/>
  <c r="G26" i="231"/>
  <c r="Q704" i="246"/>
  <c r="E28" i="231"/>
  <c r="Q612" i="246"/>
  <c r="K426" i="246"/>
  <c r="O364" i="246"/>
  <c r="M355" i="246"/>
  <c r="F31" i="172"/>
  <c r="O426" i="246"/>
  <c r="H26" i="226"/>
  <c r="H40" i="226" s="1"/>
  <c r="M116" i="246" s="1"/>
  <c r="F31" i="231"/>
  <c r="E28" i="172"/>
  <c r="G26" i="172"/>
  <c r="F31" i="170"/>
  <c r="H25" i="226"/>
  <c r="F48" i="226"/>
  <c r="C30" i="231"/>
  <c r="F23" i="172"/>
  <c r="R302" i="246"/>
  <c r="D25" i="231"/>
  <c r="H43" i="188"/>
  <c r="O550" i="246"/>
  <c r="D25" i="172"/>
  <c r="K488" i="246"/>
  <c r="D33" i="231"/>
  <c r="D33" i="170"/>
  <c r="Q426" i="246"/>
  <c r="K612" i="246"/>
  <c r="G26" i="170"/>
  <c r="C30" i="170"/>
  <c r="F23" i="170"/>
  <c r="H33" i="226"/>
  <c r="I550" i="246"/>
  <c r="D25" i="170"/>
  <c r="F23" i="231"/>
  <c r="Q550" i="246"/>
  <c r="S292" i="246"/>
  <c r="Q488" i="246"/>
  <c r="F12" i="170"/>
  <c r="N36" i="292"/>
  <c r="G45" i="151"/>
  <c r="L167" i="246" s="1"/>
  <c r="L725" i="246"/>
  <c r="R663" i="246"/>
  <c r="G44" i="151"/>
  <c r="R105" i="246" s="1"/>
  <c r="F16" i="170"/>
  <c r="D13" i="231"/>
  <c r="D13" i="170"/>
  <c r="O270" i="246"/>
  <c r="F12" i="173"/>
  <c r="F12" i="231"/>
  <c r="N37" i="292" s="1"/>
  <c r="N35" i="292"/>
  <c r="E26" i="173"/>
  <c r="P394" i="246"/>
  <c r="D32" i="171"/>
  <c r="H32" i="223"/>
  <c r="M642" i="246" s="1"/>
  <c r="H30" i="223"/>
  <c r="C31" i="231"/>
  <c r="E26" i="171"/>
  <c r="C23" i="173"/>
  <c r="H46" i="223"/>
  <c r="S642" i="246" s="1"/>
  <c r="E23" i="171"/>
  <c r="E25" i="171"/>
  <c r="C23" i="171"/>
  <c r="E25" i="173"/>
  <c r="H28" i="223"/>
  <c r="H42" i="223" s="1"/>
  <c r="M270" i="246" s="1"/>
  <c r="D32" i="173"/>
  <c r="C23" i="231"/>
  <c r="J518" i="246"/>
  <c r="D28" i="231"/>
  <c r="D28" i="173"/>
  <c r="P332" i="246"/>
  <c r="D30" i="171"/>
  <c r="E23" i="231"/>
  <c r="Q332" i="246"/>
  <c r="J456" i="246"/>
  <c r="P518" i="246"/>
  <c r="C31" i="171"/>
  <c r="O580" i="246"/>
  <c r="E25" i="231"/>
  <c r="I456" i="246"/>
  <c r="J394" i="246"/>
  <c r="P270" i="246"/>
  <c r="D30" i="173"/>
  <c r="Q270" i="246"/>
  <c r="F16" i="231"/>
  <c r="F16" i="171"/>
  <c r="D13" i="173"/>
  <c r="D13" i="171"/>
  <c r="D17" i="173"/>
  <c r="H43" i="178"/>
  <c r="P590" i="209"/>
  <c r="S288" i="209"/>
  <c r="E30" i="170"/>
  <c r="E30" i="175" s="1"/>
  <c r="E30" i="228"/>
  <c r="G24" i="228"/>
  <c r="H31" i="225"/>
  <c r="H45" i="225" s="1"/>
  <c r="P17" i="345" s="1"/>
  <c r="R530" i="209"/>
  <c r="P290" i="209"/>
  <c r="H32" i="225"/>
  <c r="M650" i="209" s="1"/>
  <c r="I470" i="209"/>
  <c r="D31" i="170"/>
  <c r="H23" i="225"/>
  <c r="D23" i="228"/>
  <c r="O290" i="209"/>
  <c r="G24" i="170"/>
  <c r="F27" i="170"/>
  <c r="J470" i="209"/>
  <c r="O590" i="209"/>
  <c r="O410" i="209"/>
  <c r="R470" i="209"/>
  <c r="D48" i="225"/>
  <c r="L410" i="209"/>
  <c r="H24" i="225"/>
  <c r="H38" i="225" s="1"/>
  <c r="M50" i="209" s="1"/>
  <c r="S287" i="209"/>
  <c r="D31" i="228"/>
  <c r="F13" i="170"/>
  <c r="F13" i="175" s="1"/>
  <c r="O470" i="209"/>
  <c r="P530" i="209"/>
  <c r="H46" i="225"/>
  <c r="D32" i="228"/>
  <c r="I410" i="209"/>
  <c r="H27" i="225"/>
  <c r="H41" i="225" s="1"/>
  <c r="Q590" i="209"/>
  <c r="I350" i="209"/>
  <c r="C27" i="170"/>
  <c r="K470" i="209"/>
  <c r="D24" i="170"/>
  <c r="O530" i="209"/>
  <c r="F30" i="170"/>
  <c r="E21" i="292"/>
  <c r="D24" i="228"/>
  <c r="Q350" i="209"/>
  <c r="J350" i="209"/>
  <c r="F30" i="228"/>
  <c r="J530" i="209"/>
  <c r="M530" i="209"/>
  <c r="P410" i="209"/>
  <c r="H43" i="219"/>
  <c r="G32" i="170"/>
  <c r="E16" i="228"/>
  <c r="D16" i="228"/>
  <c r="D12" i="228"/>
  <c r="O722" i="209" s="1"/>
  <c r="O690" i="209"/>
  <c r="G13" i="173"/>
  <c r="D12" i="173"/>
  <c r="G23" i="228"/>
  <c r="Q330" i="209"/>
  <c r="R510" i="209"/>
  <c r="G27" i="173"/>
  <c r="H23" i="212"/>
  <c r="E29" i="228"/>
  <c r="P330" i="209"/>
  <c r="R390" i="209"/>
  <c r="R270" i="209"/>
  <c r="L450" i="209"/>
  <c r="P390" i="209"/>
  <c r="E48" i="212"/>
  <c r="L390" i="209"/>
  <c r="F32" i="173"/>
  <c r="E25" i="228"/>
  <c r="P510" i="209"/>
  <c r="F32" i="228"/>
  <c r="D26" i="228"/>
  <c r="J570" i="209"/>
  <c r="E17" i="173"/>
  <c r="Q715" i="246"/>
  <c r="Q467" i="246"/>
  <c r="F12" i="84"/>
  <c r="F17" i="184"/>
  <c r="N26" i="191"/>
  <c r="F44" i="191"/>
  <c r="Q99" i="246" s="1"/>
  <c r="F45" i="191"/>
  <c r="K161" i="246" s="1"/>
  <c r="Q657" i="246"/>
  <c r="K719" i="246"/>
  <c r="K657" i="246"/>
  <c r="E29" i="184"/>
  <c r="P410" i="246"/>
  <c r="G16" i="172"/>
  <c r="E29" i="172"/>
  <c r="J534" i="246"/>
  <c r="P348" i="246"/>
  <c r="E32" i="172"/>
  <c r="E25" i="184"/>
  <c r="E48" i="186"/>
  <c r="G23" i="172"/>
  <c r="G27" i="184"/>
  <c r="Q348" i="246"/>
  <c r="H27" i="186"/>
  <c r="H41" i="186" s="1"/>
  <c r="H23" i="186"/>
  <c r="C31" i="184"/>
  <c r="E32" i="184"/>
  <c r="L410" i="246"/>
  <c r="L472" i="246"/>
  <c r="R286" i="246"/>
  <c r="R410" i="246"/>
  <c r="D26" i="172"/>
  <c r="R534" i="246"/>
  <c r="D26" i="184"/>
  <c r="P534" i="246"/>
  <c r="E17" i="184"/>
  <c r="E13" i="172"/>
  <c r="F17" i="171"/>
  <c r="S387" i="246"/>
  <c r="S697" i="246"/>
  <c r="M511" i="246"/>
  <c r="D12" i="184"/>
  <c r="O745" i="246" s="1"/>
  <c r="D12" i="171"/>
  <c r="P17" i="190"/>
  <c r="P17" i="192"/>
  <c r="M139" i="246"/>
  <c r="P17" i="284"/>
  <c r="P17" i="359"/>
  <c r="P17" i="156"/>
  <c r="P14" i="192"/>
  <c r="M263" i="246"/>
  <c r="P14" i="359"/>
  <c r="P14" i="190"/>
  <c r="P14" i="284"/>
  <c r="P14" i="156"/>
  <c r="S449" i="246"/>
  <c r="Q449" i="246"/>
  <c r="F12" i="171"/>
  <c r="Q697" i="246"/>
  <c r="G16" i="84"/>
  <c r="E13" i="84"/>
  <c r="R715" i="246"/>
  <c r="S715" i="246" s="1"/>
  <c r="R467" i="246"/>
  <c r="G12" i="172"/>
  <c r="H23" i="103"/>
  <c r="S313" i="209"/>
  <c r="S312" i="209"/>
  <c r="D5" i="101"/>
  <c r="G21" i="101"/>
  <c r="O23" i="101" s="1"/>
  <c r="E35" i="101"/>
  <c r="H21" i="101"/>
  <c r="P23" i="101" s="1"/>
  <c r="F35" i="101"/>
  <c r="G35" i="101"/>
  <c r="H35" i="101"/>
  <c r="E7" i="101"/>
  <c r="F7" i="101"/>
  <c r="G7" i="101"/>
  <c r="E21" i="101"/>
  <c r="M23" i="101" s="1"/>
  <c r="D21" i="105"/>
  <c r="L23" i="105" s="1"/>
  <c r="D35" i="105"/>
  <c r="D35" i="9"/>
  <c r="D7" i="9"/>
  <c r="D21" i="9"/>
  <c r="L23" i="9" s="1"/>
  <c r="L5" i="271"/>
  <c r="L7" i="271" s="1"/>
  <c r="N7" i="271"/>
  <c r="O7" i="271"/>
  <c r="P7" i="271"/>
  <c r="O7" i="189"/>
  <c r="P7" i="189"/>
  <c r="L5" i="189"/>
  <c r="L7" i="189" s="1"/>
  <c r="M7" i="189"/>
  <c r="N7" i="189"/>
  <c r="L29" i="289"/>
  <c r="L7" i="289"/>
  <c r="D7" i="288"/>
  <c r="D35" i="288"/>
  <c r="D21" i="288"/>
  <c r="L23" i="288" s="1"/>
  <c r="D21" i="213"/>
  <c r="L23" i="213" s="1"/>
  <c r="D35" i="213"/>
  <c r="D7" i="296"/>
  <c r="D7" i="178"/>
  <c r="D21" i="178"/>
  <c r="L23" i="178" s="1"/>
  <c r="D35" i="178"/>
  <c r="D35" i="353"/>
  <c r="D7" i="353"/>
  <c r="D21" i="353"/>
  <c r="L23" i="353" s="1"/>
  <c r="F21" i="101"/>
  <c r="N23" i="101" s="1"/>
  <c r="L5" i="79"/>
  <c r="L7" i="79" s="1"/>
  <c r="N7" i="79"/>
  <c r="O7" i="79"/>
  <c r="P7" i="79"/>
  <c r="L29" i="290"/>
  <c r="L7" i="290"/>
  <c r="L23" i="290"/>
  <c r="D7" i="362"/>
  <c r="D35" i="362"/>
  <c r="D21" i="362"/>
  <c r="L23" i="362" s="1"/>
  <c r="D35" i="284"/>
  <c r="D7" i="284"/>
  <c r="D21" i="284"/>
  <c r="L23" i="284" s="1"/>
  <c r="D5" i="191"/>
  <c r="G21" i="191"/>
  <c r="O23" i="191" s="1"/>
  <c r="E35" i="191"/>
  <c r="H21" i="191"/>
  <c r="P23" i="191" s="1"/>
  <c r="F35" i="191"/>
  <c r="G35" i="191"/>
  <c r="H35" i="191"/>
  <c r="E7" i="191"/>
  <c r="F7" i="191"/>
  <c r="G7" i="191"/>
  <c r="E21" i="191"/>
  <c r="M23" i="191" s="1"/>
  <c r="D7" i="11"/>
  <c r="D21" i="11"/>
  <c r="L23" i="11" s="1"/>
  <c r="D35" i="11"/>
  <c r="D5" i="344"/>
  <c r="G21" i="344"/>
  <c r="O23" i="344" s="1"/>
  <c r="E35" i="344"/>
  <c r="H21" i="344"/>
  <c r="P23" i="344" s="1"/>
  <c r="F35" i="344"/>
  <c r="G35" i="344"/>
  <c r="H35" i="344"/>
  <c r="E7" i="344"/>
  <c r="F7" i="344"/>
  <c r="G7" i="344"/>
  <c r="E21" i="344"/>
  <c r="M23" i="344" s="1"/>
  <c r="L5" i="183"/>
  <c r="L7" i="183" s="1"/>
  <c r="N7" i="183"/>
  <c r="O7" i="183"/>
  <c r="P7" i="183"/>
  <c r="M7" i="271"/>
  <c r="D5" i="154"/>
  <c r="G21" i="154"/>
  <c r="O23" i="154" s="1"/>
  <c r="E35" i="154"/>
  <c r="H21" i="154"/>
  <c r="P23" i="154" s="1"/>
  <c r="F35" i="154"/>
  <c r="G35" i="154"/>
  <c r="H35" i="154"/>
  <c r="E7" i="154"/>
  <c r="F7" i="154"/>
  <c r="G7" i="154"/>
  <c r="E21" i="154"/>
  <c r="M23" i="154" s="1"/>
  <c r="L5" i="215"/>
  <c r="L7" i="215" s="1"/>
  <c r="N7" i="215"/>
  <c r="O7" i="215"/>
  <c r="P7" i="215"/>
  <c r="G21" i="326"/>
  <c r="G35" i="326"/>
  <c r="H7" i="101"/>
  <c r="D5" i="295"/>
  <c r="G21" i="295"/>
  <c r="O23" i="295" s="1"/>
  <c r="H35" i="295"/>
  <c r="H21" i="295"/>
  <c r="P23" i="295" s="1"/>
  <c r="E7" i="295"/>
  <c r="F7" i="295"/>
  <c r="E35" i="295"/>
  <c r="G7" i="295"/>
  <c r="E21" i="295"/>
  <c r="M23" i="295" s="1"/>
  <c r="F35" i="295"/>
  <c r="D7" i="105"/>
  <c r="F21" i="191"/>
  <c r="N23" i="191" s="1"/>
  <c r="F21" i="344"/>
  <c r="N23" i="344" s="1"/>
  <c r="D21" i="6"/>
  <c r="L23" i="6" s="1"/>
  <c r="D35" i="6"/>
  <c r="L5" i="7"/>
  <c r="L7" i="7" s="1"/>
  <c r="N7" i="7"/>
  <c r="O7" i="7"/>
  <c r="P7" i="7"/>
  <c r="M7" i="79"/>
  <c r="F21" i="154"/>
  <c r="N23" i="154" s="1"/>
  <c r="H21" i="307"/>
  <c r="P23" i="307" s="1"/>
  <c r="F35" i="307"/>
  <c r="E7" i="307"/>
  <c r="D5" i="307"/>
  <c r="F7" i="307"/>
  <c r="E21" i="307"/>
  <c r="M23" i="307" s="1"/>
  <c r="E35" i="307"/>
  <c r="G7" i="307"/>
  <c r="F21" i="307"/>
  <c r="N23" i="307" s="1"/>
  <c r="G35" i="307"/>
  <c r="H7" i="307"/>
  <c r="G21" i="307"/>
  <c r="O23" i="307" s="1"/>
  <c r="H35" i="307"/>
  <c r="M7" i="183"/>
  <c r="H21" i="44"/>
  <c r="H35" i="44"/>
  <c r="F21" i="250"/>
  <c r="F35" i="250"/>
  <c r="F21" i="295"/>
  <c r="N23" i="295" s="1"/>
  <c r="D35" i="146"/>
  <c r="D7" i="146"/>
  <c r="D21" i="146"/>
  <c r="L23" i="146" s="1"/>
  <c r="M7" i="215"/>
  <c r="F35" i="58"/>
  <c r="E7" i="39"/>
  <c r="H35" i="337"/>
  <c r="E35" i="291"/>
  <c r="F35" i="247"/>
  <c r="H35" i="248"/>
  <c r="F7" i="284"/>
  <c r="E7" i="345"/>
  <c r="H35" i="10"/>
  <c r="H35" i="334"/>
  <c r="E7" i="4"/>
  <c r="H21" i="213"/>
  <c r="P23" i="213" s="1"/>
  <c r="E21" i="176"/>
  <c r="M23" i="176" s="1"/>
  <c r="G7" i="176"/>
  <c r="H35" i="39"/>
  <c r="O7" i="39"/>
  <c r="G21" i="190"/>
  <c r="O23" i="190" s="1"/>
  <c r="D5" i="190"/>
  <c r="G35" i="337"/>
  <c r="N7" i="337"/>
  <c r="G35" i="248"/>
  <c r="H35" i="250"/>
  <c r="P7" i="284"/>
  <c r="E7" i="284"/>
  <c r="H21" i="6"/>
  <c r="P23" i="6" s="1"/>
  <c r="E21" i="270"/>
  <c r="M23" i="270" s="1"/>
  <c r="G7" i="270"/>
  <c r="H35" i="345"/>
  <c r="O7" i="345"/>
  <c r="H21" i="105"/>
  <c r="P23" i="105" s="1"/>
  <c r="E21" i="216"/>
  <c r="M23" i="216" s="1"/>
  <c r="G7" i="216"/>
  <c r="H35" i="91"/>
  <c r="O7" i="91"/>
  <c r="G21" i="118"/>
  <c r="O23" i="118" s="1"/>
  <c r="D5" i="118"/>
  <c r="G35" i="10"/>
  <c r="P7" i="9"/>
  <c r="E7" i="9"/>
  <c r="F35" i="296"/>
  <c r="E21" i="296"/>
  <c r="M23" i="296" s="1"/>
  <c r="G7" i="296"/>
  <c r="H35" i="203"/>
  <c r="O7" i="203"/>
  <c r="G21" i="11"/>
  <c r="O23" i="11" s="1"/>
  <c r="G35" i="334"/>
  <c r="P7" i="146"/>
  <c r="E7" i="146"/>
  <c r="F35" i="333"/>
  <c r="E21" i="333"/>
  <c r="M23" i="333" s="1"/>
  <c r="G7" i="333"/>
  <c r="H35" i="162"/>
  <c r="O7" i="162"/>
  <c r="E35" i="178"/>
  <c r="G21" i="178"/>
  <c r="O23" i="178" s="1"/>
  <c r="N7" i="290"/>
  <c r="P7" i="353"/>
  <c r="E7" i="353"/>
  <c r="F35" i="139"/>
  <c r="H21" i="139"/>
  <c r="P23" i="139" s="1"/>
  <c r="E21" i="125"/>
  <c r="M23" i="125" s="1"/>
  <c r="G7" i="125"/>
  <c r="E21" i="13"/>
  <c r="M23" i="13" s="1"/>
  <c r="G7" i="13"/>
  <c r="H35" i="4"/>
  <c r="O7" i="4"/>
  <c r="G21" i="192"/>
  <c r="O23" i="192" s="1"/>
  <c r="P7" i="196"/>
  <c r="E7" i="196"/>
  <c r="F35" i="97"/>
  <c r="H21" i="97"/>
  <c r="P23" i="97" s="1"/>
  <c r="E21" i="99"/>
  <c r="M23" i="99" s="1"/>
  <c r="G7" i="99"/>
  <c r="M29" i="362"/>
  <c r="G21" i="362"/>
  <c r="O23" i="362" s="1"/>
  <c r="E21" i="183"/>
  <c r="M23" i="183" s="1"/>
  <c r="E35" i="213"/>
  <c r="G21" i="213"/>
  <c r="O23" i="213" s="1"/>
  <c r="F7" i="176"/>
  <c r="G35" i="39"/>
  <c r="N7" i="39"/>
  <c r="P7" i="101"/>
  <c r="F35" i="337"/>
  <c r="H21" i="337"/>
  <c r="P23" i="337" s="1"/>
  <c r="H35" i="284"/>
  <c r="O7" i="284"/>
  <c r="E35" i="6"/>
  <c r="G21" i="6"/>
  <c r="O23" i="6" s="1"/>
  <c r="F7" i="270"/>
  <c r="G35" i="345"/>
  <c r="N7" i="345"/>
  <c r="P7" i="295"/>
  <c r="E21" i="7"/>
  <c r="M23" i="7" s="1"/>
  <c r="E35" i="105"/>
  <c r="G21" i="105"/>
  <c r="O23" i="105" s="1"/>
  <c r="F7" i="216"/>
  <c r="G35" i="91"/>
  <c r="N7" i="91"/>
  <c r="P7" i="191"/>
  <c r="F35" i="10"/>
  <c r="H21" i="10"/>
  <c r="P23" i="10" s="1"/>
  <c r="E21" i="79"/>
  <c r="M23" i="79" s="1"/>
  <c r="H35" i="9"/>
  <c r="O7" i="9"/>
  <c r="E35" i="296"/>
  <c r="F7" i="296"/>
  <c r="G35" i="203"/>
  <c r="N7" i="203"/>
  <c r="P7" i="344"/>
  <c r="F35" i="334"/>
  <c r="H21" i="334"/>
  <c r="P23" i="334" s="1"/>
  <c r="H35" i="146"/>
  <c r="O7" i="146"/>
  <c r="E35" i="333"/>
  <c r="F7" i="333"/>
  <c r="G35" i="162"/>
  <c r="N7" i="162"/>
  <c r="H21" i="290"/>
  <c r="E21" i="271"/>
  <c r="M23" i="271" s="1"/>
  <c r="H35" i="353"/>
  <c r="O7" i="353"/>
  <c r="E35" i="139"/>
  <c r="G21" i="139"/>
  <c r="O23" i="139" s="1"/>
  <c r="D5" i="139"/>
  <c r="F7" i="125"/>
  <c r="F7" i="13"/>
  <c r="G35" i="4"/>
  <c r="N7" i="4"/>
  <c r="P7" i="154"/>
  <c r="E21" i="215"/>
  <c r="M23" i="215" s="1"/>
  <c r="O7" i="196"/>
  <c r="E35" i="97"/>
  <c r="G21" i="97"/>
  <c r="O23" i="97" s="1"/>
  <c r="D5" i="97"/>
  <c r="F7" i="99"/>
  <c r="P7" i="95"/>
  <c r="E7" i="356"/>
  <c r="D5" i="356"/>
  <c r="G21" i="356"/>
  <c r="O23" i="356" s="1"/>
  <c r="E35" i="356"/>
  <c r="H21" i="356"/>
  <c r="P23" i="356" s="1"/>
  <c r="F35" i="356"/>
  <c r="H35" i="356"/>
  <c r="F35" i="39"/>
  <c r="H21" i="39"/>
  <c r="P23" i="39" s="1"/>
  <c r="E35" i="337"/>
  <c r="G21" i="337"/>
  <c r="O23" i="337" s="1"/>
  <c r="D5" i="337"/>
  <c r="G35" i="284"/>
  <c r="N7" i="284"/>
  <c r="F35" i="345"/>
  <c r="H21" i="345"/>
  <c r="P23" i="345" s="1"/>
  <c r="P29" i="295"/>
  <c r="O7" i="295"/>
  <c r="E7" i="216"/>
  <c r="F35" i="91"/>
  <c r="H21" i="91"/>
  <c r="P23" i="91" s="1"/>
  <c r="E21" i="118"/>
  <c r="M23" i="118" s="1"/>
  <c r="E35" i="10"/>
  <c r="G21" i="10"/>
  <c r="O23" i="10" s="1"/>
  <c r="D5" i="10"/>
  <c r="G35" i="9"/>
  <c r="N7" i="9"/>
  <c r="E7" i="296"/>
  <c r="F35" i="203"/>
  <c r="H21" i="203"/>
  <c r="P23" i="203" s="1"/>
  <c r="E35" i="334"/>
  <c r="G21" i="334"/>
  <c r="O23" i="334" s="1"/>
  <c r="D5" i="334"/>
  <c r="G35" i="146"/>
  <c r="N7" i="146"/>
  <c r="E7" i="333"/>
  <c r="H35" i="290"/>
  <c r="G21" i="290"/>
  <c r="D5" i="290"/>
  <c r="N7" i="353"/>
  <c r="E7" i="125"/>
  <c r="E7" i="13"/>
  <c r="F35" i="4"/>
  <c r="H21" i="4"/>
  <c r="P23" i="4" s="1"/>
  <c r="E7" i="99"/>
  <c r="L5" i="72"/>
  <c r="L7" i="72" s="1"/>
  <c r="N7" i="72"/>
  <c r="O7" i="72"/>
  <c r="P7" i="72"/>
  <c r="H35" i="125"/>
  <c r="D5" i="4"/>
  <c r="E21" i="97"/>
  <c r="M23" i="97" s="1"/>
  <c r="G7" i="97"/>
  <c r="H35" i="99"/>
  <c r="N7" i="95"/>
  <c r="E21" i="337"/>
  <c r="M23" i="337" s="1"/>
  <c r="G7" i="337"/>
  <c r="G21" i="284"/>
  <c r="O23" i="284" s="1"/>
  <c r="P7" i="118"/>
  <c r="E21" i="10"/>
  <c r="M23" i="10" s="1"/>
  <c r="G7" i="10"/>
  <c r="G21" i="9"/>
  <c r="O23" i="9" s="1"/>
  <c r="P7" i="11"/>
  <c r="E21" i="334"/>
  <c r="M23" i="334" s="1"/>
  <c r="G7" i="334"/>
  <c r="E35" i="146"/>
  <c r="G21" i="146"/>
  <c r="O23" i="146" s="1"/>
  <c r="P7" i="178"/>
  <c r="F35" i="290"/>
  <c r="E21" i="290"/>
  <c r="G7" i="290"/>
  <c r="G35" i="125"/>
  <c r="E21" i="39"/>
  <c r="M23" i="39" s="1"/>
  <c r="E21" i="345"/>
  <c r="M23" i="345" s="1"/>
  <c r="F35" i="216"/>
  <c r="E21" i="91"/>
  <c r="M23" i="91" s="1"/>
  <c r="E21" i="203"/>
  <c r="M23" i="203" s="1"/>
  <c r="E21" i="162"/>
  <c r="M23" i="162" s="1"/>
  <c r="E35" i="290"/>
  <c r="F35" i="125"/>
  <c r="F35" i="13"/>
  <c r="E21" i="4"/>
  <c r="M23" i="4" s="1"/>
  <c r="F35" i="99"/>
  <c r="P29" i="362"/>
  <c r="D35" i="160"/>
  <c r="D7" i="160"/>
  <c r="D21" i="160"/>
  <c r="L23" i="160" s="1"/>
  <c r="F35" i="354"/>
  <c r="H21" i="354"/>
  <c r="P23" i="354" s="1"/>
  <c r="E21" i="189"/>
  <c r="M23" i="189" s="1"/>
  <c r="G7" i="189"/>
  <c r="E35" i="313"/>
  <c r="G21" i="313"/>
  <c r="O23" i="313" s="1"/>
  <c r="D5" i="313"/>
  <c r="F7" i="72"/>
  <c r="H35" i="186"/>
  <c r="E21" i="14"/>
  <c r="M23" i="14" s="1"/>
  <c r="G7" i="14"/>
  <c r="H35" i="219"/>
  <c r="O7" i="219"/>
  <c r="M35" i="325"/>
  <c r="O29" i="325"/>
  <c r="N7" i="325"/>
  <c r="L5" i="325"/>
  <c r="E21" i="141"/>
  <c r="M23" i="141" s="1"/>
  <c r="G7" i="141"/>
  <c r="F7" i="315"/>
  <c r="N7" i="204"/>
  <c r="L5" i="204"/>
  <c r="L7" i="204" s="1"/>
  <c r="E35" i="171"/>
  <c r="F35" i="172"/>
  <c r="G35" i="223"/>
  <c r="H35" i="226"/>
  <c r="F7" i="123"/>
  <c r="N7" i="15"/>
  <c r="L5" i="15"/>
  <c r="L7" i="15" s="1"/>
  <c r="E21" i="241"/>
  <c r="M23" i="241" s="1"/>
  <c r="G7" i="241"/>
  <c r="H35" i="188"/>
  <c r="O7" i="188"/>
  <c r="E35" i="355"/>
  <c r="G21" i="355"/>
  <c r="O23" i="355" s="1"/>
  <c r="D5" i="355"/>
  <c r="O29" i="324"/>
  <c r="N7" i="324"/>
  <c r="L5" i="324"/>
  <c r="P7" i="202"/>
  <c r="E7" i="202"/>
  <c r="F35" i="221"/>
  <c r="H21" i="221"/>
  <c r="P23" i="221" s="1"/>
  <c r="P29" i="349"/>
  <c r="O7" i="349"/>
  <c r="E35" i="289"/>
  <c r="F7" i="289"/>
  <c r="N7" i="16"/>
  <c r="E7" i="293"/>
  <c r="F35" i="126"/>
  <c r="H21" i="126"/>
  <c r="P23" i="126" s="1"/>
  <c r="E21" i="160"/>
  <c r="M23" i="160" s="1"/>
  <c r="G7" i="160"/>
  <c r="H35" i="214"/>
  <c r="O7" i="214"/>
  <c r="E35" i="347"/>
  <c r="G21" i="347"/>
  <c r="O23" i="347" s="1"/>
  <c r="D5" i="347"/>
  <c r="F7" i="156"/>
  <c r="E7" i="72"/>
  <c r="F35" i="185"/>
  <c r="G35" i="186"/>
  <c r="H35" i="308"/>
  <c r="G35" i="219"/>
  <c r="P7" i="315"/>
  <c r="E7" i="315"/>
  <c r="H35" i="103"/>
  <c r="E35" i="172"/>
  <c r="F35" i="223"/>
  <c r="G35" i="226"/>
  <c r="H35" i="309"/>
  <c r="P7" i="123"/>
  <c r="E7" i="123"/>
  <c r="H35" i="225"/>
  <c r="F7" i="241"/>
  <c r="G35" i="188"/>
  <c r="L5" i="188"/>
  <c r="L7" i="188" s="1"/>
  <c r="G7" i="220"/>
  <c r="H35" i="202"/>
  <c r="E35" i="221"/>
  <c r="G21" i="221"/>
  <c r="O23" i="221" s="1"/>
  <c r="D5" i="221"/>
  <c r="O29" i="349"/>
  <c r="N7" i="349"/>
  <c r="L5" i="349"/>
  <c r="P7" i="289"/>
  <c r="E7" i="289"/>
  <c r="E35" i="126"/>
  <c r="G21" i="126"/>
  <c r="O23" i="126" s="1"/>
  <c r="D5" i="126"/>
  <c r="F7" i="160"/>
  <c r="G35" i="214"/>
  <c r="N7" i="214"/>
  <c r="P7" i="156"/>
  <c r="E7" i="156"/>
  <c r="H35" i="231"/>
  <c r="E7" i="189"/>
  <c r="E21" i="313"/>
  <c r="M23" i="313" s="1"/>
  <c r="G7" i="313"/>
  <c r="H35" i="72"/>
  <c r="P7" i="14"/>
  <c r="F35" i="219"/>
  <c r="H21" i="219"/>
  <c r="P23" i="219" s="1"/>
  <c r="M29" i="325"/>
  <c r="P7" i="141"/>
  <c r="E7" i="141"/>
  <c r="H35" i="315"/>
  <c r="O7" i="315"/>
  <c r="H35" i="123"/>
  <c r="O7" i="123"/>
  <c r="P7" i="241"/>
  <c r="F35" i="188"/>
  <c r="H21" i="188"/>
  <c r="P23" i="188" s="1"/>
  <c r="G7" i="355"/>
  <c r="G35" i="202"/>
  <c r="H21" i="349"/>
  <c r="P23" i="349" s="1"/>
  <c r="P29" i="289"/>
  <c r="O7" i="289"/>
  <c r="P7" i="160"/>
  <c r="E7" i="160"/>
  <c r="F35" i="214"/>
  <c r="H21" i="214"/>
  <c r="P23" i="214" s="1"/>
  <c r="H35" i="156"/>
  <c r="O7" i="156"/>
  <c r="H7" i="194"/>
  <c r="E21" i="354"/>
  <c r="M23" i="354" s="1"/>
  <c r="F7" i="313"/>
  <c r="G35" i="72"/>
  <c r="E35" i="219"/>
  <c r="G21" i="219"/>
  <c r="O23" i="219" s="1"/>
  <c r="D5" i="219"/>
  <c r="E7" i="137"/>
  <c r="F35" i="360"/>
  <c r="E21" i="360"/>
  <c r="M23" i="360" s="1"/>
  <c r="G35" i="315"/>
  <c r="N7" i="315"/>
  <c r="E7" i="279"/>
  <c r="G35" i="123"/>
  <c r="N7" i="123"/>
  <c r="H35" i="241"/>
  <c r="O7" i="241"/>
  <c r="E35" i="188"/>
  <c r="G21" i="188"/>
  <c r="O23" i="188" s="1"/>
  <c r="D5" i="188"/>
  <c r="F7" i="355"/>
  <c r="F35" i="202"/>
  <c r="H21" i="202"/>
  <c r="P23" i="202" s="1"/>
  <c r="E21" i="221"/>
  <c r="M23" i="221" s="1"/>
  <c r="G7" i="221"/>
  <c r="H35" i="349"/>
  <c r="M29" i="349"/>
  <c r="G21" i="349"/>
  <c r="O23" i="349" s="1"/>
  <c r="D5" i="349"/>
  <c r="O29" i="289"/>
  <c r="N7" i="289"/>
  <c r="H21" i="293"/>
  <c r="P23" i="293" s="1"/>
  <c r="E21" i="126"/>
  <c r="M23" i="126" s="1"/>
  <c r="H35" i="160"/>
  <c r="O7" i="160"/>
  <c r="E35" i="214"/>
  <c r="G21" i="214"/>
  <c r="O23" i="214" s="1"/>
  <c r="D5" i="214"/>
  <c r="G35" i="156"/>
  <c r="N7" i="156"/>
  <c r="P7" i="288"/>
  <c r="E7" i="288"/>
  <c r="D5" i="202"/>
  <c r="H35" i="293"/>
  <c r="G21" i="293"/>
  <c r="O23" i="293" s="1"/>
  <c r="D5" i="293"/>
  <c r="D5" i="195"/>
  <c r="G21" i="195"/>
  <c r="O23" i="195" s="1"/>
  <c r="E35" i="195"/>
  <c r="H21" i="195"/>
  <c r="P23" i="195" s="1"/>
  <c r="F35" i="195"/>
  <c r="G35" i="195"/>
  <c r="H35" i="195"/>
  <c r="E7" i="195"/>
  <c r="F7" i="195"/>
  <c r="G7" i="195"/>
  <c r="E21" i="195"/>
  <c r="M23" i="195" s="1"/>
  <c r="E21" i="219"/>
  <c r="M23" i="219" s="1"/>
  <c r="G7" i="219"/>
  <c r="G21" i="315"/>
  <c r="O23" i="315" s="1"/>
  <c r="D5" i="315"/>
  <c r="E21" i="188"/>
  <c r="M23" i="188" s="1"/>
  <c r="G7" i="188"/>
  <c r="E21" i="349"/>
  <c r="M23" i="349" s="1"/>
  <c r="G7" i="349"/>
  <c r="E21" i="214"/>
  <c r="M23" i="214" s="1"/>
  <c r="G7" i="214"/>
  <c r="F35" i="170"/>
  <c r="G21" i="175"/>
  <c r="G35" i="175"/>
  <c r="D5" i="194"/>
  <c r="G21" i="194"/>
  <c r="O23" i="194" s="1"/>
  <c r="E35" i="194"/>
  <c r="H21" i="194"/>
  <c r="P23" i="194" s="1"/>
  <c r="F35" i="194"/>
  <c r="G35" i="194"/>
  <c r="H35" i="194"/>
  <c r="E7" i="194"/>
  <c r="F7" i="194"/>
  <c r="G7" i="194"/>
  <c r="E21" i="194"/>
  <c r="M23" i="194" s="1"/>
  <c r="L5" i="166"/>
  <c r="L7" i="166" s="1"/>
  <c r="N7" i="166"/>
  <c r="O7" i="166"/>
  <c r="P7" i="166"/>
  <c r="F7" i="219"/>
  <c r="P7" i="15"/>
  <c r="E35" i="241"/>
  <c r="G21" i="241"/>
  <c r="O23" i="241" s="1"/>
  <c r="F7" i="188"/>
  <c r="E21" i="202"/>
  <c r="M23" i="202" s="1"/>
  <c r="G7" i="202"/>
  <c r="H35" i="221"/>
  <c r="E35" i="349"/>
  <c r="F7" i="349"/>
  <c r="F35" i="293"/>
  <c r="E21" i="293"/>
  <c r="M23" i="293" s="1"/>
  <c r="G7" i="293"/>
  <c r="F7" i="214"/>
  <c r="D35" i="165"/>
  <c r="D7" i="165"/>
  <c r="D21" i="165"/>
  <c r="L23" i="165" s="1"/>
  <c r="F35" i="313"/>
  <c r="E21" i="72"/>
  <c r="M23" i="72" s="1"/>
  <c r="N35" i="325"/>
  <c r="P29" i="325"/>
  <c r="M23" i="325"/>
  <c r="G21" i="137"/>
  <c r="O23" i="137" s="1"/>
  <c r="E21" i="315"/>
  <c r="M23" i="315" s="1"/>
  <c r="E21" i="123"/>
  <c r="M23" i="123" s="1"/>
  <c r="F35" i="289"/>
  <c r="E21" i="289"/>
  <c r="M23" i="289" s="1"/>
  <c r="E35" i="293"/>
  <c r="E21" i="156"/>
  <c r="M23" i="156" s="1"/>
  <c r="F21" i="194"/>
  <c r="N23" i="194" s="1"/>
  <c r="P23" i="170"/>
  <c r="H35" i="187"/>
  <c r="E35" i="166"/>
  <c r="G21" i="166"/>
  <c r="O23" i="166" s="1"/>
  <c r="D5" i="166"/>
  <c r="F7" i="165"/>
  <c r="G35" i="151"/>
  <c r="N7" i="151"/>
  <c r="L5" i="151"/>
  <c r="L7" i="151" s="1"/>
  <c r="P7" i="194"/>
  <c r="F35" i="187"/>
  <c r="H21" i="187"/>
  <c r="P23" i="187" s="1"/>
  <c r="E21" i="166"/>
  <c r="M23" i="166" s="1"/>
  <c r="G7" i="166"/>
  <c r="H35" i="165"/>
  <c r="E35" i="151"/>
  <c r="G21" i="151"/>
  <c r="O23" i="151" s="1"/>
  <c r="D5" i="151"/>
  <c r="L23" i="173"/>
  <c r="E35" i="187"/>
  <c r="G21" i="187"/>
  <c r="O23" i="187" s="1"/>
  <c r="D5" i="187"/>
  <c r="F7" i="166"/>
  <c r="E7" i="166"/>
  <c r="E21" i="151"/>
  <c r="M23" i="151" s="1"/>
  <c r="G7" i="151"/>
  <c r="L23" i="175"/>
  <c r="E21" i="187"/>
  <c r="M23" i="187" s="1"/>
  <c r="G7" i="187"/>
  <c r="H35" i="166"/>
  <c r="E35" i="165"/>
  <c r="G21" i="165"/>
  <c r="O23" i="165" s="1"/>
  <c r="F7" i="151"/>
  <c r="C717" i="209"/>
  <c r="V657" i="209"/>
  <c r="O628" i="246"/>
  <c r="V597" i="209"/>
  <c r="I647" i="246"/>
  <c r="I690" i="246"/>
  <c r="T17" i="100"/>
  <c r="I709" i="246"/>
  <c r="L26" i="91"/>
  <c r="D18" i="91"/>
  <c r="N15" i="80"/>
  <c r="T15" i="49"/>
  <c r="T33" i="36"/>
  <c r="T16" i="28"/>
  <c r="T26" i="28"/>
  <c r="C412" i="209"/>
  <c r="V352" i="209"/>
  <c r="F44" i="334"/>
  <c r="Q87" i="209" s="1"/>
  <c r="L20" i="289"/>
  <c r="N16" i="49"/>
  <c r="D44" i="97"/>
  <c r="D46" i="91"/>
  <c r="V477" i="209"/>
  <c r="D44" i="91"/>
  <c r="O70" i="246" s="1"/>
  <c r="T22" i="36"/>
  <c r="T14" i="49"/>
  <c r="T13" i="80"/>
  <c r="T19" i="27"/>
  <c r="I628" i="246"/>
  <c r="V537" i="209"/>
  <c r="S396" i="209"/>
  <c r="S532" i="209"/>
  <c r="S498" i="209"/>
  <c r="T11" i="29"/>
  <c r="M456" i="209"/>
  <c r="S569" i="209"/>
  <c r="H27" i="248"/>
  <c r="H41" i="248" s="1"/>
  <c r="P13" i="364" s="1"/>
  <c r="R20" i="49"/>
  <c r="R21" i="49" s="1"/>
  <c r="R23" i="28"/>
  <c r="T16" i="32"/>
  <c r="R13" i="33"/>
  <c r="T13" i="33" s="1"/>
  <c r="T14" i="33" s="1"/>
  <c r="G14" i="203"/>
  <c r="G18" i="203" s="1"/>
  <c r="G14" i="126"/>
  <c r="R25" i="27"/>
  <c r="T25" i="27" s="1"/>
  <c r="G14" i="194"/>
  <c r="O26" i="141"/>
  <c r="G43" i="141" s="1"/>
  <c r="G47" i="141" s="1"/>
  <c r="R170" i="246" s="1"/>
  <c r="P16" i="292"/>
  <c r="T14" i="80"/>
  <c r="L26" i="183"/>
  <c r="D43" i="183" s="1"/>
  <c r="D47" i="183" s="1"/>
  <c r="O177" i="246" s="1"/>
  <c r="D18" i="183"/>
  <c r="R23" i="27"/>
  <c r="T23" i="27" s="1"/>
  <c r="T15" i="100"/>
  <c r="F14" i="141"/>
  <c r="G14" i="141" s="1"/>
  <c r="G18" i="141" s="1"/>
  <c r="E14" i="226"/>
  <c r="T18" i="28"/>
  <c r="T16" i="129"/>
  <c r="D11" i="194"/>
  <c r="L26" i="194" s="1"/>
  <c r="E11" i="194"/>
  <c r="D14" i="226"/>
  <c r="D11" i="189"/>
  <c r="D18" i="189" s="1"/>
  <c r="E11" i="141"/>
  <c r="F11" i="270"/>
  <c r="N26" i="270" s="1"/>
  <c r="F43" i="270" s="1"/>
  <c r="F47" i="270" s="1"/>
  <c r="Q176" i="246" s="1"/>
  <c r="F11" i="151"/>
  <c r="E11" i="183"/>
  <c r="F11" i="183"/>
  <c r="T25" i="34"/>
  <c r="D11" i="141"/>
  <c r="G11" i="126"/>
  <c r="T26" i="34"/>
  <c r="T18" i="34"/>
  <c r="T12" i="129"/>
  <c r="G15" i="194"/>
  <c r="E11" i="189"/>
  <c r="F11" i="189"/>
  <c r="F18" i="189" s="1"/>
  <c r="G11" i="183"/>
  <c r="O26" i="183" s="1"/>
  <c r="P649" i="209"/>
  <c r="E46" i="345"/>
  <c r="J709" i="209"/>
  <c r="J649" i="209"/>
  <c r="E18" i="345"/>
  <c r="M26" i="345"/>
  <c r="E45" i="345"/>
  <c r="J169" i="209" s="1"/>
  <c r="E44" i="345"/>
  <c r="P109" i="209" s="1"/>
  <c r="P11" i="359"/>
  <c r="P11" i="190"/>
  <c r="P11" i="284"/>
  <c r="P11" i="192"/>
  <c r="P11" i="156"/>
  <c r="D45" i="97"/>
  <c r="L26" i="97"/>
  <c r="O647" i="246"/>
  <c r="G18" i="189"/>
  <c r="O26" i="189"/>
  <c r="O26" i="151"/>
  <c r="G43" i="151" s="1"/>
  <c r="G47" i="151" s="1"/>
  <c r="R167" i="246" s="1"/>
  <c r="G18" i="151"/>
  <c r="O26" i="270"/>
  <c r="G18" i="270"/>
  <c r="N26" i="137"/>
  <c r="F43" i="137" s="1"/>
  <c r="F47" i="137" s="1"/>
  <c r="Q171" i="246" s="1"/>
  <c r="F18" i="137"/>
  <c r="O26" i="194"/>
  <c r="O26" i="203"/>
  <c r="G43" i="203" s="1"/>
  <c r="G47" i="203" s="1"/>
  <c r="R175" i="246" s="1"/>
  <c r="O26" i="204"/>
  <c r="G18" i="204"/>
  <c r="E11" i="203"/>
  <c r="E11" i="137"/>
  <c r="E11" i="151"/>
  <c r="G11" i="137"/>
  <c r="D11" i="203"/>
  <c r="D11" i="137"/>
  <c r="D11" i="151"/>
  <c r="F11" i="195"/>
  <c r="F11" i="194"/>
  <c r="E11" i="270"/>
  <c r="E11" i="204"/>
  <c r="H44" i="247" l="1"/>
  <c r="S564" i="209"/>
  <c r="F18" i="178"/>
  <c r="L26" i="187"/>
  <c r="I702" i="246"/>
  <c r="L26" i="195"/>
  <c r="I730" i="246"/>
  <c r="O26" i="187"/>
  <c r="G43" i="187" s="1"/>
  <c r="G47" i="187" s="1"/>
  <c r="R144" i="246" s="1"/>
  <c r="L702" i="246"/>
  <c r="D7" i="162"/>
  <c r="G14" i="178"/>
  <c r="G14" i="225" s="1"/>
  <c r="T18" i="70"/>
  <c r="D15" i="125" s="1"/>
  <c r="D18" i="125" s="1"/>
  <c r="M719" i="246"/>
  <c r="N18" i="70"/>
  <c r="R17" i="37"/>
  <c r="O20" i="325"/>
  <c r="I707" i="209"/>
  <c r="G11" i="223"/>
  <c r="R642" i="246" s="1"/>
  <c r="K641" i="246"/>
  <c r="F11" i="223"/>
  <c r="M35" i="292" s="1"/>
  <c r="E11" i="223"/>
  <c r="L26" i="139"/>
  <c r="D43" i="139" s="1"/>
  <c r="D47" i="139" s="1"/>
  <c r="O145" i="246" s="1"/>
  <c r="D11" i="223"/>
  <c r="I704" i="246" s="1"/>
  <c r="J38" i="37"/>
  <c r="J47" i="37" s="1"/>
  <c r="R24" i="37"/>
  <c r="R25" i="37" s="1"/>
  <c r="N25" i="37"/>
  <c r="R27" i="37"/>
  <c r="N29" i="37"/>
  <c r="R20" i="37"/>
  <c r="T20" i="37" s="1"/>
  <c r="N21" i="37"/>
  <c r="R31" i="37"/>
  <c r="N17" i="37"/>
  <c r="X54" i="29"/>
  <c r="N16" i="29"/>
  <c r="T16" i="29" s="1"/>
  <c r="J36" i="29" s="1"/>
  <c r="J27" i="29"/>
  <c r="G14" i="14"/>
  <c r="G18" i="14" s="1"/>
  <c r="J37" i="29"/>
  <c r="D18" i="14"/>
  <c r="I730" i="209" s="1"/>
  <c r="I17" i="292"/>
  <c r="F43" i="213"/>
  <c r="F47" i="213" s="1"/>
  <c r="Q143" i="209" s="1"/>
  <c r="O26" i="353"/>
  <c r="G43" i="353" s="1"/>
  <c r="G47" i="353" s="1"/>
  <c r="R167" i="209" s="1"/>
  <c r="F40" i="334"/>
  <c r="K87" i="209" s="1"/>
  <c r="F41" i="334"/>
  <c r="K207" i="209" s="1"/>
  <c r="K747" i="209"/>
  <c r="F38" i="334"/>
  <c r="K27" i="209" s="1"/>
  <c r="F37" i="334"/>
  <c r="Q207" i="209" s="1"/>
  <c r="F42" i="334"/>
  <c r="K267" i="209" s="1"/>
  <c r="P18" i="105"/>
  <c r="D18" i="353"/>
  <c r="D38" i="353" s="1"/>
  <c r="I47" i="209" s="1"/>
  <c r="F44" i="162"/>
  <c r="Q88" i="209" s="1"/>
  <c r="K688" i="209"/>
  <c r="F45" i="162"/>
  <c r="K148" i="209" s="1"/>
  <c r="K628" i="209"/>
  <c r="P14" i="289"/>
  <c r="O20" i="289"/>
  <c r="O20" i="288"/>
  <c r="G11" i="44"/>
  <c r="P14" i="347"/>
  <c r="M297" i="209"/>
  <c r="E45" i="39"/>
  <c r="J161" i="209" s="1"/>
  <c r="E11" i="44"/>
  <c r="D11" i="44"/>
  <c r="F11" i="44"/>
  <c r="F46" i="44" s="1"/>
  <c r="F14" i="123"/>
  <c r="F14" i="44" s="1"/>
  <c r="F14" i="328" s="1"/>
  <c r="E14" i="44"/>
  <c r="D35" i="192"/>
  <c r="D21" i="192"/>
  <c r="L23" i="192" s="1"/>
  <c r="E15" i="84"/>
  <c r="R616" i="209"/>
  <c r="F18" i="91"/>
  <c r="F38" i="91" s="1"/>
  <c r="K8" i="246" s="1"/>
  <c r="G43" i="39"/>
  <c r="G47" i="39" s="1"/>
  <c r="R161" i="209" s="1"/>
  <c r="K701" i="209"/>
  <c r="S684" i="209"/>
  <c r="M417" i="209"/>
  <c r="J32" i="28"/>
  <c r="J41" i="28" s="1"/>
  <c r="F18" i="162"/>
  <c r="F18" i="212" s="1"/>
  <c r="L26" i="7"/>
  <c r="D43" i="7" s="1"/>
  <c r="D47" i="7" s="1"/>
  <c r="O137" i="209" s="1"/>
  <c r="J25" i="36"/>
  <c r="J30" i="36" s="1"/>
  <c r="D45" i="271"/>
  <c r="I153" i="246" s="1"/>
  <c r="F46" i="162"/>
  <c r="E15" i="171"/>
  <c r="D21" i="241"/>
  <c r="L23" i="241" s="1"/>
  <c r="Q628" i="209"/>
  <c r="G14" i="91"/>
  <c r="G14" i="103" s="1"/>
  <c r="F37" i="213"/>
  <c r="Q203" i="209" s="1"/>
  <c r="K743" i="209"/>
  <c r="F42" i="213"/>
  <c r="K263" i="209" s="1"/>
  <c r="F41" i="213"/>
  <c r="K203" i="209" s="1"/>
  <c r="F39" i="213"/>
  <c r="Q23" i="209" s="1"/>
  <c r="F38" i="213"/>
  <c r="K23" i="209" s="1"/>
  <c r="D7" i="241"/>
  <c r="E44" i="39"/>
  <c r="P101" i="209" s="1"/>
  <c r="O613" i="209"/>
  <c r="S504" i="209"/>
  <c r="H24" i="250"/>
  <c r="M361" i="209" s="1"/>
  <c r="P14" i="220"/>
  <c r="H37" i="248"/>
  <c r="S237" i="209" s="1"/>
  <c r="F46" i="354"/>
  <c r="F18" i="354"/>
  <c r="F41" i="354" s="1"/>
  <c r="F44" i="354"/>
  <c r="S297" i="209"/>
  <c r="F45" i="354"/>
  <c r="M26" i="334"/>
  <c r="P747" i="209" s="1"/>
  <c r="G14" i="139"/>
  <c r="G14" i="223" s="1"/>
  <c r="D39" i="324"/>
  <c r="M27" i="294" s="1"/>
  <c r="R361" i="209"/>
  <c r="H29" i="250"/>
  <c r="H47" i="250" s="1"/>
  <c r="S181" i="209" s="1"/>
  <c r="G48" i="250"/>
  <c r="P743" i="209"/>
  <c r="L541" i="209"/>
  <c r="J361" i="209"/>
  <c r="O616" i="209"/>
  <c r="L26" i="9"/>
  <c r="O736" i="209" s="1"/>
  <c r="I361" i="209"/>
  <c r="D45" i="9"/>
  <c r="I136" i="209" s="1"/>
  <c r="I616" i="209"/>
  <c r="L20" i="221"/>
  <c r="G46" i="354"/>
  <c r="P14" i="288"/>
  <c r="O26" i="354"/>
  <c r="G43" i="354" s="1"/>
  <c r="G47" i="354" s="1"/>
  <c r="H44" i="248"/>
  <c r="P16" i="364" s="1"/>
  <c r="N20" i="214"/>
  <c r="T12" i="142"/>
  <c r="T13" i="142" s="1"/>
  <c r="J21" i="142" s="1"/>
  <c r="L20" i="220"/>
  <c r="G44" i="354"/>
  <c r="N20" i="105"/>
  <c r="L20" i="347"/>
  <c r="Q747" i="209"/>
  <c r="H38" i="247"/>
  <c r="G18" i="354"/>
  <c r="G38" i="354" s="1"/>
  <c r="D35" i="7"/>
  <c r="O301" i="209"/>
  <c r="G18" i="353"/>
  <c r="G42" i="353" s="1"/>
  <c r="L287" i="209" s="1"/>
  <c r="R647" i="209"/>
  <c r="L647" i="209"/>
  <c r="L707" i="209"/>
  <c r="G45" i="353"/>
  <c r="L167" i="209" s="1"/>
  <c r="G44" i="353"/>
  <c r="R107" i="209" s="1"/>
  <c r="D45" i="353"/>
  <c r="I167" i="209" s="1"/>
  <c r="L26" i="353"/>
  <c r="D46" i="353"/>
  <c r="I647" i="209"/>
  <c r="D44" i="353"/>
  <c r="O107" i="209" s="1"/>
  <c r="L20" i="105"/>
  <c r="G18" i="271"/>
  <c r="G40" i="271" s="1"/>
  <c r="L91" i="246" s="1"/>
  <c r="F44" i="353"/>
  <c r="Q107" i="209" s="1"/>
  <c r="N26" i="353"/>
  <c r="F43" i="353" s="1"/>
  <c r="F47" i="353" s="1"/>
  <c r="Q167" i="209" s="1"/>
  <c r="D7" i="91"/>
  <c r="Q647" i="209"/>
  <c r="F18" i="353"/>
  <c r="F40" i="353" s="1"/>
  <c r="K107" i="209" s="1"/>
  <c r="F45" i="353"/>
  <c r="K167" i="209" s="1"/>
  <c r="F46" i="353"/>
  <c r="P17" i="213"/>
  <c r="D35" i="99"/>
  <c r="D21" i="99"/>
  <c r="L23" i="99" s="1"/>
  <c r="R23" i="49"/>
  <c r="K707" i="209"/>
  <c r="X49" i="161"/>
  <c r="Q601" i="209"/>
  <c r="G45" i="9"/>
  <c r="L136" i="209" s="1"/>
  <c r="D46" i="9"/>
  <c r="G44" i="9"/>
  <c r="R76" i="209" s="1"/>
  <c r="O26" i="9"/>
  <c r="G43" i="9" s="1"/>
  <c r="G47" i="9" s="1"/>
  <c r="R136" i="209" s="1"/>
  <c r="I676" i="209"/>
  <c r="L676" i="209"/>
  <c r="G46" i="9"/>
  <c r="K601" i="209"/>
  <c r="P14" i="364"/>
  <c r="D11" i="248"/>
  <c r="O26" i="347"/>
  <c r="R772" i="209" s="1"/>
  <c r="G11" i="248"/>
  <c r="G46" i="248" s="1"/>
  <c r="J652" i="209"/>
  <c r="E11" i="248"/>
  <c r="D40" i="347"/>
  <c r="I112" i="209" s="1"/>
  <c r="K712" i="209"/>
  <c r="F11" i="248"/>
  <c r="P13" i="213"/>
  <c r="P13" i="105"/>
  <c r="M357" i="209"/>
  <c r="P13" i="214"/>
  <c r="D38" i="191"/>
  <c r="I37" i="246" s="1"/>
  <c r="L20" i="214"/>
  <c r="P25" i="231"/>
  <c r="H38" i="248"/>
  <c r="P10" i="347" s="1"/>
  <c r="M384" i="209"/>
  <c r="S537" i="209"/>
  <c r="M597" i="209"/>
  <c r="M477" i="209"/>
  <c r="E44" i="334"/>
  <c r="P87" i="209" s="1"/>
  <c r="P627" i="209"/>
  <c r="E18" i="334"/>
  <c r="E41" i="334" s="1"/>
  <c r="J207" i="209" s="1"/>
  <c r="J687" i="209"/>
  <c r="E46" i="334"/>
  <c r="E45" i="334"/>
  <c r="J147" i="209" s="1"/>
  <c r="R541" i="209"/>
  <c r="M20" i="214"/>
  <c r="M20" i="213"/>
  <c r="L361" i="209"/>
  <c r="N20" i="289"/>
  <c r="O421" i="209"/>
  <c r="M20" i="288"/>
  <c r="N20" i="290"/>
  <c r="I421" i="209"/>
  <c r="P17" i="214"/>
  <c r="P12" i="289"/>
  <c r="P12" i="290"/>
  <c r="P17" i="290"/>
  <c r="E18" i="292"/>
  <c r="P17" i="288"/>
  <c r="R601" i="209"/>
  <c r="M117" i="209"/>
  <c r="P12" i="221"/>
  <c r="H39" i="248"/>
  <c r="P11" i="364" s="1"/>
  <c r="H26" i="250"/>
  <c r="H40" i="250" s="1"/>
  <c r="M121" i="209" s="1"/>
  <c r="K361" i="209"/>
  <c r="S444" i="209"/>
  <c r="M144" i="209"/>
  <c r="P481" i="209"/>
  <c r="P17" i="221"/>
  <c r="P17" i="364"/>
  <c r="P12" i="347"/>
  <c r="P12" i="364"/>
  <c r="M20" i="347"/>
  <c r="M20" i="364"/>
  <c r="R481" i="209"/>
  <c r="D35" i="216"/>
  <c r="P16" i="289"/>
  <c r="P16" i="288"/>
  <c r="E48" i="250"/>
  <c r="P18" i="290"/>
  <c r="P421" i="209"/>
  <c r="S384" i="209"/>
  <c r="M444" i="209"/>
  <c r="S324" i="209"/>
  <c r="S24" i="209"/>
  <c r="P11" i="105"/>
  <c r="P11" i="214"/>
  <c r="K481" i="209"/>
  <c r="L601" i="209"/>
  <c r="F48" i="250"/>
  <c r="K421" i="209"/>
  <c r="D21" i="216"/>
  <c r="L23" i="216" s="1"/>
  <c r="J19" i="142"/>
  <c r="P25" i="228"/>
  <c r="J711" i="246"/>
  <c r="E44" i="271"/>
  <c r="P91" i="246" s="1"/>
  <c r="M26" i="271"/>
  <c r="E43" i="271" s="1"/>
  <c r="E47" i="271" s="1"/>
  <c r="P153" i="246" s="1"/>
  <c r="L668" i="246"/>
  <c r="N13" i="142"/>
  <c r="I601" i="209"/>
  <c r="O601" i="209"/>
  <c r="J649" i="246"/>
  <c r="P649" i="246"/>
  <c r="H31" i="250"/>
  <c r="H45" i="250" s="1"/>
  <c r="M181" i="209" s="1"/>
  <c r="E18" i="271"/>
  <c r="E38" i="271" s="1"/>
  <c r="J29" i="246" s="1"/>
  <c r="E46" i="271"/>
  <c r="I35" i="292"/>
  <c r="J541" i="209"/>
  <c r="H46" i="250"/>
  <c r="X37" i="142"/>
  <c r="D35" i="125"/>
  <c r="P18" i="288"/>
  <c r="D37" i="324"/>
  <c r="H27" i="294" s="1"/>
  <c r="L26" i="271"/>
  <c r="D43" i="271" s="1"/>
  <c r="D47" i="271" s="1"/>
  <c r="O153" i="246" s="1"/>
  <c r="D18" i="271"/>
  <c r="I773" i="246" s="1"/>
  <c r="D40" i="324"/>
  <c r="H46" i="294" s="1"/>
  <c r="D38" i="324"/>
  <c r="R8" i="294" s="1"/>
  <c r="D18" i="202"/>
  <c r="I763" i="246" s="1"/>
  <c r="D45" i="324"/>
  <c r="M46" i="294" s="1"/>
  <c r="I711" i="246"/>
  <c r="D45" i="202"/>
  <c r="I143" i="246" s="1"/>
  <c r="H8" i="294"/>
  <c r="I639" i="246"/>
  <c r="L26" i="202"/>
  <c r="D43" i="202" s="1"/>
  <c r="D47" i="202" s="1"/>
  <c r="O143" i="246" s="1"/>
  <c r="M8" i="294"/>
  <c r="D41" i="324"/>
  <c r="H65" i="294" s="1"/>
  <c r="D44" i="202"/>
  <c r="O81" i="246" s="1"/>
  <c r="D46" i="202"/>
  <c r="D42" i="324"/>
  <c r="M65" i="294" s="1"/>
  <c r="O639" i="246"/>
  <c r="D44" i="271"/>
  <c r="O91" i="246" s="1"/>
  <c r="M20" i="220"/>
  <c r="M20" i="221"/>
  <c r="H29" i="171"/>
  <c r="H47" i="171" s="1"/>
  <c r="P18" i="292"/>
  <c r="F15" i="308"/>
  <c r="F15" i="309" s="1"/>
  <c r="G15" i="313"/>
  <c r="G15" i="308" s="1"/>
  <c r="G15" i="309" s="1"/>
  <c r="L20" i="288"/>
  <c r="D35" i="333"/>
  <c r="H38" i="291"/>
  <c r="P10" i="288" s="1"/>
  <c r="Q481" i="209"/>
  <c r="D21" i="296"/>
  <c r="L23" i="296" s="1"/>
  <c r="N16" i="124"/>
  <c r="Q721" i="209"/>
  <c r="E46" i="9"/>
  <c r="P25" i="173"/>
  <c r="M20" i="325"/>
  <c r="E46" i="39"/>
  <c r="P641" i="209"/>
  <c r="E18" i="39"/>
  <c r="J701" i="209"/>
  <c r="M26" i="39"/>
  <c r="D39" i="191"/>
  <c r="O37" i="246" s="1"/>
  <c r="D37" i="191"/>
  <c r="O223" i="246" s="1"/>
  <c r="D41" i="191"/>
  <c r="I223" i="246" s="1"/>
  <c r="P26" i="191"/>
  <c r="D40" i="191"/>
  <c r="I99" i="246" s="1"/>
  <c r="I781" i="246"/>
  <c r="O649" i="246"/>
  <c r="D46" i="271"/>
  <c r="G44" i="271"/>
  <c r="R91" i="246" s="1"/>
  <c r="L711" i="246"/>
  <c r="O26" i="271"/>
  <c r="G43" i="271" s="1"/>
  <c r="G47" i="271" s="1"/>
  <c r="R153" i="246" s="1"/>
  <c r="L649" i="246"/>
  <c r="R649" i="246"/>
  <c r="G46" i="271"/>
  <c r="F14" i="173"/>
  <c r="D7" i="125"/>
  <c r="Q641" i="209"/>
  <c r="F46" i="39"/>
  <c r="O766" i="209"/>
  <c r="S766" i="209" s="1"/>
  <c r="E15" i="173"/>
  <c r="E18" i="354"/>
  <c r="E42" i="354" s="1"/>
  <c r="P11" i="325"/>
  <c r="J641" i="209"/>
  <c r="F45" i="347"/>
  <c r="K172" i="209" s="1"/>
  <c r="N133" i="294"/>
  <c r="Q652" i="209"/>
  <c r="P301" i="209"/>
  <c r="M122" i="294"/>
  <c r="D46" i="324"/>
  <c r="Q757" i="209"/>
  <c r="D46" i="279"/>
  <c r="O655" i="246"/>
  <c r="F45" i="39"/>
  <c r="K161" i="209" s="1"/>
  <c r="E44" i="354"/>
  <c r="N26" i="39"/>
  <c r="E45" i="354"/>
  <c r="M26" i="354"/>
  <c r="E43" i="354" s="1"/>
  <c r="E47" i="354" s="1"/>
  <c r="F18" i="39"/>
  <c r="F44" i="39"/>
  <c r="Q101" i="209" s="1"/>
  <c r="K641" i="209"/>
  <c r="F44" i="355"/>
  <c r="H44" i="326"/>
  <c r="P16" i="324" s="1"/>
  <c r="K520" i="246"/>
  <c r="P646" i="246"/>
  <c r="F45" i="337"/>
  <c r="K160" i="209" s="1"/>
  <c r="J677" i="209"/>
  <c r="D45" i="279"/>
  <c r="I159" i="246" s="1"/>
  <c r="P13" i="324"/>
  <c r="D44" i="324"/>
  <c r="R27" i="294" s="1"/>
  <c r="L26" i="324"/>
  <c r="D43" i="324" s="1"/>
  <c r="D47" i="324" s="1"/>
  <c r="R46" i="294" s="1"/>
  <c r="D17" i="174"/>
  <c r="X51" i="161"/>
  <c r="G48" i="171"/>
  <c r="O20" i="223" s="1"/>
  <c r="D7" i="14"/>
  <c r="E38" i="190"/>
  <c r="J13" i="246" s="1"/>
  <c r="D21" i="338"/>
  <c r="L23" i="338" s="1"/>
  <c r="D7" i="354"/>
  <c r="L29" i="295"/>
  <c r="D21" i="91"/>
  <c r="L23" i="91" s="1"/>
  <c r="I704" i="209"/>
  <c r="M704" i="209" s="1"/>
  <c r="G44" i="359"/>
  <c r="R88" i="246" s="1"/>
  <c r="D7" i="189"/>
  <c r="I164" i="209"/>
  <c r="D21" i="354"/>
  <c r="L23" i="354" s="1"/>
  <c r="Q421" i="209"/>
  <c r="M26" i="324"/>
  <c r="E43" i="324" s="1"/>
  <c r="E47" i="324" s="1"/>
  <c r="S46" i="294" s="1"/>
  <c r="D21" i="79"/>
  <c r="L23" i="79" s="1"/>
  <c r="D35" i="189"/>
  <c r="D7" i="95"/>
  <c r="L26" i="315"/>
  <c r="D43" i="315" s="1"/>
  <c r="W31" i="315" s="1"/>
  <c r="Q541" i="209"/>
  <c r="D35" i="79"/>
  <c r="D35" i="270"/>
  <c r="D21" i="95"/>
  <c r="L23" i="95" s="1"/>
  <c r="D46" i="315"/>
  <c r="I644" i="209"/>
  <c r="E44" i="324"/>
  <c r="S27" i="294" s="1"/>
  <c r="D21" i="270"/>
  <c r="L23" i="270" s="1"/>
  <c r="F18" i="191"/>
  <c r="F37" i="191" s="1"/>
  <c r="Q223" i="246" s="1"/>
  <c r="F14" i="186"/>
  <c r="D18" i="315"/>
  <c r="D37" i="315" s="1"/>
  <c r="W25" i="315" s="1"/>
  <c r="O644" i="209"/>
  <c r="D35" i="176"/>
  <c r="M20" i="290"/>
  <c r="D7" i="176"/>
  <c r="T19" i="340"/>
  <c r="J29" i="340" s="1"/>
  <c r="J31" i="340" s="1"/>
  <c r="V11" i="340" s="1"/>
  <c r="X47" i="340" s="1"/>
  <c r="D7" i="7"/>
  <c r="P639" i="246"/>
  <c r="E44" i="202"/>
  <c r="P81" i="246" s="1"/>
  <c r="M26" i="202"/>
  <c r="E43" i="202" s="1"/>
  <c r="E47" i="202" s="1"/>
  <c r="P143" i="246" s="1"/>
  <c r="M20" i="295"/>
  <c r="G46" i="288"/>
  <c r="E44" i="9"/>
  <c r="P76" i="209" s="1"/>
  <c r="E45" i="9"/>
  <c r="J136" i="209" s="1"/>
  <c r="J676" i="209"/>
  <c r="J616" i="209"/>
  <c r="P616" i="209"/>
  <c r="J558" i="246"/>
  <c r="O772" i="209"/>
  <c r="E46" i="356"/>
  <c r="D18" i="188"/>
  <c r="D41" i="188" s="1"/>
  <c r="I230" i="246" s="1"/>
  <c r="E45" i="356"/>
  <c r="J166" i="209" s="1"/>
  <c r="E18" i="356"/>
  <c r="E40" i="356" s="1"/>
  <c r="J106" i="209" s="1"/>
  <c r="F46" i="362"/>
  <c r="D44" i="362"/>
  <c r="R38" i="294" s="1"/>
  <c r="K640" i="209"/>
  <c r="H38" i="326"/>
  <c r="P10" i="324" s="1"/>
  <c r="E45" i="324"/>
  <c r="N46" i="294" s="1"/>
  <c r="E11" i="326"/>
  <c r="E44" i="326" s="1"/>
  <c r="M16" i="324" s="1"/>
  <c r="E46" i="324"/>
  <c r="E18" i="324"/>
  <c r="E39" i="324" s="1"/>
  <c r="N27" i="294" s="1"/>
  <c r="F44" i="356"/>
  <c r="Q106" i="209" s="1"/>
  <c r="E46" i="355"/>
  <c r="D21" i="72"/>
  <c r="L23" i="72" s="1"/>
  <c r="I664" i="246"/>
  <c r="F38" i="362"/>
  <c r="T19" i="294" s="1"/>
  <c r="F44" i="362"/>
  <c r="T38" i="294" s="1"/>
  <c r="O664" i="246"/>
  <c r="G18" i="202"/>
  <c r="G41" i="202" s="1"/>
  <c r="L205" i="246" s="1"/>
  <c r="F37" i="362"/>
  <c r="J38" i="294" s="1"/>
  <c r="D35" i="72"/>
  <c r="D44" i="188"/>
  <c r="O106" i="246" s="1"/>
  <c r="R639" i="246"/>
  <c r="M21" i="313"/>
  <c r="E14" i="173"/>
  <c r="G46" i="202"/>
  <c r="P12" i="324"/>
  <c r="N20" i="324"/>
  <c r="D18" i="105"/>
  <c r="D40" i="105" s="1"/>
  <c r="I82" i="209" s="1"/>
  <c r="D45" i="188"/>
  <c r="I168" i="246" s="1"/>
  <c r="G45" i="324"/>
  <c r="P46" i="294" s="1"/>
  <c r="L639" i="246"/>
  <c r="I726" i="246"/>
  <c r="L701" i="246"/>
  <c r="M701" i="246" s="1"/>
  <c r="N26" i="362"/>
  <c r="F43" i="362" s="1"/>
  <c r="F47" i="362" s="1"/>
  <c r="T57" i="294" s="1"/>
  <c r="L26" i="188"/>
  <c r="D43" i="188" s="1"/>
  <c r="D47" i="188" s="1"/>
  <c r="O168" i="246" s="1"/>
  <c r="G45" i="202"/>
  <c r="L143" i="246" s="1"/>
  <c r="O541" i="209"/>
  <c r="T133" i="294"/>
  <c r="G18" i="324"/>
  <c r="G40" i="324" s="1"/>
  <c r="K46" i="294" s="1"/>
  <c r="G46" i="324"/>
  <c r="O26" i="324"/>
  <c r="G43" i="324" s="1"/>
  <c r="G47" i="324" s="1"/>
  <c r="U46" i="294" s="1"/>
  <c r="P122" i="294"/>
  <c r="F45" i="6"/>
  <c r="K138" i="209" s="1"/>
  <c r="F46" i="337"/>
  <c r="J708" i="246"/>
  <c r="F46" i="6"/>
  <c r="N26" i="337"/>
  <c r="Q760" i="209" s="1"/>
  <c r="J701" i="246"/>
  <c r="M26" i="362"/>
  <c r="E43" i="362" s="1"/>
  <c r="E47" i="362" s="1"/>
  <c r="S57" i="294" s="1"/>
  <c r="E45" i="359"/>
  <c r="J150" i="246" s="1"/>
  <c r="E44" i="359"/>
  <c r="P88" i="246" s="1"/>
  <c r="F18" i="337"/>
  <c r="F42" i="337" s="1"/>
  <c r="K280" i="209" s="1"/>
  <c r="F46" i="347"/>
  <c r="E46" i="202"/>
  <c r="E18" i="202"/>
  <c r="E42" i="202" s="1"/>
  <c r="J267" i="246" s="1"/>
  <c r="E18" i="359"/>
  <c r="E40" i="359" s="1"/>
  <c r="J88" i="246" s="1"/>
  <c r="E46" i="359"/>
  <c r="N26" i="347"/>
  <c r="F43" i="347" s="1"/>
  <c r="F47" i="347" s="1"/>
  <c r="Q172" i="209" s="1"/>
  <c r="E45" i="362"/>
  <c r="N57" i="294" s="1"/>
  <c r="M26" i="359"/>
  <c r="E43" i="359" s="1"/>
  <c r="E47" i="359" s="1"/>
  <c r="P150" i="246" s="1"/>
  <c r="K700" i="209"/>
  <c r="E18" i="362"/>
  <c r="S133" i="294" s="1"/>
  <c r="Q640" i="209"/>
  <c r="F44" i="347"/>
  <c r="Q112" i="209" s="1"/>
  <c r="J639" i="246"/>
  <c r="D11" i="225"/>
  <c r="L20" i="97"/>
  <c r="K652" i="209"/>
  <c r="E46" i="362"/>
  <c r="O133" i="294"/>
  <c r="G44" i="202"/>
  <c r="R81" i="246" s="1"/>
  <c r="F45" i="362"/>
  <c r="O57" i="294" s="1"/>
  <c r="C26" i="330"/>
  <c r="F41" i="362"/>
  <c r="J76" i="294" s="1"/>
  <c r="J19" i="294"/>
  <c r="O19" i="294"/>
  <c r="F40" i="362"/>
  <c r="J57" i="294" s="1"/>
  <c r="F42" i="362"/>
  <c r="O76" i="294" s="1"/>
  <c r="S270" i="246"/>
  <c r="G40" i="39"/>
  <c r="L101" i="209" s="1"/>
  <c r="D18" i="39"/>
  <c r="O641" i="246"/>
  <c r="L709" i="246"/>
  <c r="M709" i="246" s="1"/>
  <c r="D44" i="315"/>
  <c r="W32" i="315" s="1"/>
  <c r="I701" i="209"/>
  <c r="M701" i="209" s="1"/>
  <c r="G45" i="97"/>
  <c r="L151" i="246" s="1"/>
  <c r="R647" i="246"/>
  <c r="G42" i="359"/>
  <c r="L274" i="246" s="1"/>
  <c r="L706" i="209"/>
  <c r="M706" i="209" s="1"/>
  <c r="L646" i="246"/>
  <c r="M456" i="246"/>
  <c r="E16" i="175"/>
  <c r="D45" i="362"/>
  <c r="M57" i="294" s="1"/>
  <c r="E11" i="212"/>
  <c r="E46" i="212" s="1"/>
  <c r="F26" i="174"/>
  <c r="F39" i="292" s="1"/>
  <c r="R646" i="246"/>
  <c r="M26" i="356"/>
  <c r="E43" i="356" s="1"/>
  <c r="E47" i="356" s="1"/>
  <c r="P166" i="209" s="1"/>
  <c r="E45" i="176"/>
  <c r="J156" i="246" s="1"/>
  <c r="L708" i="246"/>
  <c r="M708" i="246" s="1"/>
  <c r="L26" i="362"/>
  <c r="P26" i="362" s="1"/>
  <c r="E44" i="4"/>
  <c r="P71" i="209" s="1"/>
  <c r="F44" i="345"/>
  <c r="Q109" i="209" s="1"/>
  <c r="G43" i="356"/>
  <c r="G47" i="356" s="1"/>
  <c r="R166" i="209" s="1"/>
  <c r="D18" i="279"/>
  <c r="I779" i="246" s="1"/>
  <c r="I655" i="246"/>
  <c r="F11" i="308"/>
  <c r="F44" i="308" s="1"/>
  <c r="F46" i="344"/>
  <c r="P646" i="209"/>
  <c r="J706" i="209"/>
  <c r="L26" i="279"/>
  <c r="D43" i="279" s="1"/>
  <c r="D47" i="279" s="1"/>
  <c r="O159" i="246" s="1"/>
  <c r="I717" i="246"/>
  <c r="D46" i="362"/>
  <c r="E44" i="356"/>
  <c r="P106" i="209" s="1"/>
  <c r="D37" i="356"/>
  <c r="O226" i="209" s="1"/>
  <c r="D18" i="362"/>
  <c r="H19" i="294" s="1"/>
  <c r="G46" i="359"/>
  <c r="R582" i="246"/>
  <c r="L20" i="325"/>
  <c r="H32" i="250"/>
  <c r="M661" i="209" s="1"/>
  <c r="E46" i="125"/>
  <c r="J35" i="164"/>
  <c r="L96" i="209" s="1"/>
  <c r="L7" i="362"/>
  <c r="M26" i="125"/>
  <c r="P733" i="209" s="1"/>
  <c r="M26" i="6"/>
  <c r="P738" i="209" s="1"/>
  <c r="J34" i="164"/>
  <c r="R36" i="209" s="1"/>
  <c r="E44" i="6"/>
  <c r="P78" i="209" s="1"/>
  <c r="O361" i="209"/>
  <c r="I632" i="246"/>
  <c r="E46" i="97"/>
  <c r="D7" i="141"/>
  <c r="D21" i="141"/>
  <c r="L23" i="141" s="1"/>
  <c r="M518" i="246"/>
  <c r="D44" i="359"/>
  <c r="O88" i="246" s="1"/>
  <c r="G15" i="162"/>
  <c r="F15" i="212"/>
  <c r="F15" i="173" s="1"/>
  <c r="D45" i="125"/>
  <c r="I133" i="209" s="1"/>
  <c r="S370" i="246"/>
  <c r="Q678" i="246"/>
  <c r="O21" i="313"/>
  <c r="G11" i="225"/>
  <c r="G46" i="225" s="1"/>
  <c r="O18" i="345" s="1"/>
  <c r="E11" i="225"/>
  <c r="J767" i="209"/>
  <c r="Q645" i="209"/>
  <c r="F11" i="225"/>
  <c r="O137" i="294"/>
  <c r="O646" i="246"/>
  <c r="P125" i="294"/>
  <c r="J709" i="246"/>
  <c r="D11" i="212"/>
  <c r="F11" i="212"/>
  <c r="G11" i="212"/>
  <c r="Q748" i="209"/>
  <c r="L609" i="209"/>
  <c r="F18" i="15"/>
  <c r="F42" i="15" s="1"/>
  <c r="K249" i="209" s="1"/>
  <c r="K560" i="246"/>
  <c r="J31" i="161"/>
  <c r="X55" i="161"/>
  <c r="X54" i="161"/>
  <c r="P14" i="214"/>
  <c r="E37" i="190"/>
  <c r="P199" i="246" s="1"/>
  <c r="P12" i="356"/>
  <c r="P12" i="307"/>
  <c r="L582" i="246"/>
  <c r="P19" i="325"/>
  <c r="P19" i="324"/>
  <c r="H43" i="326"/>
  <c r="P15" i="325" s="1"/>
  <c r="I618" i="209"/>
  <c r="L770" i="246"/>
  <c r="G41" i="359"/>
  <c r="L212" i="246" s="1"/>
  <c r="G37" i="359"/>
  <c r="R212" i="246" s="1"/>
  <c r="G40" i="359"/>
  <c r="L88" i="246" s="1"/>
  <c r="G38" i="359"/>
  <c r="L26" i="246" s="1"/>
  <c r="O26" i="359"/>
  <c r="G43" i="359" s="1"/>
  <c r="G47" i="359" s="1"/>
  <c r="R150" i="246" s="1"/>
  <c r="G45" i="359"/>
  <c r="L150" i="246" s="1"/>
  <c r="M529" i="246"/>
  <c r="E45" i="97"/>
  <c r="J151" i="246" s="1"/>
  <c r="N26" i="97"/>
  <c r="F43" i="97" s="1"/>
  <c r="F47" i="97" s="1"/>
  <c r="Q151" i="246" s="1"/>
  <c r="E44" i="97"/>
  <c r="P89" i="246" s="1"/>
  <c r="K709" i="246"/>
  <c r="E18" i="97"/>
  <c r="E37" i="97" s="1"/>
  <c r="P213" i="246" s="1"/>
  <c r="J647" i="246"/>
  <c r="K647" i="246"/>
  <c r="M26" i="97"/>
  <c r="E43" i="97" s="1"/>
  <c r="E47" i="97" s="1"/>
  <c r="P151" i="246" s="1"/>
  <c r="F18" i="97"/>
  <c r="F40" i="97" s="1"/>
  <c r="K89" i="246" s="1"/>
  <c r="X48" i="161"/>
  <c r="X53" i="161"/>
  <c r="P402" i="209"/>
  <c r="L26" i="125"/>
  <c r="D43" i="125" s="1"/>
  <c r="D47" i="125" s="1"/>
  <c r="O133" i="209" s="1"/>
  <c r="M20" i="333"/>
  <c r="M20" i="360"/>
  <c r="J781" i="246"/>
  <c r="E39" i="191"/>
  <c r="P37" i="246" s="1"/>
  <c r="E37" i="191"/>
  <c r="P223" i="246" s="1"/>
  <c r="E40" i="191"/>
  <c r="J99" i="246" s="1"/>
  <c r="E38" i="191"/>
  <c r="J37" i="246" s="1"/>
  <c r="E42" i="191"/>
  <c r="J285" i="246" s="1"/>
  <c r="O632" i="246"/>
  <c r="E18" i="118"/>
  <c r="J774" i="246" s="1"/>
  <c r="Q434" i="246"/>
  <c r="F28" i="175"/>
  <c r="D11" i="326"/>
  <c r="D44" i="326" s="1"/>
  <c r="P611" i="209"/>
  <c r="P26" i="356"/>
  <c r="L646" i="209"/>
  <c r="E46" i="4"/>
  <c r="R646" i="209"/>
  <c r="D45" i="337"/>
  <c r="I160" i="209" s="1"/>
  <c r="J671" i="209"/>
  <c r="G18" i="356"/>
  <c r="G37" i="356" s="1"/>
  <c r="R226" i="209" s="1"/>
  <c r="O26" i="195"/>
  <c r="G43" i="195" s="1"/>
  <c r="G47" i="195" s="1"/>
  <c r="R172" i="246" s="1"/>
  <c r="E45" i="4"/>
  <c r="J131" i="209" s="1"/>
  <c r="D38" i="356"/>
  <c r="I46" i="209" s="1"/>
  <c r="G45" i="356"/>
  <c r="L166" i="209" s="1"/>
  <c r="J611" i="209"/>
  <c r="I766" i="209"/>
  <c r="G44" i="356"/>
  <c r="R106" i="209" s="1"/>
  <c r="N26" i="315"/>
  <c r="Q764" i="209" s="1"/>
  <c r="O640" i="209"/>
  <c r="D46" i="337"/>
  <c r="D40" i="356"/>
  <c r="I106" i="209" s="1"/>
  <c r="D18" i="337"/>
  <c r="I760" i="209" s="1"/>
  <c r="I700" i="209"/>
  <c r="D42" i="356"/>
  <c r="I286" i="209" s="1"/>
  <c r="G46" i="356"/>
  <c r="O760" i="209"/>
  <c r="I640" i="209"/>
  <c r="D44" i="337"/>
  <c r="O100" i="209" s="1"/>
  <c r="X56" i="161"/>
  <c r="F18" i="347"/>
  <c r="X52" i="161"/>
  <c r="D41" i="356"/>
  <c r="I226" i="209" s="1"/>
  <c r="E44" i="118"/>
  <c r="P92" i="246" s="1"/>
  <c r="N25" i="36"/>
  <c r="N30" i="36" s="1"/>
  <c r="R25" i="36"/>
  <c r="R30" i="36" s="1"/>
  <c r="T13" i="28"/>
  <c r="T17" i="28" s="1"/>
  <c r="O26" i="125"/>
  <c r="R733" i="209" s="1"/>
  <c r="G44" i="338"/>
  <c r="R94" i="209" s="1"/>
  <c r="J673" i="209"/>
  <c r="K649" i="209"/>
  <c r="L650" i="246"/>
  <c r="H47" i="308"/>
  <c r="P19" i="307" s="1"/>
  <c r="F18" i="356"/>
  <c r="F37" i="356" s="1"/>
  <c r="Q226" i="209" s="1"/>
  <c r="D45" i="289"/>
  <c r="M50" i="294" s="1"/>
  <c r="G46" i="118"/>
  <c r="F45" i="296"/>
  <c r="O56" i="294" s="1"/>
  <c r="D28" i="174"/>
  <c r="L634" i="209"/>
  <c r="N26" i="345"/>
  <c r="F43" i="345" s="1"/>
  <c r="F47" i="345" s="1"/>
  <c r="Q169" i="209" s="1"/>
  <c r="R650" i="246"/>
  <c r="F45" i="356"/>
  <c r="K166" i="209" s="1"/>
  <c r="E46" i="288"/>
  <c r="K704" i="209"/>
  <c r="M126" i="294"/>
  <c r="O26" i="333"/>
  <c r="G43" i="333" s="1"/>
  <c r="G47" i="333" s="1"/>
  <c r="U61" i="294" s="1"/>
  <c r="K669" i="209"/>
  <c r="K706" i="209"/>
  <c r="H28" i="171"/>
  <c r="H42" i="171" s="1"/>
  <c r="M272" i="246" s="1"/>
  <c r="J613" i="209"/>
  <c r="G45" i="118"/>
  <c r="L154" i="246" s="1"/>
  <c r="K646" i="209"/>
  <c r="N125" i="294"/>
  <c r="D18" i="289"/>
  <c r="H18" i="289" s="1"/>
  <c r="D44" i="289"/>
  <c r="R31" i="294" s="1"/>
  <c r="E44" i="125"/>
  <c r="P73" i="209" s="1"/>
  <c r="K709" i="209"/>
  <c r="F18" i="345"/>
  <c r="K769" i="209" s="1"/>
  <c r="I772" i="209"/>
  <c r="F45" i="16"/>
  <c r="K128" i="209" s="1"/>
  <c r="D46" i="289"/>
  <c r="Q649" i="209"/>
  <c r="G44" i="118"/>
  <c r="R92" i="246" s="1"/>
  <c r="F44" i="284"/>
  <c r="Q76" i="246" s="1"/>
  <c r="E45" i="125"/>
  <c r="J133" i="209" s="1"/>
  <c r="F45" i="345"/>
  <c r="K169" i="209" s="1"/>
  <c r="Q646" i="209"/>
  <c r="M591" i="246"/>
  <c r="N26" i="356"/>
  <c r="Q766" i="209" s="1"/>
  <c r="Q644" i="209"/>
  <c r="O26" i="118"/>
  <c r="G43" i="118" s="1"/>
  <c r="G47" i="118" s="1"/>
  <c r="R154" i="246" s="1"/>
  <c r="R19" i="340"/>
  <c r="K644" i="209"/>
  <c r="S699" i="209"/>
  <c r="E21" i="309"/>
  <c r="G46" i="79"/>
  <c r="D25" i="58"/>
  <c r="D25" i="229" s="1"/>
  <c r="O26" i="79"/>
  <c r="G43" i="79" s="1"/>
  <c r="G47" i="79" s="1"/>
  <c r="R159" i="209" s="1"/>
  <c r="L699" i="209"/>
  <c r="G44" i="79"/>
  <c r="R99" i="209" s="1"/>
  <c r="G45" i="79"/>
  <c r="L159" i="209" s="1"/>
  <c r="R639" i="209"/>
  <c r="P12" i="313"/>
  <c r="G46" i="187"/>
  <c r="L26" i="192"/>
  <c r="D43" i="192" s="1"/>
  <c r="D47" i="192" s="1"/>
  <c r="O136" i="246" s="1"/>
  <c r="P618" i="209"/>
  <c r="O26" i="288"/>
  <c r="G43" i="288" s="1"/>
  <c r="G47" i="288" s="1"/>
  <c r="U49" i="294" s="1"/>
  <c r="D45" i="359"/>
  <c r="I150" i="246" s="1"/>
  <c r="L26" i="359"/>
  <c r="D43" i="359" s="1"/>
  <c r="D47" i="359" s="1"/>
  <c r="O150" i="246" s="1"/>
  <c r="D46" i="359"/>
  <c r="M26" i="79"/>
  <c r="P759" i="209" s="1"/>
  <c r="G44" i="360"/>
  <c r="U40" i="294" s="1"/>
  <c r="G46" i="347"/>
  <c r="P19" i="345"/>
  <c r="G18" i="347"/>
  <c r="G44" i="288"/>
  <c r="U30" i="294" s="1"/>
  <c r="E18" i="347"/>
  <c r="D18" i="359"/>
  <c r="D42" i="359" s="1"/>
  <c r="I274" i="246" s="1"/>
  <c r="K12" i="294"/>
  <c r="I646" i="246"/>
  <c r="M26" i="347"/>
  <c r="E43" i="347" s="1"/>
  <c r="E47" i="347" s="1"/>
  <c r="P172" i="209" s="1"/>
  <c r="E46" i="118"/>
  <c r="J678" i="209"/>
  <c r="C24" i="58"/>
  <c r="C24" i="229" s="1"/>
  <c r="E46" i="347"/>
  <c r="P650" i="246"/>
  <c r="N26" i="204"/>
  <c r="F43" i="204" s="1"/>
  <c r="F47" i="204" s="1"/>
  <c r="Q169" i="246" s="1"/>
  <c r="G18" i="284"/>
  <c r="G37" i="284" s="1"/>
  <c r="R200" i="246" s="1"/>
  <c r="G46" i="165"/>
  <c r="G18" i="288"/>
  <c r="G39" i="288" s="1"/>
  <c r="P30" i="294" s="1"/>
  <c r="E45" i="215"/>
  <c r="J146" i="209" s="1"/>
  <c r="P626" i="209"/>
  <c r="D35" i="16"/>
  <c r="G35" i="185"/>
  <c r="G21" i="291"/>
  <c r="R19" i="161"/>
  <c r="D44" i="288"/>
  <c r="R30" i="294" s="1"/>
  <c r="F21" i="225"/>
  <c r="G18" i="360"/>
  <c r="G42" i="360" s="1"/>
  <c r="P78" i="294" s="1"/>
  <c r="G41" i="289"/>
  <c r="K69" i="294" s="1"/>
  <c r="D35" i="13"/>
  <c r="E18" i="215"/>
  <c r="E41" i="215" s="1"/>
  <c r="J206" i="209" s="1"/>
  <c r="J714" i="246"/>
  <c r="D18" i="288"/>
  <c r="D42" i="288" s="1"/>
  <c r="M68" i="294" s="1"/>
  <c r="I481" i="209"/>
  <c r="G46" i="360"/>
  <c r="E46" i="333"/>
  <c r="G38" i="289"/>
  <c r="U12" i="294" s="1"/>
  <c r="D38" i="213"/>
  <c r="I23" i="209" s="1"/>
  <c r="D46" i="288"/>
  <c r="P135" i="294"/>
  <c r="D21" i="156"/>
  <c r="L23" i="156" s="1"/>
  <c r="I728" i="209"/>
  <c r="D35" i="137"/>
  <c r="D7" i="13"/>
  <c r="J686" i="209"/>
  <c r="P17" i="347"/>
  <c r="M125" i="294"/>
  <c r="E35" i="84"/>
  <c r="H35" i="185"/>
  <c r="D21" i="137"/>
  <c r="L23" i="137" s="1"/>
  <c r="G43" i="6"/>
  <c r="G47" i="6" s="1"/>
  <c r="R138" i="209" s="1"/>
  <c r="E44" i="215"/>
  <c r="P86" i="209" s="1"/>
  <c r="V162" i="209"/>
  <c r="E35" i="104"/>
  <c r="E35" i="18"/>
  <c r="D21" i="16"/>
  <c r="L23" i="16" s="1"/>
  <c r="D45" i="288"/>
  <c r="M49" i="294" s="1"/>
  <c r="E35" i="330"/>
  <c r="E35" i="248"/>
  <c r="D35" i="156"/>
  <c r="P17" i="220"/>
  <c r="M177" i="209"/>
  <c r="O26" i="360"/>
  <c r="G43" i="360" s="1"/>
  <c r="G47" i="360" s="1"/>
  <c r="U59" i="294" s="1"/>
  <c r="H33" i="228"/>
  <c r="F41" i="359"/>
  <c r="K212" i="246" s="1"/>
  <c r="F42" i="359"/>
  <c r="K274" i="246" s="1"/>
  <c r="K770" i="246"/>
  <c r="F39" i="359"/>
  <c r="Q26" i="246" s="1"/>
  <c r="F37" i="359"/>
  <c r="Q212" i="246" s="1"/>
  <c r="F38" i="359"/>
  <c r="K26" i="246" s="1"/>
  <c r="F18" i="333"/>
  <c r="F39" i="333" s="1"/>
  <c r="O42" i="294" s="1"/>
  <c r="H18" i="191"/>
  <c r="H30" i="184"/>
  <c r="H44" i="184" s="1"/>
  <c r="S125" i="246" s="1"/>
  <c r="I497" i="246"/>
  <c r="D45" i="101"/>
  <c r="I155" i="246" s="1"/>
  <c r="D44" i="101"/>
  <c r="O93" i="246" s="1"/>
  <c r="L20" i="99"/>
  <c r="L20" i="101"/>
  <c r="L20" i="271"/>
  <c r="L20" i="354"/>
  <c r="L20" i="176"/>
  <c r="L20" i="118"/>
  <c r="E40" i="279"/>
  <c r="J97" i="246" s="1"/>
  <c r="I694" i="246"/>
  <c r="G43" i="10"/>
  <c r="G47" i="10" s="1"/>
  <c r="R135" i="209" s="1"/>
  <c r="D45" i="176"/>
  <c r="I156" i="246" s="1"/>
  <c r="M26" i="289"/>
  <c r="E43" i="289" s="1"/>
  <c r="E47" i="289" s="1"/>
  <c r="S50" i="294" s="1"/>
  <c r="D46" i="139"/>
  <c r="D46" i="101"/>
  <c r="G46" i="333"/>
  <c r="G18" i="333"/>
  <c r="G40" i="333" s="1"/>
  <c r="K61" i="294" s="1"/>
  <c r="I713" i="246"/>
  <c r="G45" i="187"/>
  <c r="L144" i="246" s="1"/>
  <c r="J779" i="246"/>
  <c r="O26" i="10"/>
  <c r="G44" i="10" s="1"/>
  <c r="R75" i="209" s="1"/>
  <c r="F33" i="175"/>
  <c r="G45" i="15"/>
  <c r="L129" i="209" s="1"/>
  <c r="F45" i="290"/>
  <c r="O51" i="294" s="1"/>
  <c r="E18" i="288"/>
  <c r="E42" i="288" s="1"/>
  <c r="N68" i="294" s="1"/>
  <c r="I651" i="246"/>
  <c r="L26" i="101"/>
  <c r="D43" i="101" s="1"/>
  <c r="D47" i="101" s="1"/>
  <c r="O155" i="246" s="1"/>
  <c r="G18" i="10"/>
  <c r="S394" i="246"/>
  <c r="M132" i="294"/>
  <c r="D18" i="101"/>
  <c r="D37" i="101" s="1"/>
  <c r="O217" i="246" s="1"/>
  <c r="G44" i="187"/>
  <c r="R82" i="246" s="1"/>
  <c r="R615" i="209"/>
  <c r="L26" i="325"/>
  <c r="D43" i="325" s="1"/>
  <c r="D47" i="325" s="1"/>
  <c r="R47" i="294" s="1"/>
  <c r="L669" i="209"/>
  <c r="E44" i="288"/>
  <c r="S30" i="294" s="1"/>
  <c r="M394" i="246"/>
  <c r="I714" i="246"/>
  <c r="D46" i="192"/>
  <c r="L615" i="209"/>
  <c r="F18" i="188"/>
  <c r="F41" i="188" s="1"/>
  <c r="K230" i="246" s="1"/>
  <c r="M26" i="288"/>
  <c r="E43" i="288" s="1"/>
  <c r="E47" i="288" s="1"/>
  <c r="S49" i="294" s="1"/>
  <c r="E15" i="228"/>
  <c r="G42" i="289"/>
  <c r="P69" i="294" s="1"/>
  <c r="G40" i="289"/>
  <c r="K50" i="294" s="1"/>
  <c r="T12" i="29"/>
  <c r="R609" i="209"/>
  <c r="I641" i="246"/>
  <c r="F21" i="18"/>
  <c r="G46" i="15"/>
  <c r="D7" i="338"/>
  <c r="D45" i="139"/>
  <c r="I145" i="246" s="1"/>
  <c r="O130" i="294"/>
  <c r="F45" i="333"/>
  <c r="O61" i="294" s="1"/>
  <c r="F46" i="333"/>
  <c r="J35" i="33"/>
  <c r="X13" i="33" s="1"/>
  <c r="G44" i="15"/>
  <c r="R69" i="209" s="1"/>
  <c r="P31" i="292"/>
  <c r="G35" i="104"/>
  <c r="G21" i="104"/>
  <c r="S405" i="246"/>
  <c r="E45" i="333"/>
  <c r="N61" i="294" s="1"/>
  <c r="N137" i="294"/>
  <c r="F44" i="333"/>
  <c r="T42" i="294" s="1"/>
  <c r="K559" i="246"/>
  <c r="M286" i="246"/>
  <c r="S720" i="246"/>
  <c r="K696" i="246"/>
  <c r="Q634" i="246"/>
  <c r="F18" i="284"/>
  <c r="F40" i="284" s="1"/>
  <c r="K76" i="246" s="1"/>
  <c r="F46" i="284"/>
  <c r="D18" i="118"/>
  <c r="D41" i="118" s="1"/>
  <c r="I216" i="246" s="1"/>
  <c r="F44" i="97"/>
  <c r="Q89" i="246" s="1"/>
  <c r="G46" i="97"/>
  <c r="O26" i="97"/>
  <c r="G43" i="97" s="1"/>
  <c r="G47" i="97" s="1"/>
  <c r="R151" i="246" s="1"/>
  <c r="L647" i="246"/>
  <c r="F46" i="97"/>
  <c r="G18" i="97"/>
  <c r="L771" i="246" s="1"/>
  <c r="Q647" i="246"/>
  <c r="O26" i="295"/>
  <c r="G43" i="295" s="1"/>
  <c r="G47" i="295" s="1"/>
  <c r="U55" i="294" s="1"/>
  <c r="G45" i="295"/>
  <c r="P55" i="294" s="1"/>
  <c r="D37" i="347"/>
  <c r="O232" i="209" s="1"/>
  <c r="D44" i="118"/>
  <c r="O92" i="246" s="1"/>
  <c r="P767" i="209"/>
  <c r="O499" i="209"/>
  <c r="D42" i="347"/>
  <c r="I292" i="209" s="1"/>
  <c r="D38" i="347"/>
  <c r="I52" i="209" s="1"/>
  <c r="O650" i="246"/>
  <c r="O26" i="166"/>
  <c r="G43" i="166" s="1"/>
  <c r="G47" i="166" s="1"/>
  <c r="R142" i="246" s="1"/>
  <c r="D39" i="347"/>
  <c r="O52" i="209" s="1"/>
  <c r="I712" i="246"/>
  <c r="M712" i="246" s="1"/>
  <c r="P137" i="294"/>
  <c r="C28" i="330"/>
  <c r="D41" i="347"/>
  <c r="I232" i="209" s="1"/>
  <c r="J689" i="209"/>
  <c r="G42" i="220"/>
  <c r="L294" i="209" s="1"/>
  <c r="M556" i="246"/>
  <c r="C25" i="174"/>
  <c r="N26" i="176"/>
  <c r="F43" i="176" s="1"/>
  <c r="F47" i="176" s="1"/>
  <c r="Q156" i="246" s="1"/>
  <c r="D45" i="325"/>
  <c r="M47" i="294" s="1"/>
  <c r="D18" i="325"/>
  <c r="D40" i="325" s="1"/>
  <c r="H47" i="294" s="1"/>
  <c r="H27" i="44"/>
  <c r="H41" i="44" s="1"/>
  <c r="P13" i="72" s="1"/>
  <c r="P342" i="209"/>
  <c r="F26" i="328"/>
  <c r="O402" i="209"/>
  <c r="G12" i="328"/>
  <c r="I342" i="209"/>
  <c r="H28" i="44"/>
  <c r="H42" i="44" s="1"/>
  <c r="M282" i="209" s="1"/>
  <c r="G28" i="58"/>
  <c r="G28" i="229" s="1"/>
  <c r="G18" i="15"/>
  <c r="G42" i="15" s="1"/>
  <c r="L249" i="209" s="1"/>
  <c r="P17" i="101"/>
  <c r="R366" i="246"/>
  <c r="S591" i="246"/>
  <c r="F18" i="296"/>
  <c r="F39" i="296" s="1"/>
  <c r="O37" i="294" s="1"/>
  <c r="L20" i="295"/>
  <c r="N26" i="349"/>
  <c r="F43" i="349" s="1"/>
  <c r="F47" i="349" s="1"/>
  <c r="T54" i="294" s="1"/>
  <c r="P16" i="360"/>
  <c r="S746" i="246"/>
  <c r="E48" i="231"/>
  <c r="P622" i="246"/>
  <c r="M580" i="246"/>
  <c r="S580" i="246"/>
  <c r="F41" i="202"/>
  <c r="K205" i="246" s="1"/>
  <c r="K763" i="246"/>
  <c r="F40" i="202"/>
  <c r="K81" i="246" s="1"/>
  <c r="F42" i="202"/>
  <c r="K267" i="246" s="1"/>
  <c r="F39" i="202"/>
  <c r="Q19" i="246" s="1"/>
  <c r="F38" i="202"/>
  <c r="K19" i="246" s="1"/>
  <c r="R458" i="246"/>
  <c r="E32" i="174"/>
  <c r="L334" i="246"/>
  <c r="R706" i="246"/>
  <c r="E13" i="175"/>
  <c r="O520" i="246"/>
  <c r="O396" i="246"/>
  <c r="E40" i="165"/>
  <c r="J79" i="246" s="1"/>
  <c r="P16" i="345"/>
  <c r="S350" i="209"/>
  <c r="H25" i="328"/>
  <c r="H39" i="328" s="1"/>
  <c r="S170" i="209"/>
  <c r="H43" i="225"/>
  <c r="P15" i="356" s="1"/>
  <c r="C33" i="175"/>
  <c r="H30" i="228"/>
  <c r="K22" i="292" s="1"/>
  <c r="K542" i="209"/>
  <c r="O362" i="209"/>
  <c r="F17" i="175"/>
  <c r="G28" i="175"/>
  <c r="H28" i="173"/>
  <c r="H42" i="173" s="1"/>
  <c r="P14" i="139" s="1"/>
  <c r="C30" i="175"/>
  <c r="N25" i="175"/>
  <c r="H32" i="173"/>
  <c r="D23" i="175"/>
  <c r="H25" i="228"/>
  <c r="H39" i="228" s="1"/>
  <c r="S62" i="209" s="1"/>
  <c r="D16" i="175"/>
  <c r="S690" i="209"/>
  <c r="P14" i="279"/>
  <c r="O272" i="246"/>
  <c r="L20" i="360"/>
  <c r="N26" i="344"/>
  <c r="F43" i="344" s="1"/>
  <c r="F47" i="344" s="1"/>
  <c r="G37" i="220"/>
  <c r="R234" i="209" s="1"/>
  <c r="G12" i="58"/>
  <c r="R720" i="209" s="1"/>
  <c r="D44" i="344"/>
  <c r="L613" i="209"/>
  <c r="E12" i="175"/>
  <c r="E45" i="347"/>
  <c r="J172" i="209" s="1"/>
  <c r="E44" i="347"/>
  <c r="P112" i="209" s="1"/>
  <c r="E14" i="4"/>
  <c r="D14" i="4" s="1"/>
  <c r="D44" i="6"/>
  <c r="O78" i="209" s="1"/>
  <c r="G46" i="195"/>
  <c r="G44" i="215"/>
  <c r="R86" i="209" s="1"/>
  <c r="H29" i="184"/>
  <c r="H47" i="184" s="1"/>
  <c r="S187" i="246" s="1"/>
  <c r="D23" i="174"/>
  <c r="I522" i="209"/>
  <c r="P282" i="209"/>
  <c r="O334" i="246"/>
  <c r="R613" i="209"/>
  <c r="P652" i="209"/>
  <c r="M26" i="333"/>
  <c r="E43" i="333" s="1"/>
  <c r="E47" i="333" s="1"/>
  <c r="S61" i="294" s="1"/>
  <c r="E18" i="333"/>
  <c r="D46" i="6"/>
  <c r="O522" i="209"/>
  <c r="L714" i="209"/>
  <c r="J712" i="209"/>
  <c r="G45" i="333"/>
  <c r="P61" i="294" s="1"/>
  <c r="U126" i="294"/>
  <c r="E45" i="118"/>
  <c r="J154" i="246" s="1"/>
  <c r="J650" i="246"/>
  <c r="M26" i="118"/>
  <c r="E43" i="118" s="1"/>
  <c r="E47" i="118" s="1"/>
  <c r="P154" i="246" s="1"/>
  <c r="P14" i="95"/>
  <c r="R652" i="209"/>
  <c r="G45" i="347"/>
  <c r="L172" i="209" s="1"/>
  <c r="G44" i="347"/>
  <c r="R112" i="209" s="1"/>
  <c r="I678" i="209"/>
  <c r="M678" i="209" s="1"/>
  <c r="H23" i="44"/>
  <c r="S282" i="209" s="1"/>
  <c r="L654" i="209"/>
  <c r="G18" i="176"/>
  <c r="G41" i="176" s="1"/>
  <c r="L218" i="246" s="1"/>
  <c r="M110" i="209"/>
  <c r="H23" i="171"/>
  <c r="H37" i="171" s="1"/>
  <c r="I520" i="246"/>
  <c r="L26" i="6"/>
  <c r="P26" i="6" s="1"/>
  <c r="D23" i="328"/>
  <c r="H23" i="328" s="1"/>
  <c r="H37" i="328" s="1"/>
  <c r="I402" i="209"/>
  <c r="F18" i="344"/>
  <c r="F40" i="344" s="1"/>
  <c r="P12" i="270"/>
  <c r="E26" i="330"/>
  <c r="D23" i="330"/>
  <c r="L712" i="209"/>
  <c r="M712" i="209" s="1"/>
  <c r="D45" i="118"/>
  <c r="I154" i="246" s="1"/>
  <c r="L26" i="118"/>
  <c r="D43" i="118" s="1"/>
  <c r="D47" i="118" s="1"/>
  <c r="O154" i="246" s="1"/>
  <c r="I650" i="246"/>
  <c r="O618" i="209"/>
  <c r="L20" i="296"/>
  <c r="F44" i="344"/>
  <c r="L652" i="209"/>
  <c r="O342" i="209"/>
  <c r="P259" i="209"/>
  <c r="R402" i="209"/>
  <c r="G13" i="330"/>
  <c r="G48" i="44"/>
  <c r="O20" i="123" s="1"/>
  <c r="S618" i="246"/>
  <c r="O373" i="246"/>
  <c r="C26" i="174"/>
  <c r="L435" i="246"/>
  <c r="C33" i="174"/>
  <c r="H27" i="171"/>
  <c r="H41" i="171" s="1"/>
  <c r="P13" i="223" s="1"/>
  <c r="H26" i="84"/>
  <c r="H40" i="84" s="1"/>
  <c r="M124" i="246" s="1"/>
  <c r="P372" i="246"/>
  <c r="M219" i="246"/>
  <c r="H32" i="84"/>
  <c r="M682" i="246" s="1"/>
  <c r="E31" i="175"/>
  <c r="L436" i="246"/>
  <c r="C28" i="175"/>
  <c r="G25" i="175"/>
  <c r="C29" i="175"/>
  <c r="D48" i="173"/>
  <c r="L20" i="202" s="1"/>
  <c r="I542" i="209"/>
  <c r="D21" i="289"/>
  <c r="L23" i="289" s="1"/>
  <c r="D7" i="333"/>
  <c r="C25" i="328"/>
  <c r="G45" i="105"/>
  <c r="L142" i="209" s="1"/>
  <c r="H38" i="104"/>
  <c r="P10" i="354" s="1"/>
  <c r="N17" i="28"/>
  <c r="N32" i="28" s="1"/>
  <c r="G18" i="101"/>
  <c r="G38" i="101" s="1"/>
  <c r="L31" i="246" s="1"/>
  <c r="G18" i="165"/>
  <c r="L761" i="246" s="1"/>
  <c r="M343" i="246"/>
  <c r="F21" i="186"/>
  <c r="F17" i="58"/>
  <c r="F17" i="229" s="1"/>
  <c r="R421" i="209"/>
  <c r="P558" i="246"/>
  <c r="G16" i="175"/>
  <c r="D35" i="289"/>
  <c r="L29" i="288"/>
  <c r="E35" i="173"/>
  <c r="L713" i="246"/>
  <c r="I559" i="209"/>
  <c r="H31" i="173"/>
  <c r="H45" i="173" s="1"/>
  <c r="P17" i="139" s="1"/>
  <c r="N20" i="360"/>
  <c r="G46" i="95"/>
  <c r="D21" i="14"/>
  <c r="L23" i="14" s="1"/>
  <c r="G44" i="101"/>
  <c r="R93" i="246" s="1"/>
  <c r="O26" i="349"/>
  <c r="G43" i="349" s="1"/>
  <c r="G47" i="349" s="1"/>
  <c r="U54" i="294" s="1"/>
  <c r="G45" i="101"/>
  <c r="L155" i="246" s="1"/>
  <c r="G46" i="337"/>
  <c r="P15" i="313"/>
  <c r="E45" i="79"/>
  <c r="J159" i="209" s="1"/>
  <c r="L651" i="246"/>
  <c r="G18" i="349"/>
  <c r="U130" i="294" s="1"/>
  <c r="O26" i="101"/>
  <c r="G43" i="101" s="1"/>
  <c r="G47" i="101" s="1"/>
  <c r="R155" i="246" s="1"/>
  <c r="D21" i="162"/>
  <c r="L23" i="162" s="1"/>
  <c r="J601" i="209"/>
  <c r="H23" i="250"/>
  <c r="S301" i="209" s="1"/>
  <c r="E48" i="84"/>
  <c r="H21" i="58"/>
  <c r="D35" i="204"/>
  <c r="J639" i="209"/>
  <c r="P14" i="325"/>
  <c r="G43" i="315"/>
  <c r="G47" i="315" s="1"/>
  <c r="R164" i="209" s="1"/>
  <c r="G46" i="101"/>
  <c r="G44" i="349"/>
  <c r="U35" i="294" s="1"/>
  <c r="E35" i="328"/>
  <c r="D21" i="204"/>
  <c r="L23" i="204" s="1"/>
  <c r="J699" i="209"/>
  <c r="G15" i="156"/>
  <c r="G15" i="185" s="1"/>
  <c r="S570" i="209"/>
  <c r="G39" i="289"/>
  <c r="P31" i="294" s="1"/>
  <c r="P12" i="294"/>
  <c r="N20" i="279"/>
  <c r="D25" i="175"/>
  <c r="F35" i="330"/>
  <c r="G46" i="325"/>
  <c r="R15" i="80"/>
  <c r="H29" i="44"/>
  <c r="H47" i="44" s="1"/>
  <c r="T21" i="340"/>
  <c r="P11" i="345"/>
  <c r="L689" i="209"/>
  <c r="P26" i="289"/>
  <c r="F17" i="330"/>
  <c r="D37" i="354"/>
  <c r="E25" i="328"/>
  <c r="H27" i="228"/>
  <c r="H41" i="228" s="1"/>
  <c r="M242" i="209" s="1"/>
  <c r="M534" i="246"/>
  <c r="P434" i="246"/>
  <c r="K621" i="246"/>
  <c r="E45" i="307"/>
  <c r="J182" i="246" s="1"/>
  <c r="G41" i="39"/>
  <c r="L221" i="209" s="1"/>
  <c r="J522" i="209"/>
  <c r="J496" i="246"/>
  <c r="M16" i="241"/>
  <c r="O26" i="220"/>
  <c r="G43" i="220" s="1"/>
  <c r="G47" i="220" s="1"/>
  <c r="R174" i="209" s="1"/>
  <c r="E18" i="289"/>
  <c r="E42" i="289" s="1"/>
  <c r="N69" i="294" s="1"/>
  <c r="G18" i="337"/>
  <c r="G38" i="337" s="1"/>
  <c r="L40" i="209" s="1"/>
  <c r="G46" i="216"/>
  <c r="G44" i="325"/>
  <c r="U28" i="294" s="1"/>
  <c r="D45" i="39"/>
  <c r="I161" i="209" s="1"/>
  <c r="P14" i="91"/>
  <c r="D29" i="328"/>
  <c r="H29" i="328" s="1"/>
  <c r="H43" i="328" s="1"/>
  <c r="S410" i="246"/>
  <c r="H25" i="44"/>
  <c r="H39" i="44" s="1"/>
  <c r="D40" i="354"/>
  <c r="D45" i="270"/>
  <c r="I176" i="246" s="1"/>
  <c r="M20" i="118"/>
  <c r="J651" i="246"/>
  <c r="J740" i="246"/>
  <c r="P522" i="209"/>
  <c r="M18" i="241"/>
  <c r="G45" i="220"/>
  <c r="L174" i="209" s="1"/>
  <c r="N126" i="294"/>
  <c r="L774" i="209"/>
  <c r="L342" i="209"/>
  <c r="E39" i="353"/>
  <c r="P47" i="209" s="1"/>
  <c r="L700" i="209"/>
  <c r="F44" i="6"/>
  <c r="Q78" i="209" s="1"/>
  <c r="G18" i="216"/>
  <c r="G40" i="216" s="1"/>
  <c r="L89" i="209" s="1"/>
  <c r="G11" i="326"/>
  <c r="G46" i="326" s="1"/>
  <c r="E24" i="330"/>
  <c r="G42" i="39"/>
  <c r="L281" i="209" s="1"/>
  <c r="M257" i="246"/>
  <c r="D12" i="175"/>
  <c r="S590" i="209"/>
  <c r="D33" i="174"/>
  <c r="G30" i="174"/>
  <c r="G48" i="173"/>
  <c r="O20" i="139" s="1"/>
  <c r="M20" i="271"/>
  <c r="E18" i="307"/>
  <c r="E39" i="307" s="1"/>
  <c r="P58" i="246" s="1"/>
  <c r="G45" i="325"/>
  <c r="P47" i="294" s="1"/>
  <c r="S50" i="209"/>
  <c r="R654" i="209"/>
  <c r="G41" i="220"/>
  <c r="L234" i="209" s="1"/>
  <c r="D48" i="84"/>
  <c r="E37" i="353"/>
  <c r="P227" i="209" s="1"/>
  <c r="R640" i="209"/>
  <c r="K618" i="209"/>
  <c r="F44" i="16"/>
  <c r="Q68" i="209" s="1"/>
  <c r="E38" i="353"/>
  <c r="J47" i="209" s="1"/>
  <c r="O641" i="209"/>
  <c r="L26" i="39"/>
  <c r="D41" i="354"/>
  <c r="H29" i="84"/>
  <c r="H47" i="84" s="1"/>
  <c r="S186" i="246" s="1"/>
  <c r="E40" i="353"/>
  <c r="J107" i="209" s="1"/>
  <c r="J342" i="209"/>
  <c r="C28" i="327"/>
  <c r="M20" i="97"/>
  <c r="E44" i="307"/>
  <c r="P120" i="246" s="1"/>
  <c r="G38" i="39"/>
  <c r="L41" i="209" s="1"/>
  <c r="P123" i="294"/>
  <c r="O26" i="325"/>
  <c r="G43" i="325" s="1"/>
  <c r="G47" i="325" s="1"/>
  <c r="U47" i="294" s="1"/>
  <c r="G46" i="220"/>
  <c r="G39" i="220"/>
  <c r="R54" i="209" s="1"/>
  <c r="S518" i="246"/>
  <c r="E41" i="353"/>
  <c r="J227" i="209" s="1"/>
  <c r="L640" i="209"/>
  <c r="F31" i="328"/>
  <c r="F48" i="328" s="1"/>
  <c r="F45" i="139"/>
  <c r="K145" i="246" s="1"/>
  <c r="G45" i="216"/>
  <c r="L149" i="209" s="1"/>
  <c r="N26" i="16"/>
  <c r="Q728" i="209" s="1"/>
  <c r="I641" i="209"/>
  <c r="J46" i="36"/>
  <c r="G39" i="39"/>
  <c r="R41" i="209" s="1"/>
  <c r="J402" i="209"/>
  <c r="D42" i="354"/>
  <c r="P35" i="292"/>
  <c r="F17" i="327"/>
  <c r="F45" i="216"/>
  <c r="K149" i="209" s="1"/>
  <c r="M20" i="176"/>
  <c r="J434" i="246"/>
  <c r="E46" i="307"/>
  <c r="G37" i="39"/>
  <c r="R221" i="209" s="1"/>
  <c r="D16" i="174"/>
  <c r="E45" i="289"/>
  <c r="N50" i="294" s="1"/>
  <c r="G38" i="220"/>
  <c r="L54" i="209" s="1"/>
  <c r="G45" i="337"/>
  <c r="L160" i="209" s="1"/>
  <c r="H29" i="170"/>
  <c r="H43" i="170" s="1"/>
  <c r="P15" i="188" s="1"/>
  <c r="E24" i="328"/>
  <c r="P310" i="246"/>
  <c r="D44" i="39"/>
  <c r="O101" i="209" s="1"/>
  <c r="O26" i="337"/>
  <c r="G43" i="337" s="1"/>
  <c r="G47" i="337" s="1"/>
  <c r="R160" i="209" s="1"/>
  <c r="K608" i="209"/>
  <c r="D38" i="354"/>
  <c r="Q310" i="246"/>
  <c r="L761" i="209"/>
  <c r="G44" i="220"/>
  <c r="R114" i="209" s="1"/>
  <c r="E44" i="289"/>
  <c r="S31" i="294" s="1"/>
  <c r="E25" i="58"/>
  <c r="E11" i="291"/>
  <c r="J422" i="209"/>
  <c r="D46" i="39"/>
  <c r="T16" i="34"/>
  <c r="T17" i="34" s="1"/>
  <c r="T31" i="34" s="1"/>
  <c r="G15" i="139"/>
  <c r="G15" i="223" s="1"/>
  <c r="G18" i="166"/>
  <c r="G41" i="166" s="1"/>
  <c r="L204" i="246" s="1"/>
  <c r="E35" i="247"/>
  <c r="E21" i="247"/>
  <c r="Q361" i="209"/>
  <c r="K541" i="209"/>
  <c r="P12" i="295"/>
  <c r="O312" i="246"/>
  <c r="H26" i="170"/>
  <c r="H40" i="170" s="1"/>
  <c r="P12" i="219" s="1"/>
  <c r="E27" i="175"/>
  <c r="I436" i="246"/>
  <c r="E39" i="165"/>
  <c r="P17" i="246" s="1"/>
  <c r="E37" i="165"/>
  <c r="P203" i="246" s="1"/>
  <c r="F39" i="338"/>
  <c r="Q34" i="209" s="1"/>
  <c r="C31" i="58"/>
  <c r="C31" i="229" s="1"/>
  <c r="L582" i="209"/>
  <c r="R559" i="209"/>
  <c r="D23" i="327"/>
  <c r="O272" i="209" s="1"/>
  <c r="D23" i="58"/>
  <c r="C27" i="58"/>
  <c r="C27" i="229" s="1"/>
  <c r="R572" i="209"/>
  <c r="AA10" i="292"/>
  <c r="L452" i="209"/>
  <c r="C27" i="330"/>
  <c r="C25" i="58"/>
  <c r="C25" i="229" s="1"/>
  <c r="H30" i="327"/>
  <c r="H44" i="327" s="1"/>
  <c r="S92" i="209" s="1"/>
  <c r="C30" i="58"/>
  <c r="C30" i="229" s="1"/>
  <c r="C24" i="327"/>
  <c r="G25" i="330"/>
  <c r="G25" i="58"/>
  <c r="F27" i="58"/>
  <c r="F27" i="229" s="1"/>
  <c r="F33" i="58"/>
  <c r="F33" i="229" s="1"/>
  <c r="F28" i="58"/>
  <c r="F28" i="229" s="1"/>
  <c r="Q608" i="209"/>
  <c r="F18" i="16"/>
  <c r="F40" i="16" s="1"/>
  <c r="K68" i="209" s="1"/>
  <c r="K668" i="209"/>
  <c r="H30" i="84"/>
  <c r="H44" i="84" s="1"/>
  <c r="S124" i="246" s="1"/>
  <c r="P131" i="294"/>
  <c r="G11" i="361"/>
  <c r="G45" i="361" s="1"/>
  <c r="O17" i="296" s="1"/>
  <c r="P14" i="296"/>
  <c r="P14" i="295"/>
  <c r="M25" i="174"/>
  <c r="Q366" i="246"/>
  <c r="K552" i="246"/>
  <c r="J36" i="292"/>
  <c r="C25" i="175"/>
  <c r="G13" i="175"/>
  <c r="L560" i="246"/>
  <c r="M25" i="175"/>
  <c r="O25" i="175"/>
  <c r="C27" i="175"/>
  <c r="F27" i="175"/>
  <c r="H26" i="228"/>
  <c r="H40" i="228" s="1"/>
  <c r="M122" i="209" s="1"/>
  <c r="G48" i="228"/>
  <c r="O20" i="225" s="1"/>
  <c r="R602" i="209"/>
  <c r="Q482" i="209"/>
  <c r="J52" i="28"/>
  <c r="O622" i="209"/>
  <c r="P13" i="118"/>
  <c r="P13" i="99"/>
  <c r="K522" i="209"/>
  <c r="G31" i="328"/>
  <c r="G48" i="328" s="1"/>
  <c r="L396" i="246"/>
  <c r="O498" i="246"/>
  <c r="N26" i="296"/>
  <c r="F43" i="296" s="1"/>
  <c r="F47" i="296" s="1"/>
  <c r="T56" i="294" s="1"/>
  <c r="O639" i="209"/>
  <c r="G45" i="215"/>
  <c r="L146" i="209" s="1"/>
  <c r="M426" i="246"/>
  <c r="N20" i="101"/>
  <c r="I652" i="246"/>
  <c r="F24" i="330"/>
  <c r="E38" i="337"/>
  <c r="J40" i="209" s="1"/>
  <c r="D10" i="292"/>
  <c r="E43" i="9"/>
  <c r="E47" i="9" s="1"/>
  <c r="P136" i="209" s="1"/>
  <c r="F46" i="290"/>
  <c r="D45" i="105"/>
  <c r="I142" i="209" s="1"/>
  <c r="H31" i="44"/>
  <c r="H45" i="44" s="1"/>
  <c r="P17" i="154" s="1"/>
  <c r="K422" i="209"/>
  <c r="P13" i="101"/>
  <c r="N22" i="292"/>
  <c r="P22" i="292" s="1"/>
  <c r="D37" i="16"/>
  <c r="O188" i="209" s="1"/>
  <c r="C26" i="328"/>
  <c r="G45" i="293"/>
  <c r="P53" i="294" s="1"/>
  <c r="P13" i="354"/>
  <c r="Q628" i="246"/>
  <c r="F24" i="58"/>
  <c r="F24" i="229" s="1"/>
  <c r="D24" i="292" s="1"/>
  <c r="E27" i="330"/>
  <c r="E37" i="279"/>
  <c r="P221" i="246" s="1"/>
  <c r="K362" i="209"/>
  <c r="Q302" i="209"/>
  <c r="I374" i="246"/>
  <c r="D27" i="175"/>
  <c r="F11" i="361"/>
  <c r="F46" i="361" s="1"/>
  <c r="O26" i="215"/>
  <c r="R746" i="209" s="1"/>
  <c r="R520" i="246"/>
  <c r="P13" i="296"/>
  <c r="N25" i="174"/>
  <c r="C28" i="174"/>
  <c r="G30" i="330"/>
  <c r="J760" i="209"/>
  <c r="P629" i="209"/>
  <c r="O127" i="294"/>
  <c r="M26" i="7"/>
  <c r="P737" i="209" s="1"/>
  <c r="D11" i="247"/>
  <c r="E41" i="279"/>
  <c r="J221" i="246" s="1"/>
  <c r="Q722" i="209"/>
  <c r="D46" i="7"/>
  <c r="G45" i="125"/>
  <c r="L133" i="209" s="1"/>
  <c r="L673" i="209"/>
  <c r="G44" i="125"/>
  <c r="R73" i="209" s="1"/>
  <c r="H24" i="231"/>
  <c r="H38" i="231" s="1"/>
  <c r="M64" i="246" s="1"/>
  <c r="E46" i="7"/>
  <c r="L626" i="209"/>
  <c r="L458" i="246"/>
  <c r="F46" i="187"/>
  <c r="D41" i="16"/>
  <c r="I188" i="209" s="1"/>
  <c r="O259" i="209"/>
  <c r="C26" i="58"/>
  <c r="C26" i="229" s="1"/>
  <c r="R342" i="209"/>
  <c r="J482" i="209"/>
  <c r="K21" i="292"/>
  <c r="H33" i="231"/>
  <c r="F44" i="296"/>
  <c r="T37" i="294" s="1"/>
  <c r="I498" i="246"/>
  <c r="G46" i="215"/>
  <c r="P13" i="360"/>
  <c r="G43" i="139"/>
  <c r="G47" i="139" s="1"/>
  <c r="R145" i="246" s="1"/>
  <c r="M612" i="246"/>
  <c r="AA28" i="292"/>
  <c r="L26" i="176"/>
  <c r="D43" i="176" s="1"/>
  <c r="D47" i="176" s="1"/>
  <c r="O156" i="246" s="1"/>
  <c r="F44" i="307"/>
  <c r="Q120" i="246" s="1"/>
  <c r="F38" i="338"/>
  <c r="K34" i="209" s="1"/>
  <c r="E45" i="216"/>
  <c r="J149" i="209" s="1"/>
  <c r="F44" i="290"/>
  <c r="T32" i="294" s="1"/>
  <c r="E45" i="7"/>
  <c r="J137" i="209" s="1"/>
  <c r="L26" i="105"/>
  <c r="D43" i="105" s="1"/>
  <c r="D18" i="344"/>
  <c r="H18" i="344" s="1"/>
  <c r="F48" i="327"/>
  <c r="Q572" i="209"/>
  <c r="E39" i="279"/>
  <c r="P35" i="246" s="1"/>
  <c r="D44" i="7"/>
  <c r="O77" i="209" s="1"/>
  <c r="D45" i="7"/>
  <c r="I137" i="209" s="1"/>
  <c r="I673" i="209"/>
  <c r="D46" i="125"/>
  <c r="D44" i="125"/>
  <c r="O73" i="209" s="1"/>
  <c r="I613" i="209"/>
  <c r="D46" i="105"/>
  <c r="Q640" i="246"/>
  <c r="D39" i="16"/>
  <c r="O8" i="209" s="1"/>
  <c r="G10" i="292"/>
  <c r="G16" i="58"/>
  <c r="G16" i="229" s="1"/>
  <c r="P16" i="356"/>
  <c r="P36" i="292"/>
  <c r="F46" i="296"/>
  <c r="M618" i="246"/>
  <c r="J617" i="209"/>
  <c r="F29" i="175"/>
  <c r="G18" i="215"/>
  <c r="G42" i="215" s="1"/>
  <c r="L266" i="209" s="1"/>
  <c r="S343" i="246"/>
  <c r="Q402" i="209"/>
  <c r="R582" i="209"/>
  <c r="L462" i="209"/>
  <c r="K754" i="209"/>
  <c r="E46" i="216"/>
  <c r="F11" i="291"/>
  <c r="M17" i="292" s="1"/>
  <c r="I682" i="209"/>
  <c r="D46" i="344"/>
  <c r="P13" i="97"/>
  <c r="K609" i="209"/>
  <c r="O617" i="209"/>
  <c r="F31" i="58"/>
  <c r="F31" i="229" s="1"/>
  <c r="D38" i="16"/>
  <c r="I8" i="209" s="1"/>
  <c r="F31" i="330"/>
  <c r="E18" i="315"/>
  <c r="E40" i="315" s="1"/>
  <c r="J104" i="209" s="1"/>
  <c r="N26" i="187"/>
  <c r="F43" i="187" s="1"/>
  <c r="F47" i="187" s="1"/>
  <c r="Q144" i="246" s="1"/>
  <c r="P617" i="209"/>
  <c r="I699" i="246"/>
  <c r="R626" i="209"/>
  <c r="F28" i="328"/>
  <c r="H23" i="170"/>
  <c r="H37" i="170" s="1"/>
  <c r="P9" i="334" s="1"/>
  <c r="N20" i="354"/>
  <c r="N20" i="359"/>
  <c r="N20" i="271"/>
  <c r="G30" i="58"/>
  <c r="G30" i="229" s="1"/>
  <c r="F40" i="338"/>
  <c r="K94" i="209" s="1"/>
  <c r="M26" i="216"/>
  <c r="P749" i="209" s="1"/>
  <c r="F18" i="290"/>
  <c r="F39" i="290" s="1"/>
  <c r="O32" i="294" s="1"/>
  <c r="D44" i="105"/>
  <c r="O82" i="209" s="1"/>
  <c r="H33" i="328"/>
  <c r="L26" i="344"/>
  <c r="P26" i="344" s="1"/>
  <c r="Q609" i="209"/>
  <c r="I617" i="209"/>
  <c r="P20" i="292"/>
  <c r="D42" i="16"/>
  <c r="I248" i="209" s="1"/>
  <c r="E27" i="58"/>
  <c r="E27" i="229" s="1"/>
  <c r="E38" i="279"/>
  <c r="J35" i="246" s="1"/>
  <c r="H26" i="231"/>
  <c r="H40" i="231" s="1"/>
  <c r="M126" i="246" s="1"/>
  <c r="F44" i="187"/>
  <c r="Q82" i="246" s="1"/>
  <c r="P17" i="97"/>
  <c r="K678" i="246"/>
  <c r="Q342" i="209"/>
  <c r="H44" i="212"/>
  <c r="S90" i="209" s="1"/>
  <c r="P13" i="176"/>
  <c r="I677" i="209"/>
  <c r="E40" i="190"/>
  <c r="J75" i="246" s="1"/>
  <c r="E39" i="190"/>
  <c r="P13" i="246" s="1"/>
  <c r="E41" i="190"/>
  <c r="J199" i="246" s="1"/>
  <c r="J757" i="246"/>
  <c r="G14" i="186"/>
  <c r="P14" i="105"/>
  <c r="M264" i="209"/>
  <c r="I373" i="246"/>
  <c r="S674" i="209"/>
  <c r="P11" i="289"/>
  <c r="P11" i="290"/>
  <c r="P11" i="288"/>
  <c r="X40" i="32"/>
  <c r="X41" i="32"/>
  <c r="K402" i="209"/>
  <c r="E42" i="337"/>
  <c r="J280" i="209" s="1"/>
  <c r="E39" i="337"/>
  <c r="P40" i="209" s="1"/>
  <c r="E41" i="337"/>
  <c r="J220" i="209" s="1"/>
  <c r="E37" i="337"/>
  <c r="P220" i="209" s="1"/>
  <c r="H43" i="248"/>
  <c r="P15" i="364" s="1"/>
  <c r="H47" i="248"/>
  <c r="P19" i="364" s="1"/>
  <c r="T12" i="37"/>
  <c r="E43" i="337"/>
  <c r="E47" i="337" s="1"/>
  <c r="P160" i="209" s="1"/>
  <c r="P760" i="209"/>
  <c r="H47" i="247"/>
  <c r="H43" i="247"/>
  <c r="P18" i="325"/>
  <c r="E33" i="58"/>
  <c r="E33" i="229" s="1"/>
  <c r="G12" i="330"/>
  <c r="H25" i="184"/>
  <c r="H39" i="184" s="1"/>
  <c r="S63" i="246" s="1"/>
  <c r="L372" i="246"/>
  <c r="E48" i="170"/>
  <c r="M20" i="194" s="1"/>
  <c r="J374" i="246"/>
  <c r="S488" i="246"/>
  <c r="H29" i="231"/>
  <c r="H47" i="231" s="1"/>
  <c r="S188" i="246" s="1"/>
  <c r="F32" i="175"/>
  <c r="E32" i="175"/>
  <c r="H27" i="231"/>
  <c r="H41" i="231" s="1"/>
  <c r="M250" i="246" s="1"/>
  <c r="H38" i="226"/>
  <c r="M54" i="246" s="1"/>
  <c r="C30" i="174"/>
  <c r="F29" i="174"/>
  <c r="R272" i="246"/>
  <c r="F48" i="171"/>
  <c r="N20" i="185" s="1"/>
  <c r="J622" i="246"/>
  <c r="E16" i="174"/>
  <c r="G33" i="175"/>
  <c r="E17" i="175"/>
  <c r="G40" i="16"/>
  <c r="L68" i="209" s="1"/>
  <c r="H18" i="16"/>
  <c r="L728" i="209"/>
  <c r="G38" i="16"/>
  <c r="L8" i="209" s="1"/>
  <c r="G42" i="16"/>
  <c r="L248" i="209" s="1"/>
  <c r="G39" i="16"/>
  <c r="R8" i="209" s="1"/>
  <c r="K776" i="246"/>
  <c r="F37" i="176"/>
  <c r="Q218" i="246" s="1"/>
  <c r="F41" i="176"/>
  <c r="K218" i="246" s="1"/>
  <c r="F42" i="176"/>
  <c r="K280" i="246" s="1"/>
  <c r="C25" i="330"/>
  <c r="P482" i="209"/>
  <c r="J436" i="246"/>
  <c r="E23" i="175"/>
  <c r="H27" i="84"/>
  <c r="H41" i="84" s="1"/>
  <c r="M248" i="246" s="1"/>
  <c r="M570" i="209"/>
  <c r="K705" i="209"/>
  <c r="Q372" i="246"/>
  <c r="H30" i="18"/>
  <c r="K10" i="292" s="1"/>
  <c r="D11" i="361"/>
  <c r="D46" i="361" s="1"/>
  <c r="L18" i="333" s="1"/>
  <c r="E18" i="176"/>
  <c r="E41" i="176" s="1"/>
  <c r="J218" i="246" s="1"/>
  <c r="G46" i="338"/>
  <c r="Q755" i="209"/>
  <c r="L25" i="330"/>
  <c r="G17" i="330"/>
  <c r="F45" i="105"/>
  <c r="K142" i="209" s="1"/>
  <c r="D18" i="296"/>
  <c r="D40" i="296" s="1"/>
  <c r="H56" i="294" s="1"/>
  <c r="D46" i="15"/>
  <c r="L608" i="209"/>
  <c r="H47" i="103"/>
  <c r="H43" i="103"/>
  <c r="R622" i="246"/>
  <c r="F45" i="355"/>
  <c r="F46" i="355"/>
  <c r="F18" i="355"/>
  <c r="D18" i="270"/>
  <c r="H18" i="270" s="1"/>
  <c r="F23" i="58"/>
  <c r="S510" i="209"/>
  <c r="D44" i="270"/>
  <c r="O114" i="246" s="1"/>
  <c r="M596" i="246"/>
  <c r="O496" i="246"/>
  <c r="P458" i="246"/>
  <c r="N26" i="219"/>
  <c r="P651" i="246"/>
  <c r="E23" i="330"/>
  <c r="E28" i="330"/>
  <c r="Q282" i="209"/>
  <c r="J620" i="246"/>
  <c r="M26" i="176"/>
  <c r="E43" i="176" s="1"/>
  <c r="E47" i="176" s="1"/>
  <c r="P156" i="246" s="1"/>
  <c r="R634" i="209"/>
  <c r="S201" i="246"/>
  <c r="Q622" i="209"/>
  <c r="K558" i="246"/>
  <c r="Q618" i="209"/>
  <c r="N26" i="6"/>
  <c r="C33" i="58"/>
  <c r="C33" i="229" s="1"/>
  <c r="P11" i="307"/>
  <c r="F18" i="105"/>
  <c r="F41" i="105" s="1"/>
  <c r="K202" i="209" s="1"/>
  <c r="L26" i="15"/>
  <c r="P26" i="15" s="1"/>
  <c r="S678" i="209"/>
  <c r="O26" i="16"/>
  <c r="P26" i="16" s="1"/>
  <c r="R608" i="209"/>
  <c r="G44" i="16"/>
  <c r="R68" i="209" s="1"/>
  <c r="C28" i="58"/>
  <c r="C28" i="229" s="1"/>
  <c r="E13" i="174"/>
  <c r="S722" i="209"/>
  <c r="C22" i="292"/>
  <c r="G45" i="166"/>
  <c r="L142" i="246" s="1"/>
  <c r="D46" i="270"/>
  <c r="H33" i="173"/>
  <c r="F18" i="219"/>
  <c r="P497" i="246"/>
  <c r="R373" i="246"/>
  <c r="I439" i="209"/>
  <c r="D27" i="330"/>
  <c r="G23" i="330"/>
  <c r="R282" i="209"/>
  <c r="P652" i="246"/>
  <c r="S668" i="209"/>
  <c r="K622" i="209"/>
  <c r="K682" i="209"/>
  <c r="D18" i="15"/>
  <c r="F48" i="84"/>
  <c r="L668" i="209"/>
  <c r="M668" i="209" s="1"/>
  <c r="L671" i="209"/>
  <c r="M671" i="209" s="1"/>
  <c r="O26" i="4"/>
  <c r="G45" i="4"/>
  <c r="L131" i="209" s="1"/>
  <c r="G46" i="4"/>
  <c r="L611" i="209"/>
  <c r="R611" i="209"/>
  <c r="G44" i="4"/>
  <c r="R71" i="209" s="1"/>
  <c r="P608" i="209"/>
  <c r="J668" i="209"/>
  <c r="J608" i="209"/>
  <c r="E44" i="16"/>
  <c r="P68" i="209" s="1"/>
  <c r="M26" i="16"/>
  <c r="E45" i="16"/>
  <c r="J128" i="209" s="1"/>
  <c r="E46" i="16"/>
  <c r="E18" i="16"/>
  <c r="E46" i="6"/>
  <c r="E45" i="6"/>
  <c r="J138" i="209" s="1"/>
  <c r="F44" i="315"/>
  <c r="Q104" i="209" s="1"/>
  <c r="F18" i="315"/>
  <c r="F45" i="315"/>
  <c r="K164" i="209" s="1"/>
  <c r="F45" i="220"/>
  <c r="K174" i="209" s="1"/>
  <c r="K714" i="209"/>
  <c r="K654" i="209"/>
  <c r="F46" i="220"/>
  <c r="F44" i="220"/>
  <c r="Q114" i="209" s="1"/>
  <c r="N26" i="220"/>
  <c r="Q654" i="209"/>
  <c r="F18" i="220"/>
  <c r="D44" i="338"/>
  <c r="O94" i="209" s="1"/>
  <c r="D46" i="338"/>
  <c r="O634" i="209"/>
  <c r="I694" i="209"/>
  <c r="D45" i="338"/>
  <c r="I154" i="209" s="1"/>
  <c r="L26" i="338"/>
  <c r="I634" i="209"/>
  <c r="D18" i="338"/>
  <c r="G11" i="186"/>
  <c r="L720" i="246" s="1"/>
  <c r="H27" i="18"/>
  <c r="H41" i="18" s="1"/>
  <c r="P13" i="13" s="1"/>
  <c r="R638" i="246"/>
  <c r="O374" i="246"/>
  <c r="E28" i="174"/>
  <c r="O672" i="246"/>
  <c r="O490" i="246"/>
  <c r="K645" i="209"/>
  <c r="J452" i="209"/>
  <c r="J439" i="209"/>
  <c r="E44" i="176"/>
  <c r="P94" i="246" s="1"/>
  <c r="O26" i="338"/>
  <c r="R754" i="209" s="1"/>
  <c r="F26" i="330"/>
  <c r="P490" i="246"/>
  <c r="N26" i="105"/>
  <c r="F43" i="105" s="1"/>
  <c r="F47" i="105" s="1"/>
  <c r="Q142" i="209" s="1"/>
  <c r="D45" i="15"/>
  <c r="I129" i="209" s="1"/>
  <c r="D43" i="4"/>
  <c r="D47" i="4" s="1"/>
  <c r="O131" i="209" s="1"/>
  <c r="K620" i="246"/>
  <c r="G46" i="16"/>
  <c r="Q611" i="209"/>
  <c r="F45" i="4"/>
  <c r="K131" i="209" s="1"/>
  <c r="N26" i="4"/>
  <c r="F44" i="4"/>
  <c r="Q71" i="209" s="1"/>
  <c r="F46" i="4"/>
  <c r="K671" i="209"/>
  <c r="K611" i="209"/>
  <c r="E45" i="315"/>
  <c r="J164" i="209" s="1"/>
  <c r="E44" i="315"/>
  <c r="P104" i="209" s="1"/>
  <c r="E46" i="315"/>
  <c r="M26" i="315"/>
  <c r="P644" i="209"/>
  <c r="J644" i="209"/>
  <c r="D46" i="220"/>
  <c r="O654" i="209"/>
  <c r="I654" i="209"/>
  <c r="D18" i="220"/>
  <c r="D44" i="220"/>
  <c r="O114" i="209" s="1"/>
  <c r="L26" i="220"/>
  <c r="I714" i="209"/>
  <c r="D45" i="220"/>
  <c r="I174" i="209" s="1"/>
  <c r="F43" i="338"/>
  <c r="F47" i="338" s="1"/>
  <c r="Q154" i="209" s="1"/>
  <c r="G18" i="195"/>
  <c r="G42" i="195" s="1"/>
  <c r="L296" i="246" s="1"/>
  <c r="Q559" i="209"/>
  <c r="N20" i="191"/>
  <c r="S390" i="209"/>
  <c r="L700" i="246"/>
  <c r="M700" i="246" s="1"/>
  <c r="D29" i="175"/>
  <c r="K436" i="246"/>
  <c r="P731" i="209"/>
  <c r="G23" i="58"/>
  <c r="E23" i="58"/>
  <c r="E23" i="229" s="1"/>
  <c r="Q522" i="209"/>
  <c r="E26" i="58"/>
  <c r="E26" i="229" s="1"/>
  <c r="N20" i="356"/>
  <c r="F44" i="105"/>
  <c r="Q82" i="209" s="1"/>
  <c r="J652" i="246"/>
  <c r="G18" i="338"/>
  <c r="G41" i="338" s="1"/>
  <c r="L214" i="209" s="1"/>
  <c r="F23" i="328"/>
  <c r="G45" i="16"/>
  <c r="L128" i="209" s="1"/>
  <c r="E46" i="344"/>
  <c r="E44" i="344"/>
  <c r="E18" i="344"/>
  <c r="M26" i="344"/>
  <c r="E43" i="344" s="1"/>
  <c r="E47" i="344" s="1"/>
  <c r="E45" i="344"/>
  <c r="N20" i="176"/>
  <c r="N20" i="97"/>
  <c r="N20" i="99"/>
  <c r="D44" i="176"/>
  <c r="O94" i="246" s="1"/>
  <c r="D18" i="176"/>
  <c r="O652" i="246"/>
  <c r="R748" i="209"/>
  <c r="G43" i="162"/>
  <c r="G47" i="162" s="1"/>
  <c r="R148" i="209" s="1"/>
  <c r="G44" i="355"/>
  <c r="G46" i="355"/>
  <c r="G45" i="355"/>
  <c r="O26" i="355"/>
  <c r="G43" i="355" s="1"/>
  <c r="G47" i="355" s="1"/>
  <c r="G18" i="355"/>
  <c r="F42" i="338"/>
  <c r="K274" i="209" s="1"/>
  <c r="F37" i="338"/>
  <c r="Q214" i="209" s="1"/>
  <c r="D412" i="209"/>
  <c r="U352" i="209"/>
  <c r="K714" i="246"/>
  <c r="K652" i="246"/>
  <c r="F45" i="176"/>
  <c r="K156" i="246" s="1"/>
  <c r="F44" i="176"/>
  <c r="Q94" i="246" s="1"/>
  <c r="D44" i="355"/>
  <c r="L26" i="355"/>
  <c r="D45" i="355"/>
  <c r="D18" i="355"/>
  <c r="D46" i="355"/>
  <c r="D44" i="296"/>
  <c r="R37" i="294" s="1"/>
  <c r="D46" i="296"/>
  <c r="K319" i="209"/>
  <c r="O679" i="209"/>
  <c r="M472" i="246"/>
  <c r="E28" i="175"/>
  <c r="G48" i="170"/>
  <c r="O20" i="146" s="1"/>
  <c r="Q652" i="246"/>
  <c r="F46" i="176"/>
  <c r="C11" i="292"/>
  <c r="L694" i="209"/>
  <c r="D30" i="58"/>
  <c r="D30" i="229" s="1"/>
  <c r="K462" i="209"/>
  <c r="D45" i="296"/>
  <c r="M56" i="294" s="1"/>
  <c r="E46" i="338"/>
  <c r="J634" i="209"/>
  <c r="J694" i="209"/>
  <c r="E44" i="338"/>
  <c r="P94" i="209" s="1"/>
  <c r="M26" i="338"/>
  <c r="P634" i="209"/>
  <c r="E45" i="338"/>
  <c r="J154" i="209" s="1"/>
  <c r="E18" i="338"/>
  <c r="H44" i="103"/>
  <c r="H48" i="103"/>
  <c r="K26" i="292"/>
  <c r="E44" i="355"/>
  <c r="M26" i="355"/>
  <c r="E43" i="355" s="1"/>
  <c r="E47" i="355" s="1"/>
  <c r="E18" i="355"/>
  <c r="E39" i="220"/>
  <c r="P54" i="209" s="1"/>
  <c r="E42" i="220"/>
  <c r="J294" i="209" s="1"/>
  <c r="E38" i="220"/>
  <c r="J54" i="209" s="1"/>
  <c r="E41" i="220"/>
  <c r="J234" i="209" s="1"/>
  <c r="E37" i="220"/>
  <c r="P234" i="209" s="1"/>
  <c r="E40" i="220"/>
  <c r="J114" i="209" s="1"/>
  <c r="J774" i="209"/>
  <c r="F44" i="289"/>
  <c r="T31" i="294" s="1"/>
  <c r="O126" i="294"/>
  <c r="F46" i="289"/>
  <c r="N26" i="289"/>
  <c r="F45" i="289"/>
  <c r="O50" i="294" s="1"/>
  <c r="F18" i="289"/>
  <c r="R12" i="30"/>
  <c r="R19" i="30" s="1"/>
  <c r="R14" i="100"/>
  <c r="R18" i="100" s="1"/>
  <c r="X47" i="100" s="1"/>
  <c r="O721" i="209"/>
  <c r="S721" i="209" s="1"/>
  <c r="O481" i="209"/>
  <c r="T12" i="155"/>
  <c r="T14" i="155" s="1"/>
  <c r="D15" i="154" s="1"/>
  <c r="P601" i="209"/>
  <c r="J481" i="209"/>
  <c r="J19" i="30"/>
  <c r="J23" i="30" s="1"/>
  <c r="H13" i="30"/>
  <c r="E13" i="30" s="1"/>
  <c r="M84" i="209"/>
  <c r="P12" i="213"/>
  <c r="P12" i="105"/>
  <c r="P12" i="214"/>
  <c r="E43" i="220"/>
  <c r="E47" i="220" s="1"/>
  <c r="P174" i="209" s="1"/>
  <c r="P774" i="209"/>
  <c r="F44" i="15"/>
  <c r="Q69" i="209" s="1"/>
  <c r="N26" i="15"/>
  <c r="F45" i="15"/>
  <c r="K129" i="209" s="1"/>
  <c r="X45" i="80"/>
  <c r="X47" i="80"/>
  <c r="X48" i="80"/>
  <c r="P18" i="214"/>
  <c r="S624" i="209"/>
  <c r="J582" i="209"/>
  <c r="G12" i="175"/>
  <c r="I12" i="292"/>
  <c r="H25" i="250"/>
  <c r="H39" i="250" s="1"/>
  <c r="P361" i="209"/>
  <c r="I609" i="209"/>
  <c r="I669" i="209"/>
  <c r="O609" i="209"/>
  <c r="T11" i="32"/>
  <c r="T17" i="32" s="1"/>
  <c r="R17" i="32"/>
  <c r="X46" i="80"/>
  <c r="R21" i="28"/>
  <c r="D43" i="213"/>
  <c r="D47" i="213" s="1"/>
  <c r="O143" i="209" s="1"/>
  <c r="P26" i="213"/>
  <c r="O743" i="209"/>
  <c r="S743" i="209" s="1"/>
  <c r="H37" i="247"/>
  <c r="S264" i="209"/>
  <c r="I15" i="292"/>
  <c r="O20" i="221"/>
  <c r="O20" i="220"/>
  <c r="O20" i="347"/>
  <c r="G15" i="95"/>
  <c r="F15" i="186"/>
  <c r="T11" i="28"/>
  <c r="L481" i="209"/>
  <c r="AA18" i="292"/>
  <c r="H30" i="250"/>
  <c r="Q301" i="209"/>
  <c r="J421" i="209"/>
  <c r="P541" i="209"/>
  <c r="O28" i="209"/>
  <c r="D39" i="162"/>
  <c r="I743" i="209"/>
  <c r="M743" i="209" s="1"/>
  <c r="H18" i="213"/>
  <c r="D37" i="213"/>
  <c r="O203" i="209" s="1"/>
  <c r="D42" i="213"/>
  <c r="I263" i="209" s="1"/>
  <c r="D41" i="213"/>
  <c r="I203" i="209" s="1"/>
  <c r="D40" i="213"/>
  <c r="I83" i="209" s="1"/>
  <c r="S657" i="209"/>
  <c r="P18" i="221"/>
  <c r="P18" i="347"/>
  <c r="P18" i="220"/>
  <c r="F14" i="185"/>
  <c r="F14" i="171" s="1"/>
  <c r="G14" i="156"/>
  <c r="G14" i="185" s="1"/>
  <c r="D38" i="162"/>
  <c r="I28" i="209"/>
  <c r="F48" i="173"/>
  <c r="N20" i="334" s="1"/>
  <c r="L559" i="246"/>
  <c r="R301" i="209"/>
  <c r="L421" i="209"/>
  <c r="P13" i="289"/>
  <c r="P13" i="288"/>
  <c r="P13" i="290"/>
  <c r="G41" i="191"/>
  <c r="L223" i="246" s="1"/>
  <c r="G37" i="191"/>
  <c r="R223" i="246" s="1"/>
  <c r="G40" i="191"/>
  <c r="L99" i="246" s="1"/>
  <c r="G38" i="191"/>
  <c r="L37" i="246" s="1"/>
  <c r="L781" i="246"/>
  <c r="G39" i="191"/>
  <c r="R37" i="246" s="1"/>
  <c r="E14" i="184"/>
  <c r="E14" i="171"/>
  <c r="D11" i="292"/>
  <c r="F24" i="328"/>
  <c r="P9" i="324"/>
  <c r="P9" i="325"/>
  <c r="E30" i="330"/>
  <c r="L522" i="209"/>
  <c r="F27" i="328"/>
  <c r="F12" i="328"/>
  <c r="G33" i="330"/>
  <c r="G33" i="58"/>
  <c r="G33" i="229" s="1"/>
  <c r="H33" i="44"/>
  <c r="K582" i="209"/>
  <c r="F48" i="44"/>
  <c r="L26" i="79"/>
  <c r="O759" i="209" s="1"/>
  <c r="D45" i="79"/>
  <c r="I159" i="209" s="1"/>
  <c r="D46" i="79"/>
  <c r="I462" i="209"/>
  <c r="E33" i="330"/>
  <c r="F32" i="58"/>
  <c r="F32" i="229" s="1"/>
  <c r="D11" i="18"/>
  <c r="I679" i="209" s="1"/>
  <c r="H31" i="18"/>
  <c r="H45" i="18" s="1"/>
  <c r="P17" i="10" s="1"/>
  <c r="F23" i="327"/>
  <c r="K392" i="209" s="1"/>
  <c r="O559" i="209"/>
  <c r="C24" i="330"/>
  <c r="E25" i="330"/>
  <c r="F23" i="330"/>
  <c r="D48" i="18"/>
  <c r="L20" i="16" s="1"/>
  <c r="G28" i="330"/>
  <c r="D31" i="327"/>
  <c r="H46" i="327" s="1"/>
  <c r="Q259" i="209"/>
  <c r="G37" i="16"/>
  <c r="R188" i="209" s="1"/>
  <c r="G41" i="16"/>
  <c r="L188" i="209" s="1"/>
  <c r="J435" i="246"/>
  <c r="J373" i="246"/>
  <c r="G32" i="174"/>
  <c r="H33" i="184"/>
  <c r="I559" i="246"/>
  <c r="J497" i="246"/>
  <c r="H26" i="184"/>
  <c r="H40" i="184" s="1"/>
  <c r="M125" i="246" s="1"/>
  <c r="P435" i="246"/>
  <c r="C32" i="174"/>
  <c r="E48" i="184"/>
  <c r="H32" i="171"/>
  <c r="M644" i="246" s="1"/>
  <c r="R435" i="246"/>
  <c r="E17" i="174"/>
  <c r="Q614" i="246"/>
  <c r="Q558" i="246"/>
  <c r="K434" i="246"/>
  <c r="H47" i="104"/>
  <c r="S157" i="246" s="1"/>
  <c r="P614" i="246"/>
  <c r="K372" i="246"/>
  <c r="L25" i="174"/>
  <c r="M71" i="246"/>
  <c r="P10" i="295"/>
  <c r="N20" i="295"/>
  <c r="P12" i="296"/>
  <c r="N20" i="333"/>
  <c r="C31" i="175"/>
  <c r="S302" i="246"/>
  <c r="S456" i="246"/>
  <c r="R640" i="246"/>
  <c r="L640" i="246"/>
  <c r="G18" i="187"/>
  <c r="L764" i="246" s="1"/>
  <c r="L552" i="246"/>
  <c r="I622" i="246"/>
  <c r="G23" i="175"/>
  <c r="Q542" i="209"/>
  <c r="M450" i="209"/>
  <c r="Q422" i="209"/>
  <c r="K602" i="209"/>
  <c r="G24" i="175"/>
  <c r="H24" i="173"/>
  <c r="H38" i="173" s="1"/>
  <c r="P10" i="139" s="1"/>
  <c r="H29" i="228"/>
  <c r="H43" i="228" s="1"/>
  <c r="C26" i="175"/>
  <c r="L332" i="209"/>
  <c r="F48" i="228"/>
  <c r="N20" i="225" s="1"/>
  <c r="H32" i="327"/>
  <c r="M632" i="209" s="1"/>
  <c r="R392" i="209"/>
  <c r="H26" i="173"/>
  <c r="H40" i="173" s="1"/>
  <c r="P12" i="139" s="1"/>
  <c r="R512" i="209"/>
  <c r="C23" i="58"/>
  <c r="F29" i="330"/>
  <c r="R560" i="246"/>
  <c r="E28" i="58"/>
  <c r="E28" i="229" s="1"/>
  <c r="K379" i="209"/>
  <c r="R499" i="209"/>
  <c r="D26" i="175"/>
  <c r="R362" i="209"/>
  <c r="G24" i="328"/>
  <c r="H24" i="328" s="1"/>
  <c r="H38" i="328" s="1"/>
  <c r="C23" i="175"/>
  <c r="E26" i="175"/>
  <c r="H28" i="170"/>
  <c r="H42" i="170" s="1"/>
  <c r="P14" i="151" s="1"/>
  <c r="L498" i="246"/>
  <c r="E26" i="327"/>
  <c r="G18" i="105"/>
  <c r="O310" i="246"/>
  <c r="L439" i="209"/>
  <c r="C32" i="330"/>
  <c r="O282" i="209"/>
  <c r="H33" i="18"/>
  <c r="K499" i="209"/>
  <c r="P25" i="184"/>
  <c r="K366" i="246"/>
  <c r="H47" i="226"/>
  <c r="S178" i="246" s="1"/>
  <c r="F18" i="139"/>
  <c r="E18" i="101"/>
  <c r="E44" i="101"/>
  <c r="P93" i="246" s="1"/>
  <c r="E45" i="101"/>
  <c r="J155" i="246" s="1"/>
  <c r="E46" i="101"/>
  <c r="J713" i="246"/>
  <c r="F39" i="101"/>
  <c r="Q31" i="246" s="1"/>
  <c r="K775" i="246"/>
  <c r="F40" i="101"/>
  <c r="K93" i="246" s="1"/>
  <c r="F38" i="101"/>
  <c r="K31" i="246" s="1"/>
  <c r="F42" i="101"/>
  <c r="K279" i="246" s="1"/>
  <c r="F37" i="101"/>
  <c r="Q217" i="246" s="1"/>
  <c r="F41" i="101"/>
  <c r="K217" i="246" s="1"/>
  <c r="F44" i="219"/>
  <c r="Q105" i="209" s="1"/>
  <c r="F45" i="219"/>
  <c r="K165" i="209" s="1"/>
  <c r="F46" i="219"/>
  <c r="E45" i="293"/>
  <c r="N53" i="294" s="1"/>
  <c r="E44" i="293"/>
  <c r="S34" i="294" s="1"/>
  <c r="E18" i="293"/>
  <c r="E46" i="293"/>
  <c r="N129" i="294"/>
  <c r="M26" i="293"/>
  <c r="E43" i="293" s="1"/>
  <c r="E47" i="293" s="1"/>
  <c r="S53" i="294" s="1"/>
  <c r="F18" i="165"/>
  <c r="K699" i="246"/>
  <c r="K637" i="246"/>
  <c r="F44" i="165"/>
  <c r="Q79" i="246" s="1"/>
  <c r="F46" i="165"/>
  <c r="Q637" i="246"/>
  <c r="F45" i="165"/>
  <c r="K141" i="246" s="1"/>
  <c r="N26" i="165"/>
  <c r="F43" i="165" s="1"/>
  <c r="F47" i="165" s="1"/>
  <c r="Q141" i="246" s="1"/>
  <c r="O26" i="219"/>
  <c r="L705" i="209"/>
  <c r="M705" i="209" s="1"/>
  <c r="G45" i="219"/>
  <c r="L165" i="209" s="1"/>
  <c r="G44" i="219"/>
  <c r="R105" i="209" s="1"/>
  <c r="G46" i="219"/>
  <c r="L645" i="209"/>
  <c r="G18" i="219"/>
  <c r="R645" i="209"/>
  <c r="C23" i="330"/>
  <c r="O637" i="246"/>
  <c r="D45" i="165"/>
  <c r="I141" i="246" s="1"/>
  <c r="K640" i="246"/>
  <c r="E24" i="327"/>
  <c r="J392" i="209" s="1"/>
  <c r="F27" i="330"/>
  <c r="R462" i="209"/>
  <c r="E12" i="174"/>
  <c r="P748" i="246" s="1"/>
  <c r="F30" i="175"/>
  <c r="D48" i="231"/>
  <c r="O26" i="105"/>
  <c r="F45" i="187"/>
  <c r="K144" i="246" s="1"/>
  <c r="C29" i="174"/>
  <c r="P620" i="246"/>
  <c r="H23" i="18"/>
  <c r="I10" i="292" s="1"/>
  <c r="G32" i="58"/>
  <c r="G32" i="229" s="1"/>
  <c r="L699" i="246"/>
  <c r="R637" i="246"/>
  <c r="O26" i="165"/>
  <c r="G43" i="165" s="1"/>
  <c r="G47" i="165" s="1"/>
  <c r="R141" i="246" s="1"/>
  <c r="G44" i="165"/>
  <c r="R79" i="246" s="1"/>
  <c r="L637" i="246"/>
  <c r="E46" i="219"/>
  <c r="J645" i="209"/>
  <c r="E18" i="219"/>
  <c r="P645" i="209"/>
  <c r="E45" i="219"/>
  <c r="J165" i="209" s="1"/>
  <c r="M26" i="219"/>
  <c r="J705" i="209"/>
  <c r="E44" i="219"/>
  <c r="P105" i="209" s="1"/>
  <c r="M129" i="294"/>
  <c r="D18" i="293"/>
  <c r="D45" i="293"/>
  <c r="M53" i="294" s="1"/>
  <c r="L26" i="293"/>
  <c r="D44" i="293"/>
  <c r="R34" i="294" s="1"/>
  <c r="D46" i="293"/>
  <c r="K20" i="164"/>
  <c r="G35" i="164"/>
  <c r="I96" i="209" s="1"/>
  <c r="G33" i="164"/>
  <c r="I36" i="209" s="1"/>
  <c r="G34" i="164"/>
  <c r="O36" i="209" s="1"/>
  <c r="J629" i="209"/>
  <c r="E18" i="216"/>
  <c r="R259" i="209"/>
  <c r="H29" i="173"/>
  <c r="H47" i="173" s="1"/>
  <c r="P19" i="166" s="1"/>
  <c r="R379" i="209"/>
  <c r="N130" i="294"/>
  <c r="E46" i="349"/>
  <c r="M26" i="349"/>
  <c r="E43" i="349" s="1"/>
  <c r="E47" i="349" s="1"/>
  <c r="S54" i="294" s="1"/>
  <c r="E44" i="349"/>
  <c r="S35" i="294" s="1"/>
  <c r="E45" i="349"/>
  <c r="N54" i="294" s="1"/>
  <c r="E18" i="349"/>
  <c r="F33" i="330"/>
  <c r="F44" i="91"/>
  <c r="Q70" i="246" s="1"/>
  <c r="E32" i="330"/>
  <c r="F29" i="58"/>
  <c r="F29" i="229" s="1"/>
  <c r="K572" i="209"/>
  <c r="L319" i="209"/>
  <c r="L392" i="209"/>
  <c r="G26" i="58"/>
  <c r="G26" i="229" s="1"/>
  <c r="R496" i="246"/>
  <c r="P11" i="279"/>
  <c r="M290" i="209"/>
  <c r="D44" i="187"/>
  <c r="O82" i="246" s="1"/>
  <c r="J428" i="246"/>
  <c r="D44" i="165"/>
  <c r="O79" i="246" s="1"/>
  <c r="I496" i="246"/>
  <c r="G32" i="330"/>
  <c r="E10" i="292"/>
  <c r="F32" i="330"/>
  <c r="I33" i="164"/>
  <c r="K36" i="209" s="1"/>
  <c r="K703" i="246"/>
  <c r="E46" i="139"/>
  <c r="E45" i="139"/>
  <c r="J145" i="246" s="1"/>
  <c r="J641" i="246"/>
  <c r="P641" i="246"/>
  <c r="J703" i="246"/>
  <c r="E44" i="139"/>
  <c r="P83" i="246" s="1"/>
  <c r="E18" i="139"/>
  <c r="M26" i="139"/>
  <c r="E43" i="139" s="1"/>
  <c r="E47" i="139" s="1"/>
  <c r="P145" i="246" s="1"/>
  <c r="M26" i="307"/>
  <c r="J678" i="246"/>
  <c r="E45" i="295"/>
  <c r="N55" i="294" s="1"/>
  <c r="M26" i="295"/>
  <c r="E43" i="295" s="1"/>
  <c r="E47" i="295" s="1"/>
  <c r="S55" i="294" s="1"/>
  <c r="E44" i="295"/>
  <c r="S36" i="294" s="1"/>
  <c r="E18" i="295"/>
  <c r="N131" i="294"/>
  <c r="E46" i="295"/>
  <c r="M130" i="294"/>
  <c r="D46" i="349"/>
  <c r="D45" i="349"/>
  <c r="M54" i="294" s="1"/>
  <c r="L26" i="349"/>
  <c r="D43" i="349" s="1"/>
  <c r="D47" i="349" s="1"/>
  <c r="R54" i="294" s="1"/>
  <c r="D44" i="349"/>
  <c r="R35" i="294" s="1"/>
  <c r="D18" i="349"/>
  <c r="M26" i="215"/>
  <c r="E46" i="215"/>
  <c r="J31" i="292"/>
  <c r="M348" i="246"/>
  <c r="H32" i="18"/>
  <c r="M619" i="209" s="1"/>
  <c r="N26" i="139"/>
  <c r="F43" i="139" s="1"/>
  <c r="F47" i="139" s="1"/>
  <c r="Q145" i="246" s="1"/>
  <c r="Q641" i="246"/>
  <c r="F18" i="187"/>
  <c r="J379" i="209"/>
  <c r="K559" i="209"/>
  <c r="F48" i="18"/>
  <c r="N20" i="10" s="1"/>
  <c r="E33" i="327"/>
  <c r="P11" i="191"/>
  <c r="H23" i="173"/>
  <c r="H37" i="173" s="1"/>
  <c r="P14" i="345"/>
  <c r="O20" i="356"/>
  <c r="G29" i="175"/>
  <c r="M550" i="246"/>
  <c r="O640" i="246"/>
  <c r="L622" i="209"/>
  <c r="D46" i="165"/>
  <c r="H32" i="184"/>
  <c r="M683" i="246" s="1"/>
  <c r="F30" i="330"/>
  <c r="D18" i="139"/>
  <c r="D44" i="139"/>
  <c r="O83" i="246" s="1"/>
  <c r="I703" i="246"/>
  <c r="M703" i="246" s="1"/>
  <c r="E42" i="165"/>
  <c r="J265" i="246" s="1"/>
  <c r="E41" i="165"/>
  <c r="J203" i="246" s="1"/>
  <c r="E38" i="165"/>
  <c r="J17" i="246" s="1"/>
  <c r="D45" i="307"/>
  <c r="I182" i="246" s="1"/>
  <c r="O678" i="246"/>
  <c r="D46" i="307"/>
  <c r="I740" i="246"/>
  <c r="D44" i="307"/>
  <c r="O120" i="246" s="1"/>
  <c r="D18" i="307"/>
  <c r="I678" i="246"/>
  <c r="N26" i="360"/>
  <c r="F43" i="360" s="1"/>
  <c r="F47" i="360" s="1"/>
  <c r="T59" i="294" s="1"/>
  <c r="F45" i="360"/>
  <c r="O59" i="294" s="1"/>
  <c r="F46" i="360"/>
  <c r="F44" i="360"/>
  <c r="T40" i="294" s="1"/>
  <c r="F18" i="360"/>
  <c r="O135" i="294"/>
  <c r="G44" i="295"/>
  <c r="U36" i="294" s="1"/>
  <c r="G18" i="295"/>
  <c r="Q639" i="209"/>
  <c r="F46" i="79"/>
  <c r="K639" i="209"/>
  <c r="F45" i="79"/>
  <c r="K159" i="209" s="1"/>
  <c r="N26" i="79"/>
  <c r="F44" i="79"/>
  <c r="Q99" i="209" s="1"/>
  <c r="K699" i="209"/>
  <c r="F46" i="349"/>
  <c r="F18" i="349"/>
  <c r="F44" i="349"/>
  <c r="T35" i="294" s="1"/>
  <c r="F43" i="9"/>
  <c r="F47" i="9" s="1"/>
  <c r="Q136" i="209" s="1"/>
  <c r="Q736" i="209"/>
  <c r="R629" i="209"/>
  <c r="L629" i="209"/>
  <c r="G44" i="216"/>
  <c r="R89" i="209" s="1"/>
  <c r="D45" i="216"/>
  <c r="I149" i="209" s="1"/>
  <c r="D18" i="216"/>
  <c r="D44" i="216"/>
  <c r="O89" i="209" s="1"/>
  <c r="L26" i="216"/>
  <c r="D46" i="216"/>
  <c r="O629" i="209"/>
  <c r="I629" i="209"/>
  <c r="I689" i="209"/>
  <c r="E24" i="58"/>
  <c r="E24" i="229" s="1"/>
  <c r="H25" i="173"/>
  <c r="H39" i="173" s="1"/>
  <c r="P11" i="139" s="1"/>
  <c r="E24" i="175"/>
  <c r="H35" i="164"/>
  <c r="J96" i="209" s="1"/>
  <c r="H34" i="164"/>
  <c r="P36" i="209" s="1"/>
  <c r="H33" i="164"/>
  <c r="J36" i="209" s="1"/>
  <c r="E32" i="58"/>
  <c r="E32" i="229" s="1"/>
  <c r="K439" i="209"/>
  <c r="L499" i="209"/>
  <c r="G24" i="330"/>
  <c r="S348" i="246"/>
  <c r="S38" i="246"/>
  <c r="L542" i="209"/>
  <c r="I640" i="246"/>
  <c r="R622" i="209"/>
  <c r="D18" i="165"/>
  <c r="D41" i="165" s="1"/>
  <c r="I203" i="246" s="1"/>
  <c r="D30" i="330"/>
  <c r="H30" i="170"/>
  <c r="H44" i="170" s="1"/>
  <c r="P16" i="178" s="1"/>
  <c r="M590" i="209"/>
  <c r="G46" i="13"/>
  <c r="F44" i="139"/>
  <c r="Q83" i="246" s="1"/>
  <c r="R678" i="246"/>
  <c r="L740" i="246"/>
  <c r="L678" i="246"/>
  <c r="G46" i="307"/>
  <c r="O26" i="307"/>
  <c r="G45" i="307"/>
  <c r="L182" i="246" s="1"/>
  <c r="G44" i="307"/>
  <c r="R120" i="246" s="1"/>
  <c r="G18" i="307"/>
  <c r="M26" i="360"/>
  <c r="E43" i="360" s="1"/>
  <c r="E47" i="360" s="1"/>
  <c r="S59" i="294" s="1"/>
  <c r="E45" i="360"/>
  <c r="N59" i="294" s="1"/>
  <c r="N135" i="294"/>
  <c r="E44" i="360"/>
  <c r="S40" i="294" s="1"/>
  <c r="E18" i="360"/>
  <c r="E46" i="360"/>
  <c r="S332" i="246"/>
  <c r="H39" i="223"/>
  <c r="S22" i="246" s="1"/>
  <c r="L26" i="295"/>
  <c r="D43" i="295" s="1"/>
  <c r="D47" i="295" s="1"/>
  <c r="R55" i="294" s="1"/>
  <c r="D44" i="295"/>
  <c r="R36" i="294" s="1"/>
  <c r="D45" i="295"/>
  <c r="M55" i="294" s="1"/>
  <c r="D46" i="295"/>
  <c r="M131" i="294"/>
  <c r="D18" i="295"/>
  <c r="E44" i="79"/>
  <c r="P99" i="209" s="1"/>
  <c r="E46" i="79"/>
  <c r="G46" i="349"/>
  <c r="P130" i="294"/>
  <c r="D18" i="215"/>
  <c r="D45" i="215"/>
  <c r="I146" i="209" s="1"/>
  <c r="I626" i="209"/>
  <c r="I686" i="209"/>
  <c r="M686" i="209" s="1"/>
  <c r="O626" i="209"/>
  <c r="D46" i="215"/>
  <c r="L26" i="215"/>
  <c r="D44" i="215"/>
  <c r="O86" i="209" s="1"/>
  <c r="D45" i="187"/>
  <c r="I144" i="246" s="1"/>
  <c r="I34" i="164"/>
  <c r="Q36" i="209" s="1"/>
  <c r="M20" i="99"/>
  <c r="M20" i="101"/>
  <c r="M20" i="359"/>
  <c r="N20" i="91"/>
  <c r="N21" i="313"/>
  <c r="O439" i="209"/>
  <c r="L379" i="209"/>
  <c r="M470" i="209"/>
  <c r="F23" i="175"/>
  <c r="S450" i="209"/>
  <c r="I637" i="246"/>
  <c r="H33" i="84"/>
  <c r="S494" i="246"/>
  <c r="P496" i="246"/>
  <c r="H38" i="186"/>
  <c r="M38" i="246" s="1"/>
  <c r="C33" i="330"/>
  <c r="F46" i="139"/>
  <c r="F24" i="175"/>
  <c r="H28" i="228"/>
  <c r="H42" i="228" s="1"/>
  <c r="M302" i="209" s="1"/>
  <c r="D44" i="192"/>
  <c r="O74" i="246" s="1"/>
  <c r="D45" i="192"/>
  <c r="I136" i="246" s="1"/>
  <c r="F40" i="295"/>
  <c r="J55" i="294" s="1"/>
  <c r="F41" i="295"/>
  <c r="F42" i="295"/>
  <c r="F39" i="295"/>
  <c r="O36" i="294" s="1"/>
  <c r="T131" i="294"/>
  <c r="F37" i="295"/>
  <c r="J36" i="294" s="1"/>
  <c r="F38" i="295"/>
  <c r="T17" i="294" s="1"/>
  <c r="O17" i="294"/>
  <c r="J17" i="294"/>
  <c r="F45" i="307"/>
  <c r="K182" i="246" s="1"/>
  <c r="F18" i="307"/>
  <c r="F46" i="307"/>
  <c r="K740" i="246"/>
  <c r="I699" i="209"/>
  <c r="I639" i="209"/>
  <c r="O26" i="293"/>
  <c r="G43" i="293" s="1"/>
  <c r="G47" i="293" s="1"/>
  <c r="U53" i="294" s="1"/>
  <c r="P129" i="294"/>
  <c r="G18" i="293"/>
  <c r="G44" i="293"/>
  <c r="U34" i="294" s="1"/>
  <c r="G46" i="293"/>
  <c r="K689" i="209"/>
  <c r="F46" i="216"/>
  <c r="Q629" i="209"/>
  <c r="K629" i="209"/>
  <c r="N26" i="216"/>
  <c r="F44" i="216"/>
  <c r="Q89" i="209" s="1"/>
  <c r="N34" i="36"/>
  <c r="R32" i="36"/>
  <c r="R34" i="36" s="1"/>
  <c r="K626" i="209"/>
  <c r="F46" i="215"/>
  <c r="K686" i="209"/>
  <c r="F45" i="215"/>
  <c r="K146" i="209" s="1"/>
  <c r="N26" i="215"/>
  <c r="F44" i="215"/>
  <c r="Q86" i="209" s="1"/>
  <c r="Q626" i="209"/>
  <c r="R498" i="246"/>
  <c r="H28" i="184"/>
  <c r="H42" i="184" s="1"/>
  <c r="M311" i="246" s="1"/>
  <c r="M494" i="246"/>
  <c r="P9" i="359"/>
  <c r="S761" i="209"/>
  <c r="V222" i="209"/>
  <c r="C282" i="209"/>
  <c r="I668" i="246"/>
  <c r="G44" i="284"/>
  <c r="R76" i="246" s="1"/>
  <c r="P9" i="156"/>
  <c r="D21" i="39"/>
  <c r="L23" i="39" s="1"/>
  <c r="P9" i="284"/>
  <c r="O26" i="188"/>
  <c r="G43" i="188" s="1"/>
  <c r="G47" i="188" s="1"/>
  <c r="R168" i="246" s="1"/>
  <c r="R664" i="246"/>
  <c r="L726" i="246"/>
  <c r="L664" i="246"/>
  <c r="G46" i="188"/>
  <c r="G45" i="188"/>
  <c r="L168" i="246" s="1"/>
  <c r="G44" i="188"/>
  <c r="R106" i="246" s="1"/>
  <c r="H35" i="328"/>
  <c r="H21" i="328"/>
  <c r="X46" i="129"/>
  <c r="X44" i="129"/>
  <c r="X47" i="129"/>
  <c r="X50" i="129"/>
  <c r="X43" i="129"/>
  <c r="X42" i="129"/>
  <c r="X45" i="129"/>
  <c r="X49" i="129"/>
  <c r="X48" i="129"/>
  <c r="D7" i="39"/>
  <c r="D18" i="195"/>
  <c r="D42" i="195" s="1"/>
  <c r="I296" i="246" s="1"/>
  <c r="M510" i="209"/>
  <c r="P9" i="192"/>
  <c r="D7" i="123"/>
  <c r="P9" i="288"/>
  <c r="P9" i="290"/>
  <c r="P9" i="289"/>
  <c r="D43" i="288"/>
  <c r="D47" i="288" s="1"/>
  <c r="R49" i="294" s="1"/>
  <c r="D35" i="279"/>
  <c r="K428" i="246"/>
  <c r="H47" i="291"/>
  <c r="H43" i="291"/>
  <c r="F43" i="125"/>
  <c r="F47" i="125" s="1"/>
  <c r="Q133" i="209" s="1"/>
  <c r="Q733" i="209"/>
  <c r="D21" i="279"/>
  <c r="L23" i="279" s="1"/>
  <c r="F27" i="174"/>
  <c r="O728" i="209"/>
  <c r="F18" i="141"/>
  <c r="F41" i="141" s="1"/>
  <c r="K232" i="246" s="1"/>
  <c r="E39" i="290"/>
  <c r="N32" i="294" s="1"/>
  <c r="S127" i="294"/>
  <c r="E42" i="290"/>
  <c r="N70" i="294" s="1"/>
  <c r="E38" i="290"/>
  <c r="S13" i="294" s="1"/>
  <c r="N13" i="294"/>
  <c r="E41" i="290"/>
  <c r="I70" i="294" s="1"/>
  <c r="I13" i="294"/>
  <c r="E40" i="290"/>
  <c r="I51" i="294" s="1"/>
  <c r="E37" i="290"/>
  <c r="I32" i="294" s="1"/>
  <c r="D21" i="123"/>
  <c r="L23" i="123" s="1"/>
  <c r="L25" i="175"/>
  <c r="S410" i="209"/>
  <c r="E48" i="173"/>
  <c r="M20" i="334" s="1"/>
  <c r="S596" i="246"/>
  <c r="T19" i="161"/>
  <c r="J30" i="161" s="1"/>
  <c r="G43" i="216"/>
  <c r="G47" i="216" s="1"/>
  <c r="R149" i="209" s="1"/>
  <c r="R749" i="209"/>
  <c r="D35" i="183"/>
  <c r="D7" i="183"/>
  <c r="H26" i="44"/>
  <c r="H40" i="44" s="1"/>
  <c r="Q462" i="209"/>
  <c r="N11" i="292"/>
  <c r="G24" i="58"/>
  <c r="D30" i="328"/>
  <c r="H30" i="328" s="1"/>
  <c r="H44" i="328" s="1"/>
  <c r="F30" i="58"/>
  <c r="E13" i="292" s="1"/>
  <c r="H24" i="44"/>
  <c r="H38" i="44" s="1"/>
  <c r="Q582" i="209"/>
  <c r="L402" i="209"/>
  <c r="E11" i="292"/>
  <c r="C32" i="58"/>
  <c r="C32" i="229" s="1"/>
  <c r="R522" i="209"/>
  <c r="H30" i="44"/>
  <c r="K11" i="292" s="1"/>
  <c r="H46" i="44"/>
  <c r="P18" i="39" s="1"/>
  <c r="F30" i="328"/>
  <c r="F16" i="58"/>
  <c r="F16" i="229" s="1"/>
  <c r="G16" i="330"/>
  <c r="F16" i="330"/>
  <c r="F13" i="58"/>
  <c r="F13" i="229" s="1"/>
  <c r="F13" i="330"/>
  <c r="G28" i="327"/>
  <c r="H28" i="327" s="1"/>
  <c r="H42" i="327" s="1"/>
  <c r="M272" i="209" s="1"/>
  <c r="D28" i="58"/>
  <c r="I319" i="209"/>
  <c r="D24" i="330"/>
  <c r="O319" i="209"/>
  <c r="D25" i="327"/>
  <c r="O332" i="209" s="1"/>
  <c r="H28" i="18"/>
  <c r="H42" i="18" s="1"/>
  <c r="P14" i="10" s="1"/>
  <c r="H46" i="18"/>
  <c r="P18" i="13" s="1"/>
  <c r="D29" i="58"/>
  <c r="D29" i="229" s="1"/>
  <c r="G26" i="330"/>
  <c r="D24" i="327"/>
  <c r="E31" i="330"/>
  <c r="L572" i="209"/>
  <c r="P379" i="209"/>
  <c r="H24" i="18"/>
  <c r="M319" i="209" s="1"/>
  <c r="L25" i="58"/>
  <c r="L25" i="229" s="1"/>
  <c r="F12" i="330"/>
  <c r="Q732" i="209"/>
  <c r="F43" i="13"/>
  <c r="F47" i="13" s="1"/>
  <c r="Q132" i="209" s="1"/>
  <c r="L612" i="209"/>
  <c r="G17" i="58"/>
  <c r="G17" i="229" s="1"/>
  <c r="G17" i="327"/>
  <c r="J559" i="209"/>
  <c r="P25" i="18"/>
  <c r="P499" i="209"/>
  <c r="J319" i="209"/>
  <c r="G31" i="58"/>
  <c r="J499" i="209"/>
  <c r="G31" i="330"/>
  <c r="D24" i="58"/>
  <c r="E31" i="58"/>
  <c r="E31" i="229" s="1"/>
  <c r="I499" i="209"/>
  <c r="P559" i="209"/>
  <c r="D25" i="330"/>
  <c r="I379" i="209"/>
  <c r="O379" i="209"/>
  <c r="D29" i="330"/>
  <c r="H25" i="18"/>
  <c r="S319" i="209" s="1"/>
  <c r="G12" i="327"/>
  <c r="R692" i="209" s="1"/>
  <c r="S692" i="209" s="1"/>
  <c r="R439" i="209"/>
  <c r="R679" i="209"/>
  <c r="P16" i="295"/>
  <c r="I620" i="246"/>
  <c r="P17" i="118"/>
  <c r="M157" i="246"/>
  <c r="P17" i="271"/>
  <c r="P17" i="99"/>
  <c r="M467" i="246"/>
  <c r="P17" i="176"/>
  <c r="H47" i="361"/>
  <c r="P19" i="296" s="1"/>
  <c r="D27" i="174"/>
  <c r="E33" i="174"/>
  <c r="C27" i="174"/>
  <c r="G13" i="174"/>
  <c r="L373" i="246"/>
  <c r="M410" i="246"/>
  <c r="G48" i="184"/>
  <c r="H24" i="184"/>
  <c r="H38" i="184" s="1"/>
  <c r="M63" i="246" s="1"/>
  <c r="E26" i="174"/>
  <c r="F48" i="184"/>
  <c r="Q559" i="246"/>
  <c r="Q582" i="246"/>
  <c r="R559" i="246"/>
  <c r="J458" i="246"/>
  <c r="K582" i="246"/>
  <c r="P582" i="246"/>
  <c r="G16" i="174"/>
  <c r="F13" i="174"/>
  <c r="H26" i="171"/>
  <c r="H40" i="171" s="1"/>
  <c r="P12" i="228" s="1"/>
  <c r="F25" i="174"/>
  <c r="H46" i="184"/>
  <c r="S683" i="246" s="1"/>
  <c r="G26" i="174"/>
  <c r="G45" i="284"/>
  <c r="L138" i="246" s="1"/>
  <c r="O26" i="284"/>
  <c r="G43" i="284" s="1"/>
  <c r="G47" i="284" s="1"/>
  <c r="R138" i="246" s="1"/>
  <c r="L634" i="246"/>
  <c r="G46" i="284"/>
  <c r="R634" i="246"/>
  <c r="O372" i="246"/>
  <c r="P25" i="172"/>
  <c r="O25" i="174"/>
  <c r="I558" i="246"/>
  <c r="F32" i="174"/>
  <c r="O434" i="246"/>
  <c r="L366" i="246"/>
  <c r="G17" i="174"/>
  <c r="P19" i="313"/>
  <c r="P18" i="270"/>
  <c r="P18" i="91"/>
  <c r="P498" i="246"/>
  <c r="O304" i="246"/>
  <c r="E27" i="174"/>
  <c r="K374" i="246"/>
  <c r="H23" i="231"/>
  <c r="H37" i="231" s="1"/>
  <c r="S250" i="246" s="1"/>
  <c r="R436" i="246"/>
  <c r="D31" i="174"/>
  <c r="D48" i="172"/>
  <c r="L20" i="226" s="1"/>
  <c r="P37" i="292"/>
  <c r="L374" i="246"/>
  <c r="Q490" i="246"/>
  <c r="F26" i="175"/>
  <c r="E30" i="174"/>
  <c r="H44" i="226"/>
  <c r="S116" i="246" s="1"/>
  <c r="H37" i="226"/>
  <c r="S240" i="246" s="1"/>
  <c r="H32" i="172"/>
  <c r="M676" i="246" s="1"/>
  <c r="I582" i="246"/>
  <c r="D48" i="171"/>
  <c r="L20" i="223" s="1"/>
  <c r="C23" i="174"/>
  <c r="O767" i="209"/>
  <c r="D43" i="353"/>
  <c r="D47" i="353" s="1"/>
  <c r="O167" i="209" s="1"/>
  <c r="L602" i="209"/>
  <c r="P21" i="292"/>
  <c r="H24" i="228"/>
  <c r="M362" i="209" s="1"/>
  <c r="P25" i="327"/>
  <c r="G17" i="175"/>
  <c r="E37" i="156"/>
  <c r="P197" i="246" s="1"/>
  <c r="E39" i="156"/>
  <c r="P11" i="246" s="1"/>
  <c r="J755" i="246"/>
  <c r="E38" i="156"/>
  <c r="J11" i="246" s="1"/>
  <c r="E40" i="156"/>
  <c r="J73" i="246" s="1"/>
  <c r="E42" i="156"/>
  <c r="J259" i="246" s="1"/>
  <c r="E41" i="156"/>
  <c r="J197" i="246" s="1"/>
  <c r="G48" i="231"/>
  <c r="H31" i="231"/>
  <c r="H45" i="231" s="1"/>
  <c r="M188" i="246" s="1"/>
  <c r="H46" i="231"/>
  <c r="S684" i="246" s="1"/>
  <c r="D43" i="360"/>
  <c r="D47" i="360" s="1"/>
  <c r="R59" i="294" s="1"/>
  <c r="G44" i="11"/>
  <c r="R74" i="209" s="1"/>
  <c r="R614" i="209"/>
  <c r="L614" i="209"/>
  <c r="O26" i="11"/>
  <c r="G45" i="11"/>
  <c r="L134" i="209" s="1"/>
  <c r="G46" i="11"/>
  <c r="L674" i="209"/>
  <c r="D28" i="328"/>
  <c r="H28" i="328" s="1"/>
  <c r="H42" i="328" s="1"/>
  <c r="D28" i="330"/>
  <c r="F28" i="327"/>
  <c r="F28" i="330"/>
  <c r="C30" i="328"/>
  <c r="C30" i="330"/>
  <c r="E29" i="58"/>
  <c r="E29" i="229" s="1"/>
  <c r="E29" i="330"/>
  <c r="E29" i="328"/>
  <c r="E48" i="328" s="1"/>
  <c r="E48" i="44"/>
  <c r="M20" i="337" s="1"/>
  <c r="N10" i="292"/>
  <c r="F12" i="327"/>
  <c r="Q679" i="209"/>
  <c r="F12" i="58"/>
  <c r="F12" i="229" s="1"/>
  <c r="N24" i="292" s="1"/>
  <c r="Q439" i="209"/>
  <c r="D26" i="328"/>
  <c r="H26" i="328" s="1"/>
  <c r="H40" i="328" s="1"/>
  <c r="D26" i="330"/>
  <c r="D26" i="58"/>
  <c r="D26" i="229" s="1"/>
  <c r="G48" i="18"/>
  <c r="O20" i="6" s="1"/>
  <c r="G29" i="330"/>
  <c r="G29" i="58"/>
  <c r="G29" i="229" s="1"/>
  <c r="L559" i="209"/>
  <c r="G27" i="330"/>
  <c r="G27" i="327"/>
  <c r="H27" i="327" s="1"/>
  <c r="H41" i="327" s="1"/>
  <c r="M212" i="209" s="1"/>
  <c r="G27" i="58"/>
  <c r="G27" i="229" s="1"/>
  <c r="D32" i="330"/>
  <c r="H32" i="44"/>
  <c r="M642" i="209" s="1"/>
  <c r="D32" i="58"/>
  <c r="D32" i="229" s="1"/>
  <c r="C31" i="327"/>
  <c r="C31" i="330"/>
  <c r="F46" i="190"/>
  <c r="N26" i="190"/>
  <c r="F43" i="190" s="1"/>
  <c r="F47" i="190" s="1"/>
  <c r="Q137" i="246" s="1"/>
  <c r="K695" i="246"/>
  <c r="F45" i="190"/>
  <c r="K137" i="246" s="1"/>
  <c r="F44" i="190"/>
  <c r="Q75" i="246" s="1"/>
  <c r="F18" i="190"/>
  <c r="F38" i="190" s="1"/>
  <c r="K13" i="246" s="1"/>
  <c r="K633" i="246"/>
  <c r="L610" i="209"/>
  <c r="G45" i="14"/>
  <c r="L130" i="209" s="1"/>
  <c r="G44" i="14"/>
  <c r="R70" i="209" s="1"/>
  <c r="G46" i="14"/>
  <c r="R610" i="209"/>
  <c r="L670" i="209"/>
  <c r="O26" i="14"/>
  <c r="G11" i="18"/>
  <c r="L26" i="146"/>
  <c r="D44" i="146"/>
  <c r="O112" i="246" s="1"/>
  <c r="D46" i="146"/>
  <c r="D18" i="146"/>
  <c r="D37" i="146" s="1"/>
  <c r="O236" i="246" s="1"/>
  <c r="D45" i="146"/>
  <c r="I174" i="246" s="1"/>
  <c r="O670" i="246"/>
  <c r="I732" i="246"/>
  <c r="J718" i="246"/>
  <c r="E18" i="95"/>
  <c r="E11" i="186"/>
  <c r="M26" i="95"/>
  <c r="J656" i="246"/>
  <c r="E46" i="95"/>
  <c r="E44" i="95"/>
  <c r="P98" i="246" s="1"/>
  <c r="P656" i="246"/>
  <c r="E45" i="95"/>
  <c r="J160" i="246" s="1"/>
  <c r="M20" i="345"/>
  <c r="M20" i="356"/>
  <c r="R745" i="246"/>
  <c r="S745" i="246" s="1"/>
  <c r="R497" i="246"/>
  <c r="S472" i="246"/>
  <c r="L26" i="162"/>
  <c r="I628" i="209"/>
  <c r="I688" i="209"/>
  <c r="M688" i="209" s="1"/>
  <c r="D45" i="162"/>
  <c r="I148" i="209" s="1"/>
  <c r="D44" i="162"/>
  <c r="O88" i="209" s="1"/>
  <c r="D46" i="162"/>
  <c r="D18" i="162"/>
  <c r="O628" i="209"/>
  <c r="AA11" i="292"/>
  <c r="E30" i="328"/>
  <c r="P582" i="209"/>
  <c r="E30" i="58"/>
  <c r="D31" i="330"/>
  <c r="D31" i="328"/>
  <c r="D48" i="44"/>
  <c r="L20" i="79" s="1"/>
  <c r="D31" i="58"/>
  <c r="D31" i="229" s="1"/>
  <c r="O582" i="209"/>
  <c r="I582" i="209"/>
  <c r="G13" i="328"/>
  <c r="G13" i="58"/>
  <c r="G13" i="229" s="1"/>
  <c r="D33" i="327"/>
  <c r="D33" i="330"/>
  <c r="D33" i="58"/>
  <c r="D33" i="229" s="1"/>
  <c r="D26" i="327"/>
  <c r="H26" i="327" s="1"/>
  <c r="H40" i="327" s="1"/>
  <c r="M92" i="209" s="1"/>
  <c r="H26" i="18"/>
  <c r="H40" i="18" s="1"/>
  <c r="F25" i="330"/>
  <c r="F25" i="58"/>
  <c r="F25" i="229" s="1"/>
  <c r="F25" i="327"/>
  <c r="K512" i="209" s="1"/>
  <c r="Q379" i="209"/>
  <c r="R319" i="209"/>
  <c r="Q319" i="209"/>
  <c r="Q499" i="209"/>
  <c r="F26" i="327"/>
  <c r="F26" i="58"/>
  <c r="F13" i="292" s="1"/>
  <c r="F10" i="292"/>
  <c r="C29" i="327"/>
  <c r="C29" i="330"/>
  <c r="C29" i="58"/>
  <c r="C29" i="229" s="1"/>
  <c r="M25" i="328"/>
  <c r="M25" i="58"/>
  <c r="M25" i="229" s="1"/>
  <c r="M25" i="330"/>
  <c r="P679" i="209"/>
  <c r="P439" i="209"/>
  <c r="E12" i="327"/>
  <c r="P692" i="209" s="1"/>
  <c r="N25" i="327"/>
  <c r="N25" i="58"/>
  <c r="N25" i="229" s="1"/>
  <c r="N25" i="330"/>
  <c r="G46" i="190"/>
  <c r="G45" i="190"/>
  <c r="L137" i="246" s="1"/>
  <c r="G18" i="190"/>
  <c r="O26" i="190"/>
  <c r="G43" i="190" s="1"/>
  <c r="G47" i="190" s="1"/>
  <c r="R137" i="246" s="1"/>
  <c r="R633" i="246"/>
  <c r="L633" i="246"/>
  <c r="L695" i="246"/>
  <c r="G44" i="190"/>
  <c r="R75" i="246" s="1"/>
  <c r="F18" i="325"/>
  <c r="O123" i="294"/>
  <c r="F44" i="325"/>
  <c r="T28" i="294" s="1"/>
  <c r="F46" i="325"/>
  <c r="F45" i="325"/>
  <c r="O47" i="294" s="1"/>
  <c r="N26" i="325"/>
  <c r="F11" i="326"/>
  <c r="Q655" i="246"/>
  <c r="F44" i="279"/>
  <c r="Q97" i="246" s="1"/>
  <c r="K717" i="246"/>
  <c r="N26" i="279"/>
  <c r="F43" i="279" s="1"/>
  <c r="F47" i="279" s="1"/>
  <c r="Q159" i="246" s="1"/>
  <c r="F46" i="279"/>
  <c r="F45" i="279"/>
  <c r="K159" i="246" s="1"/>
  <c r="K655" i="246"/>
  <c r="F11" i="186"/>
  <c r="K658" i="246" s="1"/>
  <c r="M26" i="146"/>
  <c r="E43" i="146" s="1"/>
  <c r="E47" i="146" s="1"/>
  <c r="P174" i="246" s="1"/>
  <c r="E45" i="146"/>
  <c r="J174" i="246" s="1"/>
  <c r="E44" i="146"/>
  <c r="P112" i="246" s="1"/>
  <c r="P670" i="246"/>
  <c r="J732" i="246"/>
  <c r="J670" i="246"/>
  <c r="E46" i="146"/>
  <c r="E18" i="146"/>
  <c r="E37" i="146" s="1"/>
  <c r="P236" i="246" s="1"/>
  <c r="O26" i="95"/>
  <c r="G43" i="95" s="1"/>
  <c r="G47" i="95" s="1"/>
  <c r="R160" i="246" s="1"/>
  <c r="L718" i="246"/>
  <c r="L656" i="246"/>
  <c r="G45" i="95"/>
  <c r="L160" i="246" s="1"/>
  <c r="G44" i="95"/>
  <c r="R98" i="246" s="1"/>
  <c r="F40" i="279"/>
  <c r="K97" i="246" s="1"/>
  <c r="F42" i="279"/>
  <c r="K283" i="246" s="1"/>
  <c r="F41" i="279"/>
  <c r="K221" i="246" s="1"/>
  <c r="F39" i="279"/>
  <c r="Q35" i="246" s="1"/>
  <c r="F38" i="279"/>
  <c r="K35" i="246" s="1"/>
  <c r="F37" i="279"/>
  <c r="Q221" i="246" s="1"/>
  <c r="K779" i="246"/>
  <c r="I638" i="209"/>
  <c r="D46" i="154"/>
  <c r="I698" i="209"/>
  <c r="O638" i="209"/>
  <c r="D45" i="154"/>
  <c r="I158" i="209" s="1"/>
  <c r="L26" i="154"/>
  <c r="D44" i="154"/>
  <c r="O98" i="209" s="1"/>
  <c r="N26" i="91"/>
  <c r="F43" i="91" s="1"/>
  <c r="F47" i="91" s="1"/>
  <c r="Q132" i="246" s="1"/>
  <c r="F11" i="103"/>
  <c r="M26" i="292" s="1"/>
  <c r="F45" i="91"/>
  <c r="K132" i="246" s="1"/>
  <c r="F46" i="91"/>
  <c r="K690" i="246"/>
  <c r="K628" i="246"/>
  <c r="S432" i="246"/>
  <c r="P17" i="191"/>
  <c r="P17" i="95"/>
  <c r="P17" i="279"/>
  <c r="M162" i="246"/>
  <c r="F45" i="156"/>
  <c r="K135" i="246" s="1"/>
  <c r="Q631" i="246"/>
  <c r="F46" i="156"/>
  <c r="N26" i="156"/>
  <c r="F43" i="156" s="1"/>
  <c r="F47" i="156" s="1"/>
  <c r="Q135" i="246" s="1"/>
  <c r="F44" i="156"/>
  <c r="Q73" i="246" s="1"/>
  <c r="K631" i="246"/>
  <c r="K693" i="246"/>
  <c r="F18" i="156"/>
  <c r="F40" i="156" s="1"/>
  <c r="K73" i="246" s="1"/>
  <c r="M100" i="246"/>
  <c r="P12" i="191"/>
  <c r="P12" i="279"/>
  <c r="P12" i="95"/>
  <c r="D44" i="284"/>
  <c r="O76" i="246" s="1"/>
  <c r="D18" i="284"/>
  <c r="I634" i="246"/>
  <c r="O634" i="246"/>
  <c r="I696" i="246"/>
  <c r="M696" i="246" s="1"/>
  <c r="L26" i="284"/>
  <c r="D43" i="284" s="1"/>
  <c r="D47" i="284" s="1"/>
  <c r="O138" i="246" s="1"/>
  <c r="D11" i="185"/>
  <c r="I697" i="246" s="1"/>
  <c r="D45" i="284"/>
  <c r="I138" i="246" s="1"/>
  <c r="E46" i="156"/>
  <c r="P631" i="246"/>
  <c r="J693" i="246"/>
  <c r="J631" i="246"/>
  <c r="M26" i="156"/>
  <c r="E43" i="156" s="1"/>
  <c r="E47" i="156" s="1"/>
  <c r="P135" i="246" s="1"/>
  <c r="E44" i="156"/>
  <c r="P73" i="246" s="1"/>
  <c r="E45" i="156"/>
  <c r="J135" i="246" s="1"/>
  <c r="O366" i="246"/>
  <c r="O428" i="246"/>
  <c r="L614" i="246"/>
  <c r="G29" i="174"/>
  <c r="J638" i="209"/>
  <c r="P638" i="209"/>
  <c r="E45" i="154"/>
  <c r="J158" i="209" s="1"/>
  <c r="E46" i="154"/>
  <c r="J698" i="209"/>
  <c r="M26" i="154"/>
  <c r="E44" i="154"/>
  <c r="P98" i="209" s="1"/>
  <c r="P634" i="246"/>
  <c r="J634" i="246"/>
  <c r="J696" i="246"/>
  <c r="E44" i="284"/>
  <c r="P76" i="246" s="1"/>
  <c r="E45" i="284"/>
  <c r="J138" i="246" s="1"/>
  <c r="E46" i="284"/>
  <c r="M26" i="284"/>
  <c r="E43" i="284" s="1"/>
  <c r="E47" i="284" s="1"/>
  <c r="P138" i="246" s="1"/>
  <c r="E18" i="284"/>
  <c r="G11" i="185"/>
  <c r="L697" i="246" s="1"/>
  <c r="E44" i="162"/>
  <c r="P88" i="209" s="1"/>
  <c r="E46" i="162"/>
  <c r="M26" i="162"/>
  <c r="E45" i="162"/>
  <c r="J148" i="209" s="1"/>
  <c r="J688" i="209"/>
  <c r="E18" i="162"/>
  <c r="J628" i="209"/>
  <c r="P628" i="209"/>
  <c r="P319" i="209"/>
  <c r="E25" i="327"/>
  <c r="O25" i="330"/>
  <c r="O25" i="328"/>
  <c r="O25" i="58"/>
  <c r="O25" i="229" s="1"/>
  <c r="L617" i="209"/>
  <c r="R617" i="209"/>
  <c r="G44" i="7"/>
  <c r="R77" i="209" s="1"/>
  <c r="L677" i="209"/>
  <c r="G46" i="7"/>
  <c r="O26" i="7"/>
  <c r="G45" i="7"/>
  <c r="L137" i="209" s="1"/>
  <c r="J612" i="209"/>
  <c r="E46" i="13"/>
  <c r="E45" i="13"/>
  <c r="J132" i="209" s="1"/>
  <c r="P612" i="209"/>
  <c r="M26" i="13"/>
  <c r="E44" i="13"/>
  <c r="P72" i="209" s="1"/>
  <c r="D46" i="325"/>
  <c r="D44" i="325"/>
  <c r="R28" i="294" s="1"/>
  <c r="G45" i="279"/>
  <c r="L159" i="246" s="1"/>
  <c r="G44" i="279"/>
  <c r="R97" i="246" s="1"/>
  <c r="L655" i="246"/>
  <c r="O26" i="279"/>
  <c r="G18" i="279"/>
  <c r="L717" i="246"/>
  <c r="G46" i="279"/>
  <c r="R655" i="246"/>
  <c r="D18" i="345"/>
  <c r="O649" i="209"/>
  <c r="I649" i="209"/>
  <c r="D46" i="345"/>
  <c r="D45" i="345"/>
  <c r="I169" i="209" s="1"/>
  <c r="I709" i="209"/>
  <c r="D44" i="345"/>
  <c r="O109" i="209" s="1"/>
  <c r="L26" i="345"/>
  <c r="N26" i="146"/>
  <c r="F43" i="146" s="1"/>
  <c r="F47" i="146" s="1"/>
  <c r="Q174" i="246" s="1"/>
  <c r="F45" i="146"/>
  <c r="K174" i="246" s="1"/>
  <c r="F44" i="146"/>
  <c r="Q112" i="246" s="1"/>
  <c r="Q670" i="246"/>
  <c r="K732" i="246"/>
  <c r="F46" i="146"/>
  <c r="K670" i="246"/>
  <c r="Q656" i="246"/>
  <c r="F44" i="95"/>
  <c r="Q98" i="246" s="1"/>
  <c r="N26" i="95"/>
  <c r="F43" i="95" s="1"/>
  <c r="F47" i="95" s="1"/>
  <c r="Q160" i="246" s="1"/>
  <c r="K718" i="246"/>
  <c r="F18" i="95"/>
  <c r="K656" i="246"/>
  <c r="F45" i="95"/>
  <c r="K160" i="246" s="1"/>
  <c r="F46" i="95"/>
  <c r="D13" i="174"/>
  <c r="F11" i="185"/>
  <c r="G48" i="172"/>
  <c r="O20" i="226" s="1"/>
  <c r="E44" i="296"/>
  <c r="S37" i="294" s="1"/>
  <c r="E46" i="296"/>
  <c r="E11" i="361"/>
  <c r="M26" i="296"/>
  <c r="E18" i="296"/>
  <c r="N132" i="294"/>
  <c r="E45" i="296"/>
  <c r="N56" i="294" s="1"/>
  <c r="D44" i="290"/>
  <c r="R32" i="294" s="1"/>
  <c r="M127" i="294"/>
  <c r="L26" i="290"/>
  <c r="D46" i="290"/>
  <c r="D11" i="291"/>
  <c r="D45" i="290"/>
  <c r="M51" i="294" s="1"/>
  <c r="D18" i="290"/>
  <c r="K653" i="209"/>
  <c r="F44" i="221"/>
  <c r="Q113" i="209" s="1"/>
  <c r="N26" i="221"/>
  <c r="F45" i="221"/>
  <c r="K173" i="209" s="1"/>
  <c r="Q653" i="209"/>
  <c r="K713" i="209"/>
  <c r="F46" i="221"/>
  <c r="F18" i="221"/>
  <c r="F44" i="7"/>
  <c r="Q77" i="209" s="1"/>
  <c r="Q617" i="209"/>
  <c r="K677" i="209"/>
  <c r="F46" i="7"/>
  <c r="F45" i="7"/>
  <c r="K137" i="209" s="1"/>
  <c r="N26" i="7"/>
  <c r="K617" i="209"/>
  <c r="D44" i="13"/>
  <c r="O72" i="209" s="1"/>
  <c r="J672" i="209"/>
  <c r="D45" i="13"/>
  <c r="I132" i="209" s="1"/>
  <c r="L26" i="13"/>
  <c r="D46" i="13"/>
  <c r="I672" i="209"/>
  <c r="M672" i="209" s="1"/>
  <c r="O612" i="209"/>
  <c r="I612" i="209"/>
  <c r="O620" i="246"/>
  <c r="O20" i="95"/>
  <c r="O20" i="279"/>
  <c r="O20" i="191"/>
  <c r="G44" i="345"/>
  <c r="R109" i="209" s="1"/>
  <c r="G18" i="345"/>
  <c r="R649" i="209"/>
  <c r="O26" i="345"/>
  <c r="G46" i="345"/>
  <c r="G45" i="345"/>
  <c r="L169" i="209" s="1"/>
  <c r="L649" i="209"/>
  <c r="L709" i="209"/>
  <c r="O26" i="146"/>
  <c r="G43" i="146" s="1"/>
  <c r="G47" i="146" s="1"/>
  <c r="R174" i="246" s="1"/>
  <c r="G45" i="146"/>
  <c r="L174" i="246" s="1"/>
  <c r="L670" i="246"/>
  <c r="L732" i="246"/>
  <c r="R670" i="246"/>
  <c r="G44" i="146"/>
  <c r="R112" i="246" s="1"/>
  <c r="G46" i="146"/>
  <c r="D46" i="72"/>
  <c r="O636" i="209"/>
  <c r="D45" i="72"/>
  <c r="I156" i="209" s="1"/>
  <c r="I636" i="209"/>
  <c r="L26" i="72"/>
  <c r="I696" i="209"/>
  <c r="D18" i="72"/>
  <c r="D44" i="72"/>
  <c r="O96" i="209" s="1"/>
  <c r="J640" i="246"/>
  <c r="P640" i="246"/>
  <c r="E45" i="187"/>
  <c r="J144" i="246" s="1"/>
  <c r="M26" i="187"/>
  <c r="E43" i="187" s="1"/>
  <c r="E47" i="187" s="1"/>
  <c r="P144" i="246" s="1"/>
  <c r="E18" i="187"/>
  <c r="J764" i="246" s="1"/>
  <c r="E46" i="187"/>
  <c r="E44" i="187"/>
  <c r="P82" i="246" s="1"/>
  <c r="E11" i="185"/>
  <c r="G18" i="296"/>
  <c r="P132" i="294"/>
  <c r="G44" i="296"/>
  <c r="U37" i="294" s="1"/>
  <c r="O26" i="296"/>
  <c r="G45" i="296"/>
  <c r="P56" i="294" s="1"/>
  <c r="G46" i="296"/>
  <c r="O26" i="290"/>
  <c r="G11" i="291"/>
  <c r="G44" i="290"/>
  <c r="U32" i="294" s="1"/>
  <c r="G46" i="290"/>
  <c r="G45" i="290"/>
  <c r="P51" i="294" s="1"/>
  <c r="G18" i="290"/>
  <c r="P127" i="294"/>
  <c r="D46" i="221"/>
  <c r="D18" i="221"/>
  <c r="D44" i="221"/>
  <c r="O113" i="209" s="1"/>
  <c r="L26" i="221"/>
  <c r="I653" i="209"/>
  <c r="O653" i="209"/>
  <c r="I713" i="209"/>
  <c r="D45" i="221"/>
  <c r="I173" i="209" s="1"/>
  <c r="L682" i="209"/>
  <c r="G46" i="105"/>
  <c r="R612" i="209"/>
  <c r="G45" i="13"/>
  <c r="L132" i="209" s="1"/>
  <c r="O26" i="13"/>
  <c r="G44" i="13"/>
  <c r="R72" i="209" s="1"/>
  <c r="L652" i="246"/>
  <c r="G45" i="176"/>
  <c r="L156" i="246" s="1"/>
  <c r="G44" i="176"/>
  <c r="R94" i="246" s="1"/>
  <c r="G46" i="176"/>
  <c r="R652" i="246"/>
  <c r="O26" i="176"/>
  <c r="L714" i="246"/>
  <c r="D45" i="195"/>
  <c r="I172" i="246" s="1"/>
  <c r="D44" i="195"/>
  <c r="O110" i="246" s="1"/>
  <c r="O668" i="246"/>
  <c r="D46" i="195"/>
  <c r="D44" i="214"/>
  <c r="O81" i="209" s="1"/>
  <c r="D18" i="214"/>
  <c r="D45" i="214"/>
  <c r="I141" i="209" s="1"/>
  <c r="I681" i="209"/>
  <c r="D46" i="214"/>
  <c r="I621" i="209"/>
  <c r="O621" i="209"/>
  <c r="L26" i="214"/>
  <c r="E18" i="72"/>
  <c r="J636" i="209"/>
  <c r="J696" i="209"/>
  <c r="E46" i="72"/>
  <c r="E44" i="72"/>
  <c r="P96" i="209" s="1"/>
  <c r="M26" i="72"/>
  <c r="E45" i="72"/>
  <c r="J156" i="209" s="1"/>
  <c r="P636" i="209"/>
  <c r="D46" i="187"/>
  <c r="D18" i="187"/>
  <c r="I764" i="246" s="1"/>
  <c r="F16" i="174"/>
  <c r="E25" i="175"/>
  <c r="C24" i="175"/>
  <c r="C32" i="175"/>
  <c r="J552" i="246"/>
  <c r="Q614" i="209"/>
  <c r="K614" i="209"/>
  <c r="K674" i="209"/>
  <c r="F46" i="11"/>
  <c r="F45" i="11"/>
  <c r="K134" i="209" s="1"/>
  <c r="F44" i="11"/>
  <c r="Q74" i="209" s="1"/>
  <c r="N26" i="11"/>
  <c r="G46" i="221"/>
  <c r="G45" i="221"/>
  <c r="L173" i="209" s="1"/>
  <c r="G44" i="221"/>
  <c r="R113" i="209" s="1"/>
  <c r="O26" i="221"/>
  <c r="R653" i="209"/>
  <c r="L713" i="209"/>
  <c r="G18" i="221"/>
  <c r="L653" i="209"/>
  <c r="P622" i="209"/>
  <c r="E46" i="105"/>
  <c r="J622" i="209"/>
  <c r="E45" i="105"/>
  <c r="J142" i="209" s="1"/>
  <c r="E18" i="105"/>
  <c r="J682" i="209"/>
  <c r="E44" i="105"/>
  <c r="P82" i="209" s="1"/>
  <c r="M26" i="105"/>
  <c r="E45" i="14"/>
  <c r="J130" i="209" s="1"/>
  <c r="M26" i="14"/>
  <c r="J610" i="209"/>
  <c r="P610" i="209"/>
  <c r="E44" i="14"/>
  <c r="P70" i="209" s="1"/>
  <c r="J670" i="209"/>
  <c r="E46" i="14"/>
  <c r="E18" i="14"/>
  <c r="D27" i="58"/>
  <c r="R668" i="246"/>
  <c r="G44" i="195"/>
  <c r="R110" i="246" s="1"/>
  <c r="L730" i="246"/>
  <c r="K621" i="209"/>
  <c r="N26" i="214"/>
  <c r="F44" i="214"/>
  <c r="Q81" i="209" s="1"/>
  <c r="Q621" i="209"/>
  <c r="F45" i="214"/>
  <c r="K141" i="209" s="1"/>
  <c r="K681" i="209"/>
  <c r="F11" i="247"/>
  <c r="F46" i="214"/>
  <c r="F18" i="214"/>
  <c r="N26" i="72"/>
  <c r="F44" i="72"/>
  <c r="Q96" i="209" s="1"/>
  <c r="K636" i="209"/>
  <c r="Q636" i="209"/>
  <c r="F45" i="72"/>
  <c r="K156" i="209" s="1"/>
  <c r="F46" i="72"/>
  <c r="K696" i="209"/>
  <c r="F18" i="72"/>
  <c r="F17" i="174"/>
  <c r="S426" i="246"/>
  <c r="F25" i="175"/>
  <c r="P11" i="360"/>
  <c r="P11" i="296"/>
  <c r="E45" i="11"/>
  <c r="J134" i="209" s="1"/>
  <c r="P614" i="209"/>
  <c r="J614" i="209"/>
  <c r="E46" i="11"/>
  <c r="E44" i="11"/>
  <c r="P74" i="209" s="1"/>
  <c r="M26" i="11"/>
  <c r="J674" i="209"/>
  <c r="J713" i="209"/>
  <c r="E46" i="221"/>
  <c r="M26" i="221"/>
  <c r="E44" i="221"/>
  <c r="P113" i="209" s="1"/>
  <c r="E45" i="221"/>
  <c r="J173" i="209" s="1"/>
  <c r="E18" i="221"/>
  <c r="P653" i="209"/>
  <c r="J653" i="209"/>
  <c r="L25" i="328"/>
  <c r="P25" i="44"/>
  <c r="E48" i="18"/>
  <c r="D29" i="327"/>
  <c r="H29" i="327" s="1"/>
  <c r="H29" i="18"/>
  <c r="D45" i="14"/>
  <c r="I130" i="209" s="1"/>
  <c r="I670" i="209"/>
  <c r="I610" i="209"/>
  <c r="D46" i="14"/>
  <c r="O610" i="209"/>
  <c r="D44" i="14"/>
  <c r="O70" i="209" s="1"/>
  <c r="L26" i="14"/>
  <c r="H39" i="212"/>
  <c r="S30" i="209" s="1"/>
  <c r="S330" i="209"/>
  <c r="K748" i="209"/>
  <c r="F42" i="162"/>
  <c r="K268" i="209" s="1"/>
  <c r="G45" i="214"/>
  <c r="L141" i="209" s="1"/>
  <c r="O26" i="214"/>
  <c r="L621" i="209"/>
  <c r="G18" i="214"/>
  <c r="L681" i="209"/>
  <c r="R621" i="209"/>
  <c r="G11" i="247"/>
  <c r="G44" i="214"/>
  <c r="R81" i="209" s="1"/>
  <c r="G46" i="214"/>
  <c r="L636" i="209"/>
  <c r="G45" i="72"/>
  <c r="L156" i="209" s="1"/>
  <c r="G44" i="72"/>
  <c r="R96" i="209" s="1"/>
  <c r="R636" i="209"/>
  <c r="G18" i="72"/>
  <c r="G46" i="72"/>
  <c r="O26" i="72"/>
  <c r="L696" i="209"/>
  <c r="K698" i="209"/>
  <c r="Q638" i="209"/>
  <c r="K638" i="209"/>
  <c r="F45" i="154"/>
  <c r="K158" i="209" s="1"/>
  <c r="F46" i="154"/>
  <c r="F44" i="154"/>
  <c r="Q98" i="209" s="1"/>
  <c r="N26" i="154"/>
  <c r="L631" i="246"/>
  <c r="O26" i="156"/>
  <c r="G43" i="156" s="1"/>
  <c r="G47" i="156" s="1"/>
  <c r="R135" i="246" s="1"/>
  <c r="G45" i="156"/>
  <c r="L135" i="246" s="1"/>
  <c r="R631" i="246"/>
  <c r="G44" i="156"/>
  <c r="R73" i="246" s="1"/>
  <c r="G46" i="156"/>
  <c r="L693" i="246"/>
  <c r="P15" i="176"/>
  <c r="P9" i="296"/>
  <c r="P9" i="295"/>
  <c r="O614" i="209"/>
  <c r="D45" i="11"/>
  <c r="I134" i="209" s="1"/>
  <c r="D46" i="11"/>
  <c r="I614" i="209"/>
  <c r="I674" i="209"/>
  <c r="L26" i="11"/>
  <c r="D44" i="11"/>
  <c r="O74" i="209" s="1"/>
  <c r="E45" i="15"/>
  <c r="J129" i="209" s="1"/>
  <c r="E44" i="15"/>
  <c r="P69" i="209" s="1"/>
  <c r="M26" i="15"/>
  <c r="E46" i="15"/>
  <c r="E18" i="15"/>
  <c r="J609" i="209"/>
  <c r="P609" i="209"/>
  <c r="J669" i="209"/>
  <c r="I633" i="246"/>
  <c r="L26" i="190"/>
  <c r="D46" i="190"/>
  <c r="D18" i="190"/>
  <c r="O633" i="246"/>
  <c r="D44" i="190"/>
  <c r="O75" i="246" s="1"/>
  <c r="I695" i="246"/>
  <c r="D45" i="190"/>
  <c r="I137" i="246" s="1"/>
  <c r="F46" i="14"/>
  <c r="K670" i="209"/>
  <c r="F45" i="14"/>
  <c r="K130" i="209" s="1"/>
  <c r="Q610" i="209"/>
  <c r="K610" i="209"/>
  <c r="N26" i="14"/>
  <c r="F44" i="14"/>
  <c r="Q70" i="209" s="1"/>
  <c r="F18" i="14"/>
  <c r="H44" i="308"/>
  <c r="K32" i="292"/>
  <c r="F45" i="284"/>
  <c r="K138" i="246" s="1"/>
  <c r="N26" i="284"/>
  <c r="F43" i="284" s="1"/>
  <c r="F47" i="284" s="1"/>
  <c r="Q138" i="246" s="1"/>
  <c r="E11" i="247"/>
  <c r="E45" i="214"/>
  <c r="J141" i="209" s="1"/>
  <c r="E44" i="214"/>
  <c r="P81" i="209" s="1"/>
  <c r="J681" i="209"/>
  <c r="M26" i="214"/>
  <c r="P621" i="209"/>
  <c r="J621" i="209"/>
  <c r="E18" i="214"/>
  <c r="E46" i="214"/>
  <c r="D45" i="95"/>
  <c r="I160" i="246" s="1"/>
  <c r="L26" i="95"/>
  <c r="D11" i="186"/>
  <c r="O656" i="246"/>
  <c r="D44" i="95"/>
  <c r="O98" i="246" s="1"/>
  <c r="D18" i="95"/>
  <c r="I718" i="246"/>
  <c r="I656" i="246"/>
  <c r="D46" i="95"/>
  <c r="G41" i="315"/>
  <c r="L224" i="209" s="1"/>
  <c r="G42" i="315"/>
  <c r="L284" i="209" s="1"/>
  <c r="L764" i="209"/>
  <c r="G40" i="315"/>
  <c r="L104" i="209" s="1"/>
  <c r="G39" i="315"/>
  <c r="R44" i="209" s="1"/>
  <c r="G37" i="315"/>
  <c r="R224" i="209" s="1"/>
  <c r="G38" i="315"/>
  <c r="L44" i="209" s="1"/>
  <c r="G44" i="154"/>
  <c r="R98" i="209" s="1"/>
  <c r="G46" i="154"/>
  <c r="O26" i="154"/>
  <c r="L698" i="209"/>
  <c r="G45" i="154"/>
  <c r="L158" i="209" s="1"/>
  <c r="R638" i="209"/>
  <c r="D44" i="156"/>
  <c r="O73" i="246" s="1"/>
  <c r="L26" i="156"/>
  <c r="D46" i="156"/>
  <c r="I693" i="246"/>
  <c r="O631" i="246"/>
  <c r="I631" i="246"/>
  <c r="D18" i="156"/>
  <c r="D45" i="156"/>
  <c r="I135" i="246" s="1"/>
  <c r="T15" i="80"/>
  <c r="J26" i="80" s="1"/>
  <c r="J28" i="80" s="1"/>
  <c r="D21" i="271"/>
  <c r="L23" i="271" s="1"/>
  <c r="P10" i="241"/>
  <c r="D43" i="333"/>
  <c r="D47" i="333" s="1"/>
  <c r="R61" i="294" s="1"/>
  <c r="I765" i="209"/>
  <c r="D40" i="219"/>
  <c r="I105" i="209" s="1"/>
  <c r="D39" i="219"/>
  <c r="O45" i="209" s="1"/>
  <c r="D42" i="219"/>
  <c r="I285" i="209" s="1"/>
  <c r="D41" i="219"/>
  <c r="I225" i="209" s="1"/>
  <c r="D38" i="219"/>
  <c r="I45" i="209" s="1"/>
  <c r="D37" i="219"/>
  <c r="O225" i="209" s="1"/>
  <c r="D35" i="15"/>
  <c r="D21" i="15"/>
  <c r="L23" i="15" s="1"/>
  <c r="D7" i="15"/>
  <c r="L7" i="194"/>
  <c r="L23" i="170"/>
  <c r="L23" i="228"/>
  <c r="L23" i="174"/>
  <c r="L23" i="231"/>
  <c r="L23" i="212"/>
  <c r="L23" i="229"/>
  <c r="L23" i="328"/>
  <c r="L23" i="327"/>
  <c r="L23" i="225"/>
  <c r="L23" i="171"/>
  <c r="L23" i="361"/>
  <c r="L23" i="103"/>
  <c r="L23" i="185"/>
  <c r="L23" i="186"/>
  <c r="L23" i="308"/>
  <c r="L23" i="309"/>
  <c r="L23" i="223"/>
  <c r="L23" i="84"/>
  <c r="L23" i="184"/>
  <c r="L23" i="247"/>
  <c r="L23" i="291"/>
  <c r="L23" i="58"/>
  <c r="L23" i="330"/>
  <c r="L23" i="250"/>
  <c r="L23" i="44"/>
  <c r="L23" i="104"/>
  <c r="L23" i="18"/>
  <c r="L23" i="248"/>
  <c r="L23" i="326"/>
  <c r="L23" i="226"/>
  <c r="L23" i="172"/>
  <c r="D35" i="203"/>
  <c r="D21" i="203"/>
  <c r="L23" i="203" s="1"/>
  <c r="R16" i="124"/>
  <c r="N26" i="141"/>
  <c r="F43" i="141" s="1"/>
  <c r="F47" i="141" s="1"/>
  <c r="Q170" i="246" s="1"/>
  <c r="K666" i="246"/>
  <c r="F44" i="141"/>
  <c r="Q108" i="246" s="1"/>
  <c r="F45" i="141"/>
  <c r="K170" i="246" s="1"/>
  <c r="Q666" i="246"/>
  <c r="K728" i="246"/>
  <c r="F46" i="141"/>
  <c r="I541" i="209"/>
  <c r="H33" i="250"/>
  <c r="F42" i="215"/>
  <c r="K266" i="209" s="1"/>
  <c r="K746" i="209"/>
  <c r="F38" i="215"/>
  <c r="K26" i="209" s="1"/>
  <c r="F37" i="215"/>
  <c r="Q206" i="209" s="1"/>
  <c r="F39" i="215"/>
  <c r="Q26" i="209" s="1"/>
  <c r="F40" i="215"/>
  <c r="K86" i="209" s="1"/>
  <c r="F41" i="215"/>
  <c r="K206" i="209" s="1"/>
  <c r="M23" i="294"/>
  <c r="D40" i="333"/>
  <c r="H61" i="294" s="1"/>
  <c r="D37" i="333"/>
  <c r="H42" i="294" s="1"/>
  <c r="D41" i="333"/>
  <c r="H80" i="294" s="1"/>
  <c r="D42" i="333"/>
  <c r="M80" i="294" s="1"/>
  <c r="H23" i="294"/>
  <c r="D38" i="333"/>
  <c r="R23" i="294" s="1"/>
  <c r="D39" i="333"/>
  <c r="M42" i="294" s="1"/>
  <c r="R137" i="294"/>
  <c r="L29" i="360"/>
  <c r="L7" i="360"/>
  <c r="F39" i="176"/>
  <c r="Q32" i="246" s="1"/>
  <c r="F38" i="176"/>
  <c r="K32" i="246" s="1"/>
  <c r="F40" i="176"/>
  <c r="K94" i="246" s="1"/>
  <c r="K664" i="246"/>
  <c r="F45" i="188"/>
  <c r="K168" i="246" s="1"/>
  <c r="F46" i="188"/>
  <c r="E43" i="241"/>
  <c r="E47" i="241" s="1"/>
  <c r="P176" i="209" s="1"/>
  <c r="P776" i="209"/>
  <c r="D35" i="220"/>
  <c r="S162" i="246"/>
  <c r="E29" i="175"/>
  <c r="L26" i="270"/>
  <c r="D43" i="270" s="1"/>
  <c r="D47" i="270" s="1"/>
  <c r="O176" i="246" s="1"/>
  <c r="I672" i="246"/>
  <c r="I771" i="246"/>
  <c r="D42" i="97"/>
  <c r="I275" i="246" s="1"/>
  <c r="D39" i="97"/>
  <c r="O27" i="246" s="1"/>
  <c r="D38" i="97"/>
  <c r="I27" i="246" s="1"/>
  <c r="D37" i="97"/>
  <c r="O213" i="246" s="1"/>
  <c r="D40" i="97"/>
  <c r="I89" i="246" s="1"/>
  <c r="D41" i="97"/>
  <c r="I213" i="246" s="1"/>
  <c r="G14" i="118"/>
  <c r="F18" i="118"/>
  <c r="F14" i="104"/>
  <c r="F14" i="84" s="1"/>
  <c r="L29" i="296"/>
  <c r="L7" i="296"/>
  <c r="X41" i="155"/>
  <c r="X40" i="155"/>
  <c r="D21" i="220"/>
  <c r="L23" i="220" s="1"/>
  <c r="P19" i="191"/>
  <c r="F41" i="196"/>
  <c r="K217" i="209" s="1"/>
  <c r="F37" i="196"/>
  <c r="Q217" i="209" s="1"/>
  <c r="F39" i="196"/>
  <c r="Q37" i="209" s="1"/>
  <c r="F42" i="196"/>
  <c r="K277" i="209" s="1"/>
  <c r="K757" i="209"/>
  <c r="F38" i="196"/>
  <c r="K37" i="209" s="1"/>
  <c r="F40" i="196"/>
  <c r="K97" i="209" s="1"/>
  <c r="E40" i="241"/>
  <c r="J116" i="209" s="1"/>
  <c r="E41" i="241"/>
  <c r="J236" i="209" s="1"/>
  <c r="E37" i="241"/>
  <c r="P236" i="209" s="1"/>
  <c r="E38" i="241"/>
  <c r="J56" i="209" s="1"/>
  <c r="J776" i="209"/>
  <c r="E42" i="241"/>
  <c r="J296" i="209" s="1"/>
  <c r="E39" i="241"/>
  <c r="P56" i="209" s="1"/>
  <c r="D7" i="196"/>
  <c r="D35" i="196"/>
  <c r="D21" i="196"/>
  <c r="L23" i="196" s="1"/>
  <c r="D35" i="345"/>
  <c r="D21" i="345"/>
  <c r="L23" i="345" s="1"/>
  <c r="T20" i="129"/>
  <c r="D15" i="126" s="1"/>
  <c r="H24" i="171"/>
  <c r="M334" i="246" s="1"/>
  <c r="S534" i="246"/>
  <c r="Q664" i="246"/>
  <c r="H47" i="309"/>
  <c r="N26" i="203"/>
  <c r="F43" i="203" s="1"/>
  <c r="F47" i="203" s="1"/>
  <c r="Q175" i="246" s="1"/>
  <c r="F46" i="203"/>
  <c r="K671" i="246"/>
  <c r="F44" i="203"/>
  <c r="Q113" i="246" s="1"/>
  <c r="F45" i="203"/>
  <c r="K175" i="246" s="1"/>
  <c r="K733" i="246"/>
  <c r="Q671" i="246"/>
  <c r="R31" i="34"/>
  <c r="X56" i="34"/>
  <c r="X57" i="34" s="1"/>
  <c r="J37" i="34"/>
  <c r="L26" i="308"/>
  <c r="D43" i="307"/>
  <c r="D47" i="307" s="1"/>
  <c r="O182" i="246" s="1"/>
  <c r="D43" i="219"/>
  <c r="D47" i="219" s="1"/>
  <c r="O165" i="209" s="1"/>
  <c r="O765" i="209"/>
  <c r="D7" i="325"/>
  <c r="D21" i="325"/>
  <c r="D35" i="325"/>
  <c r="D21" i="215"/>
  <c r="L23" i="215" s="1"/>
  <c r="D7" i="215"/>
  <c r="J788" i="246"/>
  <c r="E37" i="188"/>
  <c r="P230" i="246" s="1"/>
  <c r="E39" i="188"/>
  <c r="E42" i="188"/>
  <c r="J292" i="246" s="1"/>
  <c r="E41" i="188"/>
  <c r="J230" i="246" s="1"/>
  <c r="E38" i="188"/>
  <c r="J44" i="246" s="1"/>
  <c r="E40" i="188"/>
  <c r="J106" i="246" s="1"/>
  <c r="D35" i="271"/>
  <c r="D17" i="175"/>
  <c r="K726" i="246"/>
  <c r="P10" i="296"/>
  <c r="L29" i="293"/>
  <c r="L7" i="293"/>
  <c r="D7" i="360"/>
  <c r="D35" i="360"/>
  <c r="D21" i="360"/>
  <c r="L23" i="360" s="1"/>
  <c r="E15" i="125"/>
  <c r="F15" i="104"/>
  <c r="F15" i="84" s="1"/>
  <c r="G15" i="118"/>
  <c r="G15" i="104" s="1"/>
  <c r="G15" i="84" s="1"/>
  <c r="F37" i="354"/>
  <c r="T21" i="27"/>
  <c r="T27" i="27" s="1"/>
  <c r="J43" i="27" s="1"/>
  <c r="J45" i="27" s="1"/>
  <c r="H46" i="173"/>
  <c r="P18" i="202" s="1"/>
  <c r="D32" i="175"/>
  <c r="M410" i="209"/>
  <c r="F16" i="175"/>
  <c r="F44" i="188"/>
  <c r="Q106" i="246" s="1"/>
  <c r="F15" i="171"/>
  <c r="D7" i="324"/>
  <c r="D21" i="324"/>
  <c r="D35" i="324"/>
  <c r="T12" i="124"/>
  <c r="T16" i="124" s="1"/>
  <c r="F14" i="228"/>
  <c r="R21" i="27"/>
  <c r="R27" i="27" s="1"/>
  <c r="H47" i="223"/>
  <c r="S146" i="246" s="1"/>
  <c r="H43" i="223"/>
  <c r="H33" i="172"/>
  <c r="L622" i="246"/>
  <c r="C24" i="174"/>
  <c r="I366" i="246"/>
  <c r="G26" i="175"/>
  <c r="P304" i="246"/>
  <c r="Q552" i="246"/>
  <c r="Q396" i="246"/>
  <c r="G31" i="175"/>
  <c r="J21" i="292"/>
  <c r="M350" i="209"/>
  <c r="H27" i="170"/>
  <c r="H41" i="170" s="1"/>
  <c r="P13" i="362" s="1"/>
  <c r="P10" i="356"/>
  <c r="E39" i="325"/>
  <c r="N28" i="294" s="1"/>
  <c r="S123" i="294"/>
  <c r="N9" i="294"/>
  <c r="E38" i="325"/>
  <c r="S9" i="294" s="1"/>
  <c r="E40" i="325"/>
  <c r="I47" i="294" s="1"/>
  <c r="I9" i="294"/>
  <c r="E37" i="325"/>
  <c r="I28" i="294" s="1"/>
  <c r="E42" i="325"/>
  <c r="N66" i="294" s="1"/>
  <c r="E41" i="325"/>
  <c r="I66" i="294" s="1"/>
  <c r="G37" i="325"/>
  <c r="K28" i="294" s="1"/>
  <c r="G42" i="325"/>
  <c r="P66" i="294" s="1"/>
  <c r="G40" i="325"/>
  <c r="K47" i="294" s="1"/>
  <c r="G38" i="325"/>
  <c r="U9" i="294" s="1"/>
  <c r="G41" i="325"/>
  <c r="K66" i="294" s="1"/>
  <c r="K9" i="294"/>
  <c r="G39" i="325"/>
  <c r="P28" i="294" s="1"/>
  <c r="P9" i="294"/>
  <c r="U123" i="294"/>
  <c r="H27" i="328"/>
  <c r="H41" i="328" s="1"/>
  <c r="E48" i="327"/>
  <c r="G48" i="327"/>
  <c r="P572" i="209"/>
  <c r="J572" i="209"/>
  <c r="R729" i="209"/>
  <c r="G43" i="15"/>
  <c r="G47" i="15" s="1"/>
  <c r="R129" i="209" s="1"/>
  <c r="L512" i="209"/>
  <c r="J621" i="246"/>
  <c r="P18" i="307"/>
  <c r="S680" i="246"/>
  <c r="F43" i="307"/>
  <c r="F47" i="307" s="1"/>
  <c r="Q182" i="246" s="1"/>
  <c r="N26" i="308"/>
  <c r="Q621" i="246"/>
  <c r="H23" i="184"/>
  <c r="I33" i="292" s="1"/>
  <c r="P311" i="246"/>
  <c r="H31" i="171"/>
  <c r="H45" i="171" s="1"/>
  <c r="M148" i="246" s="1"/>
  <c r="P25" i="171"/>
  <c r="P15" i="359"/>
  <c r="P15" i="190"/>
  <c r="P15" i="156"/>
  <c r="P15" i="284"/>
  <c r="P15" i="192"/>
  <c r="D30" i="174"/>
  <c r="Q745" i="246"/>
  <c r="O614" i="246"/>
  <c r="H24" i="172"/>
  <c r="H38" i="172" s="1"/>
  <c r="I490" i="246"/>
  <c r="H29" i="172"/>
  <c r="H43" i="172" s="1"/>
  <c r="J366" i="246"/>
  <c r="I614" i="246"/>
  <c r="I372" i="246"/>
  <c r="R552" i="246"/>
  <c r="E25" i="174"/>
  <c r="I428" i="246"/>
  <c r="P15" i="354"/>
  <c r="P15" i="97"/>
  <c r="P15" i="271"/>
  <c r="P15" i="101"/>
  <c r="P15" i="99"/>
  <c r="P428" i="246"/>
  <c r="H28" i="172"/>
  <c r="H42" i="172" s="1"/>
  <c r="M304" i="246" s="1"/>
  <c r="H27" i="172"/>
  <c r="H41" i="172" s="1"/>
  <c r="P13" i="104" s="1"/>
  <c r="P552" i="246"/>
  <c r="H31" i="172"/>
  <c r="H45" i="172" s="1"/>
  <c r="P17" i="186" s="1"/>
  <c r="R614" i="246"/>
  <c r="G33" i="174"/>
  <c r="J490" i="246"/>
  <c r="G27" i="174"/>
  <c r="H46" i="171"/>
  <c r="P18" i="173" s="1"/>
  <c r="E31" i="174"/>
  <c r="H27" i="184"/>
  <c r="H41" i="184" s="1"/>
  <c r="M249" i="246" s="1"/>
  <c r="AA33" i="292"/>
  <c r="L497" i="246"/>
  <c r="O497" i="246"/>
  <c r="S550" i="246"/>
  <c r="S556" i="246"/>
  <c r="S744" i="246"/>
  <c r="M405" i="246"/>
  <c r="S529" i="246"/>
  <c r="M488" i="246"/>
  <c r="S612" i="246"/>
  <c r="R310" i="246"/>
  <c r="H23" i="84"/>
  <c r="R627" i="209"/>
  <c r="L687" i="209"/>
  <c r="G18" i="334"/>
  <c r="O26" i="334"/>
  <c r="L627" i="209"/>
  <c r="G45" i="334"/>
  <c r="L147" i="209" s="1"/>
  <c r="G46" i="334"/>
  <c r="G44" i="334"/>
  <c r="R87" i="209" s="1"/>
  <c r="K710" i="246"/>
  <c r="K648" i="246"/>
  <c r="F45" i="99"/>
  <c r="K152" i="246" s="1"/>
  <c r="F44" i="99"/>
  <c r="Q90" i="246" s="1"/>
  <c r="Q648" i="246"/>
  <c r="F46" i="99"/>
  <c r="F18" i="99"/>
  <c r="N26" i="99"/>
  <c r="F11" i="104"/>
  <c r="D38" i="166"/>
  <c r="I18" i="246" s="1"/>
  <c r="D37" i="166"/>
  <c r="O204" i="246" s="1"/>
  <c r="D41" i="166"/>
  <c r="I204" i="246" s="1"/>
  <c r="D39" i="166"/>
  <c r="O18" i="246" s="1"/>
  <c r="D42" i="166"/>
  <c r="I266" i="246" s="1"/>
  <c r="D40" i="166"/>
  <c r="I80" i="246" s="1"/>
  <c r="I762" i="246"/>
  <c r="G28" i="174"/>
  <c r="P19" i="279"/>
  <c r="H28" i="231"/>
  <c r="H42" i="231" s="1"/>
  <c r="M312" i="246" s="1"/>
  <c r="F45" i="204"/>
  <c r="K169" i="246" s="1"/>
  <c r="F44" i="204"/>
  <c r="Q107" i="246" s="1"/>
  <c r="Q665" i="246"/>
  <c r="F46" i="204"/>
  <c r="K727" i="246"/>
  <c r="K665" i="246"/>
  <c r="D44" i="103"/>
  <c r="D45" i="103"/>
  <c r="R656" i="209"/>
  <c r="L716" i="209"/>
  <c r="G44" i="241"/>
  <c r="R116" i="209" s="1"/>
  <c r="G18" i="241"/>
  <c r="L656" i="209"/>
  <c r="G45" i="241"/>
  <c r="L176" i="209" s="1"/>
  <c r="G46" i="241"/>
  <c r="O26" i="241"/>
  <c r="M26" i="195"/>
  <c r="E43" i="195" s="1"/>
  <c r="E47" i="195" s="1"/>
  <c r="P172" i="246" s="1"/>
  <c r="E44" i="195"/>
  <c r="P110" i="246" s="1"/>
  <c r="P668" i="246"/>
  <c r="E46" i="195"/>
  <c r="J668" i="246"/>
  <c r="J730" i="246"/>
  <c r="E45" i="195"/>
  <c r="J172" i="246" s="1"/>
  <c r="P679" i="246"/>
  <c r="E18" i="313"/>
  <c r="J679" i="246"/>
  <c r="M26" i="313"/>
  <c r="E43" i="313" s="1"/>
  <c r="E47" i="313" s="1"/>
  <c r="P183" i="246" s="1"/>
  <c r="E45" i="313"/>
  <c r="J183" i="246" s="1"/>
  <c r="J741" i="246"/>
  <c r="E46" i="313"/>
  <c r="E44" i="313"/>
  <c r="P121" i="246" s="1"/>
  <c r="E11" i="308"/>
  <c r="G24" i="174"/>
  <c r="D48" i="184"/>
  <c r="I621" i="246"/>
  <c r="H38" i="212"/>
  <c r="M30" i="209" s="1"/>
  <c r="M330" i="209"/>
  <c r="J20" i="292"/>
  <c r="I648" i="209"/>
  <c r="D46" i="178"/>
  <c r="L26" i="178"/>
  <c r="L26" i="225" s="1"/>
  <c r="D18" i="178"/>
  <c r="D45" i="178"/>
  <c r="I168" i="209" s="1"/>
  <c r="O648" i="209"/>
  <c r="I708" i="209"/>
  <c r="D44" i="178"/>
  <c r="O108" i="209" s="1"/>
  <c r="G45" i="196"/>
  <c r="L157" i="209" s="1"/>
  <c r="G46" i="196"/>
  <c r="O26" i="196"/>
  <c r="L637" i="209"/>
  <c r="L697" i="209"/>
  <c r="R637" i="209"/>
  <c r="G44" i="196"/>
  <c r="R97" i="209" s="1"/>
  <c r="G18" i="196"/>
  <c r="L558" i="246"/>
  <c r="H25" i="84"/>
  <c r="R434" i="246"/>
  <c r="R372" i="246"/>
  <c r="R558" i="246"/>
  <c r="O20" i="360"/>
  <c r="O20" i="295"/>
  <c r="O20" i="296"/>
  <c r="O20" i="333"/>
  <c r="P20" i="333" s="1"/>
  <c r="E24" i="174"/>
  <c r="J334" i="246"/>
  <c r="P13" i="307"/>
  <c r="M246" i="246"/>
  <c r="F42" i="178"/>
  <c r="K288" i="209" s="1"/>
  <c r="F38" i="178"/>
  <c r="K48" i="209" s="1"/>
  <c r="K768" i="209"/>
  <c r="F37" i="178"/>
  <c r="Q228" i="209" s="1"/>
  <c r="F41" i="178"/>
  <c r="K228" i="209" s="1"/>
  <c r="F40" i="178"/>
  <c r="K108" i="209" s="1"/>
  <c r="F39" i="178"/>
  <c r="Q48" i="209" s="1"/>
  <c r="D33" i="292"/>
  <c r="P33" i="292" s="1"/>
  <c r="K373" i="246"/>
  <c r="P14" i="354"/>
  <c r="M281" i="246"/>
  <c r="P14" i="118"/>
  <c r="P14" i="97"/>
  <c r="P14" i="271"/>
  <c r="P14" i="176"/>
  <c r="P14" i="99"/>
  <c r="P14" i="101"/>
  <c r="J708" i="209"/>
  <c r="E18" i="178"/>
  <c r="E46" i="178"/>
  <c r="M26" i="178"/>
  <c r="P648" i="209"/>
  <c r="E45" i="178"/>
  <c r="J168" i="209" s="1"/>
  <c r="J648" i="209"/>
  <c r="E44" i="178"/>
  <c r="P108" i="209" s="1"/>
  <c r="Q520" i="246"/>
  <c r="K396" i="246"/>
  <c r="K334" i="246"/>
  <c r="G11" i="226"/>
  <c r="G45" i="226" s="1"/>
  <c r="L178" i="246" s="1"/>
  <c r="O26" i="160"/>
  <c r="G43" i="160" s="1"/>
  <c r="G47" i="160" s="1"/>
  <c r="R165" i="246" s="1"/>
  <c r="C33" i="292"/>
  <c r="G25" i="174"/>
  <c r="R311" i="246"/>
  <c r="F31" i="174"/>
  <c r="G39" i="292" s="1"/>
  <c r="P14" i="307"/>
  <c r="O622" i="246"/>
  <c r="L434" i="246"/>
  <c r="F42" i="216"/>
  <c r="K269" i="209" s="1"/>
  <c r="F40" i="216"/>
  <c r="K89" i="209" s="1"/>
  <c r="F38" i="216"/>
  <c r="K29" i="209" s="1"/>
  <c r="F37" i="216"/>
  <c r="Q209" i="209" s="1"/>
  <c r="K749" i="209"/>
  <c r="F41" i="216"/>
  <c r="K209" i="209" s="1"/>
  <c r="F39" i="216"/>
  <c r="Q29" i="209" s="1"/>
  <c r="J700" i="246"/>
  <c r="J638" i="246"/>
  <c r="E46" i="166"/>
  <c r="P638" i="246"/>
  <c r="E44" i="166"/>
  <c r="P80" i="246" s="1"/>
  <c r="E18" i="166"/>
  <c r="E45" i="166"/>
  <c r="J142" i="246" s="1"/>
  <c r="M26" i="166"/>
  <c r="D44" i="313"/>
  <c r="O121" i="246" s="1"/>
  <c r="I741" i="246"/>
  <c r="I679" i="246"/>
  <c r="L26" i="313"/>
  <c r="D46" i="313"/>
  <c r="O679" i="246"/>
  <c r="D18" i="313"/>
  <c r="D45" i="313"/>
  <c r="I183" i="246" s="1"/>
  <c r="D11" i="308"/>
  <c r="D29" i="174"/>
  <c r="F33" i="174"/>
  <c r="R621" i="246"/>
  <c r="S621" i="246" s="1"/>
  <c r="H47" i="212"/>
  <c r="S150" i="209" s="1"/>
  <c r="H43" i="212"/>
  <c r="L708" i="209"/>
  <c r="G44" i="178"/>
  <c r="R108" i="209" s="1"/>
  <c r="G46" i="178"/>
  <c r="R648" i="209"/>
  <c r="L648" i="209"/>
  <c r="O26" i="178"/>
  <c r="G45" i="178"/>
  <c r="L168" i="209" s="1"/>
  <c r="G18" i="178"/>
  <c r="D46" i="196"/>
  <c r="I637" i="209"/>
  <c r="D44" i="196"/>
  <c r="O97" i="209" s="1"/>
  <c r="D45" i="196"/>
  <c r="I157" i="209" s="1"/>
  <c r="D18" i="196"/>
  <c r="I697" i="209"/>
  <c r="L26" i="196"/>
  <c r="O637" i="209"/>
  <c r="D46" i="103"/>
  <c r="I334" i="246"/>
  <c r="D24" i="174"/>
  <c r="I396" i="246"/>
  <c r="E33" i="175"/>
  <c r="P15" i="296"/>
  <c r="P15" i="360"/>
  <c r="P15" i="295"/>
  <c r="J582" i="246"/>
  <c r="E48" i="171"/>
  <c r="M432" i="246"/>
  <c r="I32" i="292"/>
  <c r="S308" i="246"/>
  <c r="H37" i="308"/>
  <c r="Q768" i="209"/>
  <c r="F43" i="178"/>
  <c r="F47" i="178" s="1"/>
  <c r="Q168" i="209" s="1"/>
  <c r="N26" i="126"/>
  <c r="F43" i="126" s="1"/>
  <c r="F47" i="126" s="1"/>
  <c r="Q166" i="246" s="1"/>
  <c r="F45" i="126"/>
  <c r="K166" i="246" s="1"/>
  <c r="F46" i="126"/>
  <c r="K724" i="246"/>
  <c r="K662" i="246"/>
  <c r="F44" i="126"/>
  <c r="Q104" i="246" s="1"/>
  <c r="Q662" i="246"/>
  <c r="T129" i="294"/>
  <c r="F39" i="293"/>
  <c r="O34" i="294" s="1"/>
  <c r="F41" i="293"/>
  <c r="J72" i="294" s="1"/>
  <c r="F38" i="293"/>
  <c r="T15" i="294" s="1"/>
  <c r="F37" i="293"/>
  <c r="J34" i="294" s="1"/>
  <c r="F42" i="293"/>
  <c r="O72" i="294" s="1"/>
  <c r="F40" i="293"/>
  <c r="J53" i="294" s="1"/>
  <c r="O15" i="294"/>
  <c r="J15" i="294"/>
  <c r="F28" i="174"/>
  <c r="L21" i="313"/>
  <c r="L20" i="91"/>
  <c r="I695" i="209"/>
  <c r="I635" i="209"/>
  <c r="D46" i="123"/>
  <c r="L26" i="123"/>
  <c r="D45" i="123"/>
  <c r="I155" i="209" s="1"/>
  <c r="D44" i="123"/>
  <c r="O95" i="209" s="1"/>
  <c r="O635" i="209"/>
  <c r="F18" i="241"/>
  <c r="K716" i="209"/>
  <c r="N26" i="241"/>
  <c r="F45" i="241"/>
  <c r="K176" i="209" s="1"/>
  <c r="Q656" i="209"/>
  <c r="F46" i="241"/>
  <c r="K656" i="209"/>
  <c r="F44" i="241"/>
  <c r="Q116" i="209" s="1"/>
  <c r="E11" i="103"/>
  <c r="E46" i="91"/>
  <c r="E18" i="91"/>
  <c r="P628" i="246"/>
  <c r="M26" i="91"/>
  <c r="E44" i="91"/>
  <c r="P70" i="246" s="1"/>
  <c r="J628" i="246"/>
  <c r="J690" i="246"/>
  <c r="E45" i="91"/>
  <c r="J132" i="246" s="1"/>
  <c r="P18" i="295"/>
  <c r="P18" i="360"/>
  <c r="P18" i="296"/>
  <c r="J35" i="292"/>
  <c r="H38" i="223"/>
  <c r="M22" i="246" s="1"/>
  <c r="M332" i="246"/>
  <c r="P11" i="270"/>
  <c r="P11" i="313"/>
  <c r="S9" i="246"/>
  <c r="P11" i="91"/>
  <c r="F42" i="313"/>
  <c r="K307" i="246" s="1"/>
  <c r="F37" i="313"/>
  <c r="Q245" i="246" s="1"/>
  <c r="K803" i="246"/>
  <c r="F38" i="313"/>
  <c r="K59" i="246" s="1"/>
  <c r="F41" i="313"/>
  <c r="K245" i="246" s="1"/>
  <c r="F40" i="313"/>
  <c r="K121" i="246" s="1"/>
  <c r="F39" i="313"/>
  <c r="Q59" i="246" s="1"/>
  <c r="R334" i="246"/>
  <c r="H43" i="186"/>
  <c r="P15" i="95" s="1"/>
  <c r="K497" i="246"/>
  <c r="F48" i="172"/>
  <c r="N20" i="104" s="1"/>
  <c r="K614" i="246"/>
  <c r="G31" i="174"/>
  <c r="M390" i="209"/>
  <c r="H30" i="231"/>
  <c r="H44" i="231" s="1"/>
  <c r="S126" i="246" s="1"/>
  <c r="R396" i="246"/>
  <c r="L638" i="246"/>
  <c r="G46" i="166"/>
  <c r="G45" i="313"/>
  <c r="L183" i="246" s="1"/>
  <c r="O26" i="313"/>
  <c r="G43" i="313" s="1"/>
  <c r="G47" i="313" s="1"/>
  <c r="R183" i="246" s="1"/>
  <c r="G44" i="313"/>
  <c r="R121" i="246" s="1"/>
  <c r="R679" i="246"/>
  <c r="L679" i="246"/>
  <c r="G46" i="313"/>
  <c r="L741" i="246"/>
  <c r="G11" i="308"/>
  <c r="L621" i="246"/>
  <c r="L20" i="95"/>
  <c r="L20" i="191"/>
  <c r="L20" i="279"/>
  <c r="E45" i="196"/>
  <c r="J157" i="209" s="1"/>
  <c r="E18" i="196"/>
  <c r="J697" i="209"/>
  <c r="M26" i="196"/>
  <c r="E46" i="196"/>
  <c r="J637" i="209"/>
  <c r="P637" i="209"/>
  <c r="E44" i="196"/>
  <c r="P97" i="209" s="1"/>
  <c r="P13" i="359"/>
  <c r="P13" i="284"/>
  <c r="P13" i="192"/>
  <c r="M201" i="246"/>
  <c r="P13" i="190"/>
  <c r="P13" i="156"/>
  <c r="H38" i="103"/>
  <c r="J26" i="292"/>
  <c r="H38" i="308"/>
  <c r="J32" i="292"/>
  <c r="M370" i="246"/>
  <c r="O311" i="246"/>
  <c r="I435" i="246"/>
  <c r="O435" i="246"/>
  <c r="O559" i="246"/>
  <c r="L26" i="126"/>
  <c r="D43" i="126" s="1"/>
  <c r="D47" i="126" s="1"/>
  <c r="O166" i="246" s="1"/>
  <c r="D45" i="126"/>
  <c r="I166" i="246" s="1"/>
  <c r="D46" i="126"/>
  <c r="I662" i="246"/>
  <c r="O662" i="246"/>
  <c r="D44" i="126"/>
  <c r="O104" i="246" s="1"/>
  <c r="I724" i="246"/>
  <c r="P11" i="118"/>
  <c r="P11" i="101"/>
  <c r="P11" i="271"/>
  <c r="P11" i="354"/>
  <c r="P11" i="97"/>
  <c r="S33" i="246"/>
  <c r="P11" i="99"/>
  <c r="P11" i="176"/>
  <c r="P16" i="190"/>
  <c r="P16" i="284"/>
  <c r="P16" i="192"/>
  <c r="P16" i="359"/>
  <c r="P16" i="156"/>
  <c r="S77" i="246"/>
  <c r="H46" i="309"/>
  <c r="L496" i="246"/>
  <c r="Q311" i="246"/>
  <c r="D32" i="174"/>
  <c r="N26" i="166"/>
  <c r="K638" i="246"/>
  <c r="K700" i="246"/>
  <c r="F44" i="166"/>
  <c r="Q80" i="246" s="1"/>
  <c r="F46" i="166"/>
  <c r="Q638" i="246"/>
  <c r="F45" i="166"/>
  <c r="K142" i="246" s="1"/>
  <c r="F18" i="166"/>
  <c r="N26" i="160"/>
  <c r="F43" i="160" s="1"/>
  <c r="F47" i="160" s="1"/>
  <c r="Q165" i="246" s="1"/>
  <c r="K723" i="246"/>
  <c r="K661" i="246"/>
  <c r="F46" i="160"/>
  <c r="F44" i="160"/>
  <c r="Q103" i="246" s="1"/>
  <c r="Q661" i="246"/>
  <c r="F45" i="160"/>
  <c r="K165" i="246" s="1"/>
  <c r="O20" i="118"/>
  <c r="O20" i="271"/>
  <c r="O20" i="176"/>
  <c r="O20" i="359"/>
  <c r="O20" i="101"/>
  <c r="O20" i="354"/>
  <c r="O20" i="97"/>
  <c r="O20" i="99"/>
  <c r="H37" i="104"/>
  <c r="S281" i="246"/>
  <c r="I27" i="292"/>
  <c r="H68" i="164"/>
  <c r="H67" i="164"/>
  <c r="H69" i="164"/>
  <c r="F24" i="174"/>
  <c r="H44" i="186"/>
  <c r="K31" i="292"/>
  <c r="D42" i="192"/>
  <c r="I260" i="246" s="1"/>
  <c r="D41" i="192"/>
  <c r="I198" i="246" s="1"/>
  <c r="D38" i="192"/>
  <c r="I12" i="246" s="1"/>
  <c r="D40" i="192"/>
  <c r="I74" i="246" s="1"/>
  <c r="D37" i="192"/>
  <c r="O198" i="246" s="1"/>
  <c r="D39" i="192"/>
  <c r="O12" i="246" s="1"/>
  <c r="I756" i="246"/>
  <c r="D46" i="99"/>
  <c r="L26" i="99"/>
  <c r="D45" i="99"/>
  <c r="I152" i="246" s="1"/>
  <c r="D44" i="99"/>
  <c r="O90" i="246" s="1"/>
  <c r="I710" i="246"/>
  <c r="I648" i="246"/>
  <c r="D18" i="99"/>
  <c r="D11" i="104"/>
  <c r="O648" i="246"/>
  <c r="E28" i="292"/>
  <c r="K496" i="246"/>
  <c r="Q620" i="246"/>
  <c r="I434" i="246"/>
  <c r="O558" i="246"/>
  <c r="H24" i="84"/>
  <c r="J372" i="246"/>
  <c r="K27" i="292"/>
  <c r="H44" i="104"/>
  <c r="E45" i="126"/>
  <c r="J166" i="246" s="1"/>
  <c r="J662" i="246"/>
  <c r="P662" i="246"/>
  <c r="E44" i="126"/>
  <c r="P104" i="246" s="1"/>
  <c r="J724" i="246"/>
  <c r="E46" i="126"/>
  <c r="N26" i="192"/>
  <c r="F46" i="192"/>
  <c r="F18" i="192"/>
  <c r="Q632" i="246"/>
  <c r="F44" i="192"/>
  <c r="Q74" i="246" s="1"/>
  <c r="K632" i="246"/>
  <c r="K694" i="246"/>
  <c r="F45" i="192"/>
  <c r="K136" i="246" s="1"/>
  <c r="O656" i="209"/>
  <c r="I656" i="209"/>
  <c r="I716" i="209"/>
  <c r="D46" i="241"/>
  <c r="L26" i="241"/>
  <c r="D44" i="241"/>
  <c r="O116" i="209" s="1"/>
  <c r="D45" i="241"/>
  <c r="I176" i="209" s="1"/>
  <c r="D18" i="241"/>
  <c r="M95" i="246"/>
  <c r="P12" i="176"/>
  <c r="P12" i="101"/>
  <c r="P12" i="271"/>
  <c r="P12" i="354"/>
  <c r="P12" i="118"/>
  <c r="P12" i="97"/>
  <c r="P12" i="99"/>
  <c r="L520" i="246"/>
  <c r="H25" i="171"/>
  <c r="H39" i="171" s="1"/>
  <c r="H46" i="172"/>
  <c r="P18" i="225" s="1"/>
  <c r="Q435" i="246"/>
  <c r="D33" i="175"/>
  <c r="L695" i="209"/>
  <c r="G45" i="123"/>
  <c r="L155" i="209" s="1"/>
  <c r="G44" i="123"/>
  <c r="R95" i="209" s="1"/>
  <c r="R635" i="209"/>
  <c r="O26" i="123"/>
  <c r="L635" i="209"/>
  <c r="G46" i="123"/>
  <c r="M26" i="160"/>
  <c r="E43" i="160" s="1"/>
  <c r="E47" i="160" s="1"/>
  <c r="P165" i="246" s="1"/>
  <c r="J723" i="246"/>
  <c r="P661" i="246"/>
  <c r="E44" i="160"/>
  <c r="P103" i="246" s="1"/>
  <c r="E46" i="160"/>
  <c r="J661" i="246"/>
  <c r="E45" i="160"/>
  <c r="J165" i="246" s="1"/>
  <c r="M195" i="246"/>
  <c r="P13" i="313"/>
  <c r="P13" i="91"/>
  <c r="P13" i="270"/>
  <c r="P18" i="99"/>
  <c r="P18" i="354"/>
  <c r="P18" i="271"/>
  <c r="P18" i="101"/>
  <c r="S653" i="246"/>
  <c r="P18" i="118"/>
  <c r="P18" i="176"/>
  <c r="P18" i="97"/>
  <c r="P17" i="307"/>
  <c r="M184" i="246"/>
  <c r="J68" i="164"/>
  <c r="J69" i="164"/>
  <c r="J67" i="164"/>
  <c r="K54" i="164"/>
  <c r="L26" i="10"/>
  <c r="D43" i="10"/>
  <c r="D47" i="10" s="1"/>
  <c r="O135" i="209" s="1"/>
  <c r="D18" i="10"/>
  <c r="I615" i="209"/>
  <c r="I675" i="209"/>
  <c r="M675" i="209" s="1"/>
  <c r="O615" i="209"/>
  <c r="G45" i="99"/>
  <c r="L152" i="246" s="1"/>
  <c r="R648" i="246"/>
  <c r="L710" i="246"/>
  <c r="G44" i="99"/>
  <c r="R90" i="246" s="1"/>
  <c r="G46" i="99"/>
  <c r="O26" i="99"/>
  <c r="G11" i="104"/>
  <c r="L648" i="246"/>
  <c r="G18" i="99"/>
  <c r="P12" i="359"/>
  <c r="M77" i="246"/>
  <c r="P12" i="156"/>
  <c r="P12" i="190"/>
  <c r="P12" i="284"/>
  <c r="P12" i="192"/>
  <c r="F30" i="174"/>
  <c r="E39" i="292" s="1"/>
  <c r="K458" i="246"/>
  <c r="P18" i="279"/>
  <c r="S658" i="246"/>
  <c r="P18" i="191"/>
  <c r="P18" i="95"/>
  <c r="L723" i="246"/>
  <c r="L661" i="246"/>
  <c r="R661" i="246"/>
  <c r="G44" i="160"/>
  <c r="R103" i="246" s="1"/>
  <c r="G46" i="160"/>
  <c r="G45" i="160"/>
  <c r="L165" i="246" s="1"/>
  <c r="M26" i="10"/>
  <c r="E18" i="10"/>
  <c r="P615" i="209"/>
  <c r="E43" i="10"/>
  <c r="E47" i="10" s="1"/>
  <c r="P135" i="209" s="1"/>
  <c r="E11" i="18"/>
  <c r="J675" i="209"/>
  <c r="J615" i="209"/>
  <c r="K435" i="246"/>
  <c r="P17" i="270"/>
  <c r="P18" i="313"/>
  <c r="P17" i="91"/>
  <c r="M133" i="246"/>
  <c r="E45" i="192"/>
  <c r="J136" i="246" s="1"/>
  <c r="P632" i="246"/>
  <c r="J632" i="246"/>
  <c r="M26" i="192"/>
  <c r="E18" i="192"/>
  <c r="E44" i="192"/>
  <c r="P74" i="246" s="1"/>
  <c r="J694" i="246"/>
  <c r="E46" i="192"/>
  <c r="L628" i="246"/>
  <c r="G11" i="103"/>
  <c r="L690" i="246"/>
  <c r="M690" i="246" s="1"/>
  <c r="R628" i="246"/>
  <c r="O26" i="91"/>
  <c r="P26" i="91" s="1"/>
  <c r="G44" i="91"/>
  <c r="R70" i="246" s="1"/>
  <c r="G18" i="91"/>
  <c r="G46" i="91"/>
  <c r="G45" i="91"/>
  <c r="L132" i="246" s="1"/>
  <c r="M20" i="156"/>
  <c r="M20" i="190"/>
  <c r="M20" i="284"/>
  <c r="M20" i="192"/>
  <c r="P17" i="360"/>
  <c r="P17" i="295"/>
  <c r="P17" i="296"/>
  <c r="S467" i="246"/>
  <c r="Q497" i="246"/>
  <c r="C31" i="174"/>
  <c r="L26" i="204"/>
  <c r="D43" i="204" s="1"/>
  <c r="D47" i="204" s="1"/>
  <c r="O169" i="246" s="1"/>
  <c r="I665" i="246"/>
  <c r="D45" i="204"/>
  <c r="I169" i="246" s="1"/>
  <c r="D46" i="204"/>
  <c r="D44" i="204"/>
  <c r="O107" i="246" s="1"/>
  <c r="O665" i="246"/>
  <c r="I727" i="246"/>
  <c r="M727" i="246" s="1"/>
  <c r="P635" i="209"/>
  <c r="E44" i="123"/>
  <c r="P95" i="209" s="1"/>
  <c r="E45" i="123"/>
  <c r="J155" i="209" s="1"/>
  <c r="J635" i="209"/>
  <c r="J695" i="209"/>
  <c r="E46" i="123"/>
  <c r="M26" i="123"/>
  <c r="H33" i="171"/>
  <c r="G46" i="192"/>
  <c r="G44" i="192"/>
  <c r="R74" i="246" s="1"/>
  <c r="G18" i="192"/>
  <c r="G45" i="192"/>
  <c r="L136" i="246" s="1"/>
  <c r="L632" i="246"/>
  <c r="O26" i="192"/>
  <c r="L694" i="246"/>
  <c r="R632" i="246"/>
  <c r="L26" i="160"/>
  <c r="D43" i="160" s="1"/>
  <c r="D47" i="160" s="1"/>
  <c r="O165" i="246" s="1"/>
  <c r="D45" i="160"/>
  <c r="I165" i="246" s="1"/>
  <c r="I661" i="246"/>
  <c r="D44" i="160"/>
  <c r="O103" i="246" s="1"/>
  <c r="D46" i="160"/>
  <c r="O661" i="246"/>
  <c r="I723" i="246"/>
  <c r="H31" i="84"/>
  <c r="H45" i="84" s="1"/>
  <c r="M186" i="246" s="1"/>
  <c r="H46" i="84"/>
  <c r="S682" i="246" s="1"/>
  <c r="R620" i="246"/>
  <c r="G48" i="84"/>
  <c r="L620" i="246"/>
  <c r="I67" i="164"/>
  <c r="I69" i="164"/>
  <c r="I68" i="164"/>
  <c r="D45" i="334"/>
  <c r="I147" i="209" s="1"/>
  <c r="I687" i="209"/>
  <c r="D18" i="334"/>
  <c r="L26" i="334"/>
  <c r="I627" i="209"/>
  <c r="O627" i="209"/>
  <c r="D44" i="334"/>
  <c r="O87" i="209" s="1"/>
  <c r="D46" i="334"/>
  <c r="F43" i="10"/>
  <c r="F47" i="10" s="1"/>
  <c r="Q135" i="209" s="1"/>
  <c r="Q615" i="209"/>
  <c r="N26" i="10"/>
  <c r="F18" i="10"/>
  <c r="K675" i="209"/>
  <c r="K615" i="209"/>
  <c r="F11" i="18"/>
  <c r="P648" i="246"/>
  <c r="E11" i="104"/>
  <c r="E46" i="99"/>
  <c r="J648" i="246"/>
  <c r="E44" i="99"/>
  <c r="P90" i="246" s="1"/>
  <c r="E18" i="99"/>
  <c r="M26" i="99"/>
  <c r="E45" i="99"/>
  <c r="J152" i="246" s="1"/>
  <c r="J710" i="246"/>
  <c r="H28" i="84"/>
  <c r="H42" i="84" s="1"/>
  <c r="M310" i="246" s="1"/>
  <c r="H31" i="309"/>
  <c r="H45" i="309" s="1"/>
  <c r="H30" i="172"/>
  <c r="H44" i="172" s="1"/>
  <c r="R374" i="246"/>
  <c r="AA37" i="292"/>
  <c r="H25" i="170"/>
  <c r="H39" i="170" s="1"/>
  <c r="P11" i="178" s="1"/>
  <c r="F23" i="174"/>
  <c r="Q304" i="246"/>
  <c r="F12" i="175"/>
  <c r="D13" i="175"/>
  <c r="O552" i="246"/>
  <c r="D25" i="174"/>
  <c r="H25" i="172"/>
  <c r="P366" i="246"/>
  <c r="I552" i="246"/>
  <c r="F31" i="175"/>
  <c r="F48" i="170"/>
  <c r="K490" i="246"/>
  <c r="Q428" i="246"/>
  <c r="K622" i="246"/>
  <c r="F48" i="231"/>
  <c r="G37" i="292"/>
  <c r="Q622" i="246"/>
  <c r="I560" i="246"/>
  <c r="O560" i="246"/>
  <c r="H25" i="231"/>
  <c r="O436" i="246"/>
  <c r="H33" i="170"/>
  <c r="C37" i="292"/>
  <c r="R312" i="246"/>
  <c r="Q560" i="246"/>
  <c r="K498" i="246"/>
  <c r="Q436" i="246"/>
  <c r="H39" i="226"/>
  <c r="S54" i="246" s="1"/>
  <c r="S364" i="246"/>
  <c r="H46" i="170"/>
  <c r="P18" i="187" s="1"/>
  <c r="D28" i="175"/>
  <c r="Q746" i="246"/>
  <c r="Q498" i="246"/>
  <c r="P312" i="246"/>
  <c r="Q312" i="246"/>
  <c r="H44" i="223"/>
  <c r="S84" i="246" s="1"/>
  <c r="K35" i="292"/>
  <c r="H30" i="171"/>
  <c r="H44" i="171" s="1"/>
  <c r="O582" i="246"/>
  <c r="I458" i="246"/>
  <c r="J520" i="246"/>
  <c r="P396" i="246"/>
  <c r="Q334" i="246"/>
  <c r="P334" i="246"/>
  <c r="P520" i="246"/>
  <c r="J498" i="246"/>
  <c r="E23" i="174"/>
  <c r="P272" i="246"/>
  <c r="J396" i="246"/>
  <c r="Q272" i="246"/>
  <c r="D30" i="175"/>
  <c r="H30" i="175" s="1"/>
  <c r="H44" i="175" s="1"/>
  <c r="H30" i="173"/>
  <c r="H44" i="173" s="1"/>
  <c r="P374" i="246"/>
  <c r="J560" i="246"/>
  <c r="P560" i="246"/>
  <c r="Q374" i="246"/>
  <c r="P436" i="246"/>
  <c r="AA22" i="292"/>
  <c r="S470" i="209"/>
  <c r="P17" i="356"/>
  <c r="M170" i="209"/>
  <c r="H32" i="328"/>
  <c r="P602" i="209"/>
  <c r="O482" i="209"/>
  <c r="I422" i="209"/>
  <c r="D48" i="228"/>
  <c r="L20" i="225" s="1"/>
  <c r="H31" i="228"/>
  <c r="H45" i="228" s="1"/>
  <c r="M182" i="209" s="1"/>
  <c r="R482" i="209"/>
  <c r="L362" i="209"/>
  <c r="P10" i="345"/>
  <c r="L20" i="356"/>
  <c r="L20" i="345"/>
  <c r="O542" i="209"/>
  <c r="I362" i="209"/>
  <c r="P302" i="209"/>
  <c r="O422" i="209"/>
  <c r="O302" i="209"/>
  <c r="I482" i="209"/>
  <c r="J362" i="209"/>
  <c r="G32" i="175"/>
  <c r="H37" i="225"/>
  <c r="I21" i="292"/>
  <c r="S290" i="209"/>
  <c r="I602" i="209"/>
  <c r="O602" i="209"/>
  <c r="H31" i="170"/>
  <c r="H45" i="170" s="1"/>
  <c r="D31" i="175"/>
  <c r="D48" i="170"/>
  <c r="S530" i="209"/>
  <c r="M230" i="209"/>
  <c r="P13" i="345"/>
  <c r="P13" i="356"/>
  <c r="E22" i="292"/>
  <c r="K482" i="209"/>
  <c r="Q602" i="209"/>
  <c r="H32" i="228"/>
  <c r="M662" i="209" s="1"/>
  <c r="H46" i="228"/>
  <c r="S662" i="209" s="1"/>
  <c r="S650" i="209"/>
  <c r="P18" i="345"/>
  <c r="P18" i="356"/>
  <c r="D24" i="175"/>
  <c r="H24" i="170"/>
  <c r="H38" i="170" s="1"/>
  <c r="H32" i="170"/>
  <c r="P422" i="209"/>
  <c r="Q362" i="209"/>
  <c r="P362" i="209"/>
  <c r="J542" i="209"/>
  <c r="E48" i="228"/>
  <c r="M20" i="225" s="1"/>
  <c r="J602" i="209"/>
  <c r="H37" i="212"/>
  <c r="S210" i="209" s="1"/>
  <c r="S270" i="209"/>
  <c r="I20" i="292"/>
  <c r="L422" i="209"/>
  <c r="R542" i="209"/>
  <c r="R422" i="209"/>
  <c r="R302" i="209"/>
  <c r="H23" i="228"/>
  <c r="L482" i="209"/>
  <c r="P542" i="209"/>
  <c r="H27" i="173"/>
  <c r="H41" i="173" s="1"/>
  <c r="G27" i="175"/>
  <c r="N28" i="292"/>
  <c r="P28" i="292" s="1"/>
  <c r="Q496" i="246"/>
  <c r="Q744" i="246"/>
  <c r="F43" i="191"/>
  <c r="F47" i="191" s="1"/>
  <c r="Q161" i="246" s="1"/>
  <c r="P559" i="246"/>
  <c r="R304" i="246"/>
  <c r="G23" i="174"/>
  <c r="L490" i="246"/>
  <c r="L428" i="246"/>
  <c r="H23" i="172"/>
  <c r="R428" i="246"/>
  <c r="M20" i="279"/>
  <c r="M20" i="95"/>
  <c r="M20" i="191"/>
  <c r="H37" i="186"/>
  <c r="S286" i="246"/>
  <c r="I31" i="292"/>
  <c r="J559" i="246"/>
  <c r="P373" i="246"/>
  <c r="Q373" i="246"/>
  <c r="H26" i="172"/>
  <c r="H40" i="172" s="1"/>
  <c r="D26" i="174"/>
  <c r="P13" i="95"/>
  <c r="P13" i="279"/>
  <c r="P13" i="191"/>
  <c r="M224" i="246"/>
  <c r="E48" i="172"/>
  <c r="J614" i="246"/>
  <c r="E29" i="174"/>
  <c r="O706" i="246"/>
  <c r="O458" i="246"/>
  <c r="D12" i="174"/>
  <c r="F12" i="174"/>
  <c r="Q706" i="246"/>
  <c r="Q458" i="246"/>
  <c r="R738" i="246"/>
  <c r="S738" i="246" s="1"/>
  <c r="R490" i="246"/>
  <c r="G12" i="174"/>
  <c r="S257" i="246"/>
  <c r="I26" i="292"/>
  <c r="H37" i="103"/>
  <c r="G37" i="141"/>
  <c r="R232" i="246" s="1"/>
  <c r="G39" i="141"/>
  <c r="R46" i="246" s="1"/>
  <c r="L790" i="246"/>
  <c r="G42" i="141"/>
  <c r="L294" i="246" s="1"/>
  <c r="G38" i="141"/>
  <c r="L46" i="246" s="1"/>
  <c r="G41" i="141"/>
  <c r="L232" i="246" s="1"/>
  <c r="G40" i="141"/>
  <c r="L108" i="246" s="1"/>
  <c r="E21" i="228"/>
  <c r="E35" i="228"/>
  <c r="L29" i="324"/>
  <c r="L7" i="324"/>
  <c r="L23" i="324"/>
  <c r="P16" i="214"/>
  <c r="S84" i="209"/>
  <c r="P16" i="213"/>
  <c r="P16" i="105"/>
  <c r="H21" i="327"/>
  <c r="H35" i="327"/>
  <c r="H21" i="175"/>
  <c r="H35" i="175"/>
  <c r="D35" i="315"/>
  <c r="D7" i="315"/>
  <c r="D21" i="315"/>
  <c r="L23" i="315" s="1"/>
  <c r="D7" i="195"/>
  <c r="D21" i="195"/>
  <c r="L23" i="195" s="1"/>
  <c r="D35" i="195"/>
  <c r="E21" i="174"/>
  <c r="E35" i="174"/>
  <c r="D7" i="221"/>
  <c r="D21" i="221"/>
  <c r="L23" i="221" s="1"/>
  <c r="D35" i="221"/>
  <c r="D21" i="337"/>
  <c r="L23" i="337" s="1"/>
  <c r="D35" i="337"/>
  <c r="D7" i="337"/>
  <c r="D7" i="118"/>
  <c r="D21" i="118"/>
  <c r="L23" i="118" s="1"/>
  <c r="D35" i="118"/>
  <c r="D7" i="191"/>
  <c r="D21" i="191"/>
  <c r="L23" i="191" s="1"/>
  <c r="D35" i="191"/>
  <c r="L26" i="141"/>
  <c r="D18" i="141"/>
  <c r="D44" i="141"/>
  <c r="O108" i="246" s="1"/>
  <c r="D46" i="141"/>
  <c r="O666" i="246"/>
  <c r="I728" i="246"/>
  <c r="M728" i="246" s="1"/>
  <c r="I666" i="246"/>
  <c r="D45" i="141"/>
  <c r="I170" i="246" s="1"/>
  <c r="H35" i="228"/>
  <c r="H21" i="228"/>
  <c r="F21" i="175"/>
  <c r="F35" i="175"/>
  <c r="L26" i="189"/>
  <c r="D43" i="189" s="1"/>
  <c r="D47" i="189" s="1"/>
  <c r="O173" i="246" s="1"/>
  <c r="I669" i="246"/>
  <c r="D46" i="189"/>
  <c r="D44" i="189"/>
  <c r="O111" i="246" s="1"/>
  <c r="O669" i="246"/>
  <c r="I731" i="246"/>
  <c r="M731" i="246" s="1"/>
  <c r="D45" i="189"/>
  <c r="I173" i="246" s="1"/>
  <c r="E35" i="327"/>
  <c r="E21" i="327"/>
  <c r="D21" i="293"/>
  <c r="L23" i="293" s="1"/>
  <c r="D7" i="293"/>
  <c r="D35" i="293"/>
  <c r="H21" i="173"/>
  <c r="H35" i="173"/>
  <c r="F41" i="204"/>
  <c r="K231" i="246" s="1"/>
  <c r="F42" i="204"/>
  <c r="K293" i="246" s="1"/>
  <c r="F38" i="204"/>
  <c r="K45" i="246" s="1"/>
  <c r="F40" i="204"/>
  <c r="K107" i="246" s="1"/>
  <c r="F39" i="204"/>
  <c r="Q45" i="246" s="1"/>
  <c r="K789" i="246"/>
  <c r="F37" i="204"/>
  <c r="Q231" i="246" s="1"/>
  <c r="D39" i="204"/>
  <c r="O45" i="246" s="1"/>
  <c r="D40" i="204"/>
  <c r="I107" i="246" s="1"/>
  <c r="D42" i="204"/>
  <c r="I293" i="246" s="1"/>
  <c r="I789" i="246"/>
  <c r="D38" i="204"/>
  <c r="I45" i="246" s="1"/>
  <c r="D41" i="204"/>
  <c r="I231" i="246" s="1"/>
  <c r="D37" i="204"/>
  <c r="O231" i="246" s="1"/>
  <c r="T16" i="49"/>
  <c r="C777" i="209"/>
  <c r="V777" i="209" s="1"/>
  <c r="V717" i="209"/>
  <c r="G21" i="231"/>
  <c r="G35" i="231"/>
  <c r="F21" i="328"/>
  <c r="F35" i="328"/>
  <c r="H21" i="170"/>
  <c r="H35" i="170"/>
  <c r="F21" i="228"/>
  <c r="F35" i="228"/>
  <c r="D21" i="188"/>
  <c r="L23" i="188" s="1"/>
  <c r="D35" i="188"/>
  <c r="D7" i="188"/>
  <c r="D7" i="355"/>
  <c r="D21" i="355"/>
  <c r="L23" i="355" s="1"/>
  <c r="D35" i="355"/>
  <c r="L29" i="325"/>
  <c r="L7" i="325"/>
  <c r="L35" i="325"/>
  <c r="L23" i="325"/>
  <c r="D21" i="139"/>
  <c r="L23" i="139" s="1"/>
  <c r="D35" i="139"/>
  <c r="D7" i="139"/>
  <c r="D7" i="344"/>
  <c r="D21" i="344"/>
  <c r="L23" i="344" s="1"/>
  <c r="D35" i="344"/>
  <c r="D7" i="356"/>
  <c r="D35" i="356"/>
  <c r="D21" i="356"/>
  <c r="L23" i="356" s="1"/>
  <c r="F42" i="146"/>
  <c r="K298" i="246" s="1"/>
  <c r="K794" i="246"/>
  <c r="F38" i="146"/>
  <c r="K50" i="246" s="1"/>
  <c r="F41" i="146"/>
  <c r="K236" i="246" s="1"/>
  <c r="F37" i="146"/>
  <c r="Q236" i="246" s="1"/>
  <c r="F40" i="146"/>
  <c r="K112" i="246" s="1"/>
  <c r="F39" i="146"/>
  <c r="Q50" i="246" s="1"/>
  <c r="H27" i="250"/>
  <c r="H41" i="250" s="1"/>
  <c r="M241" i="209" s="1"/>
  <c r="F21" i="229"/>
  <c r="F35" i="229"/>
  <c r="E14" i="170"/>
  <c r="E14" i="172"/>
  <c r="E40" i="160"/>
  <c r="J103" i="246" s="1"/>
  <c r="E42" i="160"/>
  <c r="J289" i="246" s="1"/>
  <c r="E38" i="160"/>
  <c r="J41" i="246" s="1"/>
  <c r="E39" i="160"/>
  <c r="P41" i="246" s="1"/>
  <c r="J785" i="246"/>
  <c r="E41" i="160"/>
  <c r="J227" i="246" s="1"/>
  <c r="E37" i="160"/>
  <c r="P227" i="246" s="1"/>
  <c r="H28" i="250"/>
  <c r="H42" i="250" s="1"/>
  <c r="M301" i="209" s="1"/>
  <c r="G21" i="229"/>
  <c r="G35" i="229"/>
  <c r="E35" i="175"/>
  <c r="E21" i="175"/>
  <c r="G35" i="228"/>
  <c r="G21" i="228"/>
  <c r="D7" i="194"/>
  <c r="D21" i="194"/>
  <c r="L23" i="194" s="1"/>
  <c r="D35" i="194"/>
  <c r="G9" i="164"/>
  <c r="G65" i="164"/>
  <c r="G31" i="164"/>
  <c r="G58" i="164"/>
  <c r="G24" i="164"/>
  <c r="G43" i="164"/>
  <c r="D7" i="347"/>
  <c r="D21" i="347"/>
  <c r="L23" i="347" s="1"/>
  <c r="D35" i="347"/>
  <c r="D21" i="97"/>
  <c r="L23" i="97" s="1"/>
  <c r="D35" i="97"/>
  <c r="D7" i="97"/>
  <c r="D7" i="307"/>
  <c r="D21" i="307"/>
  <c r="L23" i="307" s="1"/>
  <c r="D35" i="307"/>
  <c r="E21" i="170"/>
  <c r="E35" i="170"/>
  <c r="D7" i="295"/>
  <c r="D35" i="295"/>
  <c r="D21" i="295"/>
  <c r="L23" i="295" s="1"/>
  <c r="E42" i="195"/>
  <c r="J296" i="246" s="1"/>
  <c r="E37" i="195"/>
  <c r="P234" i="246" s="1"/>
  <c r="E38" i="195"/>
  <c r="J48" i="246" s="1"/>
  <c r="E40" i="195"/>
  <c r="J110" i="246" s="1"/>
  <c r="J792" i="246"/>
  <c r="E41" i="195"/>
  <c r="J234" i="246" s="1"/>
  <c r="E39" i="195"/>
  <c r="P48" i="246" s="1"/>
  <c r="D21" i="187"/>
  <c r="L23" i="187" s="1"/>
  <c r="D35" i="187"/>
  <c r="D7" i="187"/>
  <c r="D35" i="349"/>
  <c r="D21" i="349"/>
  <c r="L23" i="349" s="1"/>
  <c r="D7" i="349"/>
  <c r="N26" i="183"/>
  <c r="F43" i="183" s="1"/>
  <c r="F47" i="183" s="1"/>
  <c r="Q177" i="246" s="1"/>
  <c r="F18" i="183"/>
  <c r="F44" i="183"/>
  <c r="Q115" i="246" s="1"/>
  <c r="F46" i="183"/>
  <c r="K673" i="246"/>
  <c r="K735" i="246"/>
  <c r="Q673" i="246"/>
  <c r="F45" i="183"/>
  <c r="K177" i="246" s="1"/>
  <c r="D14" i="231"/>
  <c r="D14" i="170"/>
  <c r="D14" i="175" s="1"/>
  <c r="D14" i="172"/>
  <c r="D14" i="174" s="1"/>
  <c r="G14" i="226"/>
  <c r="T23" i="28"/>
  <c r="D18" i="103"/>
  <c r="D39" i="91"/>
  <c r="D42" i="91"/>
  <c r="I256" i="246" s="1"/>
  <c r="I752" i="246"/>
  <c r="D40" i="91"/>
  <c r="D38" i="91"/>
  <c r="D41" i="91"/>
  <c r="D37" i="91"/>
  <c r="D7" i="166"/>
  <c r="D21" i="166"/>
  <c r="L23" i="166" s="1"/>
  <c r="D35" i="166"/>
  <c r="G21" i="327"/>
  <c r="G35" i="327"/>
  <c r="H35" i="229"/>
  <c r="H21" i="229"/>
  <c r="D21" i="202"/>
  <c r="L23" i="202" s="1"/>
  <c r="D35" i="202"/>
  <c r="D7" i="202"/>
  <c r="D21" i="219"/>
  <c r="L23" i="219" s="1"/>
  <c r="D35" i="219"/>
  <c r="D7" i="219"/>
  <c r="D21" i="313"/>
  <c r="L23" i="313" s="1"/>
  <c r="D35" i="313"/>
  <c r="D7" i="313"/>
  <c r="D35" i="4"/>
  <c r="D7" i="4"/>
  <c r="D21" i="4"/>
  <c r="L23" i="4" s="1"/>
  <c r="D7" i="154"/>
  <c r="D21" i="154"/>
  <c r="L23" i="154" s="1"/>
  <c r="D35" i="154"/>
  <c r="N23" i="49"/>
  <c r="G21" i="170"/>
  <c r="G35" i="170"/>
  <c r="E21" i="231"/>
  <c r="E35" i="231"/>
  <c r="E18" i="141"/>
  <c r="M26" i="141"/>
  <c r="E43" i="141" s="1"/>
  <c r="E47" i="141" s="1"/>
  <c r="P170" i="246" s="1"/>
  <c r="J728" i="246"/>
  <c r="P666" i="246"/>
  <c r="J666" i="246"/>
  <c r="E44" i="141"/>
  <c r="P108" i="246" s="1"/>
  <c r="E46" i="141"/>
  <c r="E45" i="141"/>
  <c r="J170" i="246" s="1"/>
  <c r="G18" i="194"/>
  <c r="G40" i="194" s="1"/>
  <c r="L102" i="246" s="1"/>
  <c r="G41" i="188"/>
  <c r="L230" i="246" s="1"/>
  <c r="L788" i="246"/>
  <c r="G37" i="188"/>
  <c r="R230" i="246" s="1"/>
  <c r="G39" i="188"/>
  <c r="R44" i="246" s="1"/>
  <c r="G40" i="188"/>
  <c r="L106" i="246" s="1"/>
  <c r="G42" i="188"/>
  <c r="L292" i="246" s="1"/>
  <c r="G38" i="188"/>
  <c r="L44" i="246" s="1"/>
  <c r="R14" i="33"/>
  <c r="H21" i="174"/>
  <c r="H35" i="174"/>
  <c r="G21" i="173"/>
  <c r="G35" i="173"/>
  <c r="D7" i="190"/>
  <c r="D21" i="190"/>
  <c r="L23" i="190" s="1"/>
  <c r="D35" i="190"/>
  <c r="G18" i="183"/>
  <c r="H18" i="183" s="1"/>
  <c r="G46" i="183"/>
  <c r="L673" i="246"/>
  <c r="G45" i="183"/>
  <c r="L177" i="246" s="1"/>
  <c r="G44" i="183"/>
  <c r="R115" i="246" s="1"/>
  <c r="R673" i="246"/>
  <c r="L735" i="246"/>
  <c r="M735" i="246" s="1"/>
  <c r="M26" i="183"/>
  <c r="E43" i="183" s="1"/>
  <c r="E47" i="183" s="1"/>
  <c r="P177" i="246" s="1"/>
  <c r="E18" i="183"/>
  <c r="E45" i="183"/>
  <c r="J177" i="246" s="1"/>
  <c r="E44" i="183"/>
  <c r="P115" i="246" s="1"/>
  <c r="J735" i="246"/>
  <c r="E46" i="183"/>
  <c r="P673" i="246"/>
  <c r="J673" i="246"/>
  <c r="M26" i="194"/>
  <c r="E43" i="194" s="1"/>
  <c r="E47" i="194" s="1"/>
  <c r="P164" i="246" s="1"/>
  <c r="E18" i="194"/>
  <c r="E44" i="194"/>
  <c r="P102" i="246" s="1"/>
  <c r="J660" i="246"/>
  <c r="P660" i="246"/>
  <c r="E45" i="194"/>
  <c r="J164" i="246" s="1"/>
  <c r="J722" i="246"/>
  <c r="E46" i="194"/>
  <c r="F14" i="226"/>
  <c r="O89" i="246"/>
  <c r="V412" i="209"/>
  <c r="C472" i="209"/>
  <c r="L26" i="103"/>
  <c r="D43" i="91"/>
  <c r="E14" i="231"/>
  <c r="G21" i="174"/>
  <c r="G35" i="174"/>
  <c r="F21" i="327"/>
  <c r="F35" i="327"/>
  <c r="E35" i="229"/>
  <c r="E21" i="229"/>
  <c r="L29" i="349"/>
  <c r="L7" i="349"/>
  <c r="D21" i="334"/>
  <c r="L23" i="334" s="1"/>
  <c r="D35" i="334"/>
  <c r="D7" i="334"/>
  <c r="D7" i="101"/>
  <c r="D21" i="101"/>
  <c r="L23" i="101" s="1"/>
  <c r="D35" i="101"/>
  <c r="M26" i="189"/>
  <c r="E43" i="189" s="1"/>
  <c r="E47" i="189" s="1"/>
  <c r="P173" i="246" s="1"/>
  <c r="E18" i="189"/>
  <c r="J731" i="246"/>
  <c r="P669" i="246"/>
  <c r="E46" i="189"/>
  <c r="J669" i="246"/>
  <c r="E45" i="189"/>
  <c r="J173" i="246" s="1"/>
  <c r="E44" i="189"/>
  <c r="P111" i="246" s="1"/>
  <c r="F18" i="270"/>
  <c r="K672" i="246"/>
  <c r="F46" i="270"/>
  <c r="F45" i="270"/>
  <c r="K176" i="246" s="1"/>
  <c r="Q672" i="246"/>
  <c r="K734" i="246"/>
  <c r="F44" i="270"/>
  <c r="Q114" i="246" s="1"/>
  <c r="D21" i="214"/>
  <c r="L23" i="214" s="1"/>
  <c r="D35" i="214"/>
  <c r="D7" i="214"/>
  <c r="D7" i="126"/>
  <c r="D21" i="126"/>
  <c r="L23" i="126" s="1"/>
  <c r="D35" i="126"/>
  <c r="P13" i="347"/>
  <c r="P13" i="221"/>
  <c r="P13" i="220"/>
  <c r="M237" i="209"/>
  <c r="N26" i="189"/>
  <c r="F43" i="189" s="1"/>
  <c r="F47" i="189" s="1"/>
  <c r="Q173" i="246" s="1"/>
  <c r="K669" i="246"/>
  <c r="F45" i="189"/>
  <c r="K173" i="246" s="1"/>
  <c r="F46" i="189"/>
  <c r="K731" i="246"/>
  <c r="F44" i="189"/>
  <c r="Q111" i="246" s="1"/>
  <c r="Q669" i="246"/>
  <c r="O26" i="126"/>
  <c r="R662" i="246"/>
  <c r="L662" i="246"/>
  <c r="G46" i="126"/>
  <c r="G45" i="126"/>
  <c r="L166" i="246" s="1"/>
  <c r="L724" i="246"/>
  <c r="G44" i="126"/>
  <c r="R104" i="246" s="1"/>
  <c r="N26" i="151"/>
  <c r="F43" i="151" s="1"/>
  <c r="F47" i="151" s="1"/>
  <c r="Q167" i="246" s="1"/>
  <c r="F18" i="151"/>
  <c r="F44" i="151"/>
  <c r="Q105" i="246" s="1"/>
  <c r="F45" i="151"/>
  <c r="K167" i="246" s="1"/>
  <c r="Q663" i="246"/>
  <c r="F46" i="151"/>
  <c r="K725" i="246"/>
  <c r="K663" i="246"/>
  <c r="D18" i="194"/>
  <c r="I660" i="246"/>
  <c r="O660" i="246"/>
  <c r="I722" i="246"/>
  <c r="M722" i="246" s="1"/>
  <c r="D44" i="194"/>
  <c r="O102" i="246" s="1"/>
  <c r="D46" i="194"/>
  <c r="D45" i="194"/>
  <c r="I164" i="246" s="1"/>
  <c r="D40" i="183"/>
  <c r="I115" i="246" s="1"/>
  <c r="D42" i="183"/>
  <c r="I301" i="246" s="1"/>
  <c r="D41" i="183"/>
  <c r="I239" i="246" s="1"/>
  <c r="D39" i="183"/>
  <c r="O53" i="246" s="1"/>
  <c r="D37" i="183"/>
  <c r="O239" i="246" s="1"/>
  <c r="I797" i="246"/>
  <c r="D38" i="183"/>
  <c r="I53" i="246" s="1"/>
  <c r="F38" i="203"/>
  <c r="K51" i="246" s="1"/>
  <c r="F42" i="203"/>
  <c r="K299" i="246" s="1"/>
  <c r="K795" i="246"/>
  <c r="F40" i="203"/>
  <c r="K113" i="246" s="1"/>
  <c r="F39" i="203"/>
  <c r="Q51" i="246" s="1"/>
  <c r="F41" i="203"/>
  <c r="K237" i="246" s="1"/>
  <c r="F37" i="203"/>
  <c r="Q237" i="246" s="1"/>
  <c r="T20" i="49"/>
  <c r="T21" i="49" s="1"/>
  <c r="D21" i="151"/>
  <c r="L23" i="151" s="1"/>
  <c r="D35" i="151"/>
  <c r="D7" i="151"/>
  <c r="F21" i="231"/>
  <c r="F35" i="231"/>
  <c r="G35" i="328"/>
  <c r="G21" i="328"/>
  <c r="F35" i="173"/>
  <c r="F21" i="173"/>
  <c r="F21" i="174"/>
  <c r="F35" i="174"/>
  <c r="D21" i="290"/>
  <c r="D7" i="290"/>
  <c r="D35" i="290"/>
  <c r="D21" i="10"/>
  <c r="L23" i="10" s="1"/>
  <c r="D35" i="10"/>
  <c r="D7" i="10"/>
  <c r="N26" i="195"/>
  <c r="F43" i="195" s="1"/>
  <c r="F47" i="195" s="1"/>
  <c r="Q172" i="246" s="1"/>
  <c r="F18" i="195"/>
  <c r="F44" i="195"/>
  <c r="Q110" i="246" s="1"/>
  <c r="F45" i="195"/>
  <c r="K172" i="246" s="1"/>
  <c r="K730" i="246"/>
  <c r="F46" i="195"/>
  <c r="K668" i="246"/>
  <c r="Q668" i="246"/>
  <c r="G43" i="183"/>
  <c r="G47" i="183" s="1"/>
  <c r="R177" i="246" s="1"/>
  <c r="P26" i="183"/>
  <c r="G37" i="146"/>
  <c r="R236" i="246" s="1"/>
  <c r="L794" i="246"/>
  <c r="G40" i="146"/>
  <c r="L112" i="246" s="1"/>
  <c r="G39" i="146"/>
  <c r="R50" i="246" s="1"/>
  <c r="G38" i="146"/>
  <c r="L50" i="246" s="1"/>
  <c r="G42" i="146"/>
  <c r="L298" i="246" s="1"/>
  <c r="G41" i="146"/>
  <c r="L236" i="246" s="1"/>
  <c r="G43" i="270"/>
  <c r="G47" i="270" s="1"/>
  <c r="R176" i="246" s="1"/>
  <c r="I151" i="246"/>
  <c r="G43" i="194"/>
  <c r="G47" i="194" s="1"/>
  <c r="R164" i="246" s="1"/>
  <c r="L26" i="151"/>
  <c r="D11" i="226"/>
  <c r="D18" i="151"/>
  <c r="I725" i="246"/>
  <c r="M725" i="246" s="1"/>
  <c r="I663" i="246"/>
  <c r="D44" i="151"/>
  <c r="O663" i="246"/>
  <c r="D45" i="151"/>
  <c r="D46" i="151"/>
  <c r="F37" i="160"/>
  <c r="Q227" i="246" s="1"/>
  <c r="F42" i="160"/>
  <c r="K289" i="246" s="1"/>
  <c r="F40" i="160"/>
  <c r="K103" i="246" s="1"/>
  <c r="F41" i="160"/>
  <c r="K227" i="246" s="1"/>
  <c r="K785" i="246"/>
  <c r="F38" i="160"/>
  <c r="K41" i="246" s="1"/>
  <c r="F39" i="160"/>
  <c r="Q41" i="246" s="1"/>
  <c r="L26" i="203"/>
  <c r="D18" i="203"/>
  <c r="O671" i="246"/>
  <c r="I671" i="246"/>
  <c r="D46" i="203"/>
  <c r="D45" i="203"/>
  <c r="I733" i="246"/>
  <c r="M733" i="246" s="1"/>
  <c r="D44" i="203"/>
  <c r="M26" i="151"/>
  <c r="E18" i="151"/>
  <c r="E11" i="226"/>
  <c r="J725" i="246"/>
  <c r="J663" i="246"/>
  <c r="E46" i="151"/>
  <c r="E44" i="151"/>
  <c r="P105" i="246" s="1"/>
  <c r="P663" i="246"/>
  <c r="E45" i="151"/>
  <c r="J167" i="246" s="1"/>
  <c r="G41" i="204"/>
  <c r="L231" i="246" s="1"/>
  <c r="G42" i="204"/>
  <c r="L293" i="246" s="1"/>
  <c r="G39" i="204"/>
  <c r="R45" i="246" s="1"/>
  <c r="H18" i="204"/>
  <c r="G37" i="204"/>
  <c r="R231" i="246" s="1"/>
  <c r="L789" i="246"/>
  <c r="G40" i="204"/>
  <c r="L107" i="246" s="1"/>
  <c r="G38" i="204"/>
  <c r="L45" i="246" s="1"/>
  <c r="G39" i="151"/>
  <c r="R43" i="246" s="1"/>
  <c r="L787" i="246"/>
  <c r="G41" i="151"/>
  <c r="L229" i="246" s="1"/>
  <c r="G40" i="151"/>
  <c r="L105" i="246" s="1"/>
  <c r="G38" i="151"/>
  <c r="L43" i="246" s="1"/>
  <c r="G37" i="151"/>
  <c r="R229" i="246" s="1"/>
  <c r="G42" i="151"/>
  <c r="L291" i="246" s="1"/>
  <c r="F37" i="189"/>
  <c r="Q235" i="246" s="1"/>
  <c r="F41" i="189"/>
  <c r="K235" i="246" s="1"/>
  <c r="K793" i="246"/>
  <c r="F42" i="189"/>
  <c r="K297" i="246" s="1"/>
  <c r="F38" i="189"/>
  <c r="K49" i="246" s="1"/>
  <c r="F40" i="189"/>
  <c r="K111" i="246" s="1"/>
  <c r="F39" i="189"/>
  <c r="Q49" i="246" s="1"/>
  <c r="M26" i="137"/>
  <c r="E43" i="137" s="1"/>
  <c r="E47" i="137" s="1"/>
  <c r="P171" i="246" s="1"/>
  <c r="E18" i="137"/>
  <c r="E46" i="137"/>
  <c r="J729" i="246"/>
  <c r="E45" i="137"/>
  <c r="J171" i="246" s="1"/>
  <c r="J667" i="246"/>
  <c r="E44" i="137"/>
  <c r="P109" i="246" s="1"/>
  <c r="P667" i="246"/>
  <c r="G43" i="204"/>
  <c r="G47" i="204" s="1"/>
  <c r="R169" i="246" s="1"/>
  <c r="G42" i="160"/>
  <c r="L289" i="246" s="1"/>
  <c r="G39" i="160"/>
  <c r="R41" i="246" s="1"/>
  <c r="G40" i="160"/>
  <c r="L103" i="246" s="1"/>
  <c r="G41" i="160"/>
  <c r="L227" i="246" s="1"/>
  <c r="G38" i="160"/>
  <c r="L41" i="246" s="1"/>
  <c r="L785" i="246"/>
  <c r="G37" i="160"/>
  <c r="R227" i="246" s="1"/>
  <c r="D18" i="137"/>
  <c r="L26" i="137"/>
  <c r="I667" i="246"/>
  <c r="D44" i="137"/>
  <c r="D46" i="137"/>
  <c r="D45" i="137"/>
  <c r="O667" i="246"/>
  <c r="I729" i="246"/>
  <c r="E18" i="204"/>
  <c r="M26" i="204"/>
  <c r="E43" i="204" s="1"/>
  <c r="E47" i="204" s="1"/>
  <c r="P169" i="246" s="1"/>
  <c r="J665" i="246"/>
  <c r="P665" i="246"/>
  <c r="E46" i="204"/>
  <c r="E45" i="204"/>
  <c r="J169" i="246" s="1"/>
  <c r="J727" i="246"/>
  <c r="E44" i="204"/>
  <c r="P107" i="246" s="1"/>
  <c r="D40" i="160"/>
  <c r="D41" i="160"/>
  <c r="D42" i="160"/>
  <c r="H18" i="160"/>
  <c r="D37" i="160"/>
  <c r="I785" i="246"/>
  <c r="D39" i="160"/>
  <c r="D38" i="160"/>
  <c r="M26" i="203"/>
  <c r="E43" i="203" s="1"/>
  <c r="E47" i="203" s="1"/>
  <c r="P175" i="246" s="1"/>
  <c r="E18" i="203"/>
  <c r="E45" i="203"/>
  <c r="J175" i="246" s="1"/>
  <c r="E46" i="203"/>
  <c r="E44" i="203"/>
  <c r="P113" i="246" s="1"/>
  <c r="P671" i="246"/>
  <c r="J671" i="246"/>
  <c r="J733" i="246"/>
  <c r="G37" i="203"/>
  <c r="R237" i="246" s="1"/>
  <c r="L795" i="246"/>
  <c r="G40" i="203"/>
  <c r="L113" i="246" s="1"/>
  <c r="G39" i="203"/>
  <c r="R51" i="246" s="1"/>
  <c r="G38" i="203"/>
  <c r="L51" i="246" s="1"/>
  <c r="G42" i="203"/>
  <c r="L299" i="246" s="1"/>
  <c r="G41" i="203"/>
  <c r="L237" i="246" s="1"/>
  <c r="F38" i="137"/>
  <c r="K47" i="246" s="1"/>
  <c r="F37" i="137"/>
  <c r="Q233" i="246" s="1"/>
  <c r="F41" i="137"/>
  <c r="K233" i="246" s="1"/>
  <c r="F39" i="137"/>
  <c r="Q47" i="246" s="1"/>
  <c r="F40" i="137"/>
  <c r="K109" i="246" s="1"/>
  <c r="K791" i="246"/>
  <c r="F42" i="137"/>
  <c r="K295" i="246" s="1"/>
  <c r="G43" i="189"/>
  <c r="G47" i="189" s="1"/>
  <c r="R173" i="246" s="1"/>
  <c r="E43" i="345"/>
  <c r="E47" i="345" s="1"/>
  <c r="P169" i="209" s="1"/>
  <c r="P769" i="209"/>
  <c r="E18" i="270"/>
  <c r="M26" i="270"/>
  <c r="E43" i="270" s="1"/>
  <c r="E47" i="270" s="1"/>
  <c r="P176" i="246" s="1"/>
  <c r="P672" i="246"/>
  <c r="E46" i="270"/>
  <c r="E44" i="270"/>
  <c r="P114" i="246" s="1"/>
  <c r="E45" i="270"/>
  <c r="J176" i="246" s="1"/>
  <c r="J672" i="246"/>
  <c r="J734" i="246"/>
  <c r="D42" i="189"/>
  <c r="D41" i="189"/>
  <c r="I793" i="246"/>
  <c r="D38" i="189"/>
  <c r="D39" i="189"/>
  <c r="D37" i="189"/>
  <c r="D40" i="189"/>
  <c r="H18" i="189"/>
  <c r="P26" i="194"/>
  <c r="D43" i="194"/>
  <c r="G42" i="189"/>
  <c r="L297" i="246" s="1"/>
  <c r="L793" i="246"/>
  <c r="G41" i="189"/>
  <c r="L235" i="246" s="1"/>
  <c r="G39" i="189"/>
  <c r="R49" i="246" s="1"/>
  <c r="G37" i="189"/>
  <c r="R235" i="246" s="1"/>
  <c r="G38" i="189"/>
  <c r="L49" i="246" s="1"/>
  <c r="G40" i="189"/>
  <c r="L111" i="246" s="1"/>
  <c r="E42" i="345"/>
  <c r="J289" i="209" s="1"/>
  <c r="J769" i="209"/>
  <c r="E40" i="345"/>
  <c r="J109" i="209" s="1"/>
  <c r="E39" i="345"/>
  <c r="P49" i="209" s="1"/>
  <c r="E38" i="345"/>
  <c r="J49" i="209" s="1"/>
  <c r="E37" i="345"/>
  <c r="P229" i="209" s="1"/>
  <c r="E41" i="345"/>
  <c r="J229" i="209" s="1"/>
  <c r="F11" i="226"/>
  <c r="N26" i="194"/>
  <c r="F18" i="194"/>
  <c r="F44" i="194"/>
  <c r="Q102" i="246" s="1"/>
  <c r="F46" i="194"/>
  <c r="Q660" i="246"/>
  <c r="K722" i="246"/>
  <c r="F45" i="194"/>
  <c r="K164" i="246" s="1"/>
  <c r="K660" i="246"/>
  <c r="O26" i="137"/>
  <c r="G43" i="137" s="1"/>
  <c r="G47" i="137" s="1"/>
  <c r="R171" i="246" s="1"/>
  <c r="G18" i="137"/>
  <c r="G46" i="137"/>
  <c r="R667" i="246"/>
  <c r="L729" i="246"/>
  <c r="L667" i="246"/>
  <c r="G45" i="137"/>
  <c r="L171" i="246" s="1"/>
  <c r="G44" i="137"/>
  <c r="R109" i="246" s="1"/>
  <c r="D43" i="195"/>
  <c r="G40" i="270"/>
  <c r="L114" i="246" s="1"/>
  <c r="G37" i="270"/>
  <c r="R238" i="246" s="1"/>
  <c r="G41" i="270"/>
  <c r="L238" i="246" s="1"/>
  <c r="L796" i="246"/>
  <c r="G39" i="270"/>
  <c r="R52" i="246" s="1"/>
  <c r="G42" i="270"/>
  <c r="L300" i="246" s="1"/>
  <c r="G38" i="270"/>
  <c r="L52" i="246" s="1"/>
  <c r="D43" i="97"/>
  <c r="D43" i="187"/>
  <c r="P26" i="187" l="1"/>
  <c r="D39" i="14"/>
  <c r="O10" i="209" s="1"/>
  <c r="D37" i="14"/>
  <c r="O190" i="209" s="1"/>
  <c r="F39" i="187"/>
  <c r="Q20" i="246" s="1"/>
  <c r="K764" i="246"/>
  <c r="J40" i="70"/>
  <c r="J42" i="70" s="1"/>
  <c r="J44" i="70" s="1"/>
  <c r="J47" i="70" s="1"/>
  <c r="J49" i="70" s="1"/>
  <c r="F39" i="354"/>
  <c r="R767" i="209"/>
  <c r="S767" i="209" s="1"/>
  <c r="D42" i="353"/>
  <c r="I287" i="209" s="1"/>
  <c r="T24" i="37"/>
  <c r="D41" i="14"/>
  <c r="I190" i="209" s="1"/>
  <c r="D40" i="14"/>
  <c r="I70" i="209" s="1"/>
  <c r="D42" i="14"/>
  <c r="I250" i="209" s="1"/>
  <c r="D38" i="14"/>
  <c r="I10" i="209" s="1"/>
  <c r="P26" i="139"/>
  <c r="M707" i="209"/>
  <c r="F37" i="162"/>
  <c r="Q208" i="209" s="1"/>
  <c r="F38" i="354"/>
  <c r="F42" i="354"/>
  <c r="F41" i="162"/>
  <c r="K208" i="209" s="1"/>
  <c r="F40" i="354"/>
  <c r="F39" i="91"/>
  <c r="Q8" i="246" s="1"/>
  <c r="E18" i="223"/>
  <c r="D18" i="223"/>
  <c r="D41" i="223" s="1"/>
  <c r="I208" i="246" s="1"/>
  <c r="F41" i="139"/>
  <c r="K207" i="246" s="1"/>
  <c r="F18" i="223"/>
  <c r="F42" i="223" s="1"/>
  <c r="K270" i="246" s="1"/>
  <c r="J36" i="36"/>
  <c r="R21" i="37"/>
  <c r="N38" i="37"/>
  <c r="T31" i="37"/>
  <c r="T27" i="37"/>
  <c r="R29" i="37"/>
  <c r="R24" i="28"/>
  <c r="R32" i="28" s="1"/>
  <c r="I767" i="209"/>
  <c r="D39" i="353"/>
  <c r="O47" i="209" s="1"/>
  <c r="D37" i="353"/>
  <c r="O227" i="209" s="1"/>
  <c r="D40" i="353"/>
  <c r="I107" i="209" s="1"/>
  <c r="P26" i="353"/>
  <c r="D41" i="353"/>
  <c r="I227" i="209" s="1"/>
  <c r="X65" i="28"/>
  <c r="X62" i="28"/>
  <c r="X64" i="28"/>
  <c r="X63" i="28"/>
  <c r="G41" i="354"/>
  <c r="X66" i="28"/>
  <c r="F42" i="91"/>
  <c r="K256" i="246" s="1"/>
  <c r="F37" i="91"/>
  <c r="Q194" i="246" s="1"/>
  <c r="F40" i="91"/>
  <c r="K70" i="246" s="1"/>
  <c r="K752" i="246"/>
  <c r="F18" i="103"/>
  <c r="F41" i="103" s="1"/>
  <c r="F41" i="91"/>
  <c r="K194" i="246" s="1"/>
  <c r="G38" i="353"/>
  <c r="L47" i="209" s="1"/>
  <c r="M541" i="209"/>
  <c r="V15" i="340"/>
  <c r="X50" i="340" s="1"/>
  <c r="N26" i="212"/>
  <c r="G14" i="123"/>
  <c r="G14" i="44" s="1"/>
  <c r="G14" i="328" s="1"/>
  <c r="F41" i="353"/>
  <c r="K227" i="209" s="1"/>
  <c r="P26" i="354"/>
  <c r="J18" i="292"/>
  <c r="E38" i="39"/>
  <c r="J41" i="209" s="1"/>
  <c r="D40" i="39"/>
  <c r="I101" i="209" s="1"/>
  <c r="L26" i="223"/>
  <c r="D43" i="223" s="1"/>
  <c r="D47" i="223" s="1"/>
  <c r="O146" i="246" s="1"/>
  <c r="O737" i="209"/>
  <c r="E40" i="334"/>
  <c r="J87" i="209" s="1"/>
  <c r="J747" i="209"/>
  <c r="O26" i="44"/>
  <c r="L26" i="44"/>
  <c r="E43" i="39"/>
  <c r="E47" i="39" s="1"/>
  <c r="P161" i="209" s="1"/>
  <c r="M26" i="44"/>
  <c r="F40" i="39"/>
  <c r="K101" i="209" s="1"/>
  <c r="F43" i="39"/>
  <c r="F47" i="39" s="1"/>
  <c r="Q161" i="209" s="1"/>
  <c r="N26" i="44"/>
  <c r="F43" i="44" s="1"/>
  <c r="H38" i="250"/>
  <c r="M61" i="209" s="1"/>
  <c r="G43" i="347"/>
  <c r="G47" i="347" s="1"/>
  <c r="R172" i="209" s="1"/>
  <c r="Q767" i="209"/>
  <c r="P26" i="347"/>
  <c r="P16" i="221"/>
  <c r="G14" i="171"/>
  <c r="H43" i="250"/>
  <c r="P9" i="364"/>
  <c r="P9" i="221"/>
  <c r="P9" i="220"/>
  <c r="P9" i="347"/>
  <c r="D43" i="9"/>
  <c r="D47" i="9" s="1"/>
  <c r="O136" i="209" s="1"/>
  <c r="P26" i="9"/>
  <c r="K767" i="209"/>
  <c r="S57" i="209"/>
  <c r="E43" i="334"/>
  <c r="E47" i="334" s="1"/>
  <c r="P147" i="209" s="1"/>
  <c r="F37" i="353"/>
  <c r="Q227" i="209" s="1"/>
  <c r="F39" i="353"/>
  <c r="Q47" i="209" s="1"/>
  <c r="F38" i="353"/>
  <c r="K47" i="209" s="1"/>
  <c r="F42" i="353"/>
  <c r="K287" i="209" s="1"/>
  <c r="R736" i="209"/>
  <c r="S736" i="209" s="1"/>
  <c r="S117" i="209"/>
  <c r="S481" i="209"/>
  <c r="P26" i="202"/>
  <c r="M676" i="209"/>
  <c r="G40" i="354"/>
  <c r="H18" i="354"/>
  <c r="G42" i="354"/>
  <c r="G37" i="354"/>
  <c r="G39" i="354"/>
  <c r="P16" i="347"/>
  <c r="P16" i="220"/>
  <c r="J23" i="142"/>
  <c r="V11" i="142" s="1"/>
  <c r="G39" i="353"/>
  <c r="R47" i="209" s="1"/>
  <c r="G40" i="353"/>
  <c r="L107" i="209" s="1"/>
  <c r="L767" i="209"/>
  <c r="G41" i="353"/>
  <c r="L227" i="209" s="1"/>
  <c r="E39" i="271"/>
  <c r="P29" i="246" s="1"/>
  <c r="F15" i="184"/>
  <c r="P10" i="214"/>
  <c r="M24" i="209"/>
  <c r="P10" i="213"/>
  <c r="P10" i="105"/>
  <c r="M324" i="209"/>
  <c r="G37" i="353"/>
  <c r="R227" i="209" s="1"/>
  <c r="H18" i="353"/>
  <c r="G38" i="271"/>
  <c r="L29" i="246" s="1"/>
  <c r="G37" i="271"/>
  <c r="R215" i="246" s="1"/>
  <c r="G41" i="271"/>
  <c r="L215" i="246" s="1"/>
  <c r="G42" i="271"/>
  <c r="L277" i="246" s="1"/>
  <c r="D42" i="202"/>
  <c r="I267" i="246" s="1"/>
  <c r="G39" i="271"/>
  <c r="R29" i="246" s="1"/>
  <c r="L773" i="246"/>
  <c r="M773" i="246" s="1"/>
  <c r="D37" i="202"/>
  <c r="O205" i="246" s="1"/>
  <c r="P11" i="220"/>
  <c r="D47" i="315"/>
  <c r="O164" i="209" s="1"/>
  <c r="E37" i="334"/>
  <c r="P207" i="209" s="1"/>
  <c r="E38" i="334"/>
  <c r="J27" i="209" s="1"/>
  <c r="E42" i="334"/>
  <c r="J267" i="209" s="1"/>
  <c r="E39" i="334"/>
  <c r="P27" i="209" s="1"/>
  <c r="F37" i="345"/>
  <c r="Q229" i="209" s="1"/>
  <c r="X48" i="100"/>
  <c r="X46" i="100"/>
  <c r="R36" i="36"/>
  <c r="X51" i="100"/>
  <c r="X49" i="100"/>
  <c r="F38" i="191"/>
  <c r="K37" i="246" s="1"/>
  <c r="P16" i="325"/>
  <c r="E41" i="271"/>
  <c r="J215" i="246" s="1"/>
  <c r="E42" i="271"/>
  <c r="J277" i="246" s="1"/>
  <c r="J773" i="246"/>
  <c r="S541" i="209"/>
  <c r="E11" i="250"/>
  <c r="K761" i="209"/>
  <c r="D18" i="248"/>
  <c r="J33" i="340"/>
  <c r="V21" i="340" s="1"/>
  <c r="G11" i="250"/>
  <c r="V12" i="340"/>
  <c r="X48" i="340" s="1"/>
  <c r="F11" i="250"/>
  <c r="D46" i="247"/>
  <c r="L18" i="214" s="1"/>
  <c r="D11" i="250"/>
  <c r="G38" i="347"/>
  <c r="L52" i="209" s="1"/>
  <c r="G18" i="248"/>
  <c r="J772" i="209"/>
  <c r="E18" i="248"/>
  <c r="V14" i="340"/>
  <c r="X49" i="340" s="1"/>
  <c r="V17" i="340"/>
  <c r="F41" i="347"/>
  <c r="K232" i="209" s="1"/>
  <c r="F18" i="248"/>
  <c r="V19" i="340"/>
  <c r="X19" i="340" s="1"/>
  <c r="N36" i="36"/>
  <c r="P11" i="221"/>
  <c r="P11" i="347"/>
  <c r="P10" i="364"/>
  <c r="P10" i="220"/>
  <c r="M57" i="209"/>
  <c r="P10" i="221"/>
  <c r="S421" i="209"/>
  <c r="M421" i="209"/>
  <c r="I742" i="209"/>
  <c r="S601" i="209"/>
  <c r="P10" i="289"/>
  <c r="P10" i="290"/>
  <c r="H37" i="250"/>
  <c r="S241" i="209" s="1"/>
  <c r="F43" i="315"/>
  <c r="F47" i="315" s="1"/>
  <c r="Q164" i="209" s="1"/>
  <c r="O18" i="220"/>
  <c r="O18" i="364"/>
  <c r="M601" i="209"/>
  <c r="D40" i="202"/>
  <c r="I81" i="246" s="1"/>
  <c r="D41" i="202"/>
  <c r="I205" i="246" s="1"/>
  <c r="D39" i="202"/>
  <c r="O19" i="246" s="1"/>
  <c r="D38" i="202"/>
  <c r="I19" i="246" s="1"/>
  <c r="E37" i="271"/>
  <c r="P215" i="246" s="1"/>
  <c r="E40" i="271"/>
  <c r="J91" i="246" s="1"/>
  <c r="D40" i="271"/>
  <c r="I91" i="246" s="1"/>
  <c r="H18" i="271"/>
  <c r="D39" i="271"/>
  <c r="O29" i="246" s="1"/>
  <c r="D42" i="271"/>
  <c r="I277" i="246" s="1"/>
  <c r="D41" i="271"/>
  <c r="I215" i="246" s="1"/>
  <c r="D37" i="271"/>
  <c r="O215" i="246" s="1"/>
  <c r="D38" i="271"/>
  <c r="I29" i="246" s="1"/>
  <c r="H43" i="171"/>
  <c r="P15" i="228" s="1"/>
  <c r="G18" i="313"/>
  <c r="L803" i="246" s="1"/>
  <c r="Q769" i="209"/>
  <c r="E39" i="39"/>
  <c r="P41" i="209" s="1"/>
  <c r="F42" i="191"/>
  <c r="K285" i="246" s="1"/>
  <c r="F40" i="191"/>
  <c r="K99" i="246" s="1"/>
  <c r="J38" i="29"/>
  <c r="V12" i="29" s="1"/>
  <c r="E40" i="39"/>
  <c r="J101" i="209" s="1"/>
  <c r="E41" i="39"/>
  <c r="J221" i="209" s="1"/>
  <c r="P26" i="315"/>
  <c r="M781" i="246"/>
  <c r="E37" i="39"/>
  <c r="P221" i="209" s="1"/>
  <c r="E42" i="39"/>
  <c r="J281" i="209" s="1"/>
  <c r="D42" i="188"/>
  <c r="I292" i="246" s="1"/>
  <c r="E37" i="354"/>
  <c r="E38" i="354"/>
  <c r="E40" i="354"/>
  <c r="E41" i="354"/>
  <c r="J761" i="209"/>
  <c r="E14" i="175"/>
  <c r="D40" i="188"/>
  <c r="I106" i="246" s="1"/>
  <c r="E39" i="354"/>
  <c r="M711" i="246"/>
  <c r="D38" i="188"/>
  <c r="I44" i="246" s="1"/>
  <c r="D41" i="315"/>
  <c r="I224" i="209" s="1"/>
  <c r="F41" i="39"/>
  <c r="K221" i="209" s="1"/>
  <c r="H18" i="315"/>
  <c r="F42" i="39"/>
  <c r="K281" i="209" s="1"/>
  <c r="F37" i="39"/>
  <c r="Q221" i="209" s="1"/>
  <c r="O224" i="209"/>
  <c r="G38" i="356"/>
  <c r="L46" i="209" s="1"/>
  <c r="F39" i="39"/>
  <c r="Q41" i="209" s="1"/>
  <c r="D39" i="315"/>
  <c r="W27" i="315" s="1"/>
  <c r="D40" i="315"/>
  <c r="I104" i="209" s="1"/>
  <c r="P26" i="271"/>
  <c r="P25" i="175"/>
  <c r="D42" i="315"/>
  <c r="W30" i="315" s="1"/>
  <c r="D38" i="315"/>
  <c r="W26" i="315" s="1"/>
  <c r="I764" i="209"/>
  <c r="M764" i="209" s="1"/>
  <c r="O20" i="173"/>
  <c r="O20" i="103"/>
  <c r="O20" i="185"/>
  <c r="F38" i="97"/>
  <c r="K27" i="246" s="1"/>
  <c r="F39" i="97"/>
  <c r="Q27" i="246" s="1"/>
  <c r="K771" i="246"/>
  <c r="F42" i="97"/>
  <c r="K275" i="246" s="1"/>
  <c r="F41" i="97"/>
  <c r="K213" i="246" s="1"/>
  <c r="F37" i="97"/>
  <c r="Q213" i="246" s="1"/>
  <c r="J766" i="209"/>
  <c r="R125" i="294"/>
  <c r="L758" i="246"/>
  <c r="E42" i="215"/>
  <c r="J266" i="209" s="1"/>
  <c r="E38" i="215"/>
  <c r="J26" i="209" s="1"/>
  <c r="J746" i="209"/>
  <c r="E39" i="215"/>
  <c r="P26" i="209" s="1"/>
  <c r="F41" i="337"/>
  <c r="K220" i="209" s="1"/>
  <c r="K760" i="209"/>
  <c r="F38" i="39"/>
  <c r="K41" i="209" s="1"/>
  <c r="M16" i="325"/>
  <c r="M26" i="326"/>
  <c r="E43" i="326" s="1"/>
  <c r="M15" i="324" s="1"/>
  <c r="T127" i="294"/>
  <c r="D41" i="270"/>
  <c r="I238" i="246" s="1"/>
  <c r="D43" i="362"/>
  <c r="D47" i="362" s="1"/>
  <c r="R57" i="294" s="1"/>
  <c r="E43" i="6"/>
  <c r="E47" i="6" s="1"/>
  <c r="P138" i="209" s="1"/>
  <c r="F38" i="337"/>
  <c r="K40" i="209" s="1"/>
  <c r="F40" i="337"/>
  <c r="K100" i="209" s="1"/>
  <c r="D18" i="247"/>
  <c r="J32" i="161"/>
  <c r="V14" i="161" s="1"/>
  <c r="X56" i="29"/>
  <c r="P10" i="325"/>
  <c r="K781" i="246"/>
  <c r="E40" i="215"/>
  <c r="J86" i="209" s="1"/>
  <c r="F39" i="191"/>
  <c r="Q37" i="246" s="1"/>
  <c r="E37" i="215"/>
  <c r="P206" i="209" s="1"/>
  <c r="I788" i="246"/>
  <c r="M788" i="246" s="1"/>
  <c r="O764" i="209"/>
  <c r="S764" i="209" s="1"/>
  <c r="H18" i="188"/>
  <c r="F41" i="191"/>
  <c r="K223" i="246" s="1"/>
  <c r="L26" i="326"/>
  <c r="D43" i="326" s="1"/>
  <c r="D47" i="326" s="1"/>
  <c r="D39" i="188"/>
  <c r="P44" i="246" s="1"/>
  <c r="E40" i="324"/>
  <c r="I46" i="294" s="1"/>
  <c r="S122" i="294"/>
  <c r="E46" i="326"/>
  <c r="M18" i="325" s="1"/>
  <c r="S582" i="246"/>
  <c r="G42" i="349"/>
  <c r="P73" i="294" s="1"/>
  <c r="D37" i="188"/>
  <c r="O230" i="246" s="1"/>
  <c r="F18" i="186"/>
  <c r="F41" i="186" s="1"/>
  <c r="E45" i="326"/>
  <c r="M17" i="325" s="1"/>
  <c r="P15" i="324"/>
  <c r="H18" i="284"/>
  <c r="E38" i="356"/>
  <c r="J46" i="209" s="1"/>
  <c r="E39" i="359"/>
  <c r="P26" i="246" s="1"/>
  <c r="J25" i="129"/>
  <c r="J28" i="129" s="1"/>
  <c r="J30" i="129" s="1"/>
  <c r="J33" i="129" s="1"/>
  <c r="E37" i="359"/>
  <c r="P212" i="246" s="1"/>
  <c r="F39" i="337"/>
  <c r="Q40" i="209" s="1"/>
  <c r="F46" i="308"/>
  <c r="N18" i="307" s="1"/>
  <c r="E41" i="359"/>
  <c r="J212" i="246" s="1"/>
  <c r="E42" i="359"/>
  <c r="J274" i="246" s="1"/>
  <c r="S184" i="246"/>
  <c r="J770" i="246"/>
  <c r="E38" i="359"/>
  <c r="J26" i="246" s="1"/>
  <c r="D39" i="105"/>
  <c r="O22" i="209" s="1"/>
  <c r="D42" i="105"/>
  <c r="I262" i="209" s="1"/>
  <c r="D37" i="105"/>
  <c r="O202" i="209" s="1"/>
  <c r="M19" i="294"/>
  <c r="H18" i="362"/>
  <c r="M497" i="246"/>
  <c r="D38" i="105"/>
  <c r="I22" i="209" s="1"/>
  <c r="D41" i="105"/>
  <c r="I202" i="209" s="1"/>
  <c r="H18" i="105"/>
  <c r="S772" i="209"/>
  <c r="K729" i="209"/>
  <c r="F41" i="15"/>
  <c r="K189" i="209" s="1"/>
  <c r="F37" i="15"/>
  <c r="Q189" i="209" s="1"/>
  <c r="G41" i="15"/>
  <c r="L189" i="209" s="1"/>
  <c r="F39" i="15"/>
  <c r="Q9" i="209" s="1"/>
  <c r="F38" i="15"/>
  <c r="K9" i="209" s="1"/>
  <c r="F40" i="15"/>
  <c r="K69" i="209" s="1"/>
  <c r="F37" i="337"/>
  <c r="Q220" i="209" s="1"/>
  <c r="E41" i="324"/>
  <c r="I65" i="294" s="1"/>
  <c r="F11" i="309"/>
  <c r="F45" i="309" s="1"/>
  <c r="N17" i="308" s="1"/>
  <c r="F45" i="308"/>
  <c r="N17" i="307" s="1"/>
  <c r="M32" i="292"/>
  <c r="V32" i="292" s="1"/>
  <c r="K680" i="246"/>
  <c r="K742" i="246"/>
  <c r="Q680" i="246"/>
  <c r="E37" i="202"/>
  <c r="P205" i="246" s="1"/>
  <c r="F39" i="188"/>
  <c r="Q44" i="246" s="1"/>
  <c r="F42" i="188"/>
  <c r="K292" i="246" s="1"/>
  <c r="F38" i="188"/>
  <c r="K44" i="246" s="1"/>
  <c r="H18" i="216"/>
  <c r="E37" i="356"/>
  <c r="P226" i="209" s="1"/>
  <c r="G37" i="202"/>
  <c r="R205" i="246" s="1"/>
  <c r="Q772" i="209"/>
  <c r="D37" i="362"/>
  <c r="H38" i="294" s="1"/>
  <c r="D38" i="39"/>
  <c r="I41" i="209" s="1"/>
  <c r="D39" i="362"/>
  <c r="M38" i="294" s="1"/>
  <c r="E42" i="362"/>
  <c r="N76" i="294" s="1"/>
  <c r="F40" i="188"/>
  <c r="K106" i="246" s="1"/>
  <c r="P26" i="97"/>
  <c r="E41" i="356"/>
  <c r="J226" i="209" s="1"/>
  <c r="D38" i="362"/>
  <c r="R19" i="294" s="1"/>
  <c r="H18" i="39"/>
  <c r="D40" i="362"/>
  <c r="H57" i="294" s="1"/>
  <c r="G43" i="125"/>
  <c r="G47" i="125" s="1"/>
  <c r="R133" i="209" s="1"/>
  <c r="D38" i="279"/>
  <c r="I35" i="246" s="1"/>
  <c r="E42" i="356"/>
  <c r="J286" i="209" s="1"/>
  <c r="E37" i="324"/>
  <c r="I27" i="294" s="1"/>
  <c r="I8" i="294"/>
  <c r="K788" i="246"/>
  <c r="D37" i="39"/>
  <c r="O221" i="209" s="1"/>
  <c r="I761" i="209"/>
  <c r="M761" i="209" s="1"/>
  <c r="E18" i="326"/>
  <c r="E41" i="326" s="1"/>
  <c r="M726" i="246"/>
  <c r="D37" i="279"/>
  <c r="O221" i="246" s="1"/>
  <c r="E39" i="356"/>
  <c r="P46" i="209" s="1"/>
  <c r="D42" i="362"/>
  <c r="M76" i="294" s="1"/>
  <c r="E38" i="324"/>
  <c r="S8" i="294" s="1"/>
  <c r="E42" i="324"/>
  <c r="N65" i="294" s="1"/>
  <c r="M694" i="246"/>
  <c r="F37" i="188"/>
  <c r="Q230" i="246" s="1"/>
  <c r="D41" i="362"/>
  <c r="H76" i="294" s="1"/>
  <c r="N8" i="294"/>
  <c r="P26" i="324"/>
  <c r="G37" i="324"/>
  <c r="K27" i="294" s="1"/>
  <c r="F40" i="290"/>
  <c r="J51" i="294" s="1"/>
  <c r="G42" i="202"/>
  <c r="L267" i="246" s="1"/>
  <c r="F37" i="290"/>
  <c r="J32" i="294" s="1"/>
  <c r="O733" i="209"/>
  <c r="S733" i="209" s="1"/>
  <c r="F41" i="290"/>
  <c r="J70" i="294" s="1"/>
  <c r="F39" i="105"/>
  <c r="Q22" i="209" s="1"/>
  <c r="G38" i="202"/>
  <c r="L19" i="246" s="1"/>
  <c r="J13" i="294"/>
  <c r="K742" i="209"/>
  <c r="G39" i="202"/>
  <c r="R19" i="246" s="1"/>
  <c r="F42" i="290"/>
  <c r="O70" i="294" s="1"/>
  <c r="G40" i="202"/>
  <c r="L81" i="246" s="1"/>
  <c r="G41" i="347"/>
  <c r="L232" i="209" s="1"/>
  <c r="F38" i="290"/>
  <c r="T13" i="294" s="1"/>
  <c r="O13" i="294"/>
  <c r="M717" i="246"/>
  <c r="P26" i="125"/>
  <c r="L763" i="246"/>
  <c r="M763" i="246" s="1"/>
  <c r="H18" i="202"/>
  <c r="F43" i="337"/>
  <c r="F47" i="337" s="1"/>
  <c r="Q160" i="209" s="1"/>
  <c r="K8" i="294"/>
  <c r="O742" i="209"/>
  <c r="P26" i="333"/>
  <c r="L26" i="247"/>
  <c r="U122" i="294"/>
  <c r="G41" i="324"/>
  <c r="K65" i="294" s="1"/>
  <c r="G18" i="326"/>
  <c r="G37" i="326" s="1"/>
  <c r="G42" i="324"/>
  <c r="P65" i="294" s="1"/>
  <c r="P766" i="209"/>
  <c r="P8" i="294"/>
  <c r="S125" i="294"/>
  <c r="G38" i="324"/>
  <c r="U8" i="294" s="1"/>
  <c r="G39" i="324"/>
  <c r="P27" i="294" s="1"/>
  <c r="H18" i="324"/>
  <c r="E38" i="202"/>
  <c r="J19" i="246" s="1"/>
  <c r="E43" i="79"/>
  <c r="E47" i="79" s="1"/>
  <c r="P159" i="209" s="1"/>
  <c r="K790" i="246"/>
  <c r="F40" i="141"/>
  <c r="K108" i="246" s="1"/>
  <c r="P15" i="137"/>
  <c r="P14" i="228"/>
  <c r="P14" i="103"/>
  <c r="E40" i="202"/>
  <c r="J81" i="246" s="1"/>
  <c r="E41" i="202"/>
  <c r="J205" i="246" s="1"/>
  <c r="J763" i="246"/>
  <c r="E39" i="202"/>
  <c r="P19" i="246" s="1"/>
  <c r="E37" i="362"/>
  <c r="I38" i="294" s="1"/>
  <c r="I19" i="294"/>
  <c r="N19" i="294"/>
  <c r="E40" i="362"/>
  <c r="I57" i="294" s="1"/>
  <c r="E39" i="362"/>
  <c r="N38" i="294" s="1"/>
  <c r="E38" i="362"/>
  <c r="S19" i="294" s="1"/>
  <c r="E41" i="362"/>
  <c r="I76" i="294" s="1"/>
  <c r="X45" i="100"/>
  <c r="X50" i="100"/>
  <c r="R133" i="294"/>
  <c r="M582" i="246"/>
  <c r="D38" i="337"/>
  <c r="I40" i="209" s="1"/>
  <c r="D41" i="279"/>
  <c r="I221" i="246" s="1"/>
  <c r="D40" i="279"/>
  <c r="I97" i="246" s="1"/>
  <c r="O104" i="209"/>
  <c r="D42" i="279"/>
  <c r="I283" i="246" s="1"/>
  <c r="D39" i="279"/>
  <c r="O35" i="246" s="1"/>
  <c r="D41" i="39"/>
  <c r="I221" i="209" s="1"/>
  <c r="D42" i="39"/>
  <c r="I281" i="209" s="1"/>
  <c r="D39" i="39"/>
  <c r="O41" i="209" s="1"/>
  <c r="G40" i="347"/>
  <c r="L112" i="209" s="1"/>
  <c r="E18" i="212"/>
  <c r="E37" i="212" s="1"/>
  <c r="P210" i="209" s="1"/>
  <c r="L772" i="209"/>
  <c r="M772" i="209" s="1"/>
  <c r="G41" i="288"/>
  <c r="K68" i="294" s="1"/>
  <c r="D43" i="344"/>
  <c r="D47" i="344" s="1"/>
  <c r="G42" i="288"/>
  <c r="P68" i="294" s="1"/>
  <c r="M699" i="209"/>
  <c r="M728" i="209"/>
  <c r="P11" i="294"/>
  <c r="G42" i="347"/>
  <c r="L292" i="209" s="1"/>
  <c r="R735" i="209"/>
  <c r="H18" i="347"/>
  <c r="P26" i="360"/>
  <c r="H18" i="288"/>
  <c r="P26" i="288"/>
  <c r="G37" i="347"/>
  <c r="R232" i="209" s="1"/>
  <c r="G39" i="347"/>
  <c r="R52" i="209" s="1"/>
  <c r="J771" i="246"/>
  <c r="G40" i="284"/>
  <c r="L76" i="246" s="1"/>
  <c r="D18" i="225"/>
  <c r="D40" i="225" s="1"/>
  <c r="F38" i="345"/>
  <c r="K49" i="209" s="1"/>
  <c r="D38" i="288"/>
  <c r="R11" i="294" s="1"/>
  <c r="I18" i="292"/>
  <c r="P26" i="192"/>
  <c r="E42" i="97"/>
  <c r="J275" i="246" s="1"/>
  <c r="E39" i="97"/>
  <c r="P27" i="246" s="1"/>
  <c r="G41" i="284"/>
  <c r="L200" i="246" s="1"/>
  <c r="F42" i="345"/>
  <c r="K289" i="209" s="1"/>
  <c r="D40" i="288"/>
  <c r="H49" i="294" s="1"/>
  <c r="H11" i="294"/>
  <c r="M11" i="294"/>
  <c r="G15" i="212"/>
  <c r="G15" i="228" s="1"/>
  <c r="G18" i="162"/>
  <c r="E41" i="97"/>
  <c r="J213" i="246" s="1"/>
  <c r="E40" i="97"/>
  <c r="J89" i="246" s="1"/>
  <c r="P15" i="345"/>
  <c r="P26" i="166"/>
  <c r="F39" i="345"/>
  <c r="Q49" i="209" s="1"/>
  <c r="D41" i="288"/>
  <c r="H68" i="294" s="1"/>
  <c r="F15" i="228"/>
  <c r="E38" i="97"/>
  <c r="J27" i="246" s="1"/>
  <c r="G42" i="284"/>
  <c r="L262" i="246" s="1"/>
  <c r="E43" i="125"/>
  <c r="E47" i="125" s="1"/>
  <c r="P133" i="209" s="1"/>
  <c r="D37" i="288"/>
  <c r="H30" i="294" s="1"/>
  <c r="G38" i="284"/>
  <c r="L14" i="246" s="1"/>
  <c r="G38" i="187"/>
  <c r="L20" i="246" s="1"/>
  <c r="G39" i="284"/>
  <c r="R14" i="246" s="1"/>
  <c r="F40" i="345"/>
  <c r="K109" i="209" s="1"/>
  <c r="D39" i="288"/>
  <c r="M30" i="294" s="1"/>
  <c r="F41" i="345"/>
  <c r="K229" i="209" s="1"/>
  <c r="H37" i="44"/>
  <c r="S222" i="209" s="1"/>
  <c r="D45" i="326"/>
  <c r="L17" i="324" s="1"/>
  <c r="W31" i="324" s="1"/>
  <c r="O18" i="294"/>
  <c r="P26" i="195"/>
  <c r="M26" i="225"/>
  <c r="E18" i="225"/>
  <c r="E37" i="225" s="1"/>
  <c r="Q765" i="209"/>
  <c r="N26" i="225"/>
  <c r="P26" i="219"/>
  <c r="O26" i="225"/>
  <c r="H18" i="219"/>
  <c r="G18" i="225"/>
  <c r="F38" i="219"/>
  <c r="K45" i="209" s="1"/>
  <c r="F18" i="225"/>
  <c r="K11" i="294"/>
  <c r="K772" i="209"/>
  <c r="M26" i="212"/>
  <c r="D18" i="212"/>
  <c r="O26" i="212"/>
  <c r="G43" i="212" s="1"/>
  <c r="G47" i="212" s="1"/>
  <c r="R150" i="209" s="1"/>
  <c r="L26" i="212"/>
  <c r="M714" i="209"/>
  <c r="M481" i="209"/>
  <c r="M682" i="209"/>
  <c r="M669" i="209"/>
  <c r="P772" i="209"/>
  <c r="M713" i="246"/>
  <c r="H18" i="359"/>
  <c r="M714" i="246"/>
  <c r="D42" i="337"/>
  <c r="I280" i="209" s="1"/>
  <c r="D41" i="337"/>
  <c r="I220" i="209" s="1"/>
  <c r="M700" i="209"/>
  <c r="D39" i="337"/>
  <c r="O40" i="209" s="1"/>
  <c r="D40" i="337"/>
  <c r="I100" i="209" s="1"/>
  <c r="D37" i="337"/>
  <c r="O220" i="209" s="1"/>
  <c r="F39" i="284"/>
  <c r="Q14" i="246" s="1"/>
  <c r="D39" i="118"/>
  <c r="O30" i="246" s="1"/>
  <c r="D42" i="118"/>
  <c r="I278" i="246" s="1"/>
  <c r="D38" i="118"/>
  <c r="I30" i="246" s="1"/>
  <c r="H18" i="333"/>
  <c r="I11" i="294"/>
  <c r="G39" i="356"/>
  <c r="R46" i="209" s="1"/>
  <c r="M26" i="291"/>
  <c r="E43" i="291" s="1"/>
  <c r="M15" i="289" s="1"/>
  <c r="E40" i="288"/>
  <c r="I49" i="294" s="1"/>
  <c r="E39" i="288"/>
  <c r="N30" i="294" s="1"/>
  <c r="G40" i="356"/>
  <c r="L106" i="209" s="1"/>
  <c r="E37" i="118"/>
  <c r="P216" i="246" s="1"/>
  <c r="D40" i="359"/>
  <c r="I88" i="246" s="1"/>
  <c r="D39" i="344"/>
  <c r="E37" i="288"/>
  <c r="I30" i="294" s="1"/>
  <c r="G41" i="356"/>
  <c r="L226" i="209" s="1"/>
  <c r="E41" i="118"/>
  <c r="J216" i="246" s="1"/>
  <c r="I770" i="246"/>
  <c r="M770" i="246" s="1"/>
  <c r="E38" i="288"/>
  <c r="S11" i="294" s="1"/>
  <c r="H18" i="356"/>
  <c r="E39" i="118"/>
  <c r="P30" i="246" s="1"/>
  <c r="G39" i="101"/>
  <c r="R31" i="246" s="1"/>
  <c r="F37" i="344"/>
  <c r="N11" i="294"/>
  <c r="L766" i="209"/>
  <c r="M766" i="209" s="1"/>
  <c r="E38" i="118"/>
  <c r="J30" i="246" s="1"/>
  <c r="D37" i="359"/>
  <c r="O212" i="246" s="1"/>
  <c r="E38" i="146"/>
  <c r="J50" i="246" s="1"/>
  <c r="G41" i="105"/>
  <c r="L202" i="209" s="1"/>
  <c r="O18" i="221"/>
  <c r="E41" i="288"/>
  <c r="I68" i="294" s="1"/>
  <c r="G42" i="356"/>
  <c r="L286" i="209" s="1"/>
  <c r="E42" i="118"/>
  <c r="J278" i="246" s="1"/>
  <c r="E40" i="118"/>
  <c r="J92" i="246" s="1"/>
  <c r="L742" i="209"/>
  <c r="F42" i="347"/>
  <c r="K292" i="209" s="1"/>
  <c r="D46" i="326"/>
  <c r="L18" i="325" s="1"/>
  <c r="O420" i="209"/>
  <c r="P13" i="337"/>
  <c r="P13" i="79"/>
  <c r="P13" i="123"/>
  <c r="H25" i="58"/>
  <c r="H39" i="58" s="1"/>
  <c r="S60" i="209" s="1"/>
  <c r="P360" i="209"/>
  <c r="M222" i="209"/>
  <c r="P13" i="338"/>
  <c r="P13" i="39"/>
  <c r="P13" i="196"/>
  <c r="H28" i="174"/>
  <c r="H42" i="174" s="1"/>
  <c r="M314" i="246" s="1"/>
  <c r="U137" i="294"/>
  <c r="F18" i="291"/>
  <c r="F37" i="291" s="1"/>
  <c r="F40" i="347"/>
  <c r="K112" i="209" s="1"/>
  <c r="F11" i="84"/>
  <c r="K682" i="246" s="1"/>
  <c r="F41" i="333"/>
  <c r="J80" i="294" s="1"/>
  <c r="F38" i="347"/>
  <c r="K52" i="209" s="1"/>
  <c r="F37" i="347"/>
  <c r="Q232" i="209" s="1"/>
  <c r="F39" i="347"/>
  <c r="Q52" i="209" s="1"/>
  <c r="P26" i="188"/>
  <c r="L704" i="246"/>
  <c r="M704" i="246" s="1"/>
  <c r="K766" i="209"/>
  <c r="D40" i="118"/>
  <c r="I92" i="246" s="1"/>
  <c r="E37" i="347"/>
  <c r="P232" i="209" s="1"/>
  <c r="D38" i="289"/>
  <c r="R12" i="294" s="1"/>
  <c r="H12" i="294"/>
  <c r="D42" i="289"/>
  <c r="M69" i="294" s="1"/>
  <c r="D37" i="289"/>
  <c r="H31" i="294" s="1"/>
  <c r="R126" i="294"/>
  <c r="D41" i="289"/>
  <c r="H69" i="294" s="1"/>
  <c r="M12" i="294"/>
  <c r="D40" i="289"/>
  <c r="H50" i="294" s="1"/>
  <c r="D39" i="289"/>
  <c r="M31" i="294" s="1"/>
  <c r="F38" i="356"/>
  <c r="K46" i="209" s="1"/>
  <c r="M699" i="246"/>
  <c r="P26" i="105"/>
  <c r="F41" i="356"/>
  <c r="K226" i="209" s="1"/>
  <c r="P14" i="173"/>
  <c r="F39" i="356"/>
  <c r="Q46" i="209" s="1"/>
  <c r="P14" i="223"/>
  <c r="F42" i="356"/>
  <c r="K286" i="209" s="1"/>
  <c r="F43" i="356"/>
  <c r="F47" i="356" s="1"/>
  <c r="Q166" i="209" s="1"/>
  <c r="K21" i="294"/>
  <c r="P14" i="185"/>
  <c r="P14" i="212"/>
  <c r="F40" i="356"/>
  <c r="K106" i="209" s="1"/>
  <c r="G44" i="223"/>
  <c r="R84" i="246" s="1"/>
  <c r="M771" i="246"/>
  <c r="G39" i="360"/>
  <c r="P40" i="294" s="1"/>
  <c r="G45" i="248"/>
  <c r="O17" i="221" s="1"/>
  <c r="E43" i="216"/>
  <c r="E47" i="216" s="1"/>
  <c r="P149" i="209" s="1"/>
  <c r="D37" i="344"/>
  <c r="F38" i="139"/>
  <c r="K21" i="246" s="1"/>
  <c r="D38" i="270"/>
  <c r="I52" i="246" s="1"/>
  <c r="D40" i="270"/>
  <c r="I114" i="246" s="1"/>
  <c r="P10" i="292"/>
  <c r="D41" i="344"/>
  <c r="P26" i="215"/>
  <c r="I796" i="246"/>
  <c r="M796" i="246" s="1"/>
  <c r="L717" i="209"/>
  <c r="O18" i="347"/>
  <c r="D37" i="270"/>
  <c r="O238" i="246" s="1"/>
  <c r="N20" i="16"/>
  <c r="D39" i="270"/>
  <c r="O52" i="246" s="1"/>
  <c r="N20" i="14"/>
  <c r="D40" i="344"/>
  <c r="X14" i="33"/>
  <c r="D42" i="270"/>
  <c r="I300" i="246" s="1"/>
  <c r="G43" i="215"/>
  <c r="G47" i="215" s="1"/>
  <c r="R146" i="209" s="1"/>
  <c r="G41" i="101"/>
  <c r="L217" i="246" s="1"/>
  <c r="G44" i="248"/>
  <c r="O16" i="364" s="1"/>
  <c r="D38" i="344"/>
  <c r="G42" i="101"/>
  <c r="L279" i="246" s="1"/>
  <c r="L657" i="209"/>
  <c r="R657" i="209"/>
  <c r="D42" i="344"/>
  <c r="G40" i="101"/>
  <c r="L93" i="246" s="1"/>
  <c r="G18" i="156"/>
  <c r="G40" i="156" s="1"/>
  <c r="L73" i="246" s="1"/>
  <c r="D41" i="325"/>
  <c r="H66" i="294" s="1"/>
  <c r="I11" i="292"/>
  <c r="R759" i="209"/>
  <c r="S759" i="209" s="1"/>
  <c r="M522" i="209"/>
  <c r="D39" i="359"/>
  <c r="O26" i="246" s="1"/>
  <c r="G42" i="333"/>
  <c r="P80" i="294" s="1"/>
  <c r="P23" i="294"/>
  <c r="G38" i="333"/>
  <c r="U23" i="294" s="1"/>
  <c r="G41" i="333"/>
  <c r="K80" i="294" s="1"/>
  <c r="K23" i="294"/>
  <c r="G39" i="97"/>
  <c r="R27" i="246" s="1"/>
  <c r="G42" i="97"/>
  <c r="L275" i="246" s="1"/>
  <c r="H18" i="97"/>
  <c r="F40" i="296"/>
  <c r="J56" i="294" s="1"/>
  <c r="D42" i="325"/>
  <c r="M66" i="294" s="1"/>
  <c r="M9" i="294"/>
  <c r="F38" i="344"/>
  <c r="U135" i="294"/>
  <c r="G41" i="360"/>
  <c r="K78" i="294" s="1"/>
  <c r="E42" i="347"/>
  <c r="J292" i="209" s="1"/>
  <c r="F37" i="296"/>
  <c r="J37" i="294" s="1"/>
  <c r="D38" i="325"/>
  <c r="R9" i="294" s="1"/>
  <c r="F42" i="344"/>
  <c r="E39" i="347"/>
  <c r="P52" i="209" s="1"/>
  <c r="O23" i="294"/>
  <c r="D38" i="359"/>
  <c r="I26" i="246" s="1"/>
  <c r="D41" i="359"/>
  <c r="I212" i="246" s="1"/>
  <c r="S272" i="246"/>
  <c r="T132" i="294"/>
  <c r="F41" i="296"/>
  <c r="J75" i="294" s="1"/>
  <c r="D37" i="325"/>
  <c r="H28" i="294" s="1"/>
  <c r="H18" i="360"/>
  <c r="F40" i="333"/>
  <c r="J61" i="294" s="1"/>
  <c r="F38" i="296"/>
  <c r="T18" i="294" s="1"/>
  <c r="D39" i="325"/>
  <c r="M28" i="294" s="1"/>
  <c r="J23" i="294"/>
  <c r="G38" i="288"/>
  <c r="U11" i="294" s="1"/>
  <c r="G40" i="288"/>
  <c r="K49" i="294" s="1"/>
  <c r="U125" i="294"/>
  <c r="G37" i="288"/>
  <c r="K30" i="294" s="1"/>
  <c r="J18" i="294"/>
  <c r="H9" i="294"/>
  <c r="F41" i="344"/>
  <c r="G37" i="360"/>
  <c r="K40" i="294" s="1"/>
  <c r="I774" i="246"/>
  <c r="E38" i="347"/>
  <c r="J52" i="209" s="1"/>
  <c r="F42" i="296"/>
  <c r="O75" i="294" s="1"/>
  <c r="D18" i="326"/>
  <c r="D38" i="326" s="1"/>
  <c r="H18" i="325"/>
  <c r="R123" i="294"/>
  <c r="F39" i="344"/>
  <c r="L760" i="209"/>
  <c r="M760" i="209" s="1"/>
  <c r="M689" i="209"/>
  <c r="D37" i="118"/>
  <c r="O216" i="246" s="1"/>
  <c r="E40" i="347"/>
  <c r="J112" i="209" s="1"/>
  <c r="G40" i="360"/>
  <c r="K59" i="294" s="1"/>
  <c r="P21" i="294"/>
  <c r="G38" i="360"/>
  <c r="U21" i="294" s="1"/>
  <c r="P26" i="359"/>
  <c r="F37" i="333"/>
  <c r="J42" i="294" s="1"/>
  <c r="E41" i="347"/>
  <c r="J232" i="209" s="1"/>
  <c r="G38" i="195"/>
  <c r="L48" i="246" s="1"/>
  <c r="M162" i="209"/>
  <c r="H43" i="184"/>
  <c r="E37" i="289"/>
  <c r="I31" i="294" s="1"/>
  <c r="G38" i="15"/>
  <c r="L9" i="209" s="1"/>
  <c r="G40" i="15"/>
  <c r="L69" i="209" s="1"/>
  <c r="G39" i="15"/>
  <c r="R9" i="209" s="1"/>
  <c r="P10" i="176"/>
  <c r="G37" i="15"/>
  <c r="R189" i="209" s="1"/>
  <c r="M559" i="209"/>
  <c r="L729" i="209"/>
  <c r="K33" i="292"/>
  <c r="G37" i="195"/>
  <c r="R234" i="246" s="1"/>
  <c r="E42" i="307"/>
  <c r="J306" i="246" s="1"/>
  <c r="N12" i="294"/>
  <c r="F38" i="333"/>
  <c r="T23" i="294" s="1"/>
  <c r="F42" i="333"/>
  <c r="O80" i="294" s="1"/>
  <c r="T137" i="294"/>
  <c r="H38" i="171"/>
  <c r="P10" i="185" s="1"/>
  <c r="F38" i="284"/>
  <c r="K14" i="246" s="1"/>
  <c r="F41" i="284"/>
  <c r="K200" i="246" s="1"/>
  <c r="K758" i="246"/>
  <c r="F37" i="284"/>
  <c r="Q200" i="246" s="1"/>
  <c r="F42" i="284"/>
  <c r="K262" i="246" s="1"/>
  <c r="H18" i="101"/>
  <c r="D39" i="101"/>
  <c r="O31" i="246" s="1"/>
  <c r="D41" i="101"/>
  <c r="I217" i="246" s="1"/>
  <c r="G38" i="97"/>
  <c r="L27" i="246" s="1"/>
  <c r="G41" i="97"/>
  <c r="L213" i="246" s="1"/>
  <c r="G37" i="97"/>
  <c r="R213" i="246" s="1"/>
  <c r="G40" i="97"/>
  <c r="L89" i="246" s="1"/>
  <c r="I775" i="246"/>
  <c r="D42" i="146"/>
  <c r="I298" i="246" s="1"/>
  <c r="D42" i="101"/>
  <c r="I279" i="246" s="1"/>
  <c r="G38" i="10"/>
  <c r="L15" i="209" s="1"/>
  <c r="G41" i="10"/>
  <c r="L195" i="209" s="1"/>
  <c r="G42" i="10"/>
  <c r="L255" i="209" s="1"/>
  <c r="G40" i="10"/>
  <c r="L75" i="209" s="1"/>
  <c r="G39" i="10"/>
  <c r="R15" i="209" s="1"/>
  <c r="L735" i="209"/>
  <c r="G37" i="10"/>
  <c r="R195" i="209" s="1"/>
  <c r="P13" i="154"/>
  <c r="P26" i="337"/>
  <c r="H18" i="15"/>
  <c r="D38" i="101"/>
  <c r="I31" i="246" s="1"/>
  <c r="E14" i="174"/>
  <c r="D40" i="101"/>
  <c r="I93" i="246" s="1"/>
  <c r="G39" i="333"/>
  <c r="P42" i="294" s="1"/>
  <c r="G37" i="333"/>
  <c r="K42" i="294" s="1"/>
  <c r="M694" i="209"/>
  <c r="J39" i="33"/>
  <c r="X11" i="33"/>
  <c r="X12" i="33"/>
  <c r="K765" i="246"/>
  <c r="M31" i="292"/>
  <c r="S31" i="292" s="1"/>
  <c r="T31" i="292" s="1"/>
  <c r="S396" i="246"/>
  <c r="M520" i="246"/>
  <c r="K28" i="292"/>
  <c r="P18" i="337"/>
  <c r="H25" i="330"/>
  <c r="H39" i="330" s="1"/>
  <c r="O20" i="72"/>
  <c r="S499" i="209"/>
  <c r="O20" i="4"/>
  <c r="L762" i="246"/>
  <c r="M762" i="246" s="1"/>
  <c r="D43" i="6"/>
  <c r="D47" i="6" s="1"/>
  <c r="O138" i="209" s="1"/>
  <c r="K16" i="294"/>
  <c r="G39" i="349"/>
  <c r="P35" i="294" s="1"/>
  <c r="P16" i="294"/>
  <c r="G41" i="349"/>
  <c r="K73" i="294" s="1"/>
  <c r="G40" i="349"/>
  <c r="K54" i="294" s="1"/>
  <c r="G37" i="349"/>
  <c r="K35" i="294" s="1"/>
  <c r="O738" i="209"/>
  <c r="S738" i="209" s="1"/>
  <c r="F43" i="219"/>
  <c r="F47" i="219" s="1"/>
  <c r="Q165" i="209" s="1"/>
  <c r="G38" i="349"/>
  <c r="U16" i="294" s="1"/>
  <c r="O624" i="209"/>
  <c r="P10" i="271"/>
  <c r="P10" i="97"/>
  <c r="M33" i="246"/>
  <c r="P10" i="118"/>
  <c r="P10" i="99"/>
  <c r="P10" i="101"/>
  <c r="K720" i="246"/>
  <c r="S520" i="246"/>
  <c r="G37" i="176"/>
  <c r="R218" i="246" s="1"/>
  <c r="G37" i="101"/>
  <c r="R217" i="246" s="1"/>
  <c r="L775" i="246"/>
  <c r="P26" i="325"/>
  <c r="P14" i="337"/>
  <c r="P14" i="196"/>
  <c r="P14" i="39"/>
  <c r="P14" i="123"/>
  <c r="P14" i="72"/>
  <c r="S402" i="209"/>
  <c r="P18" i="123"/>
  <c r="P18" i="338"/>
  <c r="P18" i="72"/>
  <c r="M402" i="209"/>
  <c r="S642" i="209"/>
  <c r="P18" i="196"/>
  <c r="N20" i="338"/>
  <c r="P14" i="338"/>
  <c r="S522" i="209"/>
  <c r="P18" i="154"/>
  <c r="P18" i="79"/>
  <c r="N20" i="337"/>
  <c r="P14" i="154"/>
  <c r="P14" i="79"/>
  <c r="P26" i="338"/>
  <c r="H28" i="58"/>
  <c r="H42" i="58" s="1"/>
  <c r="M300" i="209" s="1"/>
  <c r="P17" i="337"/>
  <c r="O26" i="326"/>
  <c r="G43" i="326" s="1"/>
  <c r="O15" i="325" s="1"/>
  <c r="P25" i="330"/>
  <c r="G12" i="229"/>
  <c r="R724" i="209" s="1"/>
  <c r="E42" i="146"/>
  <c r="J298" i="246" s="1"/>
  <c r="E41" i="146"/>
  <c r="J236" i="246" s="1"/>
  <c r="E39" i="146"/>
  <c r="P50" i="246" s="1"/>
  <c r="J794" i="246"/>
  <c r="E40" i="146"/>
  <c r="J112" i="246" s="1"/>
  <c r="F44" i="361"/>
  <c r="N16" i="295" s="1"/>
  <c r="P26" i="295"/>
  <c r="F45" i="361"/>
  <c r="N17" i="296" s="1"/>
  <c r="O17" i="333"/>
  <c r="G44" i="361"/>
  <c r="O16" i="295" s="1"/>
  <c r="O17" i="295"/>
  <c r="G46" i="361"/>
  <c r="O18" i="295" s="1"/>
  <c r="O17" i="360"/>
  <c r="P15" i="126"/>
  <c r="P15" i="178"/>
  <c r="P15" i="349"/>
  <c r="P15" i="293"/>
  <c r="D39" i="195"/>
  <c r="O48" i="246" s="1"/>
  <c r="L20" i="355"/>
  <c r="L20" i="334"/>
  <c r="H23" i="175"/>
  <c r="H37" i="175" s="1"/>
  <c r="P12" i="141"/>
  <c r="P12" i="349"/>
  <c r="P12" i="203"/>
  <c r="P12" i="151"/>
  <c r="P12" i="204"/>
  <c r="P12" i="146"/>
  <c r="P13" i="228"/>
  <c r="P13" i="103"/>
  <c r="M210" i="246"/>
  <c r="M86" i="246"/>
  <c r="P12" i="223"/>
  <c r="P13" i="185"/>
  <c r="P13" i="212"/>
  <c r="M436" i="246"/>
  <c r="P13" i="173"/>
  <c r="S706" i="246"/>
  <c r="S458" i="246"/>
  <c r="N20" i="103"/>
  <c r="N20" i="223"/>
  <c r="P9" i="162"/>
  <c r="M622" i="246"/>
  <c r="M560" i="246"/>
  <c r="N20" i="173"/>
  <c r="D44" i="223"/>
  <c r="O84" i="246" s="1"/>
  <c r="P14" i="165"/>
  <c r="P14" i="162"/>
  <c r="H33" i="174"/>
  <c r="P14" i="166"/>
  <c r="P14" i="202"/>
  <c r="H44" i="228"/>
  <c r="S122" i="209" s="1"/>
  <c r="S362" i="209"/>
  <c r="E48" i="175"/>
  <c r="M20" i="212" s="1"/>
  <c r="M20" i="349"/>
  <c r="S602" i="209"/>
  <c r="F41" i="219"/>
  <c r="K225" i="209" s="1"/>
  <c r="H25" i="175"/>
  <c r="H39" i="175" s="1"/>
  <c r="H28" i="175"/>
  <c r="H42" i="175" s="1"/>
  <c r="O20" i="162"/>
  <c r="L20" i="165"/>
  <c r="N20" i="165"/>
  <c r="O20" i="215"/>
  <c r="L20" i="216"/>
  <c r="L20" i="162"/>
  <c r="N20" i="166"/>
  <c r="M20" i="215"/>
  <c r="O20" i="166"/>
  <c r="L20" i="344"/>
  <c r="L20" i="215"/>
  <c r="L20" i="166"/>
  <c r="L20" i="139"/>
  <c r="M20" i="216"/>
  <c r="O20" i="202"/>
  <c r="O364" i="209"/>
  <c r="I544" i="209"/>
  <c r="K452" i="209"/>
  <c r="P12" i="165"/>
  <c r="P10" i="166"/>
  <c r="P12" i="166"/>
  <c r="P10" i="165"/>
  <c r="E37" i="333"/>
  <c r="I42" i="294" s="1"/>
  <c r="N23" i="294"/>
  <c r="E41" i="333"/>
  <c r="I80" i="294" s="1"/>
  <c r="E42" i="333"/>
  <c r="N80" i="294" s="1"/>
  <c r="E40" i="333"/>
  <c r="I61" i="294" s="1"/>
  <c r="E38" i="333"/>
  <c r="S23" i="294" s="1"/>
  <c r="E39" i="333"/>
  <c r="N42" i="294" s="1"/>
  <c r="I23" i="294"/>
  <c r="S137" i="294"/>
  <c r="P13" i="9"/>
  <c r="O20" i="79"/>
  <c r="G38" i="166"/>
  <c r="L18" i="246" s="1"/>
  <c r="I624" i="209"/>
  <c r="F38" i="156"/>
  <c r="K11" i="246" s="1"/>
  <c r="G42" i="176"/>
  <c r="L280" i="246" s="1"/>
  <c r="F40" i="105"/>
  <c r="K82" i="209" s="1"/>
  <c r="H18" i="165"/>
  <c r="H26" i="174"/>
  <c r="H40" i="174" s="1"/>
  <c r="P12" i="172" s="1"/>
  <c r="F14" i="4"/>
  <c r="G14" i="4" s="1"/>
  <c r="E38" i="315"/>
  <c r="J44" i="209" s="1"/>
  <c r="G43" i="105"/>
  <c r="G47" i="105" s="1"/>
  <c r="R142" i="209" s="1"/>
  <c r="M435" i="246"/>
  <c r="G39" i="176"/>
  <c r="R32" i="246" s="1"/>
  <c r="F38" i="105"/>
  <c r="K22" i="209" s="1"/>
  <c r="S373" i="246"/>
  <c r="M20" i="203"/>
  <c r="M20" i="146"/>
  <c r="M20" i="151"/>
  <c r="E41" i="315"/>
  <c r="J224" i="209" s="1"/>
  <c r="R742" i="209"/>
  <c r="L26" i="104"/>
  <c r="D43" i="104" s="1"/>
  <c r="P26" i="79"/>
  <c r="G40" i="176"/>
  <c r="L94" i="246" s="1"/>
  <c r="M542" i="209"/>
  <c r="S496" i="246"/>
  <c r="M20" i="293"/>
  <c r="M20" i="126"/>
  <c r="O20" i="151"/>
  <c r="H43" i="84"/>
  <c r="D43" i="79"/>
  <c r="D47" i="79" s="1"/>
  <c r="O159" i="209" s="1"/>
  <c r="E25" i="229"/>
  <c r="P364" i="209" s="1"/>
  <c r="G38" i="176"/>
  <c r="L32" i="246" s="1"/>
  <c r="F37" i="105"/>
  <c r="Q202" i="209" s="1"/>
  <c r="G41" i="216"/>
  <c r="L209" i="209" s="1"/>
  <c r="H23" i="330"/>
  <c r="H37" i="330" s="1"/>
  <c r="O20" i="183"/>
  <c r="P19" i="118"/>
  <c r="L776" i="246"/>
  <c r="F42" i="105"/>
  <c r="K262" i="209" s="1"/>
  <c r="G42" i="165"/>
  <c r="L265" i="246" s="1"/>
  <c r="O314" i="246"/>
  <c r="G38" i="216"/>
  <c r="L29" i="209" s="1"/>
  <c r="M20" i="353"/>
  <c r="P19" i="176"/>
  <c r="D38" i="296"/>
  <c r="R18" i="294" s="1"/>
  <c r="P26" i="118"/>
  <c r="H30" i="330"/>
  <c r="H44" i="330" s="1"/>
  <c r="P13" i="7"/>
  <c r="P13" i="125"/>
  <c r="P13" i="16"/>
  <c r="P272" i="209"/>
  <c r="M199" i="209"/>
  <c r="P13" i="10"/>
  <c r="P13" i="6"/>
  <c r="P13" i="14"/>
  <c r="P13" i="11"/>
  <c r="P13" i="15"/>
  <c r="P13" i="4"/>
  <c r="F39" i="16"/>
  <c r="Q8" i="209" s="1"/>
  <c r="F42" i="16"/>
  <c r="K248" i="209" s="1"/>
  <c r="F38" i="16"/>
  <c r="K8" i="209" s="1"/>
  <c r="K728" i="209"/>
  <c r="F37" i="16"/>
  <c r="Q188" i="209" s="1"/>
  <c r="F41" i="16"/>
  <c r="K188" i="209" s="1"/>
  <c r="L754" i="209"/>
  <c r="G37" i="338"/>
  <c r="R214" i="209" s="1"/>
  <c r="G39" i="338"/>
  <c r="R34" i="209" s="1"/>
  <c r="H18" i="338"/>
  <c r="G40" i="338"/>
  <c r="L94" i="209" s="1"/>
  <c r="G42" i="337"/>
  <c r="L280" i="209" s="1"/>
  <c r="G39" i="337"/>
  <c r="R40" i="209" s="1"/>
  <c r="G41" i="337"/>
  <c r="L220" i="209" s="1"/>
  <c r="G40" i="337"/>
  <c r="L100" i="209" s="1"/>
  <c r="G37" i="337"/>
  <c r="R220" i="209" s="1"/>
  <c r="H18" i="337"/>
  <c r="O20" i="196"/>
  <c r="O20" i="39"/>
  <c r="O20" i="154"/>
  <c r="O20" i="338"/>
  <c r="M462" i="209"/>
  <c r="O20" i="337"/>
  <c r="P17" i="123"/>
  <c r="P17" i="338"/>
  <c r="I420" i="209"/>
  <c r="H23" i="58"/>
  <c r="H37" i="58" s="1"/>
  <c r="S240" i="209" s="1"/>
  <c r="P17" i="39"/>
  <c r="P17" i="79"/>
  <c r="D23" i="229"/>
  <c r="O424" i="209" s="1"/>
  <c r="P17" i="72"/>
  <c r="O300" i="209"/>
  <c r="P17" i="196"/>
  <c r="I480" i="209"/>
  <c r="P500" i="246"/>
  <c r="P26" i="101"/>
  <c r="P19" i="101"/>
  <c r="P19" i="97"/>
  <c r="P19" i="354"/>
  <c r="P19" i="271"/>
  <c r="P19" i="99"/>
  <c r="P9" i="126"/>
  <c r="P9" i="194"/>
  <c r="M614" i="246"/>
  <c r="P12" i="215"/>
  <c r="P12" i="187"/>
  <c r="P12" i="160"/>
  <c r="P12" i="189"/>
  <c r="P12" i="334"/>
  <c r="P15" i="141"/>
  <c r="P15" i="334"/>
  <c r="P15" i="216"/>
  <c r="P15" i="215"/>
  <c r="P15" i="183"/>
  <c r="P15" i="187"/>
  <c r="P15" i="203"/>
  <c r="P15" i="151"/>
  <c r="AA39" i="292"/>
  <c r="P12" i="183"/>
  <c r="P12" i="293"/>
  <c r="P12" i="362"/>
  <c r="P12" i="194"/>
  <c r="P12" i="195"/>
  <c r="P12" i="137"/>
  <c r="P12" i="355"/>
  <c r="P15" i="160"/>
  <c r="P15" i="195"/>
  <c r="P15" i="362"/>
  <c r="H47" i="170"/>
  <c r="P19" i="160" s="1"/>
  <c r="P15" i="219"/>
  <c r="P15" i="353"/>
  <c r="P12" i="178"/>
  <c r="P12" i="353"/>
  <c r="P12" i="216"/>
  <c r="P12" i="188"/>
  <c r="P12" i="126"/>
  <c r="P15" i="189"/>
  <c r="P15" i="355"/>
  <c r="P15" i="204"/>
  <c r="P15" i="194"/>
  <c r="P15" i="146"/>
  <c r="M20" i="178"/>
  <c r="M20" i="270"/>
  <c r="M20" i="141"/>
  <c r="M20" i="195"/>
  <c r="M20" i="219"/>
  <c r="M20" i="188"/>
  <c r="M20" i="204"/>
  <c r="M20" i="137"/>
  <c r="M20" i="362"/>
  <c r="M20" i="160"/>
  <c r="M20" i="183"/>
  <c r="M20" i="187"/>
  <c r="M20" i="189"/>
  <c r="M552" i="246"/>
  <c r="F39" i="219"/>
  <c r="Q45" i="209" s="1"/>
  <c r="P12" i="202"/>
  <c r="P12" i="162"/>
  <c r="O20" i="344"/>
  <c r="O20" i="355"/>
  <c r="O20" i="165"/>
  <c r="P17" i="162"/>
  <c r="P17" i="202"/>
  <c r="P10" i="162"/>
  <c r="O20" i="216"/>
  <c r="P17" i="165"/>
  <c r="P10" i="202"/>
  <c r="O20" i="334"/>
  <c r="P17" i="166"/>
  <c r="L792" i="246"/>
  <c r="I794" i="246"/>
  <c r="M794" i="246" s="1"/>
  <c r="O20" i="16"/>
  <c r="H27" i="175"/>
  <c r="H41" i="175" s="1"/>
  <c r="G39" i="166"/>
  <c r="R18" i="246" s="1"/>
  <c r="H44" i="44"/>
  <c r="P16" i="72" s="1"/>
  <c r="E42" i="315"/>
  <c r="J284" i="209" s="1"/>
  <c r="D39" i="165"/>
  <c r="O17" i="246" s="1"/>
  <c r="N20" i="139"/>
  <c r="D44" i="247"/>
  <c r="L16" i="213" s="1"/>
  <c r="W32" i="213" s="1"/>
  <c r="R760" i="209"/>
  <c r="S760" i="209" s="1"/>
  <c r="G41" i="165"/>
  <c r="L203" i="246" s="1"/>
  <c r="I332" i="209"/>
  <c r="G37" i="216"/>
  <c r="R209" i="209" s="1"/>
  <c r="H30" i="229"/>
  <c r="H44" i="229" s="1"/>
  <c r="P16" i="330" s="1"/>
  <c r="P13" i="183"/>
  <c r="G39" i="195"/>
  <c r="R48" i="246" s="1"/>
  <c r="G40" i="166"/>
  <c r="L80" i="246" s="1"/>
  <c r="F37" i="219"/>
  <c r="Q225" i="209" s="1"/>
  <c r="D45" i="18"/>
  <c r="L17" i="6" s="1"/>
  <c r="W33" i="6" s="1"/>
  <c r="N20" i="215"/>
  <c r="J776" i="246"/>
  <c r="J24" i="155"/>
  <c r="J26" i="155" s="1"/>
  <c r="V12" i="155" s="1"/>
  <c r="X12" i="155" s="1"/>
  <c r="S32" i="294"/>
  <c r="M677" i="209"/>
  <c r="S582" i="209"/>
  <c r="N20" i="216"/>
  <c r="R600" i="209"/>
  <c r="P11" i="292"/>
  <c r="G42" i="216"/>
  <c r="L269" i="209" s="1"/>
  <c r="H23" i="327"/>
  <c r="H37" i="327" s="1"/>
  <c r="S212" i="209" s="1"/>
  <c r="P13" i="160"/>
  <c r="L420" i="209"/>
  <c r="G40" i="195"/>
  <c r="L110" i="246" s="1"/>
  <c r="H18" i="166"/>
  <c r="E39" i="315"/>
  <c r="P44" i="209" s="1"/>
  <c r="F40" i="219"/>
  <c r="K105" i="209" s="1"/>
  <c r="E40" i="176"/>
  <c r="J94" i="246" s="1"/>
  <c r="G37" i="165"/>
  <c r="R203" i="246" s="1"/>
  <c r="G39" i="216"/>
  <c r="R29" i="209" s="1"/>
  <c r="M582" i="209"/>
  <c r="G41" i="195"/>
  <c r="L234" i="246" s="1"/>
  <c r="D15" i="79"/>
  <c r="E15" i="79" s="1"/>
  <c r="G37" i="166"/>
  <c r="R204" i="246" s="1"/>
  <c r="J764" i="209"/>
  <c r="K765" i="209"/>
  <c r="M558" i="246"/>
  <c r="N20" i="162"/>
  <c r="D45" i="247"/>
  <c r="L17" i="213" s="1"/>
  <c r="W33" i="213" s="1"/>
  <c r="G40" i="165"/>
  <c r="L79" i="246" s="1"/>
  <c r="E48" i="330"/>
  <c r="N20" i="202"/>
  <c r="S679" i="209"/>
  <c r="I452" i="209"/>
  <c r="M452" i="209" s="1"/>
  <c r="L749" i="209"/>
  <c r="E14" i="7"/>
  <c r="E14" i="18" s="1"/>
  <c r="L658" i="246"/>
  <c r="H43" i="44"/>
  <c r="P15" i="123" s="1"/>
  <c r="G23" i="229"/>
  <c r="L484" i="209" s="1"/>
  <c r="G42" i="166"/>
  <c r="L266" i="246" s="1"/>
  <c r="E37" i="315"/>
  <c r="P224" i="209" s="1"/>
  <c r="F42" i="219"/>
  <c r="K285" i="209" s="1"/>
  <c r="N20" i="355"/>
  <c r="I684" i="209"/>
  <c r="H33" i="330"/>
  <c r="G39" i="165"/>
  <c r="R17" i="246" s="1"/>
  <c r="N20" i="344"/>
  <c r="O20" i="15"/>
  <c r="M458" i="246"/>
  <c r="H30" i="58"/>
  <c r="H44" i="58" s="1"/>
  <c r="S120" i="209" s="1"/>
  <c r="L480" i="209"/>
  <c r="G38" i="165"/>
  <c r="L17" i="246" s="1"/>
  <c r="F46" i="291"/>
  <c r="N18" i="289" s="1"/>
  <c r="G37" i="187"/>
  <c r="R206" i="246" s="1"/>
  <c r="G41" i="187"/>
  <c r="L206" i="246" s="1"/>
  <c r="K642" i="246"/>
  <c r="D39" i="146"/>
  <c r="O50" i="246" s="1"/>
  <c r="N20" i="9"/>
  <c r="N20" i="7"/>
  <c r="S342" i="209"/>
  <c r="G37" i="105"/>
  <c r="R202" i="209" s="1"/>
  <c r="J802" i="246"/>
  <c r="N20" i="79"/>
  <c r="O360" i="209"/>
  <c r="S126" i="294"/>
  <c r="G14" i="184"/>
  <c r="P26" i="95"/>
  <c r="F40" i="139"/>
  <c r="K83" i="246" s="1"/>
  <c r="E43" i="7"/>
  <c r="E47" i="7" s="1"/>
  <c r="P137" i="209" s="1"/>
  <c r="G40" i="187"/>
  <c r="L82" i="246" s="1"/>
  <c r="D41" i="146"/>
  <c r="I236" i="246" s="1"/>
  <c r="N20" i="15"/>
  <c r="N20" i="125"/>
  <c r="G38" i="105"/>
  <c r="L22" i="209" s="1"/>
  <c r="M496" i="246"/>
  <c r="E38" i="307"/>
  <c r="J58" i="246" s="1"/>
  <c r="N20" i="196"/>
  <c r="I12" i="294"/>
  <c r="H43" i="173"/>
  <c r="P15" i="162" s="1"/>
  <c r="F42" i="139"/>
  <c r="K269" i="246" s="1"/>
  <c r="S559" i="209"/>
  <c r="G39" i="187"/>
  <c r="R20" i="246" s="1"/>
  <c r="D40" i="146"/>
  <c r="I112" i="246" s="1"/>
  <c r="N20" i="6"/>
  <c r="G40" i="105"/>
  <c r="L82" i="209" s="1"/>
  <c r="G37" i="215"/>
  <c r="R206" i="209" s="1"/>
  <c r="E40" i="307"/>
  <c r="J120" i="246" s="1"/>
  <c r="N20" i="154"/>
  <c r="P9" i="183"/>
  <c r="E39" i="289"/>
  <c r="N31" i="294" s="1"/>
  <c r="F37" i="139"/>
  <c r="Q207" i="246" s="1"/>
  <c r="P26" i="220"/>
  <c r="E41" i="307"/>
  <c r="J244" i="246" s="1"/>
  <c r="E40" i="289"/>
  <c r="I50" i="294" s="1"/>
  <c r="D43" i="39"/>
  <c r="D47" i="39" s="1"/>
  <c r="O161" i="209" s="1"/>
  <c r="P26" i="39"/>
  <c r="H18" i="146"/>
  <c r="D38" i="146"/>
  <c r="I50" i="246" s="1"/>
  <c r="R272" i="209"/>
  <c r="N20" i="11"/>
  <c r="G39" i="105"/>
  <c r="R22" i="209" s="1"/>
  <c r="E37" i="307"/>
  <c r="P244" i="246" s="1"/>
  <c r="N20" i="39"/>
  <c r="P9" i="219"/>
  <c r="E38" i="289"/>
  <c r="S12" i="294" s="1"/>
  <c r="R774" i="209"/>
  <c r="F43" i="16"/>
  <c r="F47" i="16" s="1"/>
  <c r="Q128" i="209" s="1"/>
  <c r="Q272" i="209"/>
  <c r="N20" i="72"/>
  <c r="E41" i="289"/>
  <c r="I69" i="294" s="1"/>
  <c r="N20" i="4"/>
  <c r="G42" i="105"/>
  <c r="L262" i="209" s="1"/>
  <c r="P9" i="203"/>
  <c r="E18" i="291"/>
  <c r="E42" i="291" s="1"/>
  <c r="H27" i="330"/>
  <c r="H41" i="330" s="1"/>
  <c r="F39" i="139"/>
  <c r="Q21" i="246" s="1"/>
  <c r="E45" i="291"/>
  <c r="E44" i="291"/>
  <c r="E46" i="291"/>
  <c r="G45" i="326"/>
  <c r="G44" i="326"/>
  <c r="G42" i="187"/>
  <c r="L268" i="246" s="1"/>
  <c r="F45" i="223"/>
  <c r="K146" i="246" s="1"/>
  <c r="N20" i="13"/>
  <c r="N20" i="123"/>
  <c r="P9" i="362"/>
  <c r="J36" i="34"/>
  <c r="D15" i="9"/>
  <c r="D18" i="9" s="1"/>
  <c r="D39" i="9" s="1"/>
  <c r="G18" i="139"/>
  <c r="O26" i="186"/>
  <c r="G43" i="186" s="1"/>
  <c r="D40" i="165"/>
  <c r="I79" i="246" s="1"/>
  <c r="D38" i="165"/>
  <c r="I17" i="246" s="1"/>
  <c r="D37" i="165"/>
  <c r="O203" i="246" s="1"/>
  <c r="D42" i="165"/>
  <c r="I265" i="246" s="1"/>
  <c r="I761" i="246"/>
  <c r="M800" i="246" s="1"/>
  <c r="H47" i="228"/>
  <c r="S182" i="209" s="1"/>
  <c r="S422" i="209"/>
  <c r="P13" i="194"/>
  <c r="K41" i="292"/>
  <c r="P16" i="187"/>
  <c r="P14" i="355"/>
  <c r="P16" i="189"/>
  <c r="M11" i="292"/>
  <c r="S11" i="292" s="1"/>
  <c r="T11" i="292" s="1"/>
  <c r="H44" i="18"/>
  <c r="P16" i="13" s="1"/>
  <c r="S379" i="209"/>
  <c r="K360" i="209"/>
  <c r="J540" i="209"/>
  <c r="G25" i="229"/>
  <c r="L544" i="209" s="1"/>
  <c r="D13" i="292"/>
  <c r="R420" i="209"/>
  <c r="F48" i="330"/>
  <c r="K420" i="209"/>
  <c r="P16" i="204"/>
  <c r="S622" i="246"/>
  <c r="H43" i="231"/>
  <c r="P16" i="188"/>
  <c r="P16" i="146"/>
  <c r="L674" i="246"/>
  <c r="S490" i="246"/>
  <c r="J37" i="292"/>
  <c r="S498" i="246"/>
  <c r="G45" i="223"/>
  <c r="L146" i="246" s="1"/>
  <c r="K704" i="246"/>
  <c r="L642" i="246"/>
  <c r="F44" i="223"/>
  <c r="Q84" i="246" s="1"/>
  <c r="F46" i="223"/>
  <c r="G46" i="223"/>
  <c r="Q642" i="246"/>
  <c r="M498" i="246"/>
  <c r="H29" i="175"/>
  <c r="H43" i="175" s="1"/>
  <c r="K364" i="209"/>
  <c r="P18" i="166"/>
  <c r="H33" i="175"/>
  <c r="P24" i="292"/>
  <c r="M602" i="209"/>
  <c r="G48" i="175"/>
  <c r="O20" i="212" s="1"/>
  <c r="J512" i="209"/>
  <c r="K702" i="209"/>
  <c r="L20" i="173"/>
  <c r="F48" i="175"/>
  <c r="N20" i="212" s="1"/>
  <c r="G39" i="215"/>
  <c r="R26" i="209" s="1"/>
  <c r="P9" i="139"/>
  <c r="P14" i="195"/>
  <c r="P9" i="137"/>
  <c r="P9" i="215"/>
  <c r="P9" i="353"/>
  <c r="F44" i="291"/>
  <c r="N16" i="289" s="1"/>
  <c r="M673" i="209"/>
  <c r="P17" i="16"/>
  <c r="F45" i="291"/>
  <c r="N17" i="288" s="1"/>
  <c r="H18" i="195"/>
  <c r="O20" i="195"/>
  <c r="N26" i="361"/>
  <c r="F43" i="361" s="1"/>
  <c r="N15" i="360" s="1"/>
  <c r="E18" i="185"/>
  <c r="G38" i="215"/>
  <c r="L26" i="209" s="1"/>
  <c r="P14" i="219"/>
  <c r="P9" i="187"/>
  <c r="P9" i="188"/>
  <c r="P9" i="166"/>
  <c r="H46" i="328"/>
  <c r="G13" i="292"/>
  <c r="O20" i="194"/>
  <c r="G40" i="215"/>
  <c r="L86" i="209" s="1"/>
  <c r="O20" i="137"/>
  <c r="P9" i="195"/>
  <c r="P9" i="216"/>
  <c r="P9" i="165"/>
  <c r="D44" i="361"/>
  <c r="L16" i="296" s="1"/>
  <c r="O18" i="324"/>
  <c r="O18" i="325"/>
  <c r="J420" i="209"/>
  <c r="L746" i="209"/>
  <c r="M396" i="246"/>
  <c r="Q642" i="209"/>
  <c r="P9" i="204"/>
  <c r="P9" i="178"/>
  <c r="P9" i="160"/>
  <c r="P9" i="355"/>
  <c r="L18" i="296"/>
  <c r="L18" i="295"/>
  <c r="Q300" i="209"/>
  <c r="G41" i="215"/>
  <c r="L206" i="209" s="1"/>
  <c r="K642" i="209"/>
  <c r="F45" i="44"/>
  <c r="N17" i="154" s="1"/>
  <c r="P9" i="141"/>
  <c r="P9" i="189"/>
  <c r="P9" i="151"/>
  <c r="P9" i="293"/>
  <c r="M374" i="246"/>
  <c r="P14" i="187"/>
  <c r="D45" i="361"/>
  <c r="L17" i="333" s="1"/>
  <c r="S435" i="246"/>
  <c r="H24" i="175"/>
  <c r="H38" i="175" s="1"/>
  <c r="F44" i="44"/>
  <c r="N16" i="154" s="1"/>
  <c r="R300" i="209"/>
  <c r="P9" i="349"/>
  <c r="P9" i="146"/>
  <c r="G43" i="338"/>
  <c r="G47" i="338" s="1"/>
  <c r="R154" i="209" s="1"/>
  <c r="P9" i="202"/>
  <c r="L18" i="360"/>
  <c r="P15" i="221"/>
  <c r="P15" i="220"/>
  <c r="P15" i="347"/>
  <c r="P15" i="214"/>
  <c r="P15" i="105"/>
  <c r="P15" i="213"/>
  <c r="P19" i="105"/>
  <c r="S144" i="209"/>
  <c r="P19" i="213"/>
  <c r="P19" i="214"/>
  <c r="M559" i="246"/>
  <c r="T12" i="30"/>
  <c r="T19" i="30" s="1"/>
  <c r="J30" i="30" s="1"/>
  <c r="P19" i="347"/>
  <c r="P19" i="220"/>
  <c r="S177" i="209"/>
  <c r="P19" i="221"/>
  <c r="N18" i="123"/>
  <c r="N18" i="338"/>
  <c r="N18" i="39"/>
  <c r="N18" i="337"/>
  <c r="N18" i="72"/>
  <c r="N18" i="154"/>
  <c r="N18" i="196"/>
  <c r="N18" i="79"/>
  <c r="F23" i="229"/>
  <c r="Q304" i="209" s="1"/>
  <c r="O20" i="125"/>
  <c r="O20" i="9"/>
  <c r="O20" i="10"/>
  <c r="P300" i="209"/>
  <c r="P420" i="209"/>
  <c r="M439" i="209"/>
  <c r="C13" i="292"/>
  <c r="P14" i="9"/>
  <c r="O20" i="14"/>
  <c r="O20" i="7"/>
  <c r="P17" i="9"/>
  <c r="H31" i="327"/>
  <c r="H45" i="327" s="1"/>
  <c r="M152" i="209" s="1"/>
  <c r="P17" i="15"/>
  <c r="O20" i="13"/>
  <c r="O20" i="11"/>
  <c r="P17" i="125"/>
  <c r="P17" i="4"/>
  <c r="F30" i="229"/>
  <c r="E24" i="292" s="1"/>
  <c r="E41" i="292" s="1"/>
  <c r="R452" i="209"/>
  <c r="H27" i="58"/>
  <c r="H41" i="58" s="1"/>
  <c r="M240" i="209" s="1"/>
  <c r="H26" i="330"/>
  <c r="H40" i="330" s="1"/>
  <c r="H24" i="330"/>
  <c r="H38" i="330" s="1"/>
  <c r="S439" i="209"/>
  <c r="P19" i="295"/>
  <c r="F11" i="173"/>
  <c r="F45" i="173" s="1"/>
  <c r="O20" i="126"/>
  <c r="O20" i="178"/>
  <c r="O20" i="203"/>
  <c r="P13" i="151"/>
  <c r="P13" i="146"/>
  <c r="O20" i="349"/>
  <c r="O20" i="141"/>
  <c r="O20" i="362"/>
  <c r="O20" i="270"/>
  <c r="O20" i="187"/>
  <c r="P13" i="187"/>
  <c r="O20" i="188"/>
  <c r="O20" i="189"/>
  <c r="P13" i="203"/>
  <c r="O20" i="160"/>
  <c r="O20" i="293"/>
  <c r="O20" i="219"/>
  <c r="O20" i="204"/>
  <c r="O20" i="353"/>
  <c r="K750" i="209"/>
  <c r="P10" i="95"/>
  <c r="P754" i="209"/>
  <c r="E43" i="338"/>
  <c r="E47" i="338" s="1"/>
  <c r="P154" i="209" s="1"/>
  <c r="E43" i="16"/>
  <c r="E47" i="16" s="1"/>
  <c r="P128" i="209" s="1"/>
  <c r="P728" i="209"/>
  <c r="I792" i="246"/>
  <c r="M139" i="209"/>
  <c r="P14" i="293"/>
  <c r="P14" i="178"/>
  <c r="E39" i="176"/>
  <c r="P32" i="246" s="1"/>
  <c r="P26" i="349"/>
  <c r="P10" i="279"/>
  <c r="P600" i="209"/>
  <c r="P20" i="91"/>
  <c r="P20" i="270"/>
  <c r="P21" i="313"/>
  <c r="D37" i="355"/>
  <c r="D41" i="355"/>
  <c r="D40" i="355"/>
  <c r="H18" i="355"/>
  <c r="D38" i="355"/>
  <c r="D42" i="355"/>
  <c r="D39" i="355"/>
  <c r="F43" i="220"/>
  <c r="F47" i="220" s="1"/>
  <c r="Q174" i="209" s="1"/>
  <c r="Q774" i="209"/>
  <c r="K764" i="209"/>
  <c r="F38" i="315"/>
  <c r="K44" i="209" s="1"/>
  <c r="F42" i="315"/>
  <c r="K284" i="209" s="1"/>
  <c r="F39" i="315"/>
  <c r="Q44" i="209" s="1"/>
  <c r="F40" i="315"/>
  <c r="K104" i="209" s="1"/>
  <c r="F37" i="315"/>
  <c r="Q224" i="209" s="1"/>
  <c r="F41" i="315"/>
  <c r="K224" i="209" s="1"/>
  <c r="G46" i="186"/>
  <c r="O18" i="191" s="1"/>
  <c r="E18" i="104"/>
  <c r="E38" i="104" s="1"/>
  <c r="F42" i="141"/>
  <c r="K294" i="246" s="1"/>
  <c r="D38" i="195"/>
  <c r="I48" i="246" s="1"/>
  <c r="P17" i="7"/>
  <c r="P14" i="188"/>
  <c r="P14" i="126"/>
  <c r="P14" i="137"/>
  <c r="P14" i="204"/>
  <c r="E42" i="176"/>
  <c r="J280" i="246" s="1"/>
  <c r="P10" i="191"/>
  <c r="L20" i="10"/>
  <c r="P17" i="313"/>
  <c r="S71" i="246"/>
  <c r="P16" i="270"/>
  <c r="P16" i="91"/>
  <c r="D472" i="209"/>
  <c r="U412" i="209"/>
  <c r="D43" i="220"/>
  <c r="D47" i="220" s="1"/>
  <c r="O174" i="209" s="1"/>
  <c r="O774" i="209"/>
  <c r="P764" i="209"/>
  <c r="E43" i="315"/>
  <c r="E47" i="315" s="1"/>
  <c r="P164" i="209" s="1"/>
  <c r="Q731" i="209"/>
  <c r="F43" i="4"/>
  <c r="F47" i="4" s="1"/>
  <c r="Q131" i="209" s="1"/>
  <c r="G43" i="4"/>
  <c r="G47" i="4" s="1"/>
  <c r="R131" i="209" s="1"/>
  <c r="R731" i="209"/>
  <c r="S731" i="209" s="1"/>
  <c r="P26" i="4"/>
  <c r="O729" i="209"/>
  <c r="S729" i="209" s="1"/>
  <c r="D43" i="15"/>
  <c r="D47" i="15" s="1"/>
  <c r="O129" i="209" s="1"/>
  <c r="D40" i="195"/>
  <c r="I110" i="246" s="1"/>
  <c r="R658" i="246"/>
  <c r="F38" i="141"/>
  <c r="K46" i="246" s="1"/>
  <c r="L20" i="13"/>
  <c r="H32" i="175"/>
  <c r="D37" i="195"/>
  <c r="O234" i="246" s="1"/>
  <c r="J562" i="246"/>
  <c r="P17" i="11"/>
  <c r="S259" i="209"/>
  <c r="P14" i="194"/>
  <c r="P14" i="160"/>
  <c r="P14" i="189"/>
  <c r="E37" i="176"/>
  <c r="P218" i="246" s="1"/>
  <c r="P26" i="355"/>
  <c r="D43" i="355"/>
  <c r="D47" i="355" s="1"/>
  <c r="D40" i="15"/>
  <c r="I69" i="209" s="1"/>
  <c r="D42" i="15"/>
  <c r="I249" i="209" s="1"/>
  <c r="D37" i="15"/>
  <c r="O189" i="209" s="1"/>
  <c r="D38" i="15"/>
  <c r="I9" i="209" s="1"/>
  <c r="D41" i="15"/>
  <c r="I189" i="209" s="1"/>
  <c r="I729" i="209"/>
  <c r="D39" i="15"/>
  <c r="O9" i="209" s="1"/>
  <c r="F38" i="355"/>
  <c r="F42" i="355"/>
  <c r="F39" i="355"/>
  <c r="F37" i="355"/>
  <c r="F40" i="355"/>
  <c r="F41" i="355"/>
  <c r="H18" i="187"/>
  <c r="G45" i="186"/>
  <c r="O17" i="279" s="1"/>
  <c r="F37" i="141"/>
  <c r="Q232" i="246" s="1"/>
  <c r="J332" i="209"/>
  <c r="L20" i="7"/>
  <c r="L20" i="6"/>
  <c r="E44" i="212"/>
  <c r="P90" i="209" s="1"/>
  <c r="D41" i="195"/>
  <c r="I234" i="246" s="1"/>
  <c r="P19" i="360"/>
  <c r="P14" i="362"/>
  <c r="P14" i="216"/>
  <c r="P14" i="215"/>
  <c r="E38" i="176"/>
  <c r="J32" i="246" s="1"/>
  <c r="M681" i="209"/>
  <c r="Q742" i="209"/>
  <c r="P14" i="349"/>
  <c r="I774" i="209"/>
  <c r="M774" i="209" s="1"/>
  <c r="D41" i="220"/>
  <c r="I234" i="209" s="1"/>
  <c r="D42" i="220"/>
  <c r="I294" i="209" s="1"/>
  <c r="D38" i="220"/>
  <c r="I54" i="209" s="1"/>
  <c r="D37" i="220"/>
  <c r="O234" i="209" s="1"/>
  <c r="D40" i="220"/>
  <c r="I114" i="209" s="1"/>
  <c r="D39" i="220"/>
  <c r="O54" i="209" s="1"/>
  <c r="H18" i="220"/>
  <c r="G44" i="186"/>
  <c r="O16" i="191" s="1"/>
  <c r="F39" i="141"/>
  <c r="Q46" i="246" s="1"/>
  <c r="K332" i="209"/>
  <c r="P14" i="11"/>
  <c r="L20" i="14"/>
  <c r="L20" i="4"/>
  <c r="J690" i="209"/>
  <c r="J33" i="292"/>
  <c r="P17" i="13"/>
  <c r="P17" i="6"/>
  <c r="P14" i="141"/>
  <c r="P14" i="146"/>
  <c r="P14" i="203"/>
  <c r="P14" i="353"/>
  <c r="E40" i="355"/>
  <c r="E37" i="355"/>
  <c r="E42" i="355"/>
  <c r="E38" i="355"/>
  <c r="E41" i="355"/>
  <c r="E39" i="355"/>
  <c r="E41" i="338"/>
  <c r="J214" i="209" s="1"/>
  <c r="E40" i="338"/>
  <c r="J94" i="209" s="1"/>
  <c r="J754" i="209"/>
  <c r="E42" i="338"/>
  <c r="J274" i="209" s="1"/>
  <c r="E38" i="338"/>
  <c r="J34" i="209" s="1"/>
  <c r="E39" i="338"/>
  <c r="P34" i="209" s="1"/>
  <c r="E37" i="338"/>
  <c r="P214" i="209" s="1"/>
  <c r="E37" i="344"/>
  <c r="E41" i="344"/>
  <c r="E39" i="344"/>
  <c r="E38" i="344"/>
  <c r="E40" i="344"/>
  <c r="E42" i="344"/>
  <c r="G42" i="338"/>
  <c r="L274" i="209" s="1"/>
  <c r="G38" i="338"/>
  <c r="L34" i="209" s="1"/>
  <c r="D37" i="338"/>
  <c r="O214" i="209" s="1"/>
  <c r="D39" i="338"/>
  <c r="O34" i="209" s="1"/>
  <c r="I754" i="209"/>
  <c r="D40" i="338"/>
  <c r="I94" i="209" s="1"/>
  <c r="D41" i="338"/>
  <c r="I214" i="209" s="1"/>
  <c r="D42" i="338"/>
  <c r="I274" i="209" s="1"/>
  <c r="D38" i="338"/>
  <c r="I34" i="209" s="1"/>
  <c r="E37" i="16"/>
  <c r="P188" i="209" s="1"/>
  <c r="E39" i="16"/>
  <c r="P8" i="209" s="1"/>
  <c r="E40" i="16"/>
  <c r="J68" i="209" s="1"/>
  <c r="J728" i="209"/>
  <c r="E42" i="16"/>
  <c r="J248" i="209" s="1"/>
  <c r="E41" i="16"/>
  <c r="J188" i="209" s="1"/>
  <c r="E38" i="16"/>
  <c r="J8" i="209" s="1"/>
  <c r="P15" i="270"/>
  <c r="P16" i="313"/>
  <c r="P15" i="91"/>
  <c r="G38" i="355"/>
  <c r="G41" i="355"/>
  <c r="G39" i="355"/>
  <c r="G37" i="355"/>
  <c r="G42" i="355"/>
  <c r="G40" i="355"/>
  <c r="D38" i="176"/>
  <c r="I32" i="246" s="1"/>
  <c r="D42" i="176"/>
  <c r="I280" i="246" s="1"/>
  <c r="D40" i="176"/>
  <c r="I94" i="246" s="1"/>
  <c r="H18" i="176"/>
  <c r="D37" i="176"/>
  <c r="O218" i="246" s="1"/>
  <c r="I776" i="246"/>
  <c r="D41" i="176"/>
  <c r="I218" i="246" s="1"/>
  <c r="D39" i="176"/>
  <c r="O32" i="246" s="1"/>
  <c r="R728" i="209"/>
  <c r="S728" i="209" s="1"/>
  <c r="G43" i="16"/>
  <c r="G47" i="16" s="1"/>
  <c r="R128" i="209" s="1"/>
  <c r="F43" i="6"/>
  <c r="F47" i="6" s="1"/>
  <c r="Q138" i="209" s="1"/>
  <c r="Q738" i="209"/>
  <c r="P20" i="313"/>
  <c r="P19" i="270"/>
  <c r="S133" i="246"/>
  <c r="P19" i="91"/>
  <c r="D39" i="296"/>
  <c r="M37" i="294" s="1"/>
  <c r="H18" i="294"/>
  <c r="D41" i="296"/>
  <c r="H75" i="294" s="1"/>
  <c r="M18" i="294"/>
  <c r="R132" i="294"/>
  <c r="D42" i="296"/>
  <c r="M75" i="294" s="1"/>
  <c r="D37" i="296"/>
  <c r="H37" i="294" s="1"/>
  <c r="P17" i="14"/>
  <c r="P14" i="183"/>
  <c r="P14" i="334"/>
  <c r="M702" i="246"/>
  <c r="O754" i="209"/>
  <c r="S754" i="209" s="1"/>
  <c r="D43" i="338"/>
  <c r="D47" i="338" s="1"/>
  <c r="O154" i="209" s="1"/>
  <c r="F37" i="220"/>
  <c r="Q234" i="209" s="1"/>
  <c r="F38" i="220"/>
  <c r="K54" i="209" s="1"/>
  <c r="F42" i="220"/>
  <c r="K294" i="209" s="1"/>
  <c r="K774" i="209"/>
  <c r="F41" i="220"/>
  <c r="K234" i="209" s="1"/>
  <c r="F40" i="220"/>
  <c r="K114" i="209" s="1"/>
  <c r="F39" i="220"/>
  <c r="Q54" i="209" s="1"/>
  <c r="D15" i="11"/>
  <c r="E15" i="11" s="1"/>
  <c r="J25" i="32"/>
  <c r="J27" i="32" s="1"/>
  <c r="V11" i="32" s="1"/>
  <c r="P12" i="72"/>
  <c r="E45" i="212"/>
  <c r="J150" i="209" s="1"/>
  <c r="M20" i="162"/>
  <c r="M20" i="344"/>
  <c r="P16" i="215"/>
  <c r="P16" i="293"/>
  <c r="P16" i="126"/>
  <c r="P12" i="212"/>
  <c r="E11" i="173"/>
  <c r="E44" i="173" s="1"/>
  <c r="H37" i="18"/>
  <c r="P9" i="6" s="1"/>
  <c r="D11" i="173"/>
  <c r="D45" i="173" s="1"/>
  <c r="F37" i="289"/>
  <c r="J31" i="294" s="1"/>
  <c r="J12" i="294"/>
  <c r="F42" i="289"/>
  <c r="O69" i="294" s="1"/>
  <c r="O12" i="294"/>
  <c r="F40" i="289"/>
  <c r="J50" i="294" s="1"/>
  <c r="F39" i="289"/>
  <c r="O31" i="294" s="1"/>
  <c r="T126" i="294"/>
  <c r="F41" i="289"/>
  <c r="J69" i="294" s="1"/>
  <c r="F38" i="289"/>
  <c r="T12" i="294" s="1"/>
  <c r="P12" i="338"/>
  <c r="M20" i="355"/>
  <c r="P16" i="137"/>
  <c r="P16" i="362"/>
  <c r="P16" i="141"/>
  <c r="L20" i="9"/>
  <c r="L20" i="15"/>
  <c r="H44" i="250"/>
  <c r="S121" i="209" s="1"/>
  <c r="K18" i="292"/>
  <c r="T21" i="28"/>
  <c r="F43" i="15"/>
  <c r="F47" i="15" s="1"/>
  <c r="Q129" i="209" s="1"/>
  <c r="Q729" i="209"/>
  <c r="P12" i="123"/>
  <c r="M20" i="165"/>
  <c r="M20" i="139"/>
  <c r="P16" i="203"/>
  <c r="P16" i="160"/>
  <c r="P16" i="353"/>
  <c r="P16" i="355"/>
  <c r="P12" i="173"/>
  <c r="L20" i="185"/>
  <c r="M620" i="246"/>
  <c r="H32" i="174"/>
  <c r="M686" i="246" s="1"/>
  <c r="P26" i="284"/>
  <c r="P25" i="174"/>
  <c r="L20" i="11"/>
  <c r="P26" i="165"/>
  <c r="S361" i="209"/>
  <c r="S61" i="209"/>
  <c r="F43" i="289"/>
  <c r="F47" i="289" s="1"/>
  <c r="T50" i="294" s="1"/>
  <c r="N26" i="291"/>
  <c r="F43" i="291" s="1"/>
  <c r="J630" i="209"/>
  <c r="M20" i="202"/>
  <c r="P16" i="151"/>
  <c r="P16" i="219"/>
  <c r="P16" i="195"/>
  <c r="P12" i="185"/>
  <c r="L20" i="103"/>
  <c r="D46" i="18"/>
  <c r="L18" i="4" s="1"/>
  <c r="J11" i="292"/>
  <c r="L26" i="185"/>
  <c r="T14" i="100"/>
  <c r="T18" i="100" s="1"/>
  <c r="J31" i="100" s="1"/>
  <c r="J33" i="100" s="1"/>
  <c r="F42" i="190"/>
  <c r="K261" i="246" s="1"/>
  <c r="P630" i="209"/>
  <c r="M20" i="166"/>
  <c r="P16" i="216"/>
  <c r="P16" i="183"/>
  <c r="P16" i="334"/>
  <c r="P12" i="103"/>
  <c r="O619" i="209"/>
  <c r="D44" i="18"/>
  <c r="L16" i="15" s="1"/>
  <c r="W32" i="15" s="1"/>
  <c r="O26" i="223"/>
  <c r="G43" i="223" s="1"/>
  <c r="G47" i="223" s="1"/>
  <c r="R146" i="246" s="1"/>
  <c r="F18" i="361"/>
  <c r="F38" i="361" s="1"/>
  <c r="S204" i="209"/>
  <c r="P9" i="105"/>
  <c r="P9" i="214"/>
  <c r="P9" i="213"/>
  <c r="M740" i="246"/>
  <c r="L20" i="125"/>
  <c r="F14" i="184"/>
  <c r="P16" i="194"/>
  <c r="P16" i="349"/>
  <c r="E11" i="228"/>
  <c r="P662" i="209" s="1"/>
  <c r="I619" i="209"/>
  <c r="G15" i="186"/>
  <c r="G15" i="184" s="1"/>
  <c r="G18" i="95"/>
  <c r="H18" i="95" s="1"/>
  <c r="X45" i="30"/>
  <c r="X46" i="30"/>
  <c r="K480" i="209"/>
  <c r="L540" i="209"/>
  <c r="F26" i="229"/>
  <c r="F24" i="292" s="1"/>
  <c r="F41" i="292" s="1"/>
  <c r="Q600" i="209"/>
  <c r="P12" i="39"/>
  <c r="P12" i="79"/>
  <c r="H28" i="330"/>
  <c r="H42" i="330" s="1"/>
  <c r="P12" i="196"/>
  <c r="P12" i="154"/>
  <c r="M342" i="209"/>
  <c r="M102" i="209"/>
  <c r="P12" i="337"/>
  <c r="D27" i="229"/>
  <c r="H27" i="229" s="1"/>
  <c r="H41" i="229" s="1"/>
  <c r="C23" i="229"/>
  <c r="H32" i="58"/>
  <c r="M660" i="209" s="1"/>
  <c r="L20" i="154"/>
  <c r="H31" i="330"/>
  <c r="H45" i="330" s="1"/>
  <c r="M499" i="209"/>
  <c r="P512" i="209"/>
  <c r="O572" i="209"/>
  <c r="S572" i="209" s="1"/>
  <c r="L26" i="361"/>
  <c r="D43" i="361" s="1"/>
  <c r="P26" i="146"/>
  <c r="P18" i="165"/>
  <c r="P18" i="162"/>
  <c r="F40" i="187"/>
  <c r="K82" i="246" s="1"/>
  <c r="D11" i="231"/>
  <c r="D45" i="231" s="1"/>
  <c r="I188" i="246" s="1"/>
  <c r="O642" i="246"/>
  <c r="D45" i="223"/>
  <c r="I146" i="246" s="1"/>
  <c r="I642" i="246"/>
  <c r="D46" i="223"/>
  <c r="F37" i="187"/>
  <c r="Q206" i="246" s="1"/>
  <c r="H26" i="175"/>
  <c r="H40" i="175" s="1"/>
  <c r="H26" i="229"/>
  <c r="H40" i="229" s="1"/>
  <c r="P12" i="328" s="1"/>
  <c r="P18" i="139"/>
  <c r="I572" i="209"/>
  <c r="M572" i="209" s="1"/>
  <c r="R480" i="209"/>
  <c r="P14" i="125"/>
  <c r="R540" i="209"/>
  <c r="G48" i="330"/>
  <c r="H26" i="58"/>
  <c r="H40" i="58" s="1"/>
  <c r="M120" i="209" s="1"/>
  <c r="P15" i="191"/>
  <c r="S560" i="246"/>
  <c r="D43" i="146"/>
  <c r="D47" i="146" s="1"/>
  <c r="O174" i="246" s="1"/>
  <c r="O26" i="361"/>
  <c r="G43" i="361" s="1"/>
  <c r="O15" i="295" s="1"/>
  <c r="M20" i="123"/>
  <c r="F43" i="215"/>
  <c r="F47" i="215" s="1"/>
  <c r="Q146" i="209" s="1"/>
  <c r="Q746" i="209"/>
  <c r="G37" i="293"/>
  <c r="K34" i="294" s="1"/>
  <c r="U129" i="294"/>
  <c r="G41" i="293"/>
  <c r="K72" i="294" s="1"/>
  <c r="G39" i="293"/>
  <c r="P34" i="294" s="1"/>
  <c r="G38" i="293"/>
  <c r="U15" i="294" s="1"/>
  <c r="P15" i="294"/>
  <c r="G40" i="293"/>
  <c r="K53" i="294" s="1"/>
  <c r="G42" i="293"/>
  <c r="P72" i="294" s="1"/>
  <c r="K15" i="294"/>
  <c r="E42" i="360"/>
  <c r="N78" i="294" s="1"/>
  <c r="E37" i="360"/>
  <c r="I40" i="294" s="1"/>
  <c r="S135" i="294"/>
  <c r="E41" i="360"/>
  <c r="I78" i="294" s="1"/>
  <c r="E40" i="360"/>
  <c r="I59" i="294" s="1"/>
  <c r="E38" i="360"/>
  <c r="S21" i="294" s="1"/>
  <c r="I21" i="294"/>
  <c r="E39" i="360"/>
  <c r="N40" i="294" s="1"/>
  <c r="N21" i="294"/>
  <c r="G43" i="307"/>
  <c r="G47" i="307" s="1"/>
  <c r="R182" i="246" s="1"/>
  <c r="O26" i="308"/>
  <c r="P26" i="308" s="1"/>
  <c r="D43" i="216"/>
  <c r="D47" i="216" s="1"/>
  <c r="O149" i="209" s="1"/>
  <c r="O749" i="209"/>
  <c r="S749" i="209" s="1"/>
  <c r="P26" i="216"/>
  <c r="E43" i="307"/>
  <c r="E47" i="307" s="1"/>
  <c r="P182" i="246" s="1"/>
  <c r="M26" i="308"/>
  <c r="E43" i="215"/>
  <c r="E47" i="215" s="1"/>
  <c r="P146" i="209" s="1"/>
  <c r="P746" i="209"/>
  <c r="S620" i="246"/>
  <c r="E41" i="295"/>
  <c r="I17" i="294"/>
  <c r="E38" i="295"/>
  <c r="S17" i="294" s="1"/>
  <c r="E40" i="295"/>
  <c r="I55" i="294" s="1"/>
  <c r="E42" i="295"/>
  <c r="N17" i="294"/>
  <c r="E39" i="295"/>
  <c r="N36" i="294" s="1"/>
  <c r="E37" i="295"/>
  <c r="I36" i="294" s="1"/>
  <c r="S131" i="294"/>
  <c r="E38" i="216"/>
  <c r="J29" i="209" s="1"/>
  <c r="E37" i="216"/>
  <c r="P209" i="209" s="1"/>
  <c r="E41" i="216"/>
  <c r="J209" i="209" s="1"/>
  <c r="J749" i="209"/>
  <c r="E40" i="216"/>
  <c r="J89" i="209" s="1"/>
  <c r="E39" i="216"/>
  <c r="P29" i="209" s="1"/>
  <c r="E42" i="216"/>
  <c r="J269" i="209" s="1"/>
  <c r="F41" i="187"/>
  <c r="K206" i="246" s="1"/>
  <c r="P26" i="204"/>
  <c r="P452" i="209"/>
  <c r="M259" i="209"/>
  <c r="G24" i="229"/>
  <c r="L364" i="209" s="1"/>
  <c r="P540" i="209"/>
  <c r="P19" i="165"/>
  <c r="P17" i="212"/>
  <c r="M20" i="39"/>
  <c r="F43" i="216"/>
  <c r="F47" i="216" s="1"/>
  <c r="Q149" i="209" s="1"/>
  <c r="Q749" i="209"/>
  <c r="P26" i="307"/>
  <c r="E42" i="349"/>
  <c r="N73" i="294" s="1"/>
  <c r="E37" i="349"/>
  <c r="I35" i="294" s="1"/>
  <c r="E39" i="349"/>
  <c r="N35" i="294" s="1"/>
  <c r="N16" i="294"/>
  <c r="S130" i="294"/>
  <c r="E38" i="349"/>
  <c r="S16" i="294" s="1"/>
  <c r="E40" i="349"/>
  <c r="I54" i="294" s="1"/>
  <c r="I16" i="294"/>
  <c r="E41" i="349"/>
  <c r="I73" i="294" s="1"/>
  <c r="P765" i="209"/>
  <c r="E43" i="219"/>
  <c r="E47" i="219" s="1"/>
  <c r="P165" i="209" s="1"/>
  <c r="F44" i="212"/>
  <c r="Q90" i="209" s="1"/>
  <c r="Q630" i="209"/>
  <c r="F45" i="212"/>
  <c r="K150" i="209" s="1"/>
  <c r="F46" i="212"/>
  <c r="K690" i="209"/>
  <c r="K630" i="209"/>
  <c r="M20" i="292"/>
  <c r="R130" i="294"/>
  <c r="D40" i="349"/>
  <c r="H54" i="294" s="1"/>
  <c r="M16" i="294"/>
  <c r="D41" i="349"/>
  <c r="H73" i="294" s="1"/>
  <c r="D38" i="349"/>
  <c r="R16" i="294" s="1"/>
  <c r="D37" i="349"/>
  <c r="H35" i="294" s="1"/>
  <c r="D42" i="349"/>
  <c r="M73" i="294" s="1"/>
  <c r="H16" i="294"/>
  <c r="D39" i="349"/>
  <c r="M35" i="294" s="1"/>
  <c r="E41" i="101"/>
  <c r="J217" i="246" s="1"/>
  <c r="E37" i="101"/>
  <c r="P217" i="246" s="1"/>
  <c r="E39" i="101"/>
  <c r="P31" i="246" s="1"/>
  <c r="E40" i="101"/>
  <c r="J93" i="246" s="1"/>
  <c r="J775" i="246"/>
  <c r="E38" i="101"/>
  <c r="J31" i="246" s="1"/>
  <c r="E42" i="101"/>
  <c r="J279" i="246" s="1"/>
  <c r="F38" i="187"/>
  <c r="K20" i="246" s="1"/>
  <c r="P26" i="270"/>
  <c r="P18" i="6"/>
  <c r="P19" i="202"/>
  <c r="P11" i="166"/>
  <c r="M687" i="209"/>
  <c r="P14" i="7"/>
  <c r="D43" i="215"/>
  <c r="D47" i="215" s="1"/>
  <c r="O146" i="209" s="1"/>
  <c r="O746" i="209"/>
  <c r="S746" i="209" s="1"/>
  <c r="D41" i="307"/>
  <c r="I244" i="246" s="1"/>
  <c r="D37" i="307"/>
  <c r="O244" i="246" s="1"/>
  <c r="D39" i="307"/>
  <c r="O58" i="246" s="1"/>
  <c r="I802" i="246"/>
  <c r="D42" i="307"/>
  <c r="I306" i="246" s="1"/>
  <c r="D38" i="307"/>
  <c r="I58" i="246" s="1"/>
  <c r="H18" i="307"/>
  <c r="D40" i="307"/>
  <c r="I120" i="246" s="1"/>
  <c r="E39" i="219"/>
  <c r="P45" i="209" s="1"/>
  <c r="J765" i="209"/>
  <c r="E42" i="219"/>
  <c r="J285" i="209" s="1"/>
  <c r="E37" i="219"/>
  <c r="P225" i="209" s="1"/>
  <c r="E40" i="219"/>
  <c r="J105" i="209" s="1"/>
  <c r="E38" i="219"/>
  <c r="J45" i="209" s="1"/>
  <c r="E41" i="219"/>
  <c r="J225" i="209" s="1"/>
  <c r="D38" i="215"/>
  <c r="I26" i="209" s="1"/>
  <c r="I746" i="209"/>
  <c r="D42" i="215"/>
  <c r="I266" i="209" s="1"/>
  <c r="D37" i="215"/>
  <c r="O206" i="209" s="1"/>
  <c r="D39" i="215"/>
  <c r="O26" i="209" s="1"/>
  <c r="D41" i="215"/>
  <c r="I206" i="209" s="1"/>
  <c r="D40" i="215"/>
  <c r="I86" i="209" s="1"/>
  <c r="S129" i="294"/>
  <c r="E41" i="293"/>
  <c r="I72" i="294" s="1"/>
  <c r="E39" i="293"/>
  <c r="N34" i="294" s="1"/>
  <c r="E40" i="293"/>
  <c r="I53" i="294" s="1"/>
  <c r="E42" i="293"/>
  <c r="N72" i="294" s="1"/>
  <c r="E37" i="293"/>
  <c r="I34" i="294" s="1"/>
  <c r="N15" i="294"/>
  <c r="I15" i="294"/>
  <c r="E38" i="293"/>
  <c r="S15" i="294" s="1"/>
  <c r="F42" i="187"/>
  <c r="K268" i="246" s="1"/>
  <c r="K600" i="209"/>
  <c r="P14" i="13"/>
  <c r="J424" i="209"/>
  <c r="S428" i="246"/>
  <c r="P19" i="139"/>
  <c r="P11" i="165"/>
  <c r="M20" i="79"/>
  <c r="M696" i="209"/>
  <c r="M379" i="209"/>
  <c r="G42" i="307"/>
  <c r="L306" i="246" s="1"/>
  <c r="G40" i="307"/>
  <c r="L120" i="246" s="1"/>
  <c r="L802" i="246"/>
  <c r="G41" i="307"/>
  <c r="L244" i="246" s="1"/>
  <c r="G37" i="307"/>
  <c r="R244" i="246" s="1"/>
  <c r="G39" i="307"/>
  <c r="R58" i="246" s="1"/>
  <c r="G38" i="307"/>
  <c r="L58" i="246" s="1"/>
  <c r="E38" i="139"/>
  <c r="J21" i="246" s="1"/>
  <c r="E37" i="139"/>
  <c r="P207" i="246" s="1"/>
  <c r="E41" i="139"/>
  <c r="J207" i="246" s="1"/>
  <c r="J765" i="246"/>
  <c r="E40" i="139"/>
  <c r="J83" i="246" s="1"/>
  <c r="E39" i="139"/>
  <c r="P21" i="246" s="1"/>
  <c r="E42" i="139"/>
  <c r="J269" i="246" s="1"/>
  <c r="D40" i="293"/>
  <c r="H53" i="294" s="1"/>
  <c r="D38" i="293"/>
  <c r="R15" i="294" s="1"/>
  <c r="R129" i="294"/>
  <c r="M15" i="294"/>
  <c r="D41" i="293"/>
  <c r="H72" i="294" s="1"/>
  <c r="D37" i="293"/>
  <c r="H34" i="294" s="1"/>
  <c r="D39" i="293"/>
  <c r="M34" i="294" s="1"/>
  <c r="H18" i="293"/>
  <c r="H15" i="294"/>
  <c r="D42" i="293"/>
  <c r="M72" i="294" s="1"/>
  <c r="G43" i="219"/>
  <c r="G47" i="219" s="1"/>
  <c r="R165" i="209" s="1"/>
  <c r="R765" i="209"/>
  <c r="S765" i="209" s="1"/>
  <c r="F39" i="165"/>
  <c r="Q17" i="246" s="1"/>
  <c r="F41" i="165"/>
  <c r="K203" i="246" s="1"/>
  <c r="K761" i="246"/>
  <c r="F37" i="165"/>
  <c r="Q203" i="246" s="1"/>
  <c r="F38" i="165"/>
  <c r="K17" i="246" s="1"/>
  <c r="F40" i="165"/>
  <c r="K79" i="246" s="1"/>
  <c r="F42" i="165"/>
  <c r="K265" i="246" s="1"/>
  <c r="F41" i="307"/>
  <c r="K244" i="246" s="1"/>
  <c r="K802" i="246"/>
  <c r="F42" i="307"/>
  <c r="K306" i="246" s="1"/>
  <c r="F39" i="307"/>
  <c r="Q58" i="246" s="1"/>
  <c r="F40" i="307"/>
  <c r="K120" i="246" s="1"/>
  <c r="F37" i="307"/>
  <c r="Q244" i="246" s="1"/>
  <c r="F38" i="307"/>
  <c r="K58" i="246" s="1"/>
  <c r="F37" i="349"/>
  <c r="J35" i="294" s="1"/>
  <c r="F41" i="349"/>
  <c r="J73" i="294" s="1"/>
  <c r="T130" i="294"/>
  <c r="F40" i="349"/>
  <c r="J54" i="294" s="1"/>
  <c r="F42" i="349"/>
  <c r="O73" i="294" s="1"/>
  <c r="F38" i="349"/>
  <c r="T16" i="294" s="1"/>
  <c r="O16" i="294"/>
  <c r="J16" i="294"/>
  <c r="F39" i="349"/>
  <c r="O35" i="294" s="1"/>
  <c r="P25" i="58"/>
  <c r="P14" i="16"/>
  <c r="L360" i="209"/>
  <c r="P15" i="279"/>
  <c r="P19" i="162"/>
  <c r="P11" i="162"/>
  <c r="S436" i="246"/>
  <c r="I37" i="292"/>
  <c r="F18" i="308"/>
  <c r="O32" i="292" s="1"/>
  <c r="M20" i="196"/>
  <c r="M20" i="154"/>
  <c r="J10" i="292"/>
  <c r="M20" i="338"/>
  <c r="H18" i="349"/>
  <c r="T32" i="36"/>
  <c r="T36" i="36" s="1"/>
  <c r="J47" i="36" s="1"/>
  <c r="F43" i="79"/>
  <c r="F47" i="79" s="1"/>
  <c r="Q159" i="209" s="1"/>
  <c r="Q759" i="209"/>
  <c r="F41" i="360"/>
  <c r="J78" i="294" s="1"/>
  <c r="F37" i="360"/>
  <c r="J40" i="294" s="1"/>
  <c r="F40" i="360"/>
  <c r="J59" i="294" s="1"/>
  <c r="J21" i="294"/>
  <c r="F38" i="360"/>
  <c r="T21" i="294" s="1"/>
  <c r="O21" i="294"/>
  <c r="F39" i="360"/>
  <c r="O40" i="294" s="1"/>
  <c r="T135" i="294"/>
  <c r="F42" i="360"/>
  <c r="O78" i="294" s="1"/>
  <c r="D39" i="216"/>
  <c r="O29" i="209" s="1"/>
  <c r="D41" i="216"/>
  <c r="I209" i="209" s="1"/>
  <c r="D37" i="216"/>
  <c r="O209" i="209" s="1"/>
  <c r="D40" i="216"/>
  <c r="I89" i="209" s="1"/>
  <c r="D38" i="216"/>
  <c r="I29" i="209" s="1"/>
  <c r="I749" i="209"/>
  <c r="D42" i="216"/>
  <c r="I269" i="209" s="1"/>
  <c r="H18" i="215"/>
  <c r="G42" i="295"/>
  <c r="U131" i="294"/>
  <c r="G37" i="295"/>
  <c r="K36" i="294" s="1"/>
  <c r="G38" i="295"/>
  <c r="U17" i="294" s="1"/>
  <c r="G40" i="295"/>
  <c r="K55" i="294" s="1"/>
  <c r="K17" i="294"/>
  <c r="G39" i="295"/>
  <c r="P36" i="294" s="1"/>
  <c r="P17" i="294"/>
  <c r="G41" i="295"/>
  <c r="D43" i="293"/>
  <c r="D47" i="293" s="1"/>
  <c r="R53" i="294" s="1"/>
  <c r="P26" i="293"/>
  <c r="F48" i="58"/>
  <c r="P14" i="4"/>
  <c r="P11" i="202"/>
  <c r="M695" i="209"/>
  <c r="M20" i="72"/>
  <c r="H32" i="330"/>
  <c r="D39" i="295"/>
  <c r="M36" i="294" s="1"/>
  <c r="D38" i="295"/>
  <c r="R17" i="294" s="1"/>
  <c r="H18" i="295"/>
  <c r="D37" i="295"/>
  <c r="H36" i="294" s="1"/>
  <c r="D41" i="295"/>
  <c r="H74" i="294" s="1"/>
  <c r="M17" i="294"/>
  <c r="D40" i="295"/>
  <c r="H55" i="294" s="1"/>
  <c r="D42" i="295"/>
  <c r="M74" i="294" s="1"/>
  <c r="H17" i="294"/>
  <c r="R131" i="294"/>
  <c r="I765" i="246"/>
  <c r="D41" i="139"/>
  <c r="I207" i="246" s="1"/>
  <c r="D39" i="139"/>
  <c r="O21" i="246" s="1"/>
  <c r="D37" i="139"/>
  <c r="O207" i="246" s="1"/>
  <c r="D38" i="139"/>
  <c r="I21" i="246" s="1"/>
  <c r="D40" i="139"/>
  <c r="I83" i="246" s="1"/>
  <c r="D42" i="139"/>
  <c r="I269" i="246" s="1"/>
  <c r="D18" i="361"/>
  <c r="G39" i="219"/>
  <c r="R45" i="209" s="1"/>
  <c r="G40" i="219"/>
  <c r="L105" i="209" s="1"/>
  <c r="G38" i="219"/>
  <c r="L45" i="209" s="1"/>
  <c r="L765" i="209"/>
  <c r="M765" i="209" s="1"/>
  <c r="G41" i="219"/>
  <c r="L225" i="209" s="1"/>
  <c r="G42" i="219"/>
  <c r="L285" i="209" s="1"/>
  <c r="G37" i="219"/>
  <c r="R225" i="209" s="1"/>
  <c r="S619" i="209"/>
  <c r="P18" i="14"/>
  <c r="J22" i="292"/>
  <c r="P19" i="288"/>
  <c r="P19" i="290"/>
  <c r="P19" i="289"/>
  <c r="P18" i="7"/>
  <c r="P18" i="16"/>
  <c r="L20" i="72"/>
  <c r="N26" i="103"/>
  <c r="F43" i="103" s="1"/>
  <c r="H39" i="18"/>
  <c r="P11" i="6" s="1"/>
  <c r="P18" i="11"/>
  <c r="L20" i="123"/>
  <c r="H24" i="58"/>
  <c r="M360" i="209" s="1"/>
  <c r="I360" i="209"/>
  <c r="D24" i="229"/>
  <c r="J364" i="209" s="1"/>
  <c r="O540" i="209"/>
  <c r="P18" i="9"/>
  <c r="L20" i="337"/>
  <c r="R332" i="209"/>
  <c r="M693" i="246"/>
  <c r="P18" i="15"/>
  <c r="H33" i="229"/>
  <c r="L20" i="39"/>
  <c r="H38" i="228"/>
  <c r="M62" i="209" s="1"/>
  <c r="D44" i="185"/>
  <c r="O77" i="246" s="1"/>
  <c r="D28" i="229"/>
  <c r="H28" i="229" s="1"/>
  <c r="H42" i="229" s="1"/>
  <c r="P14" i="291" s="1"/>
  <c r="P18" i="4"/>
  <c r="P18" i="125"/>
  <c r="L20" i="338"/>
  <c r="J360" i="209"/>
  <c r="S614" i="246"/>
  <c r="C342" i="209"/>
  <c r="C402" i="209" s="1"/>
  <c r="V282" i="209"/>
  <c r="V342" i="209" s="1"/>
  <c r="P18" i="10"/>
  <c r="Q512" i="209"/>
  <c r="L20" i="196"/>
  <c r="S312" i="246"/>
  <c r="H38" i="18"/>
  <c r="P10" i="10" s="1"/>
  <c r="P15" i="289"/>
  <c r="P15" i="288"/>
  <c r="P15" i="290"/>
  <c r="G31" i="229"/>
  <c r="G48" i="229" s="1"/>
  <c r="O20" i="247" s="1"/>
  <c r="E30" i="229"/>
  <c r="AA41" i="292" s="1"/>
  <c r="J480" i="209"/>
  <c r="M698" i="209"/>
  <c r="H25" i="327"/>
  <c r="H39" i="327" s="1"/>
  <c r="S32" i="209" s="1"/>
  <c r="Q484" i="209"/>
  <c r="Q480" i="209"/>
  <c r="N13" i="292"/>
  <c r="P14" i="15"/>
  <c r="P14" i="6"/>
  <c r="P14" i="14"/>
  <c r="M674" i="209"/>
  <c r="I392" i="209"/>
  <c r="M392" i="209" s="1"/>
  <c r="Q724" i="209"/>
  <c r="Q720" i="209"/>
  <c r="H46" i="330"/>
  <c r="O600" i="209"/>
  <c r="L600" i="209"/>
  <c r="O392" i="209"/>
  <c r="S392" i="209" s="1"/>
  <c r="AA13" i="292"/>
  <c r="H29" i="330"/>
  <c r="I600" i="209"/>
  <c r="H29" i="229"/>
  <c r="H43" i="229" s="1"/>
  <c r="P15" i="328" s="1"/>
  <c r="G48" i="58"/>
  <c r="H29" i="58"/>
  <c r="H47" i="58" s="1"/>
  <c r="O512" i="209"/>
  <c r="S512" i="209" s="1"/>
  <c r="D48" i="330"/>
  <c r="O452" i="209"/>
  <c r="H24" i="327"/>
  <c r="O26" i="18"/>
  <c r="R739" i="209" s="1"/>
  <c r="H43" i="327"/>
  <c r="H47" i="327"/>
  <c r="S152" i="209" s="1"/>
  <c r="D48" i="327"/>
  <c r="H33" i="58"/>
  <c r="E48" i="58"/>
  <c r="Q332" i="209"/>
  <c r="Q392" i="209"/>
  <c r="I540" i="209"/>
  <c r="O20" i="104"/>
  <c r="S434" i="246"/>
  <c r="H27" i="174"/>
  <c r="H41" i="174" s="1"/>
  <c r="P13" i="184" s="1"/>
  <c r="G48" i="174"/>
  <c r="O20" i="184" s="1"/>
  <c r="H29" i="174"/>
  <c r="H47" i="174" s="1"/>
  <c r="P19" i="229" s="1"/>
  <c r="P14" i="104"/>
  <c r="P14" i="170"/>
  <c r="K562" i="246"/>
  <c r="R376" i="246"/>
  <c r="P18" i="186"/>
  <c r="L20" i="104"/>
  <c r="M373" i="246"/>
  <c r="F46" i="186"/>
  <c r="N18" i="191" s="1"/>
  <c r="F44" i="186"/>
  <c r="Q100" i="246" s="1"/>
  <c r="F11" i="184"/>
  <c r="Q683" i="246" s="1"/>
  <c r="F45" i="186"/>
  <c r="N17" i="95" s="1"/>
  <c r="Q658" i="246"/>
  <c r="N26" i="186"/>
  <c r="F43" i="186" s="1"/>
  <c r="S559" i="246"/>
  <c r="P624" i="246"/>
  <c r="S497" i="246"/>
  <c r="G11" i="184"/>
  <c r="G44" i="184" s="1"/>
  <c r="R125" i="246" s="1"/>
  <c r="G46" i="185"/>
  <c r="O18" i="156" s="1"/>
  <c r="O624" i="246"/>
  <c r="R635" i="246"/>
  <c r="L20" i="186"/>
  <c r="L20" i="170"/>
  <c r="H30" i="174"/>
  <c r="H44" i="174" s="1"/>
  <c r="M490" i="246"/>
  <c r="I500" i="246"/>
  <c r="D48" i="174"/>
  <c r="L20" i="229" s="1"/>
  <c r="G46" i="226"/>
  <c r="G11" i="231"/>
  <c r="L684" i="246" s="1"/>
  <c r="R674" i="246"/>
  <c r="L736" i="246"/>
  <c r="G44" i="226"/>
  <c r="R116" i="246" s="1"/>
  <c r="G11" i="172"/>
  <c r="R676" i="246" s="1"/>
  <c r="P25" i="328"/>
  <c r="R650" i="209"/>
  <c r="P11" i="203"/>
  <c r="P11" i="151"/>
  <c r="M482" i="209"/>
  <c r="P11" i="146"/>
  <c r="P11" i="362"/>
  <c r="G45" i="225"/>
  <c r="L170" i="209" s="1"/>
  <c r="P25" i="229"/>
  <c r="J604" i="209"/>
  <c r="E48" i="229"/>
  <c r="M20" i="228" s="1"/>
  <c r="M697" i="246"/>
  <c r="D39" i="156"/>
  <c r="O11" i="246" s="1"/>
  <c r="D40" i="156"/>
  <c r="I73" i="246" s="1"/>
  <c r="I755" i="246"/>
  <c r="D37" i="156"/>
  <c r="O197" i="246" s="1"/>
  <c r="D38" i="156"/>
  <c r="I11" i="246" s="1"/>
  <c r="D42" i="156"/>
  <c r="I259" i="246" s="1"/>
  <c r="D41" i="156"/>
  <c r="I197" i="246" s="1"/>
  <c r="D38" i="95"/>
  <c r="I36" i="246" s="1"/>
  <c r="D42" i="95"/>
  <c r="I284" i="246" s="1"/>
  <c r="D40" i="95"/>
  <c r="I98" i="246" s="1"/>
  <c r="D41" i="95"/>
  <c r="I222" i="246" s="1"/>
  <c r="I780" i="246"/>
  <c r="D39" i="95"/>
  <c r="O36" i="246" s="1"/>
  <c r="D37" i="95"/>
  <c r="O222" i="246" s="1"/>
  <c r="D18" i="186"/>
  <c r="E41" i="15"/>
  <c r="J189" i="209" s="1"/>
  <c r="E40" i="15"/>
  <c r="J69" i="209" s="1"/>
  <c r="E42" i="15"/>
  <c r="J249" i="209" s="1"/>
  <c r="E37" i="15"/>
  <c r="P189" i="209" s="1"/>
  <c r="J729" i="209"/>
  <c r="E39" i="15"/>
  <c r="P9" i="209" s="1"/>
  <c r="E38" i="15"/>
  <c r="J9" i="209" s="1"/>
  <c r="G40" i="214"/>
  <c r="L81" i="209" s="1"/>
  <c r="G37" i="214"/>
  <c r="R201" i="209" s="1"/>
  <c r="G39" i="214"/>
  <c r="R21" i="209" s="1"/>
  <c r="G41" i="214"/>
  <c r="L201" i="209" s="1"/>
  <c r="G38" i="214"/>
  <c r="L21" i="209" s="1"/>
  <c r="G42" i="214"/>
  <c r="L261" i="209" s="1"/>
  <c r="L741" i="209"/>
  <c r="E44" i="248"/>
  <c r="M16" i="364" s="1"/>
  <c r="J717" i="209"/>
  <c r="J657" i="209"/>
  <c r="E46" i="248"/>
  <c r="M18" i="364" s="1"/>
  <c r="P657" i="209"/>
  <c r="E45" i="248"/>
  <c r="M17" i="364" s="1"/>
  <c r="K756" i="209"/>
  <c r="F42" i="72"/>
  <c r="K276" i="209" s="1"/>
  <c r="F41" i="72"/>
  <c r="K216" i="209" s="1"/>
  <c r="F40" i="72"/>
  <c r="F39" i="72"/>
  <c r="F37" i="72"/>
  <c r="Q216" i="209" s="1"/>
  <c r="F38" i="72"/>
  <c r="E38" i="72"/>
  <c r="E39" i="72"/>
  <c r="E40" i="72"/>
  <c r="E42" i="72"/>
  <c r="J276" i="209" s="1"/>
  <c r="E41" i="72"/>
  <c r="J216" i="209" s="1"/>
  <c r="E37" i="72"/>
  <c r="P216" i="209" s="1"/>
  <c r="J756" i="209"/>
  <c r="G43" i="13"/>
  <c r="G47" i="13" s="1"/>
  <c r="R132" i="209" s="1"/>
  <c r="R732" i="209"/>
  <c r="D37" i="72"/>
  <c r="O216" i="209" s="1"/>
  <c r="D38" i="72"/>
  <c r="D39" i="72"/>
  <c r="H18" i="72"/>
  <c r="D42" i="72"/>
  <c r="I276" i="209" s="1"/>
  <c r="I756" i="209"/>
  <c r="D40" i="72"/>
  <c r="D41" i="72"/>
  <c r="I216" i="209" s="1"/>
  <c r="G43" i="279"/>
  <c r="G47" i="279" s="1"/>
  <c r="R159" i="246" s="1"/>
  <c r="P26" i="279"/>
  <c r="G40" i="14"/>
  <c r="L70" i="209" s="1"/>
  <c r="G42" i="14"/>
  <c r="L250" i="209" s="1"/>
  <c r="G37" i="14"/>
  <c r="R190" i="209" s="1"/>
  <c r="G38" i="14"/>
  <c r="L10" i="209" s="1"/>
  <c r="L730" i="209"/>
  <c r="M730" i="209" s="1"/>
  <c r="G41" i="14"/>
  <c r="L190" i="209" s="1"/>
  <c r="G39" i="14"/>
  <c r="R10" i="209" s="1"/>
  <c r="F11" i="171"/>
  <c r="F46" i="171" s="1"/>
  <c r="G11" i="170"/>
  <c r="F41" i="190"/>
  <c r="K199" i="246" s="1"/>
  <c r="G45" i="185"/>
  <c r="O17" i="192" s="1"/>
  <c r="H46" i="58"/>
  <c r="S660" i="209" s="1"/>
  <c r="D48" i="58"/>
  <c r="G11" i="328"/>
  <c r="G18" i="247"/>
  <c r="J600" i="209"/>
  <c r="D43" i="190"/>
  <c r="D47" i="190" s="1"/>
  <c r="O137" i="246" s="1"/>
  <c r="P26" i="190"/>
  <c r="Q758" i="209"/>
  <c r="F43" i="154"/>
  <c r="F47" i="154" s="1"/>
  <c r="Q158" i="209" s="1"/>
  <c r="R756" i="209"/>
  <c r="G43" i="72"/>
  <c r="G47" i="72" s="1"/>
  <c r="R156" i="209" s="1"/>
  <c r="J742" i="209"/>
  <c r="E38" i="105"/>
  <c r="J22" i="209" s="1"/>
  <c r="E41" i="105"/>
  <c r="J202" i="209" s="1"/>
  <c r="E37" i="105"/>
  <c r="P202" i="209" s="1"/>
  <c r="E39" i="105"/>
  <c r="P22" i="209" s="1"/>
  <c r="E42" i="105"/>
  <c r="J262" i="209" s="1"/>
  <c r="E40" i="105"/>
  <c r="J82" i="209" s="1"/>
  <c r="O741" i="209"/>
  <c r="D43" i="214"/>
  <c r="D47" i="214" s="1"/>
  <c r="O141" i="209" s="1"/>
  <c r="P26" i="214"/>
  <c r="G43" i="176"/>
  <c r="G47" i="176" s="1"/>
  <c r="R156" i="246" s="1"/>
  <c r="P26" i="176"/>
  <c r="F38" i="221"/>
  <c r="K53" i="209" s="1"/>
  <c r="K773" i="209"/>
  <c r="F40" i="221"/>
  <c r="K113" i="209" s="1"/>
  <c r="F39" i="221"/>
  <c r="Q53" i="209" s="1"/>
  <c r="F42" i="221"/>
  <c r="K293" i="209" s="1"/>
  <c r="F37" i="221"/>
  <c r="Q233" i="209" s="1"/>
  <c r="F41" i="221"/>
  <c r="K233" i="209" s="1"/>
  <c r="H18" i="345"/>
  <c r="D41" i="345"/>
  <c r="I229" i="209" s="1"/>
  <c r="D38" i="345"/>
  <c r="I49" i="209" s="1"/>
  <c r="D37" i="345"/>
  <c r="O229" i="209" s="1"/>
  <c r="I769" i="209"/>
  <c r="D42" i="345"/>
  <c r="I289" i="209" s="1"/>
  <c r="D40" i="345"/>
  <c r="I109" i="209" s="1"/>
  <c r="D39" i="345"/>
  <c r="O49" i="209" s="1"/>
  <c r="O758" i="209"/>
  <c r="D43" i="154"/>
  <c r="D47" i="154" s="1"/>
  <c r="O158" i="209" s="1"/>
  <c r="P26" i="154"/>
  <c r="G40" i="190"/>
  <c r="L75" i="246" s="1"/>
  <c r="G37" i="190"/>
  <c r="R199" i="246" s="1"/>
  <c r="L757" i="246"/>
  <c r="G39" i="190"/>
  <c r="R13" i="246" s="1"/>
  <c r="G38" i="190"/>
  <c r="L13" i="246" s="1"/>
  <c r="G42" i="190"/>
  <c r="L261" i="246" s="1"/>
  <c r="G41" i="190"/>
  <c r="L199" i="246" s="1"/>
  <c r="M732" i="246"/>
  <c r="L679" i="209"/>
  <c r="M679" i="209" s="1"/>
  <c r="G44" i="18"/>
  <c r="G46" i="18"/>
  <c r="L619" i="209"/>
  <c r="G45" i="18"/>
  <c r="R619" i="209"/>
  <c r="M26" i="247"/>
  <c r="E43" i="214"/>
  <c r="E47" i="214" s="1"/>
  <c r="P141" i="209" s="1"/>
  <c r="P741" i="209"/>
  <c r="E43" i="15"/>
  <c r="E47" i="15" s="1"/>
  <c r="P129" i="209" s="1"/>
  <c r="P729" i="209"/>
  <c r="R773" i="209"/>
  <c r="G43" i="221"/>
  <c r="G47" i="221" s="1"/>
  <c r="R173" i="209" s="1"/>
  <c r="P26" i="221"/>
  <c r="D43" i="221"/>
  <c r="D47" i="221" s="1"/>
  <c r="O773" i="209"/>
  <c r="L26" i="248"/>
  <c r="O756" i="209"/>
  <c r="D43" i="72"/>
  <c r="D47" i="72" s="1"/>
  <c r="O156" i="209" s="1"/>
  <c r="P26" i="72"/>
  <c r="K757" i="246"/>
  <c r="F46" i="103"/>
  <c r="N18" i="91" s="1"/>
  <c r="L635" i="246"/>
  <c r="D48" i="328"/>
  <c r="O20" i="170"/>
  <c r="G44" i="225"/>
  <c r="R110" i="209" s="1"/>
  <c r="P18" i="104"/>
  <c r="D46" i="185"/>
  <c r="L18" i="284" s="1"/>
  <c r="D44" i="186"/>
  <c r="I658" i="246"/>
  <c r="I720" i="246"/>
  <c r="M720" i="246" s="1"/>
  <c r="O658" i="246"/>
  <c r="D45" i="186"/>
  <c r="D46" i="186"/>
  <c r="F40" i="14"/>
  <c r="K70" i="209" s="1"/>
  <c r="F41" i="14"/>
  <c r="K190" i="209" s="1"/>
  <c r="F39" i="14"/>
  <c r="Q10" i="209" s="1"/>
  <c r="F38" i="14"/>
  <c r="K10" i="209" s="1"/>
  <c r="K730" i="209"/>
  <c r="F37" i="14"/>
  <c r="Q190" i="209" s="1"/>
  <c r="F42" i="14"/>
  <c r="K250" i="209" s="1"/>
  <c r="G39" i="72"/>
  <c r="G38" i="72"/>
  <c r="G42" i="72"/>
  <c r="L276" i="209" s="1"/>
  <c r="L756" i="209"/>
  <c r="G41" i="72"/>
  <c r="L216" i="209" s="1"/>
  <c r="G40" i="72"/>
  <c r="G37" i="72"/>
  <c r="R216" i="209" s="1"/>
  <c r="H43" i="18"/>
  <c r="H47" i="18"/>
  <c r="E39" i="221"/>
  <c r="P53" i="209" s="1"/>
  <c r="E40" i="221"/>
  <c r="J113" i="209" s="1"/>
  <c r="J773" i="209"/>
  <c r="E37" i="221"/>
  <c r="P233" i="209" s="1"/>
  <c r="E42" i="221"/>
  <c r="J293" i="209" s="1"/>
  <c r="E38" i="221"/>
  <c r="J53" i="209" s="1"/>
  <c r="E41" i="221"/>
  <c r="J233" i="209" s="1"/>
  <c r="F38" i="214"/>
  <c r="K21" i="209" s="1"/>
  <c r="K741" i="209"/>
  <c r="F37" i="214"/>
  <c r="Q201" i="209" s="1"/>
  <c r="F41" i="214"/>
  <c r="K201" i="209" s="1"/>
  <c r="F42" i="214"/>
  <c r="K261" i="209" s="1"/>
  <c r="F18" i="247"/>
  <c r="F40" i="214"/>
  <c r="K81" i="209" s="1"/>
  <c r="F39" i="214"/>
  <c r="Q21" i="209" s="1"/>
  <c r="E43" i="72"/>
  <c r="E47" i="72" s="1"/>
  <c r="P156" i="209" s="1"/>
  <c r="P756" i="209"/>
  <c r="G46" i="291"/>
  <c r="G45" i="291"/>
  <c r="G44" i="291"/>
  <c r="F43" i="7"/>
  <c r="F47" i="7" s="1"/>
  <c r="Q137" i="209" s="1"/>
  <c r="Q737" i="209"/>
  <c r="Q657" i="209"/>
  <c r="K717" i="209"/>
  <c r="K657" i="209"/>
  <c r="F45" i="248"/>
  <c r="N17" i="364" s="1"/>
  <c r="F44" i="248"/>
  <c r="N16" i="364" s="1"/>
  <c r="F46" i="248"/>
  <c r="N18" i="364" s="1"/>
  <c r="M16" i="292"/>
  <c r="S132" i="294"/>
  <c r="E41" i="296"/>
  <c r="E37" i="296"/>
  <c r="I37" i="294" s="1"/>
  <c r="E39" i="296"/>
  <c r="N37" i="294" s="1"/>
  <c r="N18" i="294"/>
  <c r="E18" i="361"/>
  <c r="E42" i="296"/>
  <c r="N75" i="294" s="1"/>
  <c r="I18" i="294"/>
  <c r="E38" i="296"/>
  <c r="S18" i="294" s="1"/>
  <c r="E40" i="296"/>
  <c r="I56" i="294" s="1"/>
  <c r="K780" i="246"/>
  <c r="F38" i="95"/>
  <c r="K36" i="246" s="1"/>
  <c r="F39" i="95"/>
  <c r="Q36" i="246" s="1"/>
  <c r="F37" i="95"/>
  <c r="Q222" i="246" s="1"/>
  <c r="F40" i="95"/>
  <c r="K98" i="246" s="1"/>
  <c r="F41" i="95"/>
  <c r="K222" i="246" s="1"/>
  <c r="F42" i="95"/>
  <c r="K284" i="246" s="1"/>
  <c r="E43" i="154"/>
  <c r="E47" i="154" s="1"/>
  <c r="P158" i="209" s="1"/>
  <c r="P758" i="209"/>
  <c r="K755" i="246"/>
  <c r="F39" i="156"/>
  <c r="Q11" i="246" s="1"/>
  <c r="F37" i="156"/>
  <c r="Q197" i="246" s="1"/>
  <c r="F42" i="156"/>
  <c r="K259" i="246" s="1"/>
  <c r="F41" i="156"/>
  <c r="K197" i="246" s="1"/>
  <c r="M718" i="246"/>
  <c r="O9" i="294"/>
  <c r="F42" i="325"/>
  <c r="O66" i="294" s="1"/>
  <c r="F40" i="325"/>
  <c r="J47" i="294" s="1"/>
  <c r="F39" i="325"/>
  <c r="O28" i="294" s="1"/>
  <c r="F41" i="325"/>
  <c r="J66" i="294" s="1"/>
  <c r="J9" i="294"/>
  <c r="F18" i="326"/>
  <c r="F37" i="325"/>
  <c r="J28" i="294" s="1"/>
  <c r="T123" i="294"/>
  <c r="F38" i="325"/>
  <c r="T9" i="294" s="1"/>
  <c r="I512" i="209"/>
  <c r="M512" i="209" s="1"/>
  <c r="H33" i="327"/>
  <c r="M670" i="209"/>
  <c r="G40" i="296"/>
  <c r="K56" i="294" s="1"/>
  <c r="U132" i="294"/>
  <c r="G18" i="361"/>
  <c r="G41" i="296"/>
  <c r="K75" i="294" s="1"/>
  <c r="H18" i="296"/>
  <c r="P18" i="294"/>
  <c r="K18" i="294"/>
  <c r="G38" i="296"/>
  <c r="U18" i="294" s="1"/>
  <c r="G39" i="296"/>
  <c r="P37" i="294" s="1"/>
  <c r="G42" i="296"/>
  <c r="P75" i="294" s="1"/>
  <c r="G37" i="296"/>
  <c r="K37" i="294" s="1"/>
  <c r="H13" i="294"/>
  <c r="D40" i="290"/>
  <c r="H51" i="294" s="1"/>
  <c r="D38" i="290"/>
  <c r="R13" i="294" s="1"/>
  <c r="D39" i="290"/>
  <c r="M32" i="294" s="1"/>
  <c r="H18" i="290"/>
  <c r="D42" i="290"/>
  <c r="M70" i="294" s="1"/>
  <c r="M13" i="294"/>
  <c r="D41" i="290"/>
  <c r="H70" i="294" s="1"/>
  <c r="R127" i="294"/>
  <c r="D18" i="291"/>
  <c r="D37" i="290"/>
  <c r="H32" i="294" s="1"/>
  <c r="G11" i="171"/>
  <c r="G46" i="171" s="1"/>
  <c r="F37" i="190"/>
  <c r="Q199" i="246" s="1"/>
  <c r="F45" i="103"/>
  <c r="N18" i="313" s="1"/>
  <c r="G44" i="185"/>
  <c r="O16" i="156" s="1"/>
  <c r="K544" i="209"/>
  <c r="Q420" i="209"/>
  <c r="Q540" i="209"/>
  <c r="O20" i="186"/>
  <c r="F18" i="185"/>
  <c r="I635" i="246"/>
  <c r="O26" i="248"/>
  <c r="G43" i="248" s="1"/>
  <c r="O15" i="364" s="1"/>
  <c r="D43" i="95"/>
  <c r="D47" i="95" s="1"/>
  <c r="O160" i="246" s="1"/>
  <c r="L26" i="186"/>
  <c r="D43" i="186" s="1"/>
  <c r="P26" i="14"/>
  <c r="D43" i="14"/>
  <c r="D47" i="14" s="1"/>
  <c r="O130" i="209" s="1"/>
  <c r="O730" i="209"/>
  <c r="M730" i="246"/>
  <c r="E43" i="14"/>
  <c r="E47" i="14" s="1"/>
  <c r="P130" i="209" s="1"/>
  <c r="P730" i="209"/>
  <c r="D38" i="221"/>
  <c r="I53" i="209" s="1"/>
  <c r="I773" i="209"/>
  <c r="D41" i="221"/>
  <c r="I233" i="209" s="1"/>
  <c r="D37" i="221"/>
  <c r="O233" i="209" s="1"/>
  <c r="D40" i="221"/>
  <c r="I113" i="209" s="1"/>
  <c r="D39" i="221"/>
  <c r="O53" i="209" s="1"/>
  <c r="H18" i="221"/>
  <c r="D42" i="221"/>
  <c r="I293" i="209" s="1"/>
  <c r="G43" i="290"/>
  <c r="G47" i="290" s="1"/>
  <c r="U51" i="294" s="1"/>
  <c r="O26" i="291"/>
  <c r="G43" i="291" s="1"/>
  <c r="G42" i="345"/>
  <c r="L289" i="209" s="1"/>
  <c r="G41" i="345"/>
  <c r="L229" i="209" s="1"/>
  <c r="G40" i="345"/>
  <c r="L109" i="209" s="1"/>
  <c r="L769" i="209"/>
  <c r="G38" i="345"/>
  <c r="L49" i="209" s="1"/>
  <c r="G39" i="345"/>
  <c r="R49" i="209" s="1"/>
  <c r="G37" i="345"/>
  <c r="R229" i="209" s="1"/>
  <c r="D46" i="291"/>
  <c r="D45" i="291"/>
  <c r="D44" i="291"/>
  <c r="M26" i="361"/>
  <c r="E43" i="361" s="1"/>
  <c r="E43" i="296"/>
  <c r="E47" i="296" s="1"/>
  <c r="S56" i="294" s="1"/>
  <c r="M709" i="209"/>
  <c r="H18" i="14"/>
  <c r="P12" i="14"/>
  <c r="P12" i="6"/>
  <c r="P12" i="13"/>
  <c r="P12" i="125"/>
  <c r="P12" i="7"/>
  <c r="M79" i="209"/>
  <c r="P12" i="9"/>
  <c r="P12" i="10"/>
  <c r="P12" i="16"/>
  <c r="P12" i="15"/>
  <c r="P12" i="4"/>
  <c r="P12" i="11"/>
  <c r="S122" i="246"/>
  <c r="P16" i="307"/>
  <c r="G43" i="214"/>
  <c r="G47" i="214" s="1"/>
  <c r="R141" i="209" s="1"/>
  <c r="R741" i="209"/>
  <c r="P734" i="209"/>
  <c r="E43" i="11"/>
  <c r="E47" i="11" s="1"/>
  <c r="P134" i="209" s="1"/>
  <c r="Q741" i="209"/>
  <c r="F43" i="214"/>
  <c r="F47" i="214" s="1"/>
  <c r="Q141" i="209" s="1"/>
  <c r="N26" i="247"/>
  <c r="E42" i="162"/>
  <c r="J268" i="209" s="1"/>
  <c r="J748" i="209"/>
  <c r="E41" i="162"/>
  <c r="J208" i="209" s="1"/>
  <c r="E37" i="162"/>
  <c r="P208" i="209" s="1"/>
  <c r="F40" i="190"/>
  <c r="K75" i="246" s="1"/>
  <c r="F44" i="103"/>
  <c r="Q71" i="246" s="1"/>
  <c r="H31" i="328"/>
  <c r="H45" i="328" s="1"/>
  <c r="R360" i="209"/>
  <c r="O18" i="356"/>
  <c r="P18" i="293"/>
  <c r="K540" i="209"/>
  <c r="D45" i="185"/>
  <c r="L17" i="190" s="1"/>
  <c r="W33" i="190" s="1"/>
  <c r="Q360" i="209"/>
  <c r="P26" i="156"/>
  <c r="D43" i="156"/>
  <c r="D47" i="156" s="1"/>
  <c r="O135" i="246" s="1"/>
  <c r="F43" i="14"/>
  <c r="F47" i="14" s="1"/>
  <c r="Q130" i="209" s="1"/>
  <c r="Q730" i="209"/>
  <c r="L624" i="209"/>
  <c r="G44" i="247"/>
  <c r="L684" i="209"/>
  <c r="G46" i="247"/>
  <c r="G45" i="247"/>
  <c r="R624" i="209"/>
  <c r="M20" i="15"/>
  <c r="M20" i="16"/>
  <c r="M20" i="125"/>
  <c r="M20" i="14"/>
  <c r="M20" i="11"/>
  <c r="M20" i="9"/>
  <c r="M20" i="6"/>
  <c r="M20" i="13"/>
  <c r="M20" i="4"/>
  <c r="M20" i="7"/>
  <c r="M20" i="10"/>
  <c r="F45" i="247"/>
  <c r="F44" i="247"/>
  <c r="K624" i="209"/>
  <c r="K684" i="209"/>
  <c r="M15" i="292"/>
  <c r="Q624" i="209"/>
  <c r="F46" i="247"/>
  <c r="D39" i="187"/>
  <c r="O20" i="246" s="1"/>
  <c r="D37" i="187"/>
  <c r="O206" i="246" s="1"/>
  <c r="D40" i="187"/>
  <c r="I82" i="246" s="1"/>
  <c r="D41" i="187"/>
  <c r="I206" i="246" s="1"/>
  <c r="M764" i="246"/>
  <c r="D38" i="187"/>
  <c r="I20" i="246" s="1"/>
  <c r="D42" i="187"/>
  <c r="I268" i="246" s="1"/>
  <c r="E45" i="361"/>
  <c r="E44" i="361"/>
  <c r="E46" i="361"/>
  <c r="R737" i="209"/>
  <c r="G43" i="7"/>
  <c r="G47" i="7" s="1"/>
  <c r="R137" i="209" s="1"/>
  <c r="P26" i="7"/>
  <c r="P748" i="209"/>
  <c r="E43" i="162"/>
  <c r="E47" i="162" s="1"/>
  <c r="P148" i="209" s="1"/>
  <c r="D40" i="284"/>
  <c r="I76" i="246" s="1"/>
  <c r="D42" i="284"/>
  <c r="I262" i="246" s="1"/>
  <c r="D41" i="284"/>
  <c r="I200" i="246" s="1"/>
  <c r="I758" i="246"/>
  <c r="D37" i="284"/>
  <c r="O200" i="246" s="1"/>
  <c r="D38" i="284"/>
  <c r="I14" i="246" s="1"/>
  <c r="D39" i="284"/>
  <c r="O14" i="246" s="1"/>
  <c r="F46" i="326"/>
  <c r="F45" i="326"/>
  <c r="M12" i="292"/>
  <c r="F44" i="326"/>
  <c r="M695" i="246"/>
  <c r="D43" i="162"/>
  <c r="D47" i="162" s="1"/>
  <c r="O148" i="209" s="1"/>
  <c r="O748" i="209"/>
  <c r="S748" i="209" s="1"/>
  <c r="P26" i="162"/>
  <c r="E43" i="95"/>
  <c r="E47" i="95" s="1"/>
  <c r="P160" i="246" s="1"/>
  <c r="M26" i="186"/>
  <c r="E43" i="186" s="1"/>
  <c r="M15" i="279" s="1"/>
  <c r="Q692" i="209"/>
  <c r="Q452" i="209"/>
  <c r="D18" i="185"/>
  <c r="E42" i="284"/>
  <c r="J262" i="246" s="1"/>
  <c r="E40" i="284"/>
  <c r="J76" i="246" s="1"/>
  <c r="E39" i="284"/>
  <c r="P14" i="246" s="1"/>
  <c r="E38" i="284"/>
  <c r="J14" i="246" s="1"/>
  <c r="E37" i="284"/>
  <c r="P200" i="246" s="1"/>
  <c r="E41" i="284"/>
  <c r="J200" i="246" s="1"/>
  <c r="J758" i="246"/>
  <c r="R734" i="209"/>
  <c r="G43" i="11"/>
  <c r="G47" i="11" s="1"/>
  <c r="R134" i="209" s="1"/>
  <c r="F39" i="190"/>
  <c r="Q13" i="246" s="1"/>
  <c r="H31" i="58"/>
  <c r="H45" i="58" s="1"/>
  <c r="M180" i="209" s="1"/>
  <c r="P18" i="353"/>
  <c r="K37" i="292"/>
  <c r="L650" i="209"/>
  <c r="O635" i="246"/>
  <c r="E44" i="247"/>
  <c r="J684" i="209"/>
  <c r="P624" i="209"/>
  <c r="J624" i="209"/>
  <c r="E46" i="247"/>
  <c r="E45" i="247"/>
  <c r="D43" i="11"/>
  <c r="D47" i="11" s="1"/>
  <c r="O134" i="209" s="1"/>
  <c r="O734" i="209"/>
  <c r="P26" i="11"/>
  <c r="E43" i="221"/>
  <c r="E47" i="221" s="1"/>
  <c r="P173" i="209" s="1"/>
  <c r="P773" i="209"/>
  <c r="M26" i="248"/>
  <c r="E40" i="14"/>
  <c r="J70" i="209" s="1"/>
  <c r="E37" i="14"/>
  <c r="P190" i="209" s="1"/>
  <c r="E39" i="14"/>
  <c r="P10" i="209" s="1"/>
  <c r="E41" i="14"/>
  <c r="J190" i="209" s="1"/>
  <c r="E42" i="14"/>
  <c r="J250" i="209" s="1"/>
  <c r="E38" i="14"/>
  <c r="J10" i="209" s="1"/>
  <c r="J730" i="209"/>
  <c r="P742" i="209"/>
  <c r="E43" i="105"/>
  <c r="E47" i="105" s="1"/>
  <c r="P142" i="209" s="1"/>
  <c r="F43" i="11"/>
  <c r="F47" i="11" s="1"/>
  <c r="Q134" i="209" s="1"/>
  <c r="Q734" i="209"/>
  <c r="I717" i="209"/>
  <c r="O657" i="209"/>
  <c r="D44" i="248"/>
  <c r="L16" i="364" s="1"/>
  <c r="W32" i="364" s="1"/>
  <c r="I657" i="209"/>
  <c r="D45" i="248"/>
  <c r="L17" i="364" s="1"/>
  <c r="W33" i="364" s="1"/>
  <c r="D46" i="248"/>
  <c r="L18" i="364" s="1"/>
  <c r="O732" i="209"/>
  <c r="D43" i="13"/>
  <c r="D47" i="13" s="1"/>
  <c r="O132" i="209" s="1"/>
  <c r="P26" i="13"/>
  <c r="P26" i="290"/>
  <c r="D43" i="290"/>
  <c r="D47" i="290" s="1"/>
  <c r="R51" i="294" s="1"/>
  <c r="L26" i="291"/>
  <c r="P392" i="209"/>
  <c r="P332" i="209"/>
  <c r="F43" i="325"/>
  <c r="F47" i="325" s="1"/>
  <c r="T47" i="294" s="1"/>
  <c r="N26" i="326"/>
  <c r="F43" i="326" s="1"/>
  <c r="E45" i="186"/>
  <c r="E46" i="186"/>
  <c r="J720" i="246"/>
  <c r="E44" i="186"/>
  <c r="J658" i="246"/>
  <c r="P658" i="246"/>
  <c r="L710" i="209"/>
  <c r="G43" i="154"/>
  <c r="G47" i="154" s="1"/>
  <c r="R158" i="209" s="1"/>
  <c r="R758" i="209"/>
  <c r="E41" i="187"/>
  <c r="J206" i="246" s="1"/>
  <c r="E39" i="187"/>
  <c r="P20" i="246" s="1"/>
  <c r="E42" i="187"/>
  <c r="J268" i="246" s="1"/>
  <c r="E38" i="187"/>
  <c r="J20" i="246" s="1"/>
  <c r="E37" i="187"/>
  <c r="P206" i="246" s="1"/>
  <c r="E40" i="187"/>
  <c r="J82" i="246" s="1"/>
  <c r="G43" i="345"/>
  <c r="G47" i="345" s="1"/>
  <c r="R169" i="209" s="1"/>
  <c r="R769" i="209"/>
  <c r="O769" i="209"/>
  <c r="P26" i="345"/>
  <c r="D43" i="345"/>
  <c r="D47" i="345" s="1"/>
  <c r="O169" i="209" s="1"/>
  <c r="G43" i="14"/>
  <c r="G47" i="14" s="1"/>
  <c r="R130" i="209" s="1"/>
  <c r="R730" i="209"/>
  <c r="D11" i="171"/>
  <c r="I706" i="246" s="1"/>
  <c r="S676" i="246"/>
  <c r="P18" i="183"/>
  <c r="O26" i="247"/>
  <c r="E18" i="247"/>
  <c r="E40" i="214"/>
  <c r="J81" i="209" s="1"/>
  <c r="E42" i="214"/>
  <c r="J261" i="209" s="1"/>
  <c r="E38" i="214"/>
  <c r="J21" i="209" s="1"/>
  <c r="E39" i="214"/>
  <c r="P21" i="209" s="1"/>
  <c r="J741" i="209"/>
  <c r="E41" i="214"/>
  <c r="J201" i="209" s="1"/>
  <c r="E37" i="214"/>
  <c r="P201" i="209" s="1"/>
  <c r="D38" i="190"/>
  <c r="I13" i="246" s="1"/>
  <c r="D42" i="190"/>
  <c r="I261" i="246" s="1"/>
  <c r="D37" i="190"/>
  <c r="O199" i="246" s="1"/>
  <c r="D39" i="190"/>
  <c r="O13" i="246" s="1"/>
  <c r="H18" i="190"/>
  <c r="I757" i="246"/>
  <c r="D40" i="190"/>
  <c r="I75" i="246" s="1"/>
  <c r="D41" i="190"/>
  <c r="I199" i="246" s="1"/>
  <c r="F43" i="72"/>
  <c r="F47" i="72" s="1"/>
  <c r="Q156" i="209" s="1"/>
  <c r="Q756" i="209"/>
  <c r="G39" i="221"/>
  <c r="R53" i="209" s="1"/>
  <c r="G40" i="221"/>
  <c r="L113" i="209" s="1"/>
  <c r="G37" i="221"/>
  <c r="R233" i="209" s="1"/>
  <c r="G41" i="221"/>
  <c r="L233" i="209" s="1"/>
  <c r="G38" i="221"/>
  <c r="L53" i="209" s="1"/>
  <c r="L773" i="209"/>
  <c r="G42" i="221"/>
  <c r="L293" i="209" s="1"/>
  <c r="D39" i="214"/>
  <c r="O21" i="209" s="1"/>
  <c r="I741" i="209"/>
  <c r="D40" i="214"/>
  <c r="I81" i="209" s="1"/>
  <c r="D37" i="214"/>
  <c r="O201" i="209" s="1"/>
  <c r="D38" i="214"/>
  <c r="I21" i="209" s="1"/>
  <c r="D42" i="214"/>
  <c r="I261" i="209" s="1"/>
  <c r="D41" i="214"/>
  <c r="I201" i="209" s="1"/>
  <c r="H18" i="214"/>
  <c r="M713" i="209"/>
  <c r="G40" i="290"/>
  <c r="K51" i="294" s="1"/>
  <c r="U127" i="294"/>
  <c r="G42" i="290"/>
  <c r="P70" i="294" s="1"/>
  <c r="G38" i="290"/>
  <c r="U13" i="294" s="1"/>
  <c r="G18" i="291"/>
  <c r="G39" i="290"/>
  <c r="P32" i="294" s="1"/>
  <c r="K13" i="294"/>
  <c r="P13" i="294"/>
  <c r="G37" i="290"/>
  <c r="K32" i="294" s="1"/>
  <c r="G41" i="290"/>
  <c r="K70" i="294" s="1"/>
  <c r="G43" i="296"/>
  <c r="G47" i="296" s="1"/>
  <c r="U56" i="294" s="1"/>
  <c r="P26" i="296"/>
  <c r="F43" i="221"/>
  <c r="F47" i="221" s="1"/>
  <c r="Q173" i="209" s="1"/>
  <c r="Q773" i="209"/>
  <c r="N26" i="248"/>
  <c r="G41" i="279"/>
  <c r="L221" i="246" s="1"/>
  <c r="G42" i="279"/>
  <c r="L283" i="246" s="1"/>
  <c r="G40" i="279"/>
  <c r="L97" i="246" s="1"/>
  <c r="G37" i="279"/>
  <c r="R221" i="246" s="1"/>
  <c r="G39" i="279"/>
  <c r="R35" i="246" s="1"/>
  <c r="G38" i="279"/>
  <c r="L35" i="246" s="1"/>
  <c r="L779" i="246"/>
  <c r="M779" i="246" s="1"/>
  <c r="H18" i="279"/>
  <c r="E43" i="13"/>
  <c r="E47" i="13" s="1"/>
  <c r="P132" i="209" s="1"/>
  <c r="P732" i="209"/>
  <c r="D37" i="162"/>
  <c r="O208" i="209" s="1"/>
  <c r="I748" i="209"/>
  <c r="D42" i="162"/>
  <c r="I268" i="209" s="1"/>
  <c r="D41" i="162"/>
  <c r="I208" i="209" s="1"/>
  <c r="E38" i="95"/>
  <c r="J36" i="246" s="1"/>
  <c r="E41" i="95"/>
  <c r="J222" i="246" s="1"/>
  <c r="E37" i="95"/>
  <c r="P222" i="246" s="1"/>
  <c r="E39" i="95"/>
  <c r="P36" i="246" s="1"/>
  <c r="E40" i="95"/>
  <c r="J98" i="246" s="1"/>
  <c r="J780" i="246"/>
  <c r="E42" i="95"/>
  <c r="J284" i="246" s="1"/>
  <c r="E18" i="186"/>
  <c r="X39" i="124"/>
  <c r="X40" i="124"/>
  <c r="P26" i="160"/>
  <c r="P18" i="228"/>
  <c r="P17" i="223"/>
  <c r="L624" i="246"/>
  <c r="J24" i="124"/>
  <c r="J26" i="124" s="1"/>
  <c r="D15" i="123"/>
  <c r="G14" i="173"/>
  <c r="G14" i="228"/>
  <c r="P18" i="223"/>
  <c r="P17" i="228"/>
  <c r="D42" i="125"/>
  <c r="I253" i="209" s="1"/>
  <c r="D41" i="125"/>
  <c r="I193" i="209" s="1"/>
  <c r="D39" i="125"/>
  <c r="O13" i="209" s="1"/>
  <c r="D40" i="125"/>
  <c r="I73" i="209" s="1"/>
  <c r="D37" i="125"/>
  <c r="O193" i="209" s="1"/>
  <c r="I733" i="209"/>
  <c r="D38" i="125"/>
  <c r="I13" i="209" s="1"/>
  <c r="J710" i="209"/>
  <c r="F48" i="174"/>
  <c r="N20" i="175" s="1"/>
  <c r="P18" i="212"/>
  <c r="P17" i="103"/>
  <c r="F15" i="125"/>
  <c r="E18" i="125"/>
  <c r="F42" i="118"/>
  <c r="K278" i="246" s="1"/>
  <c r="F40" i="118"/>
  <c r="K92" i="246" s="1"/>
  <c r="F37" i="118"/>
  <c r="Q216" i="246" s="1"/>
  <c r="F39" i="118"/>
  <c r="Q30" i="246" s="1"/>
  <c r="F41" i="118"/>
  <c r="K216" i="246" s="1"/>
  <c r="F38" i="118"/>
  <c r="K30" i="246" s="1"/>
  <c r="K774" i="246"/>
  <c r="P18" i="185"/>
  <c r="M422" i="209"/>
  <c r="S644" i="246"/>
  <c r="P17" i="185"/>
  <c r="J35" i="340"/>
  <c r="S17" i="292"/>
  <c r="T17" i="292" s="1"/>
  <c r="V17" i="292"/>
  <c r="G14" i="104"/>
  <c r="G14" i="84" s="1"/>
  <c r="G18" i="118"/>
  <c r="G18" i="104" s="1"/>
  <c r="P18" i="103"/>
  <c r="M10" i="241"/>
  <c r="M9" i="241"/>
  <c r="M14" i="241"/>
  <c r="M11" i="241"/>
  <c r="M13" i="241"/>
  <c r="M12" i="241"/>
  <c r="D47" i="105"/>
  <c r="O142" i="209" s="1"/>
  <c r="P17" i="173"/>
  <c r="T23" i="49"/>
  <c r="J32" i="49" s="1"/>
  <c r="J34" i="49" s="1"/>
  <c r="V11" i="49" s="1"/>
  <c r="P13" i="186"/>
  <c r="M366" i="246"/>
  <c r="L26" i="309"/>
  <c r="D43" i="308"/>
  <c r="D18" i="154"/>
  <c r="E15" i="154"/>
  <c r="X41" i="124"/>
  <c r="L562" i="246"/>
  <c r="K624" i="246"/>
  <c r="P13" i="225"/>
  <c r="M242" i="246"/>
  <c r="N20" i="170"/>
  <c r="P11" i="334"/>
  <c r="P13" i="141"/>
  <c r="P13" i="334"/>
  <c r="P13" i="293"/>
  <c r="P13" i="170"/>
  <c r="P13" i="226"/>
  <c r="M428" i="246"/>
  <c r="P13" i="137"/>
  <c r="P13" i="178"/>
  <c r="P13" i="349"/>
  <c r="P13" i="204"/>
  <c r="P13" i="126"/>
  <c r="P13" i="219"/>
  <c r="P13" i="189"/>
  <c r="P13" i="195"/>
  <c r="P13" i="188"/>
  <c r="P13" i="216"/>
  <c r="P13" i="215"/>
  <c r="G37" i="194"/>
  <c r="R226" i="246" s="1"/>
  <c r="G42" i="194"/>
  <c r="L288" i="246" s="1"/>
  <c r="P13" i="353"/>
  <c r="P13" i="355"/>
  <c r="L16" i="325"/>
  <c r="W30" i="325" s="1"/>
  <c r="L16" i="324"/>
  <c r="W30" i="324" s="1"/>
  <c r="P10" i="196"/>
  <c r="P10" i="72"/>
  <c r="P10" i="79"/>
  <c r="P10" i="39"/>
  <c r="P10" i="154"/>
  <c r="M42" i="209"/>
  <c r="P10" i="337"/>
  <c r="P10" i="123"/>
  <c r="P10" i="338"/>
  <c r="N26" i="309"/>
  <c r="F43" i="309" s="1"/>
  <c r="F43" i="308"/>
  <c r="H37" i="184"/>
  <c r="S249" i="246" s="1"/>
  <c r="Q376" i="246"/>
  <c r="P14" i="186"/>
  <c r="S311" i="246"/>
  <c r="P14" i="225"/>
  <c r="P14" i="226"/>
  <c r="P18" i="226"/>
  <c r="P18" i="170"/>
  <c r="H18" i="192"/>
  <c r="M180" i="246"/>
  <c r="N20" i="186"/>
  <c r="K438" i="246"/>
  <c r="N20" i="226"/>
  <c r="P17" i="225"/>
  <c r="H47" i="172"/>
  <c r="P19" i="104" s="1"/>
  <c r="S552" i="246"/>
  <c r="I624" i="246"/>
  <c r="P17" i="170"/>
  <c r="P17" i="104"/>
  <c r="P17" i="226"/>
  <c r="S334" i="246"/>
  <c r="L376" i="246"/>
  <c r="M710" i="246"/>
  <c r="M724" i="246"/>
  <c r="M729" i="246"/>
  <c r="M621" i="246"/>
  <c r="M723" i="246"/>
  <c r="M741" i="246"/>
  <c r="R768" i="209"/>
  <c r="G43" i="178"/>
  <c r="G47" i="178" s="1"/>
  <c r="R168" i="209" s="1"/>
  <c r="S310" i="246"/>
  <c r="I28" i="292"/>
  <c r="H37" i="84"/>
  <c r="S248" i="246" s="1"/>
  <c r="L18" i="241"/>
  <c r="L16" i="241"/>
  <c r="W32" i="241" s="1"/>
  <c r="L17" i="241"/>
  <c r="E44" i="225"/>
  <c r="P110" i="209" s="1"/>
  <c r="E11" i="170"/>
  <c r="E45" i="170" s="1"/>
  <c r="Q562" i="246"/>
  <c r="Q438" i="246"/>
  <c r="P11" i="216"/>
  <c r="P11" i="141"/>
  <c r="P11" i="349"/>
  <c r="K88" i="209"/>
  <c r="F40" i="162"/>
  <c r="G45" i="103"/>
  <c r="G44" i="103"/>
  <c r="G46" i="103"/>
  <c r="G11" i="84"/>
  <c r="P26" i="10"/>
  <c r="D44" i="10"/>
  <c r="O75" i="209" s="1"/>
  <c r="O735" i="209"/>
  <c r="L26" i="18"/>
  <c r="F37" i="166"/>
  <c r="Q204" i="246" s="1"/>
  <c r="F39" i="166"/>
  <c r="Q18" i="246" s="1"/>
  <c r="F42" i="166"/>
  <c r="K266" i="246" s="1"/>
  <c r="F40" i="166"/>
  <c r="K80" i="246" s="1"/>
  <c r="F41" i="166"/>
  <c r="K204" i="246" s="1"/>
  <c r="F38" i="166"/>
  <c r="K18" i="246" s="1"/>
  <c r="K762" i="246"/>
  <c r="P10" i="270"/>
  <c r="M9" i="246"/>
  <c r="P10" i="313"/>
  <c r="P10" i="91"/>
  <c r="G39" i="178"/>
  <c r="R48" i="209" s="1"/>
  <c r="G37" i="178"/>
  <c r="R228" i="209" s="1"/>
  <c r="G38" i="178"/>
  <c r="L48" i="209" s="1"/>
  <c r="G40" i="178"/>
  <c r="L108" i="209" s="1"/>
  <c r="G42" i="178"/>
  <c r="L288" i="209" s="1"/>
  <c r="G41" i="178"/>
  <c r="L228" i="209" s="1"/>
  <c r="L768" i="209"/>
  <c r="E41" i="166"/>
  <c r="J204" i="246" s="1"/>
  <c r="E38" i="166"/>
  <c r="J18" i="246" s="1"/>
  <c r="E42" i="166"/>
  <c r="J266" i="246" s="1"/>
  <c r="E39" i="166"/>
  <c r="P18" i="246" s="1"/>
  <c r="J762" i="246"/>
  <c r="E40" i="166"/>
  <c r="J80" i="246" s="1"/>
  <c r="E37" i="166"/>
  <c r="P204" i="246" s="1"/>
  <c r="O17" i="241"/>
  <c r="O16" i="241"/>
  <c r="O18" i="241"/>
  <c r="L17" i="313"/>
  <c r="W33" i="313" s="1"/>
  <c r="O71" i="246"/>
  <c r="L16" i="91"/>
  <c r="W32" i="91" s="1"/>
  <c r="F45" i="104"/>
  <c r="F44" i="104"/>
  <c r="K653" i="246"/>
  <c r="F46" i="104"/>
  <c r="M27" i="292"/>
  <c r="K715" i="246"/>
  <c r="Q653" i="246"/>
  <c r="J653" i="246"/>
  <c r="J715" i="246"/>
  <c r="E46" i="104"/>
  <c r="E45" i="104"/>
  <c r="P653" i="246"/>
  <c r="E44" i="104"/>
  <c r="G39" i="99"/>
  <c r="R28" i="246" s="1"/>
  <c r="G41" i="99"/>
  <c r="L214" i="246" s="1"/>
  <c r="L772" i="246"/>
  <c r="G38" i="99"/>
  <c r="L28" i="246" s="1"/>
  <c r="G37" i="99"/>
  <c r="R214" i="246" s="1"/>
  <c r="G40" i="99"/>
  <c r="L90" i="246" s="1"/>
  <c r="G42" i="99"/>
  <c r="L276" i="246" s="1"/>
  <c r="D43" i="313"/>
  <c r="D47" i="313" s="1"/>
  <c r="O183" i="246" s="1"/>
  <c r="P26" i="313"/>
  <c r="G46" i="212"/>
  <c r="R630" i="209"/>
  <c r="G11" i="327"/>
  <c r="L630" i="209"/>
  <c r="L690" i="209"/>
  <c r="G45" i="212"/>
  <c r="L150" i="209" s="1"/>
  <c r="G44" i="212"/>
  <c r="R90" i="209" s="1"/>
  <c r="G11" i="228"/>
  <c r="D43" i="334"/>
  <c r="D47" i="334" s="1"/>
  <c r="O147" i="209" s="1"/>
  <c r="O747" i="209"/>
  <c r="P26" i="334"/>
  <c r="P755" i="209"/>
  <c r="E43" i="123"/>
  <c r="E47" i="123" s="1"/>
  <c r="P155" i="209" s="1"/>
  <c r="F42" i="192"/>
  <c r="K260" i="246" s="1"/>
  <c r="F37" i="192"/>
  <c r="Q198" i="246" s="1"/>
  <c r="F41" i="192"/>
  <c r="K198" i="246" s="1"/>
  <c r="F40" i="192"/>
  <c r="K74" i="246" s="1"/>
  <c r="F38" i="192"/>
  <c r="K12" i="246" s="1"/>
  <c r="K756" i="246"/>
  <c r="F39" i="192"/>
  <c r="Q12" i="246" s="1"/>
  <c r="D40" i="196"/>
  <c r="I97" i="209" s="1"/>
  <c r="I757" i="209"/>
  <c r="D42" i="196"/>
  <c r="I277" i="209" s="1"/>
  <c r="D41" i="196"/>
  <c r="I217" i="209" s="1"/>
  <c r="D39" i="196"/>
  <c r="O37" i="209" s="1"/>
  <c r="H18" i="196"/>
  <c r="D37" i="196"/>
  <c r="O217" i="209" s="1"/>
  <c r="D38" i="196"/>
  <c r="I37" i="209" s="1"/>
  <c r="E46" i="225"/>
  <c r="M18" i="356" s="1"/>
  <c r="P11" i="189"/>
  <c r="P11" i="137"/>
  <c r="P11" i="355"/>
  <c r="I630" i="209"/>
  <c r="I690" i="209"/>
  <c r="O630" i="209"/>
  <c r="D44" i="212"/>
  <c r="O90" i="209" s="1"/>
  <c r="D46" i="212"/>
  <c r="D45" i="212"/>
  <c r="I150" i="209" s="1"/>
  <c r="D11" i="228"/>
  <c r="D11" i="327"/>
  <c r="F38" i="162"/>
  <c r="K28" i="209"/>
  <c r="F44" i="185"/>
  <c r="Q635" i="246"/>
  <c r="K697" i="246"/>
  <c r="M30" i="292"/>
  <c r="K635" i="246"/>
  <c r="F46" i="185"/>
  <c r="F45" i="185"/>
  <c r="P16" i="118"/>
  <c r="P16" i="97"/>
  <c r="P16" i="271"/>
  <c r="P16" i="354"/>
  <c r="P16" i="99"/>
  <c r="P16" i="101"/>
  <c r="S95" i="246"/>
  <c r="P16" i="176"/>
  <c r="D43" i="99"/>
  <c r="D47" i="99" s="1"/>
  <c r="O152" i="246" s="1"/>
  <c r="P26" i="99"/>
  <c r="P9" i="99"/>
  <c r="P9" i="354"/>
  <c r="P9" i="101"/>
  <c r="P9" i="176"/>
  <c r="P9" i="271"/>
  <c r="P9" i="118"/>
  <c r="P9" i="97"/>
  <c r="S219" i="246"/>
  <c r="Q122" i="246"/>
  <c r="N16" i="307"/>
  <c r="D43" i="196"/>
  <c r="D47" i="196" s="1"/>
  <c r="O157" i="209" s="1"/>
  <c r="O757" i="209"/>
  <c r="P26" i="196"/>
  <c r="E39" i="178"/>
  <c r="P48" i="209" s="1"/>
  <c r="E42" i="178"/>
  <c r="J288" i="209" s="1"/>
  <c r="E38" i="178"/>
  <c r="J48" i="209" s="1"/>
  <c r="E40" i="178"/>
  <c r="J108" i="209" s="1"/>
  <c r="E41" i="178"/>
  <c r="J228" i="209" s="1"/>
  <c r="J768" i="209"/>
  <c r="E37" i="178"/>
  <c r="P228" i="209" s="1"/>
  <c r="G37" i="196"/>
  <c r="R217" i="209" s="1"/>
  <c r="G42" i="196"/>
  <c r="L277" i="209" s="1"/>
  <c r="G38" i="196"/>
  <c r="L37" i="209" s="1"/>
  <c r="G41" i="196"/>
  <c r="L217" i="209" s="1"/>
  <c r="G39" i="196"/>
  <c r="R37" i="209" s="1"/>
  <c r="G40" i="196"/>
  <c r="L97" i="209" s="1"/>
  <c r="L757" i="209"/>
  <c r="I650" i="209"/>
  <c r="D44" i="225"/>
  <c r="I710" i="209"/>
  <c r="D45" i="225"/>
  <c r="O650" i="209"/>
  <c r="D46" i="225"/>
  <c r="F43" i="99"/>
  <c r="F47" i="99" s="1"/>
  <c r="Q152" i="246" s="1"/>
  <c r="N26" i="104"/>
  <c r="F43" i="104" s="1"/>
  <c r="S118" i="246"/>
  <c r="P16" i="226"/>
  <c r="P16" i="225"/>
  <c r="P16" i="170"/>
  <c r="P16" i="104"/>
  <c r="P16" i="186"/>
  <c r="J679" i="209"/>
  <c r="E45" i="18"/>
  <c r="P619" i="209"/>
  <c r="E11" i="327"/>
  <c r="J619" i="209"/>
  <c r="E44" i="18"/>
  <c r="E46" i="18"/>
  <c r="D41" i="241"/>
  <c r="D39" i="241"/>
  <c r="O56" i="209" s="1"/>
  <c r="H18" i="241"/>
  <c r="D40" i="241"/>
  <c r="I116" i="209" s="1"/>
  <c r="D38" i="241"/>
  <c r="I56" i="209" s="1"/>
  <c r="I776" i="209"/>
  <c r="D37" i="241"/>
  <c r="O236" i="209" s="1"/>
  <c r="D42" i="241"/>
  <c r="I296" i="209" s="1"/>
  <c r="J650" i="209"/>
  <c r="M789" i="246"/>
  <c r="P11" i="293"/>
  <c r="D37" i="334"/>
  <c r="O207" i="209" s="1"/>
  <c r="D41" i="334"/>
  <c r="I207" i="209" s="1"/>
  <c r="D42" i="334"/>
  <c r="I267" i="209" s="1"/>
  <c r="D38" i="334"/>
  <c r="I27" i="209" s="1"/>
  <c r="D39" i="334"/>
  <c r="O27" i="209" s="1"/>
  <c r="D40" i="334"/>
  <c r="I87" i="209" s="1"/>
  <c r="I747" i="209"/>
  <c r="H18" i="334"/>
  <c r="E44" i="185"/>
  <c r="E46" i="185"/>
  <c r="J697" i="246"/>
  <c r="J635" i="246"/>
  <c r="E11" i="184"/>
  <c r="E45" i="185"/>
  <c r="P635" i="246"/>
  <c r="E11" i="171"/>
  <c r="G45" i="104"/>
  <c r="L653" i="246"/>
  <c r="G44" i="104"/>
  <c r="R653" i="246"/>
  <c r="G46" i="104"/>
  <c r="L715" i="246"/>
  <c r="R28" i="209"/>
  <c r="G39" i="162"/>
  <c r="G43" i="123"/>
  <c r="G47" i="123" s="1"/>
  <c r="R155" i="209" s="1"/>
  <c r="R755" i="209"/>
  <c r="J28" i="292"/>
  <c r="H38" i="84"/>
  <c r="M62" i="246" s="1"/>
  <c r="M372" i="246"/>
  <c r="D38" i="99"/>
  <c r="I28" i="246" s="1"/>
  <c r="D42" i="99"/>
  <c r="I276" i="246" s="1"/>
  <c r="D41" i="99"/>
  <c r="I214" i="246" s="1"/>
  <c r="I772" i="246"/>
  <c r="D40" i="99"/>
  <c r="I90" i="246" s="1"/>
  <c r="D39" i="99"/>
  <c r="O28" i="246" s="1"/>
  <c r="D37" i="99"/>
  <c r="O214" i="246" s="1"/>
  <c r="D18" i="104"/>
  <c r="H18" i="99"/>
  <c r="P16" i="191"/>
  <c r="P16" i="279"/>
  <c r="P16" i="95"/>
  <c r="S100" i="246"/>
  <c r="E40" i="162"/>
  <c r="J88" i="209"/>
  <c r="G11" i="309"/>
  <c r="G46" i="308"/>
  <c r="O18" i="307" s="1"/>
  <c r="G45" i="308"/>
  <c r="R680" i="246"/>
  <c r="L680" i="246"/>
  <c r="G44" i="308"/>
  <c r="L742" i="246"/>
  <c r="E18" i="103"/>
  <c r="E39" i="91"/>
  <c r="P8" i="246" s="1"/>
  <c r="E37" i="91"/>
  <c r="P194" i="246" s="1"/>
  <c r="E40" i="91"/>
  <c r="J70" i="246" s="1"/>
  <c r="J752" i="246"/>
  <c r="E42" i="91"/>
  <c r="J256" i="246" s="1"/>
  <c r="E41" i="91"/>
  <c r="J194" i="246" s="1"/>
  <c r="E38" i="91"/>
  <c r="J8" i="246" s="1"/>
  <c r="D43" i="123"/>
  <c r="D47" i="123" s="1"/>
  <c r="O155" i="209" s="1"/>
  <c r="O755" i="209"/>
  <c r="P26" i="123"/>
  <c r="S558" i="246"/>
  <c r="M697" i="209"/>
  <c r="E18" i="308"/>
  <c r="E40" i="313"/>
  <c r="J121" i="246" s="1"/>
  <c r="J803" i="246"/>
  <c r="E41" i="313"/>
  <c r="J245" i="246" s="1"/>
  <c r="E42" i="313"/>
  <c r="J307" i="246" s="1"/>
  <c r="E38" i="313"/>
  <c r="J59" i="246" s="1"/>
  <c r="E37" i="313"/>
  <c r="P245" i="246" s="1"/>
  <c r="E39" i="313"/>
  <c r="P59" i="246" s="1"/>
  <c r="M716" i="209"/>
  <c r="M26" i="103"/>
  <c r="E43" i="91"/>
  <c r="E47" i="91" s="1"/>
  <c r="P132" i="246" s="1"/>
  <c r="G40" i="241"/>
  <c r="L116" i="209" s="1"/>
  <c r="G37" i="241"/>
  <c r="R236" i="209" s="1"/>
  <c r="G41" i="241"/>
  <c r="L236" i="209" s="1"/>
  <c r="L776" i="209"/>
  <c r="G38" i="241"/>
  <c r="L56" i="209" s="1"/>
  <c r="G39" i="241"/>
  <c r="R56" i="209" s="1"/>
  <c r="G42" i="241"/>
  <c r="L296" i="209" s="1"/>
  <c r="Q735" i="209"/>
  <c r="N26" i="18"/>
  <c r="F44" i="10"/>
  <c r="Q75" i="209" s="1"/>
  <c r="O26" i="185"/>
  <c r="G43" i="192"/>
  <c r="G47" i="192" s="1"/>
  <c r="R136" i="246" s="1"/>
  <c r="G42" i="91"/>
  <c r="L256" i="246" s="1"/>
  <c r="G39" i="91"/>
  <c r="R8" i="246" s="1"/>
  <c r="G38" i="91"/>
  <c r="L8" i="246" s="1"/>
  <c r="G40" i="91"/>
  <c r="L70" i="246" s="1"/>
  <c r="G37" i="91"/>
  <c r="R194" i="246" s="1"/>
  <c r="L752" i="246"/>
  <c r="M752" i="246" s="1"/>
  <c r="G18" i="103"/>
  <c r="H18" i="103" s="1"/>
  <c r="G41" i="91"/>
  <c r="L194" i="246" s="1"/>
  <c r="G40" i="162"/>
  <c r="L88" i="209"/>
  <c r="F46" i="225"/>
  <c r="F45" i="225"/>
  <c r="K650" i="209"/>
  <c r="F11" i="328"/>
  <c r="K710" i="209"/>
  <c r="M21" i="292"/>
  <c r="Q650" i="209"/>
  <c r="F11" i="228"/>
  <c r="F44" i="225"/>
  <c r="G11" i="173"/>
  <c r="G45" i="173" s="1"/>
  <c r="P650" i="209"/>
  <c r="P11" i="195"/>
  <c r="P11" i="187"/>
  <c r="H46" i="174"/>
  <c r="P18" i="309" s="1"/>
  <c r="R624" i="246"/>
  <c r="P11" i="219"/>
  <c r="E43" i="99"/>
  <c r="E47" i="99" s="1"/>
  <c r="P152" i="246" s="1"/>
  <c r="M26" i="104"/>
  <c r="E43" i="104" s="1"/>
  <c r="G43" i="91"/>
  <c r="G47" i="91" s="1"/>
  <c r="R132" i="246" s="1"/>
  <c r="O26" i="103"/>
  <c r="P26" i="103" s="1"/>
  <c r="J735" i="209"/>
  <c r="E42" i="10"/>
  <c r="J255" i="209" s="1"/>
  <c r="E38" i="10"/>
  <c r="J15" i="209" s="1"/>
  <c r="E39" i="10"/>
  <c r="P15" i="209" s="1"/>
  <c r="E37" i="10"/>
  <c r="P195" i="209" s="1"/>
  <c r="E40" i="10"/>
  <c r="J75" i="209" s="1"/>
  <c r="E41" i="10"/>
  <c r="J195" i="209" s="1"/>
  <c r="G43" i="99"/>
  <c r="G47" i="99" s="1"/>
  <c r="R152" i="246" s="1"/>
  <c r="O26" i="104"/>
  <c r="G43" i="104" s="1"/>
  <c r="F43" i="192"/>
  <c r="F47" i="192" s="1"/>
  <c r="Q136" i="246" s="1"/>
  <c r="N26" i="185"/>
  <c r="D39" i="292"/>
  <c r="D41" i="292" s="1"/>
  <c r="K376" i="246"/>
  <c r="E38" i="162"/>
  <c r="J28" i="209"/>
  <c r="E38" i="196"/>
  <c r="J37" i="209" s="1"/>
  <c r="E40" i="196"/>
  <c r="J97" i="209" s="1"/>
  <c r="E39" i="196"/>
  <c r="P37" i="209" s="1"/>
  <c r="E37" i="196"/>
  <c r="P217" i="209" s="1"/>
  <c r="J757" i="209"/>
  <c r="E42" i="196"/>
  <c r="J277" i="209" s="1"/>
  <c r="E41" i="196"/>
  <c r="J217" i="209" s="1"/>
  <c r="Q776" i="209"/>
  <c r="F43" i="241"/>
  <c r="F47" i="241" s="1"/>
  <c r="Q176" i="209" s="1"/>
  <c r="I376" i="246"/>
  <c r="H24" i="174"/>
  <c r="D11" i="309"/>
  <c r="D45" i="308"/>
  <c r="D46" i="308"/>
  <c r="L18" i="307" s="1"/>
  <c r="O680" i="246"/>
  <c r="I680" i="246"/>
  <c r="D11" i="184"/>
  <c r="D44" i="308"/>
  <c r="I742" i="246"/>
  <c r="J680" i="246"/>
  <c r="E45" i="308"/>
  <c r="E11" i="309"/>
  <c r="E46" i="308"/>
  <c r="M18" i="307" s="1"/>
  <c r="P680" i="246"/>
  <c r="E44" i="308"/>
  <c r="J742" i="246"/>
  <c r="R776" i="209"/>
  <c r="G43" i="241"/>
  <c r="G47" i="241" s="1"/>
  <c r="R176" i="209" s="1"/>
  <c r="P9" i="307"/>
  <c r="S246" i="246"/>
  <c r="F41" i="99"/>
  <c r="K214" i="246" s="1"/>
  <c r="F37" i="99"/>
  <c r="Q214" i="246" s="1"/>
  <c r="F38" i="99"/>
  <c r="K28" i="246" s="1"/>
  <c r="K772" i="246"/>
  <c r="F42" i="99"/>
  <c r="K276" i="246" s="1"/>
  <c r="F40" i="99"/>
  <c r="K90" i="246" s="1"/>
  <c r="F39" i="99"/>
  <c r="Q28" i="246" s="1"/>
  <c r="F18" i="104"/>
  <c r="E45" i="225"/>
  <c r="J170" i="209" s="1"/>
  <c r="D45" i="104"/>
  <c r="D44" i="104"/>
  <c r="O653" i="246"/>
  <c r="I653" i="246"/>
  <c r="D46" i="104"/>
  <c r="I715" i="246"/>
  <c r="P10" i="307"/>
  <c r="M60" i="246"/>
  <c r="P11" i="188"/>
  <c r="P11" i="194"/>
  <c r="P11" i="126"/>
  <c r="J772" i="246"/>
  <c r="E42" i="99"/>
  <c r="J276" i="246" s="1"/>
  <c r="E38" i="99"/>
  <c r="J28" i="246" s="1"/>
  <c r="E37" i="99"/>
  <c r="P214" i="246" s="1"/>
  <c r="E39" i="99"/>
  <c r="P28" i="246" s="1"/>
  <c r="E41" i="99"/>
  <c r="J214" i="246" s="1"/>
  <c r="E40" i="99"/>
  <c r="J90" i="246" s="1"/>
  <c r="G39" i="192"/>
  <c r="R12" i="246" s="1"/>
  <c r="G41" i="192"/>
  <c r="L198" i="246" s="1"/>
  <c r="G37" i="192"/>
  <c r="R198" i="246" s="1"/>
  <c r="G42" i="192"/>
  <c r="L260" i="246" s="1"/>
  <c r="G38" i="192"/>
  <c r="L12" i="246" s="1"/>
  <c r="G40" i="192"/>
  <c r="L74" i="246" s="1"/>
  <c r="L756" i="246"/>
  <c r="M756" i="246" s="1"/>
  <c r="E37" i="192"/>
  <c r="P198" i="246" s="1"/>
  <c r="E42" i="192"/>
  <c r="J260" i="246" s="1"/>
  <c r="E40" i="192"/>
  <c r="J74" i="246" s="1"/>
  <c r="J756" i="246"/>
  <c r="E38" i="192"/>
  <c r="J12" i="246" s="1"/>
  <c r="E41" i="192"/>
  <c r="J198" i="246" s="1"/>
  <c r="E39" i="192"/>
  <c r="P12" i="246" s="1"/>
  <c r="P735" i="209"/>
  <c r="E44" i="10"/>
  <c r="P75" i="209" s="1"/>
  <c r="M26" i="18"/>
  <c r="D42" i="10"/>
  <c r="I255" i="209" s="1"/>
  <c r="D38" i="10"/>
  <c r="I15" i="209" s="1"/>
  <c r="I735" i="209"/>
  <c r="D37" i="10"/>
  <c r="O195" i="209" s="1"/>
  <c r="D41" i="10"/>
  <c r="I195" i="209" s="1"/>
  <c r="D40" i="10"/>
  <c r="I75" i="209" s="1"/>
  <c r="D39" i="10"/>
  <c r="O15" i="209" s="1"/>
  <c r="H18" i="10"/>
  <c r="R642" i="209"/>
  <c r="L642" i="209"/>
  <c r="L702" i="209"/>
  <c r="G44" i="44"/>
  <c r="G11" i="58"/>
  <c r="G46" i="44"/>
  <c r="G45" i="44"/>
  <c r="G11" i="330"/>
  <c r="O776" i="209"/>
  <c r="P26" i="241"/>
  <c r="D43" i="241"/>
  <c r="D47" i="241" s="1"/>
  <c r="O176" i="209" s="1"/>
  <c r="M434" i="246"/>
  <c r="E39" i="162"/>
  <c r="P28" i="209"/>
  <c r="E45" i="103"/>
  <c r="E46" i="103"/>
  <c r="E44" i="103"/>
  <c r="E11" i="84"/>
  <c r="M20" i="223"/>
  <c r="M20" i="103"/>
  <c r="M20" i="173"/>
  <c r="M20" i="185"/>
  <c r="E43" i="166"/>
  <c r="E47" i="166" s="1"/>
  <c r="P142" i="246" s="1"/>
  <c r="M26" i="223"/>
  <c r="R757" i="209"/>
  <c r="G43" i="196"/>
  <c r="G47" i="196" s="1"/>
  <c r="R157" i="209" s="1"/>
  <c r="D37" i="178"/>
  <c r="O228" i="209" s="1"/>
  <c r="I768" i="209"/>
  <c r="D40" i="178"/>
  <c r="I108" i="209" s="1"/>
  <c r="D38" i="178"/>
  <c r="I48" i="209" s="1"/>
  <c r="D41" i="178"/>
  <c r="I228" i="209" s="1"/>
  <c r="D39" i="178"/>
  <c r="O48" i="209" s="1"/>
  <c r="D42" i="178"/>
  <c r="I288" i="209" s="1"/>
  <c r="H18" i="178"/>
  <c r="D11" i="84"/>
  <c r="G43" i="334"/>
  <c r="G47" i="334" s="1"/>
  <c r="R147" i="209" s="1"/>
  <c r="R747" i="209"/>
  <c r="F42" i="10"/>
  <c r="K255" i="209" s="1"/>
  <c r="F38" i="10"/>
  <c r="K15" i="209" s="1"/>
  <c r="F41" i="10"/>
  <c r="K195" i="209" s="1"/>
  <c r="F37" i="10"/>
  <c r="Q195" i="209" s="1"/>
  <c r="K735" i="209"/>
  <c r="F39" i="10"/>
  <c r="Q15" i="209" s="1"/>
  <c r="F40" i="10"/>
  <c r="K75" i="209" s="1"/>
  <c r="G38" i="162"/>
  <c r="L28" i="209"/>
  <c r="P642" i="246"/>
  <c r="J704" i="246"/>
  <c r="E44" i="223"/>
  <c r="P84" i="246" s="1"/>
  <c r="E45" i="223"/>
  <c r="J146" i="246" s="1"/>
  <c r="J642" i="246"/>
  <c r="E46" i="223"/>
  <c r="E43" i="196"/>
  <c r="E47" i="196" s="1"/>
  <c r="P157" i="209" s="1"/>
  <c r="P757" i="209"/>
  <c r="H18" i="91"/>
  <c r="H47" i="328"/>
  <c r="K500" i="246"/>
  <c r="Q624" i="246"/>
  <c r="P11" i="353"/>
  <c r="P11" i="204"/>
  <c r="P11" i="183"/>
  <c r="H31" i="174"/>
  <c r="H45" i="174" s="1"/>
  <c r="P17" i="309" s="1"/>
  <c r="Q619" i="209"/>
  <c r="K679" i="209"/>
  <c r="K619" i="209"/>
  <c r="F11" i="327"/>
  <c r="F46" i="18"/>
  <c r="F45" i="18"/>
  <c r="M10" i="292"/>
  <c r="F11" i="58"/>
  <c r="F11" i="330"/>
  <c r="F44" i="18"/>
  <c r="Q28" i="209"/>
  <c r="F39" i="162"/>
  <c r="E43" i="192"/>
  <c r="E47" i="192" s="1"/>
  <c r="P136" i="246" s="1"/>
  <c r="M26" i="185"/>
  <c r="F43" i="166"/>
  <c r="F47" i="166" s="1"/>
  <c r="Q142" i="246" s="1"/>
  <c r="N26" i="223"/>
  <c r="N17" i="241"/>
  <c r="N18" i="241"/>
  <c r="N16" i="241"/>
  <c r="F40" i="241"/>
  <c r="K116" i="209" s="1"/>
  <c r="F38" i="241"/>
  <c r="K56" i="209" s="1"/>
  <c r="K776" i="209"/>
  <c r="F39" i="241"/>
  <c r="Q56" i="209" s="1"/>
  <c r="F42" i="241"/>
  <c r="K296" i="209" s="1"/>
  <c r="F37" i="241"/>
  <c r="Q236" i="209" s="1"/>
  <c r="F41" i="241"/>
  <c r="K236" i="209" s="1"/>
  <c r="L18" i="91"/>
  <c r="L19" i="313"/>
  <c r="M708" i="209"/>
  <c r="D39" i="313"/>
  <c r="O59" i="246" s="1"/>
  <c r="D42" i="313"/>
  <c r="I307" i="246" s="1"/>
  <c r="D40" i="313"/>
  <c r="I121" i="246" s="1"/>
  <c r="D41" i="313"/>
  <c r="I245" i="246" s="1"/>
  <c r="D37" i="313"/>
  <c r="O245" i="246" s="1"/>
  <c r="D38" i="313"/>
  <c r="I59" i="246" s="1"/>
  <c r="D18" i="308"/>
  <c r="I803" i="246"/>
  <c r="E43" i="178"/>
  <c r="E47" i="178" s="1"/>
  <c r="P168" i="209" s="1"/>
  <c r="P768" i="209"/>
  <c r="J376" i="246"/>
  <c r="H39" i="84"/>
  <c r="S62" i="246" s="1"/>
  <c r="S372" i="246"/>
  <c r="O768" i="209"/>
  <c r="D43" i="178"/>
  <c r="D47" i="178" s="1"/>
  <c r="O168" i="209" s="1"/>
  <c r="P26" i="178"/>
  <c r="L17" i="91"/>
  <c r="W33" i="91" s="1"/>
  <c r="L18" i="313"/>
  <c r="W34" i="313" s="1"/>
  <c r="I133" i="246"/>
  <c r="I438" i="246"/>
  <c r="L747" i="209"/>
  <c r="G37" i="334"/>
  <c r="R207" i="209" s="1"/>
  <c r="G40" i="334"/>
  <c r="L87" i="209" s="1"/>
  <c r="G38" i="334"/>
  <c r="L27" i="209" s="1"/>
  <c r="G41" i="334"/>
  <c r="L207" i="209" s="1"/>
  <c r="G42" i="334"/>
  <c r="L267" i="209" s="1"/>
  <c r="G39" i="334"/>
  <c r="R27" i="209" s="1"/>
  <c r="N18" i="360"/>
  <c r="N18" i="295"/>
  <c r="N18" i="296"/>
  <c r="N18" i="333"/>
  <c r="P11" i="160"/>
  <c r="P11" i="215"/>
  <c r="P18" i="178"/>
  <c r="P18" i="151"/>
  <c r="P18" i="137"/>
  <c r="P18" i="219"/>
  <c r="P18" i="216"/>
  <c r="P18" i="204"/>
  <c r="P18" i="188"/>
  <c r="P18" i="334"/>
  <c r="P18" i="126"/>
  <c r="P18" i="160"/>
  <c r="P18" i="215"/>
  <c r="P18" i="189"/>
  <c r="P18" i="141"/>
  <c r="P18" i="146"/>
  <c r="P18" i="355"/>
  <c r="P18" i="362"/>
  <c r="P18" i="349"/>
  <c r="P18" i="195"/>
  <c r="P18" i="203"/>
  <c r="P18" i="194"/>
  <c r="M793" i="246"/>
  <c r="C39" i="292"/>
  <c r="Q314" i="246"/>
  <c r="P15" i="170"/>
  <c r="P15" i="225"/>
  <c r="P15" i="104"/>
  <c r="P15" i="226"/>
  <c r="P15" i="186"/>
  <c r="O376" i="246"/>
  <c r="I562" i="246"/>
  <c r="O562" i="246"/>
  <c r="H25" i="174"/>
  <c r="O438" i="246"/>
  <c r="P562" i="246"/>
  <c r="P438" i="246"/>
  <c r="H39" i="172"/>
  <c r="S366" i="246"/>
  <c r="P376" i="246"/>
  <c r="S374" i="246"/>
  <c r="H39" i="231"/>
  <c r="S64" i="246" s="1"/>
  <c r="N20" i="137"/>
  <c r="N20" i="270"/>
  <c r="N20" i="178"/>
  <c r="N20" i="183"/>
  <c r="N20" i="189"/>
  <c r="N20" i="146"/>
  <c r="N20" i="219"/>
  <c r="N20" i="141"/>
  <c r="N20" i="293"/>
  <c r="N20" i="203"/>
  <c r="N20" i="188"/>
  <c r="N20" i="151"/>
  <c r="N20" i="160"/>
  <c r="N20" i="187"/>
  <c r="N20" i="353"/>
  <c r="N20" i="195"/>
  <c r="N20" i="362"/>
  <c r="N20" i="194"/>
  <c r="N20" i="349"/>
  <c r="N20" i="126"/>
  <c r="N20" i="204"/>
  <c r="P10" i="170"/>
  <c r="P10" i="226"/>
  <c r="P10" i="104"/>
  <c r="P10" i="186"/>
  <c r="P10" i="225"/>
  <c r="M56" i="246"/>
  <c r="P9" i="173"/>
  <c r="S210" i="246"/>
  <c r="P9" i="103"/>
  <c r="P9" i="185"/>
  <c r="P9" i="228"/>
  <c r="P9" i="212"/>
  <c r="P9" i="223"/>
  <c r="P19" i="212"/>
  <c r="P19" i="173"/>
  <c r="P19" i="228"/>
  <c r="P19" i="185"/>
  <c r="P19" i="223"/>
  <c r="P19" i="103"/>
  <c r="S148" i="246"/>
  <c r="P16" i="202"/>
  <c r="P16" i="139"/>
  <c r="P16" i="165"/>
  <c r="P16" i="162"/>
  <c r="P16" i="166"/>
  <c r="P16" i="212"/>
  <c r="S86" i="246"/>
  <c r="P16" i="173"/>
  <c r="P16" i="185"/>
  <c r="P16" i="223"/>
  <c r="P16" i="228"/>
  <c r="P16" i="103"/>
  <c r="J438" i="246"/>
  <c r="P314" i="246"/>
  <c r="J500" i="246"/>
  <c r="S482" i="209"/>
  <c r="S542" i="209"/>
  <c r="L20" i="178"/>
  <c r="L20" i="146"/>
  <c r="L20" i="293"/>
  <c r="L20" i="204"/>
  <c r="L20" i="195"/>
  <c r="L20" i="219"/>
  <c r="L20" i="188"/>
  <c r="L20" i="126"/>
  <c r="L20" i="189"/>
  <c r="L20" i="362"/>
  <c r="L20" i="187"/>
  <c r="L20" i="194"/>
  <c r="L20" i="183"/>
  <c r="L20" i="203"/>
  <c r="L20" i="151"/>
  <c r="L20" i="160"/>
  <c r="L20" i="270"/>
  <c r="L20" i="349"/>
  <c r="L20" i="141"/>
  <c r="L20" i="353"/>
  <c r="L20" i="137"/>
  <c r="P9" i="345"/>
  <c r="S230" i="209"/>
  <c r="P9" i="356"/>
  <c r="D48" i="175"/>
  <c r="L20" i="212" s="1"/>
  <c r="H31" i="175"/>
  <c r="H45" i="175" s="1"/>
  <c r="H46" i="175"/>
  <c r="P17" i="141"/>
  <c r="P17" i="160"/>
  <c r="P17" i="216"/>
  <c r="P17" i="215"/>
  <c r="P17" i="188"/>
  <c r="P17" i="194"/>
  <c r="P17" i="151"/>
  <c r="P17" i="137"/>
  <c r="P17" i="203"/>
  <c r="P17" i="219"/>
  <c r="P17" i="178"/>
  <c r="P17" i="293"/>
  <c r="P17" i="183"/>
  <c r="P17" i="146"/>
  <c r="P17" i="353"/>
  <c r="P17" i="126"/>
  <c r="P17" i="195"/>
  <c r="P17" i="355"/>
  <c r="P17" i="334"/>
  <c r="P17" i="189"/>
  <c r="P17" i="204"/>
  <c r="P17" i="362"/>
  <c r="P17" i="187"/>
  <c r="P17" i="349"/>
  <c r="P10" i="146"/>
  <c r="P10" i="151"/>
  <c r="P10" i="355"/>
  <c r="P10" i="219"/>
  <c r="P10" i="188"/>
  <c r="P10" i="183"/>
  <c r="P10" i="194"/>
  <c r="P10" i="137"/>
  <c r="P10" i="187"/>
  <c r="P10" i="189"/>
  <c r="P10" i="126"/>
  <c r="P10" i="349"/>
  <c r="P10" i="215"/>
  <c r="P10" i="334"/>
  <c r="P10" i="141"/>
  <c r="P10" i="216"/>
  <c r="P10" i="195"/>
  <c r="P10" i="204"/>
  <c r="P10" i="160"/>
  <c r="P10" i="293"/>
  <c r="P10" i="203"/>
  <c r="P10" i="362"/>
  <c r="P10" i="353"/>
  <c r="P10" i="178"/>
  <c r="H37" i="228"/>
  <c r="S242" i="209" s="1"/>
  <c r="I22" i="292"/>
  <c r="S302" i="209"/>
  <c r="P13" i="202"/>
  <c r="P13" i="165"/>
  <c r="P13" i="139"/>
  <c r="P13" i="162"/>
  <c r="P13" i="166"/>
  <c r="P12" i="226"/>
  <c r="P12" i="225"/>
  <c r="P12" i="170"/>
  <c r="P12" i="186"/>
  <c r="M118" i="246"/>
  <c r="P12" i="104"/>
  <c r="L500" i="246"/>
  <c r="H23" i="174"/>
  <c r="R438" i="246"/>
  <c r="R562" i="246"/>
  <c r="L438" i="246"/>
  <c r="E48" i="174"/>
  <c r="J624" i="246"/>
  <c r="P9" i="191"/>
  <c r="P9" i="279"/>
  <c r="P9" i="95"/>
  <c r="S224" i="246"/>
  <c r="M20" i="170"/>
  <c r="M20" i="226"/>
  <c r="M20" i="104"/>
  <c r="M20" i="186"/>
  <c r="R314" i="246"/>
  <c r="H37" i="172"/>
  <c r="S304" i="246"/>
  <c r="P11" i="103"/>
  <c r="P11" i="223"/>
  <c r="P11" i="185"/>
  <c r="P11" i="228"/>
  <c r="P11" i="212"/>
  <c r="S24" i="246"/>
  <c r="P11" i="173"/>
  <c r="O748" i="246"/>
  <c r="O500" i="246"/>
  <c r="N39" i="292"/>
  <c r="Q748" i="246"/>
  <c r="Q500" i="246"/>
  <c r="R748" i="246"/>
  <c r="R500" i="246"/>
  <c r="P9" i="313"/>
  <c r="P9" i="91"/>
  <c r="S195" i="246"/>
  <c r="P9" i="270"/>
  <c r="P11" i="123"/>
  <c r="P11" i="338"/>
  <c r="P11" i="196"/>
  <c r="P11" i="337"/>
  <c r="P11" i="154"/>
  <c r="P11" i="79"/>
  <c r="P11" i="72"/>
  <c r="S42" i="209"/>
  <c r="P11" i="39"/>
  <c r="P19" i="72"/>
  <c r="P19" i="337"/>
  <c r="P19" i="79"/>
  <c r="P19" i="338"/>
  <c r="P19" i="154"/>
  <c r="P19" i="123"/>
  <c r="S162" i="209"/>
  <c r="P19" i="39"/>
  <c r="P19" i="196"/>
  <c r="D48" i="229"/>
  <c r="I604" i="209"/>
  <c r="O604" i="209"/>
  <c r="F48" i="229"/>
  <c r="G24" i="292"/>
  <c r="G41" i="292" s="1"/>
  <c r="K604" i="209"/>
  <c r="L604" i="209"/>
  <c r="H32" i="229"/>
  <c r="M664" i="209" s="1"/>
  <c r="D47" i="91"/>
  <c r="O132" i="246" s="1"/>
  <c r="E41" i="141"/>
  <c r="J232" i="246" s="1"/>
  <c r="E37" i="141"/>
  <c r="P232" i="246" s="1"/>
  <c r="E39" i="141"/>
  <c r="P46" i="246" s="1"/>
  <c r="E40" i="141"/>
  <c r="J108" i="246" s="1"/>
  <c r="E42" i="141"/>
  <c r="J294" i="246" s="1"/>
  <c r="J790" i="246"/>
  <c r="E38" i="141"/>
  <c r="J46" i="246" s="1"/>
  <c r="O8" i="246"/>
  <c r="D21" i="248"/>
  <c r="D35" i="248"/>
  <c r="D21" i="330"/>
  <c r="D35" i="330"/>
  <c r="D21" i="327"/>
  <c r="D35" i="327"/>
  <c r="D35" i="104"/>
  <c r="D21" i="104"/>
  <c r="D21" i="185"/>
  <c r="D35" i="185"/>
  <c r="D35" i="228"/>
  <c r="D21" i="228"/>
  <c r="V25" i="27"/>
  <c r="V13" i="27"/>
  <c r="V20" i="27"/>
  <c r="V23" i="27"/>
  <c r="V14" i="27"/>
  <c r="V11" i="27"/>
  <c r="V17" i="27"/>
  <c r="J47" i="27"/>
  <c r="J49" i="27" s="1"/>
  <c r="V27" i="27"/>
  <c r="V24" i="27"/>
  <c r="V15" i="27"/>
  <c r="V19" i="27"/>
  <c r="V16" i="27"/>
  <c r="V26" i="27"/>
  <c r="V18" i="27"/>
  <c r="G43" i="126"/>
  <c r="G47" i="126" s="1"/>
  <c r="R166" i="246" s="1"/>
  <c r="P26" i="126"/>
  <c r="D21" i="328"/>
  <c r="D35" i="328"/>
  <c r="D38" i="103"/>
  <c r="D41" i="103"/>
  <c r="D40" i="103"/>
  <c r="D37" i="103"/>
  <c r="D39" i="103"/>
  <c r="D42" i="103"/>
  <c r="D35" i="212"/>
  <c r="D21" i="212"/>
  <c r="P26" i="189"/>
  <c r="G39" i="194"/>
  <c r="R40" i="246" s="1"/>
  <c r="C532" i="209"/>
  <c r="V472" i="209"/>
  <c r="O194" i="246"/>
  <c r="G14" i="170"/>
  <c r="G14" i="231"/>
  <c r="D21" i="308"/>
  <c r="D35" i="308"/>
  <c r="D35" i="174"/>
  <c r="D21" i="174"/>
  <c r="D21" i="173"/>
  <c r="D35" i="173"/>
  <c r="P26" i="141"/>
  <c r="D43" i="141"/>
  <c r="D47" i="141" s="1"/>
  <c r="O170" i="246" s="1"/>
  <c r="D43" i="103"/>
  <c r="D21" i="229"/>
  <c r="D35" i="229"/>
  <c r="L784" i="246"/>
  <c r="S26" i="292"/>
  <c r="T26" i="292" s="1"/>
  <c r="V26" i="292"/>
  <c r="I194" i="246"/>
  <c r="D35" i="326"/>
  <c r="D21" i="326"/>
  <c r="D21" i="58"/>
  <c r="D35" i="58"/>
  <c r="D21" i="103"/>
  <c r="D35" i="103"/>
  <c r="D35" i="84"/>
  <c r="D21" i="84"/>
  <c r="D35" i="170"/>
  <c r="D21" i="170"/>
  <c r="D39" i="194"/>
  <c r="O40" i="246" s="1"/>
  <c r="I784" i="246"/>
  <c r="D42" i="194"/>
  <c r="I288" i="246" s="1"/>
  <c r="D37" i="194"/>
  <c r="O226" i="246" s="1"/>
  <c r="D38" i="194"/>
  <c r="I40" i="246" s="1"/>
  <c r="D40" i="194"/>
  <c r="I102" i="246" s="1"/>
  <c r="D41" i="194"/>
  <c r="I226" i="246" s="1"/>
  <c r="X44" i="33"/>
  <c r="X41" i="33"/>
  <c r="X42" i="33"/>
  <c r="I790" i="246"/>
  <c r="M790" i="246" s="1"/>
  <c r="D39" i="141"/>
  <c r="O46" i="246" s="1"/>
  <c r="D41" i="141"/>
  <c r="I232" i="246" s="1"/>
  <c r="D40" i="141"/>
  <c r="I108" i="246" s="1"/>
  <c r="D42" i="141"/>
  <c r="I294" i="246" s="1"/>
  <c r="D37" i="141"/>
  <c r="O232" i="246" s="1"/>
  <c r="D38" i="141"/>
  <c r="I46" i="246" s="1"/>
  <c r="H18" i="141"/>
  <c r="D15" i="226"/>
  <c r="E15" i="126"/>
  <c r="D18" i="126"/>
  <c r="G41" i="194"/>
  <c r="L226" i="246" s="1"/>
  <c r="I8" i="246"/>
  <c r="F41" i="183"/>
  <c r="K239" i="246" s="1"/>
  <c r="K797" i="246"/>
  <c r="F37" i="183"/>
  <c r="Q239" i="246" s="1"/>
  <c r="F40" i="183"/>
  <c r="K115" i="246" s="1"/>
  <c r="F42" i="183"/>
  <c r="K301" i="246" s="1"/>
  <c r="F38" i="183"/>
  <c r="K53" i="246" s="1"/>
  <c r="F39" i="183"/>
  <c r="Q53" i="246" s="1"/>
  <c r="D21" i="247"/>
  <c r="D35" i="247"/>
  <c r="D21" i="309"/>
  <c r="D35" i="309"/>
  <c r="D21" i="361"/>
  <c r="D35" i="361"/>
  <c r="D21" i="226"/>
  <c r="D35" i="226"/>
  <c r="H18" i="194"/>
  <c r="D35" i="250"/>
  <c r="D21" i="250"/>
  <c r="D21" i="223"/>
  <c r="D35" i="223"/>
  <c r="G38" i="194"/>
  <c r="L40" i="246" s="1"/>
  <c r="E38" i="189"/>
  <c r="J49" i="246" s="1"/>
  <c r="E41" i="189"/>
  <c r="J235" i="246" s="1"/>
  <c r="E39" i="189"/>
  <c r="P49" i="246" s="1"/>
  <c r="E40" i="189"/>
  <c r="J111" i="246" s="1"/>
  <c r="E37" i="189"/>
  <c r="P235" i="246" s="1"/>
  <c r="E42" i="189"/>
  <c r="J297" i="246" s="1"/>
  <c r="J793" i="246"/>
  <c r="I70" i="246"/>
  <c r="D21" i="44"/>
  <c r="D35" i="44"/>
  <c r="D21" i="225"/>
  <c r="D35" i="225"/>
  <c r="D21" i="171"/>
  <c r="D35" i="171"/>
  <c r="D35" i="175"/>
  <c r="D21" i="175"/>
  <c r="D35" i="184"/>
  <c r="D21" i="184"/>
  <c r="D21" i="291"/>
  <c r="D35" i="291"/>
  <c r="K787" i="246"/>
  <c r="F38" i="151"/>
  <c r="K43" i="246" s="1"/>
  <c r="F42" i="151"/>
  <c r="K291" i="246" s="1"/>
  <c r="F41" i="151"/>
  <c r="K229" i="246" s="1"/>
  <c r="F40" i="151"/>
  <c r="K105" i="246" s="1"/>
  <c r="F39" i="151"/>
  <c r="Q43" i="246" s="1"/>
  <c r="F37" i="151"/>
  <c r="Q229" i="246" s="1"/>
  <c r="F40" i="270"/>
  <c r="K114" i="246" s="1"/>
  <c r="F39" i="270"/>
  <c r="Q52" i="246" s="1"/>
  <c r="K796" i="246"/>
  <c r="F37" i="270"/>
  <c r="Q238" i="246" s="1"/>
  <c r="F38" i="270"/>
  <c r="K52" i="246" s="1"/>
  <c r="F42" i="270"/>
  <c r="K300" i="246" s="1"/>
  <c r="F41" i="270"/>
  <c r="K238" i="246" s="1"/>
  <c r="F14" i="172"/>
  <c r="F14" i="174" s="1"/>
  <c r="F14" i="170"/>
  <c r="F14" i="175" s="1"/>
  <c r="F14" i="231"/>
  <c r="J784" i="246"/>
  <c r="E40" i="194"/>
  <c r="J102" i="246" s="1"/>
  <c r="E38" i="194"/>
  <c r="J40" i="246" s="1"/>
  <c r="E39" i="194"/>
  <c r="P40" i="246" s="1"/>
  <c r="E41" i="194"/>
  <c r="J226" i="246" s="1"/>
  <c r="E37" i="194"/>
  <c r="P226" i="246" s="1"/>
  <c r="E42" i="194"/>
  <c r="J288" i="246" s="1"/>
  <c r="J797" i="246"/>
  <c r="E40" i="183"/>
  <c r="J115" i="246" s="1"/>
  <c r="E42" i="183"/>
  <c r="J301" i="246" s="1"/>
  <c r="E38" i="183"/>
  <c r="J53" i="246" s="1"/>
  <c r="E39" i="183"/>
  <c r="P53" i="246" s="1"/>
  <c r="E41" i="183"/>
  <c r="J239" i="246" s="1"/>
  <c r="E37" i="183"/>
  <c r="P239" i="246" s="1"/>
  <c r="G40" i="183"/>
  <c r="L115" i="246" s="1"/>
  <c r="L797" i="246"/>
  <c r="M797" i="246" s="1"/>
  <c r="G38" i="183"/>
  <c r="L53" i="246" s="1"/>
  <c r="G39" i="183"/>
  <c r="R53" i="246" s="1"/>
  <c r="G42" i="183"/>
  <c r="L301" i="246" s="1"/>
  <c r="G41" i="183"/>
  <c r="L239" i="246" s="1"/>
  <c r="G37" i="183"/>
  <c r="R239" i="246" s="1"/>
  <c r="X43" i="33"/>
  <c r="D21" i="18"/>
  <c r="D35" i="18"/>
  <c r="D21" i="186"/>
  <c r="D35" i="186"/>
  <c r="D21" i="231"/>
  <c r="D35" i="231"/>
  <c r="D21" i="172"/>
  <c r="D35" i="172"/>
  <c r="J30" i="80"/>
  <c r="J33" i="80" s="1"/>
  <c r="V14" i="80"/>
  <c r="V12" i="80"/>
  <c r="V13" i="80"/>
  <c r="V11" i="80"/>
  <c r="E41" i="151"/>
  <c r="J229" i="246" s="1"/>
  <c r="E39" i="151"/>
  <c r="P43" i="246" s="1"/>
  <c r="E37" i="151"/>
  <c r="P229" i="246" s="1"/>
  <c r="E38" i="151"/>
  <c r="J43" i="246" s="1"/>
  <c r="J787" i="246"/>
  <c r="E42" i="151"/>
  <c r="J291" i="246" s="1"/>
  <c r="E40" i="151"/>
  <c r="J105" i="246" s="1"/>
  <c r="I795" i="246"/>
  <c r="M795" i="246" s="1"/>
  <c r="D38" i="203"/>
  <c r="D40" i="203"/>
  <c r="D41" i="203"/>
  <c r="H18" i="203"/>
  <c r="D37" i="203"/>
  <c r="D42" i="203"/>
  <c r="D39" i="203"/>
  <c r="D39" i="151"/>
  <c r="D37" i="151"/>
  <c r="D42" i="151"/>
  <c r="D40" i="151"/>
  <c r="D41" i="151"/>
  <c r="H18" i="151"/>
  <c r="D38" i="151"/>
  <c r="I787" i="246"/>
  <c r="M787" i="246" s="1"/>
  <c r="I49" i="246"/>
  <c r="E43" i="151"/>
  <c r="E47" i="151" s="1"/>
  <c r="P167" i="246" s="1"/>
  <c r="M26" i="226"/>
  <c r="D43" i="203"/>
  <c r="P26" i="203"/>
  <c r="D45" i="226"/>
  <c r="I178" i="246" s="1"/>
  <c r="O674" i="246"/>
  <c r="D11" i="172"/>
  <c r="I736" i="246"/>
  <c r="D44" i="226"/>
  <c r="O116" i="246" s="1"/>
  <c r="D46" i="226"/>
  <c r="I674" i="246"/>
  <c r="D11" i="170"/>
  <c r="F11" i="172"/>
  <c r="Q674" i="246"/>
  <c r="K674" i="246"/>
  <c r="K736" i="246"/>
  <c r="F11" i="170"/>
  <c r="F45" i="226"/>
  <c r="K178" i="246" s="1"/>
  <c r="F46" i="226"/>
  <c r="M36" i="292"/>
  <c r="F44" i="226"/>
  <c r="Q116" i="246" s="1"/>
  <c r="D47" i="194"/>
  <c r="I289" i="246"/>
  <c r="O109" i="246"/>
  <c r="I235" i="246"/>
  <c r="E37" i="203"/>
  <c r="P237" i="246" s="1"/>
  <c r="J795" i="246"/>
  <c r="E42" i="203"/>
  <c r="J299" i="246" s="1"/>
  <c r="E41" i="203"/>
  <c r="J237" i="246" s="1"/>
  <c r="E39" i="203"/>
  <c r="P51" i="246" s="1"/>
  <c r="E38" i="203"/>
  <c r="J51" i="246" s="1"/>
  <c r="E40" i="203"/>
  <c r="J113" i="246" s="1"/>
  <c r="I227" i="246"/>
  <c r="I167" i="246"/>
  <c r="O49" i="246"/>
  <c r="I171" i="246"/>
  <c r="P26" i="151"/>
  <c r="D43" i="151"/>
  <c r="D47" i="97"/>
  <c r="L26" i="226"/>
  <c r="I297" i="246"/>
  <c r="E38" i="270"/>
  <c r="J52" i="246" s="1"/>
  <c r="J796" i="246"/>
  <c r="E40" i="270"/>
  <c r="J114" i="246" s="1"/>
  <c r="E37" i="270"/>
  <c r="P238" i="246" s="1"/>
  <c r="E42" i="270"/>
  <c r="J300" i="246" s="1"/>
  <c r="E41" i="270"/>
  <c r="J238" i="246" s="1"/>
  <c r="E39" i="270"/>
  <c r="P52" i="246" s="1"/>
  <c r="I103" i="246"/>
  <c r="E42" i="204"/>
  <c r="J293" i="246" s="1"/>
  <c r="E41" i="204"/>
  <c r="J231" i="246" s="1"/>
  <c r="E38" i="204"/>
  <c r="J45" i="246" s="1"/>
  <c r="E37" i="204"/>
  <c r="P231" i="246" s="1"/>
  <c r="E39" i="204"/>
  <c r="P45" i="246" s="1"/>
  <c r="J789" i="246"/>
  <c r="E40" i="204"/>
  <c r="J107" i="246" s="1"/>
  <c r="D43" i="137"/>
  <c r="P26" i="137"/>
  <c r="I175" i="246"/>
  <c r="O26" i="226"/>
  <c r="F11" i="231"/>
  <c r="F46" i="231" s="1"/>
  <c r="O113" i="246"/>
  <c r="I41" i="246"/>
  <c r="D40" i="137"/>
  <c r="I791" i="246"/>
  <c r="D37" i="137"/>
  <c r="D41" i="137"/>
  <c r="D42" i="137"/>
  <c r="D38" i="137"/>
  <c r="D39" i="137"/>
  <c r="H18" i="137"/>
  <c r="J791" i="246"/>
  <c r="E38" i="137"/>
  <c r="J47" i="246" s="1"/>
  <c r="E37" i="137"/>
  <c r="P233" i="246" s="1"/>
  <c r="E42" i="137"/>
  <c r="J295" i="246" s="1"/>
  <c r="E41" i="137"/>
  <c r="J233" i="246" s="1"/>
  <c r="E39" i="137"/>
  <c r="P47" i="246" s="1"/>
  <c r="E40" i="137"/>
  <c r="J109" i="246" s="1"/>
  <c r="O105" i="246"/>
  <c r="O227" i="246"/>
  <c r="D47" i="195"/>
  <c r="G41" i="137"/>
  <c r="L233" i="246" s="1"/>
  <c r="G40" i="137"/>
  <c r="L109" i="246" s="1"/>
  <c r="G37" i="137"/>
  <c r="R233" i="246" s="1"/>
  <c r="G39" i="137"/>
  <c r="R47" i="246" s="1"/>
  <c r="G42" i="137"/>
  <c r="L295" i="246" s="1"/>
  <c r="L791" i="246"/>
  <c r="G38" i="137"/>
  <c r="L47" i="246" s="1"/>
  <c r="F39" i="194"/>
  <c r="Q40" i="246" s="1"/>
  <c r="K784" i="246"/>
  <c r="F38" i="194"/>
  <c r="K40" i="246" s="1"/>
  <c r="F41" i="194"/>
  <c r="K226" i="246" s="1"/>
  <c r="F42" i="194"/>
  <c r="K288" i="246" s="1"/>
  <c r="F37" i="194"/>
  <c r="Q226" i="246" s="1"/>
  <c r="F40" i="194"/>
  <c r="K102" i="246" s="1"/>
  <c r="I111" i="246"/>
  <c r="O41" i="246"/>
  <c r="F39" i="195"/>
  <c r="Q48" i="246" s="1"/>
  <c r="F41" i="195"/>
  <c r="K234" i="246" s="1"/>
  <c r="F42" i="195"/>
  <c r="K296" i="246" s="1"/>
  <c r="K792" i="246"/>
  <c r="F40" i="195"/>
  <c r="K110" i="246" s="1"/>
  <c r="F37" i="195"/>
  <c r="Q234" i="246" s="1"/>
  <c r="F38" i="195"/>
  <c r="K48" i="246" s="1"/>
  <c r="N26" i="226"/>
  <c r="F43" i="194"/>
  <c r="F47" i="194" s="1"/>
  <c r="Q164" i="246" s="1"/>
  <c r="O235" i="246"/>
  <c r="M785" i="246"/>
  <c r="E46" i="226"/>
  <c r="J736" i="246"/>
  <c r="P674" i="246"/>
  <c r="E11" i="231"/>
  <c r="E44" i="226"/>
  <c r="E11" i="172"/>
  <c r="E45" i="226"/>
  <c r="J178" i="246" s="1"/>
  <c r="J674" i="246"/>
  <c r="D47" i="187"/>
  <c r="V35" i="292"/>
  <c r="S35" i="292"/>
  <c r="T35" i="292" s="1"/>
  <c r="D15" i="44" l="1"/>
  <c r="L26" i="231"/>
  <c r="D43" i="231" s="1"/>
  <c r="D47" i="231" s="1"/>
  <c r="O188" i="246" s="1"/>
  <c r="V11" i="70"/>
  <c r="X11" i="70" s="1"/>
  <c r="V18" i="70"/>
  <c r="X18" i="70" s="1"/>
  <c r="V16" i="70"/>
  <c r="X16" i="70" s="1"/>
  <c r="T38" i="37"/>
  <c r="J56" i="37" s="1"/>
  <c r="J57" i="37" s="1"/>
  <c r="V23" i="37" s="1"/>
  <c r="F38" i="103"/>
  <c r="K9" i="246" s="1"/>
  <c r="F18" i="84"/>
  <c r="F37" i="84" s="1"/>
  <c r="Q248" i="246" s="1"/>
  <c r="F39" i="103"/>
  <c r="N11" i="91" s="1"/>
  <c r="F42" i="103"/>
  <c r="K257" i="246" s="1"/>
  <c r="F40" i="103"/>
  <c r="N12" i="91" s="1"/>
  <c r="F37" i="103"/>
  <c r="N9" i="313" s="1"/>
  <c r="O26" i="292"/>
  <c r="U26" i="292" s="1"/>
  <c r="H18" i="139"/>
  <c r="G18" i="223"/>
  <c r="J44" i="36"/>
  <c r="X63" i="36" s="1"/>
  <c r="X64" i="36"/>
  <c r="R38" i="37"/>
  <c r="X69" i="37" s="1"/>
  <c r="X73" i="37" s="1"/>
  <c r="X74" i="37" s="1"/>
  <c r="X67" i="28"/>
  <c r="T24" i="28"/>
  <c r="T32" i="28" s="1"/>
  <c r="M767" i="209"/>
  <c r="G41" i="313"/>
  <c r="L245" i="246" s="1"/>
  <c r="W28" i="315"/>
  <c r="I284" i="209"/>
  <c r="L26" i="171"/>
  <c r="D43" i="171" s="1"/>
  <c r="S737" i="209"/>
  <c r="V11" i="129"/>
  <c r="V13" i="129"/>
  <c r="X13" i="129" s="1"/>
  <c r="V20" i="129"/>
  <c r="X20" i="129" s="1"/>
  <c r="V14" i="129"/>
  <c r="X14" i="129" s="1"/>
  <c r="V18" i="129"/>
  <c r="X18" i="129" s="1"/>
  <c r="V17" i="129"/>
  <c r="X17" i="129" s="1"/>
  <c r="V16" i="129"/>
  <c r="X16" i="129" s="1"/>
  <c r="V12" i="129"/>
  <c r="X12" i="129" s="1"/>
  <c r="E14" i="328"/>
  <c r="E13" i="328"/>
  <c r="E13" i="330"/>
  <c r="E13" i="58"/>
  <c r="E13" i="229" s="1"/>
  <c r="E17" i="328"/>
  <c r="E17" i="58"/>
  <c r="E17" i="229" s="1"/>
  <c r="E17" i="330"/>
  <c r="P702" i="209"/>
  <c r="P462" i="209"/>
  <c r="E12" i="328"/>
  <c r="E12" i="58"/>
  <c r="E12" i="330"/>
  <c r="E18" i="250"/>
  <c r="E40" i="250" s="1"/>
  <c r="J121" i="209" s="1"/>
  <c r="L18" i="213"/>
  <c r="V15" i="129"/>
  <c r="X15" i="129" s="1"/>
  <c r="J44" i="34"/>
  <c r="J46" i="34" s="1"/>
  <c r="D18" i="79"/>
  <c r="D41" i="79" s="1"/>
  <c r="I219" i="209" s="1"/>
  <c r="P15" i="185"/>
  <c r="P15" i="223"/>
  <c r="V12" i="142"/>
  <c r="J25" i="142"/>
  <c r="J27" i="142" s="1"/>
  <c r="J28" i="142" s="1"/>
  <c r="X11" i="142" s="1"/>
  <c r="V13" i="142"/>
  <c r="E15" i="9"/>
  <c r="F15" i="9" s="1"/>
  <c r="W34" i="315"/>
  <c r="F18" i="250"/>
  <c r="M26" i="250"/>
  <c r="E43" i="250" s="1"/>
  <c r="E47" i="250" s="1"/>
  <c r="P181" i="209" s="1"/>
  <c r="G43" i="247"/>
  <c r="G47" i="247" s="1"/>
  <c r="O26" i="250"/>
  <c r="D43" i="247"/>
  <c r="L15" i="105" s="1"/>
  <c r="W31" i="105" s="1"/>
  <c r="L26" i="250"/>
  <c r="N26" i="250"/>
  <c r="M742" i="209"/>
  <c r="G37" i="313"/>
  <c r="R245" i="246" s="1"/>
  <c r="L18" i="105"/>
  <c r="G18" i="250"/>
  <c r="D38" i="247"/>
  <c r="I24" i="209" s="1"/>
  <c r="D18" i="250"/>
  <c r="P15" i="103"/>
  <c r="P15" i="212"/>
  <c r="P15" i="173"/>
  <c r="L177" i="209"/>
  <c r="O17" i="364"/>
  <c r="G39" i="313"/>
  <c r="R59" i="246" s="1"/>
  <c r="G40" i="313"/>
  <c r="L121" i="246" s="1"/>
  <c r="G42" i="313"/>
  <c r="L307" i="246" s="1"/>
  <c r="G38" i="313"/>
  <c r="L59" i="246" s="1"/>
  <c r="G18" i="308"/>
  <c r="G37" i="308" s="1"/>
  <c r="F44" i="309"/>
  <c r="N16" i="308" s="1"/>
  <c r="W29" i="315"/>
  <c r="O44" i="209"/>
  <c r="D39" i="247"/>
  <c r="O24" i="209" s="1"/>
  <c r="V19" i="161"/>
  <c r="V13" i="161"/>
  <c r="V17" i="161"/>
  <c r="E47" i="326"/>
  <c r="M19" i="324" s="1"/>
  <c r="V12" i="161"/>
  <c r="V15" i="161"/>
  <c r="M15" i="325"/>
  <c r="J40" i="29"/>
  <c r="J43" i="29" s="1"/>
  <c r="X12" i="29" s="1"/>
  <c r="K184" i="246"/>
  <c r="I44" i="209"/>
  <c r="S32" i="292"/>
  <c r="T32" i="292" s="1"/>
  <c r="F46" i="309"/>
  <c r="N18" i="308" s="1"/>
  <c r="M758" i="246"/>
  <c r="V11" i="161"/>
  <c r="V18" i="161"/>
  <c r="E37" i="326"/>
  <c r="M9" i="325" s="1"/>
  <c r="D40" i="247"/>
  <c r="I84" i="209" s="1"/>
  <c r="D42" i="247"/>
  <c r="L14" i="213" s="1"/>
  <c r="W30" i="213" s="1"/>
  <c r="D37" i="247"/>
  <c r="L9" i="105" s="1"/>
  <c r="W25" i="105" s="1"/>
  <c r="O44" i="246"/>
  <c r="I744" i="209"/>
  <c r="M18" i="324"/>
  <c r="D41" i="247"/>
  <c r="L13" i="105" s="1"/>
  <c r="W29" i="105" s="1"/>
  <c r="H18" i="247"/>
  <c r="F42" i="186"/>
  <c r="K286" i="246" s="1"/>
  <c r="F38" i="186"/>
  <c r="N10" i="279" s="1"/>
  <c r="K782" i="246"/>
  <c r="F40" i="186"/>
  <c r="N12" i="95" s="1"/>
  <c r="O31" i="292"/>
  <c r="R31" i="292" s="1"/>
  <c r="F39" i="186"/>
  <c r="Q38" i="246" s="1"/>
  <c r="F37" i="186"/>
  <c r="N9" i="279" s="1"/>
  <c r="L15" i="325"/>
  <c r="W29" i="325" s="1"/>
  <c r="L15" i="324"/>
  <c r="W29" i="324" s="1"/>
  <c r="M17" i="324"/>
  <c r="G38" i="326"/>
  <c r="O10" i="325" s="1"/>
  <c r="G42" i="326"/>
  <c r="O14" i="324" s="1"/>
  <c r="G41" i="326"/>
  <c r="O13" i="324" s="1"/>
  <c r="G40" i="326"/>
  <c r="O12" i="325" s="1"/>
  <c r="V16" i="161"/>
  <c r="J34" i="161"/>
  <c r="J37" i="161" s="1"/>
  <c r="V15" i="37"/>
  <c r="S742" i="209"/>
  <c r="L755" i="246"/>
  <c r="M755" i="246" s="1"/>
  <c r="O744" i="209"/>
  <c r="E38" i="326"/>
  <c r="M10" i="325" s="1"/>
  <c r="E39" i="326"/>
  <c r="M11" i="325" s="1"/>
  <c r="E40" i="326"/>
  <c r="M12" i="325" s="1"/>
  <c r="E42" i="326"/>
  <c r="M14" i="324" s="1"/>
  <c r="N16" i="290"/>
  <c r="M15" i="288"/>
  <c r="M15" i="290"/>
  <c r="E47" i="291"/>
  <c r="M19" i="289" s="1"/>
  <c r="P9" i="196"/>
  <c r="V15" i="29"/>
  <c r="V13" i="29"/>
  <c r="V14" i="29"/>
  <c r="V11" i="29"/>
  <c r="V16" i="29"/>
  <c r="G39" i="326"/>
  <c r="O11" i="324" s="1"/>
  <c r="D18" i="11"/>
  <c r="D40" i="11" s="1"/>
  <c r="I74" i="209" s="1"/>
  <c r="P642" i="209"/>
  <c r="S735" i="209"/>
  <c r="P10" i="212"/>
  <c r="L17" i="325"/>
  <c r="W31" i="325" s="1"/>
  <c r="P9" i="337"/>
  <c r="N18" i="290"/>
  <c r="P9" i="154"/>
  <c r="P9" i="123"/>
  <c r="P9" i="39"/>
  <c r="P9" i="72"/>
  <c r="N17" i="295"/>
  <c r="P9" i="338"/>
  <c r="P9" i="79"/>
  <c r="N18" i="288"/>
  <c r="G42" i="156"/>
  <c r="L259" i="246" s="1"/>
  <c r="H18" i="156"/>
  <c r="G15" i="173"/>
  <c r="G41" i="162"/>
  <c r="L208" i="209" s="1"/>
  <c r="G37" i="162"/>
  <c r="R208" i="209" s="1"/>
  <c r="G42" i="162"/>
  <c r="L268" i="209" s="1"/>
  <c r="L748" i="209"/>
  <c r="M748" i="209" s="1"/>
  <c r="G37" i="156"/>
  <c r="R197" i="246" s="1"/>
  <c r="G18" i="212"/>
  <c r="L750" i="209" s="1"/>
  <c r="G41" i="156"/>
  <c r="L197" i="246" s="1"/>
  <c r="G18" i="185"/>
  <c r="G42" i="185" s="1"/>
  <c r="G38" i="156"/>
  <c r="L11" i="246" s="1"/>
  <c r="G39" i="156"/>
  <c r="R11" i="246" s="1"/>
  <c r="L18" i="324"/>
  <c r="H18" i="162"/>
  <c r="P16" i="15"/>
  <c r="V13" i="155"/>
  <c r="X13" i="155" s="1"/>
  <c r="D42" i="326"/>
  <c r="L14" i="324" s="1"/>
  <c r="S360" i="209"/>
  <c r="R750" i="209"/>
  <c r="M769" i="209"/>
  <c r="E15" i="7"/>
  <c r="E18" i="7" s="1"/>
  <c r="L16" i="214"/>
  <c r="W32" i="214" s="1"/>
  <c r="P16" i="9"/>
  <c r="S79" i="209"/>
  <c r="P16" i="6"/>
  <c r="S272" i="209"/>
  <c r="S420" i="209"/>
  <c r="M735" i="209"/>
  <c r="M717" i="209"/>
  <c r="V31" i="292"/>
  <c r="P10" i="173"/>
  <c r="P10" i="223"/>
  <c r="P10" i="228"/>
  <c r="P10" i="103"/>
  <c r="M24" i="246"/>
  <c r="N16" i="338"/>
  <c r="P14" i="171"/>
  <c r="P14" i="84"/>
  <c r="P14" i="229"/>
  <c r="P14" i="175"/>
  <c r="P14" i="309"/>
  <c r="P14" i="361"/>
  <c r="P14" i="172"/>
  <c r="P14" i="184"/>
  <c r="P14" i="231"/>
  <c r="M729" i="209"/>
  <c r="F42" i="291"/>
  <c r="N14" i="289" s="1"/>
  <c r="F41" i="291"/>
  <c r="N13" i="290" s="1"/>
  <c r="O17" i="292"/>
  <c r="U17" i="292" s="1"/>
  <c r="F38" i="291"/>
  <c r="N10" i="288" s="1"/>
  <c r="F39" i="291"/>
  <c r="N11" i="289" s="1"/>
  <c r="F40" i="291"/>
  <c r="N12" i="290" s="1"/>
  <c r="N16" i="296"/>
  <c r="Q682" i="246"/>
  <c r="M28" i="292"/>
  <c r="V28" i="292" s="1"/>
  <c r="F46" i="84"/>
  <c r="F44" i="84"/>
  <c r="Q124" i="246" s="1"/>
  <c r="F45" i="84"/>
  <c r="K186" i="246" s="1"/>
  <c r="K744" i="246"/>
  <c r="N16" i="360"/>
  <c r="M775" i="246"/>
  <c r="R117" i="209"/>
  <c r="O16" i="220"/>
  <c r="O16" i="347"/>
  <c r="O16" i="221"/>
  <c r="O17" i="220"/>
  <c r="O17" i="347"/>
  <c r="P26" i="326"/>
  <c r="D37" i="326"/>
  <c r="L9" i="324" s="1"/>
  <c r="W25" i="324" s="1"/>
  <c r="H18" i="326"/>
  <c r="D40" i="326"/>
  <c r="L12" i="325" s="1"/>
  <c r="W28" i="325" s="1"/>
  <c r="D39" i="326"/>
  <c r="L11" i="324" s="1"/>
  <c r="W27" i="324" s="1"/>
  <c r="D41" i="326"/>
  <c r="L13" i="324" s="1"/>
  <c r="V11" i="155"/>
  <c r="X11" i="155" s="1"/>
  <c r="V14" i="155"/>
  <c r="X14" i="155" s="1"/>
  <c r="J28" i="155"/>
  <c r="J31" i="155" s="1"/>
  <c r="J33" i="155" s="1"/>
  <c r="P16" i="196"/>
  <c r="K13" i="292"/>
  <c r="P15" i="72"/>
  <c r="P15" i="39"/>
  <c r="P15" i="337"/>
  <c r="P15" i="338"/>
  <c r="P15" i="79"/>
  <c r="P15" i="154"/>
  <c r="I484" i="209"/>
  <c r="M484" i="209" s="1"/>
  <c r="P15" i="196"/>
  <c r="P16" i="123"/>
  <c r="O15" i="324"/>
  <c r="G47" i="326"/>
  <c r="O19" i="324" s="1"/>
  <c r="V17" i="32"/>
  <c r="J29" i="32"/>
  <c r="J31" i="32" s="1"/>
  <c r="V16" i="32"/>
  <c r="L17" i="15"/>
  <c r="W33" i="15" s="1"/>
  <c r="N16" i="333"/>
  <c r="G39" i="247"/>
  <c r="R24" i="209" s="1"/>
  <c r="G14" i="172"/>
  <c r="G14" i="174" s="1"/>
  <c r="L17" i="14"/>
  <c r="W33" i="14" s="1"/>
  <c r="L17" i="4"/>
  <c r="W33" i="4" s="1"/>
  <c r="K804" i="246"/>
  <c r="O18" i="95"/>
  <c r="O18" i="279"/>
  <c r="N16" i="279"/>
  <c r="G37" i="247"/>
  <c r="R204" i="209" s="1"/>
  <c r="G41" i="247"/>
  <c r="O13" i="214" s="1"/>
  <c r="L744" i="209"/>
  <c r="G38" i="247"/>
  <c r="O10" i="105" s="1"/>
  <c r="G40" i="247"/>
  <c r="O12" i="105" s="1"/>
  <c r="G42" i="247"/>
  <c r="O14" i="214" s="1"/>
  <c r="F37" i="308"/>
  <c r="Q246" i="246" s="1"/>
  <c r="D44" i="171"/>
  <c r="L16" i="173" s="1"/>
  <c r="O17" i="156"/>
  <c r="K745" i="246"/>
  <c r="E37" i="104"/>
  <c r="M9" i="359" s="1"/>
  <c r="N16" i="79"/>
  <c r="N16" i="39"/>
  <c r="P12" i="184"/>
  <c r="S774" i="209"/>
  <c r="N17" i="333"/>
  <c r="N16" i="288"/>
  <c r="L16" i="105"/>
  <c r="W32" i="105" s="1"/>
  <c r="N17" i="360"/>
  <c r="G15" i="171"/>
  <c r="O84" i="209"/>
  <c r="M792" i="246"/>
  <c r="O16" i="296"/>
  <c r="M776" i="246"/>
  <c r="L745" i="246"/>
  <c r="O17" i="284"/>
  <c r="O17" i="190"/>
  <c r="L26" i="84"/>
  <c r="D43" i="84" s="1"/>
  <c r="D47" i="84" s="1"/>
  <c r="O186" i="246" s="1"/>
  <c r="J544" i="209"/>
  <c r="P12" i="361"/>
  <c r="P17" i="333"/>
  <c r="O16" i="360"/>
  <c r="O16" i="333"/>
  <c r="F41" i="361"/>
  <c r="N13" i="360" s="1"/>
  <c r="O18" i="296"/>
  <c r="F47" i="361"/>
  <c r="N19" i="360" s="1"/>
  <c r="F39" i="361"/>
  <c r="N11" i="296" s="1"/>
  <c r="N15" i="333"/>
  <c r="N15" i="296"/>
  <c r="W31" i="296" s="1"/>
  <c r="N15" i="295"/>
  <c r="W31" i="295" s="1"/>
  <c r="O18" i="360"/>
  <c r="O15" i="333"/>
  <c r="O18" i="333"/>
  <c r="P18" i="333" s="1"/>
  <c r="M128" i="246"/>
  <c r="P12" i="171"/>
  <c r="P12" i="175"/>
  <c r="P12" i="231"/>
  <c r="P12" i="84"/>
  <c r="P12" i="309"/>
  <c r="P12" i="229"/>
  <c r="P26" i="223"/>
  <c r="K766" i="246"/>
  <c r="F37" i="223"/>
  <c r="Q208" i="246" s="1"/>
  <c r="F38" i="223"/>
  <c r="K22" i="246" s="1"/>
  <c r="F41" i="223"/>
  <c r="K208" i="246" s="1"/>
  <c r="D45" i="171"/>
  <c r="L17" i="173" s="1"/>
  <c r="M768" i="246"/>
  <c r="M761" i="246"/>
  <c r="O644" i="246"/>
  <c r="P19" i="126"/>
  <c r="P544" i="209"/>
  <c r="P19" i="203"/>
  <c r="P19" i="353"/>
  <c r="P19" i="183"/>
  <c r="P19" i="362"/>
  <c r="M544" i="209"/>
  <c r="P26" i="212"/>
  <c r="Q364" i="209"/>
  <c r="Q604" i="209"/>
  <c r="P424" i="209"/>
  <c r="F46" i="173"/>
  <c r="F44" i="173"/>
  <c r="N16" i="344" s="1"/>
  <c r="F11" i="175"/>
  <c r="F45" i="175" s="1"/>
  <c r="N17" i="212" s="1"/>
  <c r="P15" i="247"/>
  <c r="H47" i="175"/>
  <c r="O26" i="228"/>
  <c r="G43" i="228" s="1"/>
  <c r="M746" i="209"/>
  <c r="P15" i="326"/>
  <c r="P16" i="154"/>
  <c r="L17" i="9"/>
  <c r="W33" i="9" s="1"/>
  <c r="N17" i="337"/>
  <c r="O15" i="360"/>
  <c r="P19" i="137"/>
  <c r="P19" i="151"/>
  <c r="P304" i="209"/>
  <c r="P19" i="355"/>
  <c r="K644" i="246"/>
  <c r="G45" i="184"/>
  <c r="L187" i="246" s="1"/>
  <c r="N16" i="191"/>
  <c r="P16" i="79"/>
  <c r="L17" i="7"/>
  <c r="W33" i="7" s="1"/>
  <c r="L17" i="11"/>
  <c r="W33" i="11" s="1"/>
  <c r="P19" i="204"/>
  <c r="M754" i="209"/>
  <c r="G46" i="184"/>
  <c r="N16" i="95"/>
  <c r="P16" i="39"/>
  <c r="P16" i="338"/>
  <c r="I139" i="209"/>
  <c r="P19" i="219"/>
  <c r="K706" i="246"/>
  <c r="L683" i="246"/>
  <c r="S102" i="209"/>
  <c r="L17" i="10"/>
  <c r="W33" i="10" s="1"/>
  <c r="P19" i="293"/>
  <c r="P19" i="189"/>
  <c r="P19" i="195"/>
  <c r="Q644" i="246"/>
  <c r="F45" i="171"/>
  <c r="N17" i="173" s="1"/>
  <c r="R683" i="246"/>
  <c r="P16" i="337"/>
  <c r="L17" i="16"/>
  <c r="W33" i="16" s="1"/>
  <c r="P19" i="188"/>
  <c r="P19" i="215"/>
  <c r="P19" i="216"/>
  <c r="P19" i="178"/>
  <c r="O304" i="209"/>
  <c r="F44" i="171"/>
  <c r="N16" i="185" s="1"/>
  <c r="E14" i="327"/>
  <c r="L17" i="13"/>
  <c r="W33" i="13" s="1"/>
  <c r="P19" i="349"/>
  <c r="P19" i="146"/>
  <c r="P19" i="194"/>
  <c r="P19" i="187"/>
  <c r="L17" i="125"/>
  <c r="W33" i="125" s="1"/>
  <c r="P19" i="141"/>
  <c r="P19" i="334"/>
  <c r="M420" i="209"/>
  <c r="R484" i="209"/>
  <c r="M480" i="209"/>
  <c r="P14" i="44"/>
  <c r="P14" i="247"/>
  <c r="L424" i="209"/>
  <c r="I41" i="292"/>
  <c r="C24" i="292"/>
  <c r="C41" i="292" s="1"/>
  <c r="R544" i="209"/>
  <c r="H25" i="229"/>
  <c r="H39" i="229" s="1"/>
  <c r="S300" i="209"/>
  <c r="R424" i="209"/>
  <c r="S424" i="209" s="1"/>
  <c r="H23" i="229"/>
  <c r="I24" i="292" s="1"/>
  <c r="P12" i="18"/>
  <c r="R364" i="209"/>
  <c r="P12" i="308"/>
  <c r="I13" i="292"/>
  <c r="N16" i="72"/>
  <c r="Q102" i="209"/>
  <c r="N16" i="196"/>
  <c r="N16" i="123"/>
  <c r="N16" i="337"/>
  <c r="L16" i="14"/>
  <c r="W32" i="14" s="1"/>
  <c r="P13" i="292"/>
  <c r="P11" i="14"/>
  <c r="L16" i="11"/>
  <c r="W32" i="11" s="1"/>
  <c r="L16" i="16"/>
  <c r="W32" i="16" s="1"/>
  <c r="F38" i="308"/>
  <c r="N10" i="307" s="1"/>
  <c r="F18" i="309"/>
  <c r="F40" i="309" s="1"/>
  <c r="N12" i="308" s="1"/>
  <c r="F18" i="184"/>
  <c r="O33" i="292" s="1"/>
  <c r="F40" i="308"/>
  <c r="K122" i="246" s="1"/>
  <c r="F41" i="308"/>
  <c r="N13" i="307" s="1"/>
  <c r="F42" i="308"/>
  <c r="K308" i="246" s="1"/>
  <c r="F39" i="308"/>
  <c r="Q60" i="246" s="1"/>
  <c r="G46" i="172"/>
  <c r="O18" i="186" s="1"/>
  <c r="N17" i="313"/>
  <c r="O684" i="246"/>
  <c r="I684" i="246"/>
  <c r="D46" i="171"/>
  <c r="L18" i="173" s="1"/>
  <c r="F11" i="174"/>
  <c r="F46" i="174" s="1"/>
  <c r="I644" i="246"/>
  <c r="D38" i="225"/>
  <c r="L10" i="345" s="1"/>
  <c r="W26" i="345" s="1"/>
  <c r="D41" i="225"/>
  <c r="L13" i="356" s="1"/>
  <c r="W29" i="356" s="1"/>
  <c r="N17" i="338"/>
  <c r="N17" i="196"/>
  <c r="K24" i="292"/>
  <c r="P16" i="250"/>
  <c r="P16" i="326"/>
  <c r="S741" i="209"/>
  <c r="P16" i="125"/>
  <c r="P16" i="7"/>
  <c r="P16" i="248"/>
  <c r="R684" i="246"/>
  <c r="N17" i="79"/>
  <c r="P16" i="174"/>
  <c r="P16" i="58"/>
  <c r="S124" i="209"/>
  <c r="P16" i="18"/>
  <c r="M684" i="209"/>
  <c r="P16" i="10"/>
  <c r="S600" i="209"/>
  <c r="P15" i="166"/>
  <c r="P15" i="139"/>
  <c r="P15" i="202"/>
  <c r="K162" i="209"/>
  <c r="I144" i="209"/>
  <c r="P16" i="44"/>
  <c r="P16" i="291"/>
  <c r="P16" i="308"/>
  <c r="P16" i="4"/>
  <c r="P16" i="328"/>
  <c r="P15" i="165"/>
  <c r="N17" i="191"/>
  <c r="N17" i="72"/>
  <c r="L17" i="214"/>
  <c r="W33" i="214" s="1"/>
  <c r="P16" i="14"/>
  <c r="P16" i="247"/>
  <c r="P26" i="247"/>
  <c r="Q762" i="209"/>
  <c r="N17" i="39"/>
  <c r="L17" i="105"/>
  <c r="W33" i="105" s="1"/>
  <c r="P16" i="16"/>
  <c r="P16" i="327"/>
  <c r="D14" i="7"/>
  <c r="G44" i="231"/>
  <c r="R126" i="246" s="1"/>
  <c r="N26" i="328"/>
  <c r="F43" i="328" s="1"/>
  <c r="F47" i="328" s="1"/>
  <c r="N17" i="123"/>
  <c r="P16" i="11"/>
  <c r="F14" i="7"/>
  <c r="M749" i="209"/>
  <c r="P19" i="171"/>
  <c r="O17" i="95"/>
  <c r="G45" i="172"/>
  <c r="O17" i="104" s="1"/>
  <c r="D37" i="225"/>
  <c r="L9" i="356" s="1"/>
  <c r="W25" i="356" s="1"/>
  <c r="N16" i="91"/>
  <c r="R604" i="209"/>
  <c r="S604" i="209" s="1"/>
  <c r="H18" i="225"/>
  <c r="P11" i="11"/>
  <c r="E40" i="291"/>
  <c r="M12" i="290" s="1"/>
  <c r="M17" i="288"/>
  <c r="M17" i="289"/>
  <c r="M17" i="290"/>
  <c r="V11" i="292"/>
  <c r="G44" i="172"/>
  <c r="O16" i="170" s="1"/>
  <c r="D39" i="225"/>
  <c r="L11" i="345" s="1"/>
  <c r="W27" i="345" s="1"/>
  <c r="N17" i="91"/>
  <c r="P11" i="16"/>
  <c r="E39" i="291"/>
  <c r="M11" i="290" s="1"/>
  <c r="D40" i="223"/>
  <c r="I84" i="246" s="1"/>
  <c r="L738" i="246"/>
  <c r="L676" i="246"/>
  <c r="D18" i="228"/>
  <c r="D40" i="228" s="1"/>
  <c r="P11" i="125"/>
  <c r="P11" i="9"/>
  <c r="E37" i="291"/>
  <c r="M9" i="288" s="1"/>
  <c r="O16" i="324"/>
  <c r="O16" i="325"/>
  <c r="J722" i="209"/>
  <c r="O17" i="191"/>
  <c r="I770" i="209"/>
  <c r="O26" i="184"/>
  <c r="G43" i="184" s="1"/>
  <c r="G47" i="184" s="1"/>
  <c r="R187" i="246" s="1"/>
  <c r="P11" i="13"/>
  <c r="P11" i="7"/>
  <c r="E41" i="291"/>
  <c r="M13" i="288" s="1"/>
  <c r="P11" i="4"/>
  <c r="O17" i="325"/>
  <c r="O17" i="324"/>
  <c r="L162" i="246"/>
  <c r="D42" i="225"/>
  <c r="I290" i="209" s="1"/>
  <c r="P9" i="9"/>
  <c r="S19" i="209"/>
  <c r="E38" i="291"/>
  <c r="M10" i="288" s="1"/>
  <c r="M18" i="290"/>
  <c r="M18" i="289"/>
  <c r="M18" i="288"/>
  <c r="P11" i="15"/>
  <c r="N18" i="279"/>
  <c r="P9" i="10"/>
  <c r="P11" i="10"/>
  <c r="M757" i="246"/>
  <c r="M540" i="209"/>
  <c r="M16" i="290"/>
  <c r="W31" i="291"/>
  <c r="M16" i="289"/>
  <c r="M16" i="288"/>
  <c r="M802" i="246"/>
  <c r="G41" i="139"/>
  <c r="L207" i="246" s="1"/>
  <c r="G42" i="139"/>
  <c r="L269" i="246" s="1"/>
  <c r="L765" i="246"/>
  <c r="M765" i="246" s="1"/>
  <c r="G38" i="139"/>
  <c r="L21" i="246" s="1"/>
  <c r="G37" i="139"/>
  <c r="R207" i="246" s="1"/>
  <c r="G39" i="139"/>
  <c r="R21" i="246" s="1"/>
  <c r="G40" i="139"/>
  <c r="L83" i="246" s="1"/>
  <c r="M776" i="209"/>
  <c r="D38" i="223"/>
  <c r="I22" i="246" s="1"/>
  <c r="D42" i="223"/>
  <c r="I270" i="246" s="1"/>
  <c r="D39" i="223"/>
  <c r="O22" i="246" s="1"/>
  <c r="I766" i="246"/>
  <c r="D37" i="223"/>
  <c r="O208" i="246" s="1"/>
  <c r="D18" i="171"/>
  <c r="D40" i="171" s="1"/>
  <c r="L12" i="185" s="1"/>
  <c r="H38" i="58"/>
  <c r="M60" i="209" s="1"/>
  <c r="P14" i="308"/>
  <c r="K424" i="209"/>
  <c r="P15" i="308"/>
  <c r="P15" i="248"/>
  <c r="P15" i="18"/>
  <c r="P9" i="13"/>
  <c r="R304" i="209"/>
  <c r="P15" i="291"/>
  <c r="J777" i="246"/>
  <c r="D46" i="231"/>
  <c r="D44" i="231"/>
  <c r="O126" i="246" s="1"/>
  <c r="I746" i="246"/>
  <c r="M252" i="246"/>
  <c r="F39" i="223"/>
  <c r="Q22" i="246" s="1"/>
  <c r="O35" i="292"/>
  <c r="U35" i="292" s="1"/>
  <c r="F40" i="223"/>
  <c r="K84" i="246" s="1"/>
  <c r="E38" i="225"/>
  <c r="M10" i="345" s="1"/>
  <c r="E41" i="225"/>
  <c r="J230" i="209" s="1"/>
  <c r="O16" i="345"/>
  <c r="E42" i="225"/>
  <c r="J290" i="209" s="1"/>
  <c r="J770" i="209"/>
  <c r="O17" i="356"/>
  <c r="F40" i="212"/>
  <c r="K90" i="209" s="1"/>
  <c r="F39" i="212"/>
  <c r="Q30" i="209" s="1"/>
  <c r="F18" i="173"/>
  <c r="F38" i="173" s="1"/>
  <c r="P15" i="44"/>
  <c r="P15" i="250"/>
  <c r="P15" i="58"/>
  <c r="H47" i="229"/>
  <c r="P19" i="58" s="1"/>
  <c r="P15" i="327"/>
  <c r="P15" i="330"/>
  <c r="P15" i="174"/>
  <c r="F42" i="212"/>
  <c r="K270" i="209" s="1"/>
  <c r="F41" i="212"/>
  <c r="K210" i="209" s="1"/>
  <c r="O20" i="292"/>
  <c r="U20" i="292" s="1"/>
  <c r="F37" i="212"/>
  <c r="Q210" i="209" s="1"/>
  <c r="F38" i="212"/>
  <c r="K30" i="209" s="1"/>
  <c r="P26" i="186"/>
  <c r="L26" i="184"/>
  <c r="D43" i="184" s="1"/>
  <c r="D47" i="184" s="1"/>
  <c r="O187" i="246" s="1"/>
  <c r="N17" i="290"/>
  <c r="N17" i="289"/>
  <c r="L17" i="295"/>
  <c r="H43" i="58"/>
  <c r="L17" i="360"/>
  <c r="W33" i="360" s="1"/>
  <c r="O26" i="173"/>
  <c r="G43" i="173" s="1"/>
  <c r="O15" i="355" s="1"/>
  <c r="N26" i="184"/>
  <c r="F43" i="184" s="1"/>
  <c r="F47" i="184" s="1"/>
  <c r="Q187" i="246" s="1"/>
  <c r="E46" i="173"/>
  <c r="M18" i="166" s="1"/>
  <c r="G11" i="174"/>
  <c r="G45" i="174" s="1"/>
  <c r="E45" i="173"/>
  <c r="M17" i="344" s="1"/>
  <c r="R744" i="209"/>
  <c r="L17" i="296"/>
  <c r="L16" i="360"/>
  <c r="W32" i="360" s="1"/>
  <c r="L16" i="333"/>
  <c r="M773" i="209"/>
  <c r="L16" i="295"/>
  <c r="J32" i="30"/>
  <c r="D15" i="13"/>
  <c r="K484" i="209"/>
  <c r="J13" i="292"/>
  <c r="L16" i="10"/>
  <c r="W32" i="10" s="1"/>
  <c r="L16" i="13"/>
  <c r="W32" i="13" s="1"/>
  <c r="Q544" i="209"/>
  <c r="Q424" i="209"/>
  <c r="L16" i="4"/>
  <c r="W32" i="4" s="1"/>
  <c r="O79" i="209"/>
  <c r="L16" i="125"/>
  <c r="W32" i="125" s="1"/>
  <c r="L16" i="9"/>
  <c r="W32" i="9" s="1"/>
  <c r="S452" i="209"/>
  <c r="S661" i="209"/>
  <c r="P12" i="327"/>
  <c r="L18" i="13"/>
  <c r="L18" i="11"/>
  <c r="O15" i="296"/>
  <c r="G47" i="361"/>
  <c r="O19" i="360" s="1"/>
  <c r="P19" i="172"/>
  <c r="L16" i="284"/>
  <c r="W32" i="284" s="1"/>
  <c r="S624" i="246"/>
  <c r="N20" i="309"/>
  <c r="M500" i="246"/>
  <c r="O20" i="327"/>
  <c r="O17" i="345"/>
  <c r="P14" i="328"/>
  <c r="E41" i="212"/>
  <c r="J210" i="209" s="1"/>
  <c r="E42" i="212"/>
  <c r="J270" i="209" s="1"/>
  <c r="S332" i="209"/>
  <c r="G45" i="231"/>
  <c r="L188" i="246" s="1"/>
  <c r="E44" i="228"/>
  <c r="M16" i="225" s="1"/>
  <c r="W31" i="225" s="1"/>
  <c r="E40" i="104"/>
  <c r="M12" i="176" s="1"/>
  <c r="D43" i="185"/>
  <c r="L15" i="192" s="1"/>
  <c r="W31" i="192" s="1"/>
  <c r="L18" i="9"/>
  <c r="P9" i="16"/>
  <c r="L746" i="246"/>
  <c r="E46" i="228"/>
  <c r="M18" i="225" s="1"/>
  <c r="E41" i="104"/>
  <c r="M13" i="359" s="1"/>
  <c r="R100" i="246"/>
  <c r="P26" i="361"/>
  <c r="L18" i="10"/>
  <c r="P9" i="4"/>
  <c r="L18" i="14"/>
  <c r="M600" i="209"/>
  <c r="E45" i="228"/>
  <c r="J182" i="209" s="1"/>
  <c r="E42" i="104"/>
  <c r="M14" i="118" s="1"/>
  <c r="O16" i="279"/>
  <c r="F40" i="361"/>
  <c r="N12" i="296" s="1"/>
  <c r="S199" i="209"/>
  <c r="P9" i="15"/>
  <c r="L18" i="6"/>
  <c r="J662" i="209"/>
  <c r="E39" i="104"/>
  <c r="M11" i="101" s="1"/>
  <c r="O16" i="95"/>
  <c r="F42" i="361"/>
  <c r="N14" i="360" s="1"/>
  <c r="L18" i="15"/>
  <c r="P9" i="11"/>
  <c r="P9" i="125"/>
  <c r="L18" i="16"/>
  <c r="G46" i="231"/>
  <c r="F37" i="361"/>
  <c r="N9" i="333" s="1"/>
  <c r="E18" i="84"/>
  <c r="J806" i="246" s="1"/>
  <c r="L18" i="7"/>
  <c r="P9" i="7"/>
  <c r="P9" i="14"/>
  <c r="O26" i="327"/>
  <c r="G43" i="327" s="1"/>
  <c r="G47" i="327" s="1"/>
  <c r="R152" i="209" s="1"/>
  <c r="P26" i="185"/>
  <c r="L18" i="125"/>
  <c r="D532" i="209"/>
  <c r="U472" i="209"/>
  <c r="K683" i="246"/>
  <c r="D11" i="175"/>
  <c r="D46" i="175" s="1"/>
  <c r="L18" i="212" s="1"/>
  <c r="O18" i="190"/>
  <c r="F45" i="184"/>
  <c r="K187" i="246" s="1"/>
  <c r="V21" i="49"/>
  <c r="F44" i="184"/>
  <c r="Q125" i="246" s="1"/>
  <c r="X47" i="30"/>
  <c r="N15" i="289"/>
  <c r="F47" i="291"/>
  <c r="N15" i="290"/>
  <c r="N15" i="288"/>
  <c r="D46" i="173"/>
  <c r="L18" i="344" s="1"/>
  <c r="F40" i="185"/>
  <c r="N12" i="284" s="1"/>
  <c r="M33" i="292"/>
  <c r="S33" i="292" s="1"/>
  <c r="T33" i="292" s="1"/>
  <c r="V15" i="100"/>
  <c r="V13" i="100"/>
  <c r="V18" i="100"/>
  <c r="V16" i="100"/>
  <c r="V11" i="100"/>
  <c r="V12" i="100"/>
  <c r="V17" i="100"/>
  <c r="V14" i="100"/>
  <c r="J35" i="100"/>
  <c r="J37" i="100" s="1"/>
  <c r="D44" i="173"/>
  <c r="L16" i="216" s="1"/>
  <c r="W32" i="216" s="1"/>
  <c r="G39" i="95"/>
  <c r="R36" i="246" s="1"/>
  <c r="G18" i="186"/>
  <c r="H18" i="186" s="1"/>
  <c r="L780" i="246"/>
  <c r="M780" i="246" s="1"/>
  <c r="G41" i="95"/>
  <c r="L222" i="246" s="1"/>
  <c r="G37" i="95"/>
  <c r="R222" i="246" s="1"/>
  <c r="G40" i="95"/>
  <c r="L98" i="246" s="1"/>
  <c r="G38" i="95"/>
  <c r="L36" i="246" s="1"/>
  <c r="G42" i="95"/>
  <c r="L284" i="246" s="1"/>
  <c r="F46" i="184"/>
  <c r="L16" i="6"/>
  <c r="W32" i="6" s="1"/>
  <c r="L16" i="7"/>
  <c r="W32" i="7" s="1"/>
  <c r="P14" i="326"/>
  <c r="P14" i="330"/>
  <c r="P12" i="330"/>
  <c r="P12" i="58"/>
  <c r="P12" i="174"/>
  <c r="P14" i="18"/>
  <c r="P12" i="326"/>
  <c r="P12" i="291"/>
  <c r="M124" i="209"/>
  <c r="P12" i="250"/>
  <c r="P14" i="250"/>
  <c r="P14" i="174"/>
  <c r="P14" i="248"/>
  <c r="P14" i="58"/>
  <c r="P14" i="327"/>
  <c r="M304" i="209"/>
  <c r="P12" i="248"/>
  <c r="P12" i="44"/>
  <c r="P12" i="247"/>
  <c r="M20" i="248"/>
  <c r="I364" i="209"/>
  <c r="I424" i="209"/>
  <c r="M20" i="330"/>
  <c r="M20" i="174"/>
  <c r="P13" i="248"/>
  <c r="P13" i="330"/>
  <c r="P13" i="250"/>
  <c r="P13" i="326"/>
  <c r="P13" i="308"/>
  <c r="P13" i="44"/>
  <c r="M244" i="209"/>
  <c r="P13" i="58"/>
  <c r="P604" i="209"/>
  <c r="AA24" i="292"/>
  <c r="J484" i="209"/>
  <c r="J41" i="292"/>
  <c r="H24" i="229"/>
  <c r="M364" i="209" s="1"/>
  <c r="O544" i="209"/>
  <c r="M624" i="246"/>
  <c r="O18" i="284"/>
  <c r="P13" i="231"/>
  <c r="O18" i="192"/>
  <c r="E39" i="225"/>
  <c r="M11" i="345" s="1"/>
  <c r="E40" i="225"/>
  <c r="J110" i="209" s="1"/>
  <c r="G44" i="171"/>
  <c r="O16" i="103" s="1"/>
  <c r="M16" i="345"/>
  <c r="O26" i="172"/>
  <c r="G43" i="172" s="1"/>
  <c r="O15" i="170" s="1"/>
  <c r="M18" i="345"/>
  <c r="E39" i="212"/>
  <c r="P30" i="209" s="1"/>
  <c r="P13" i="172"/>
  <c r="P13" i="229"/>
  <c r="L16" i="190"/>
  <c r="W32" i="190" s="1"/>
  <c r="R777" i="209"/>
  <c r="O74" i="294"/>
  <c r="N74" i="294"/>
  <c r="P74" i="294"/>
  <c r="L644" i="246"/>
  <c r="M16" i="356"/>
  <c r="P13" i="84"/>
  <c r="L16" i="156"/>
  <c r="W32" i="156" s="1"/>
  <c r="O26" i="309"/>
  <c r="G43" i="309" s="1"/>
  <c r="G43" i="308"/>
  <c r="G45" i="171"/>
  <c r="O17" i="185" s="1"/>
  <c r="M736" i="246"/>
  <c r="E38" i="212"/>
  <c r="J30" i="209" s="1"/>
  <c r="P13" i="171"/>
  <c r="L16" i="192"/>
  <c r="W32" i="192" s="1"/>
  <c r="Q750" i="209"/>
  <c r="F43" i="212"/>
  <c r="F47" i="212" s="1"/>
  <c r="Q150" i="209" s="1"/>
  <c r="I74" i="294"/>
  <c r="K74" i="294"/>
  <c r="J74" i="294"/>
  <c r="D37" i="361"/>
  <c r="D38" i="361"/>
  <c r="D40" i="361"/>
  <c r="D39" i="361"/>
  <c r="D41" i="361"/>
  <c r="D42" i="361"/>
  <c r="G14" i="175"/>
  <c r="E40" i="212"/>
  <c r="J90" i="209" s="1"/>
  <c r="P13" i="361"/>
  <c r="L17" i="284"/>
  <c r="W33" i="284" s="1"/>
  <c r="S540" i="209"/>
  <c r="S20" i="292"/>
  <c r="T20" i="292" s="1"/>
  <c r="V20" i="292"/>
  <c r="M26" i="309"/>
  <c r="E43" i="309" s="1"/>
  <c r="E43" i="308"/>
  <c r="R644" i="246"/>
  <c r="L706" i="246"/>
  <c r="M706" i="246" s="1"/>
  <c r="J750" i="209"/>
  <c r="P13" i="309"/>
  <c r="O20" i="84"/>
  <c r="S773" i="209"/>
  <c r="E18" i="228"/>
  <c r="E37" i="228" s="1"/>
  <c r="P13" i="175"/>
  <c r="O20" i="229"/>
  <c r="O20" i="231"/>
  <c r="O20" i="361"/>
  <c r="O20" i="174"/>
  <c r="O20" i="18"/>
  <c r="G44" i="173"/>
  <c r="H46" i="229"/>
  <c r="P18" i="308" s="1"/>
  <c r="O20" i="228"/>
  <c r="O20" i="58"/>
  <c r="H31" i="229"/>
  <c r="H45" i="229" s="1"/>
  <c r="P17" i="250" s="1"/>
  <c r="N26" i="84"/>
  <c r="F43" i="84" s="1"/>
  <c r="F47" i="84" s="1"/>
  <c r="Q186" i="246" s="1"/>
  <c r="O20" i="44"/>
  <c r="O20" i="250"/>
  <c r="P10" i="7"/>
  <c r="P10" i="4"/>
  <c r="V402" i="209"/>
  <c r="C462" i="209"/>
  <c r="O20" i="248"/>
  <c r="O20" i="330"/>
  <c r="P10" i="15"/>
  <c r="S734" i="209"/>
  <c r="M19" i="209"/>
  <c r="P10" i="14"/>
  <c r="P10" i="16"/>
  <c r="P10" i="6"/>
  <c r="N19" i="313"/>
  <c r="O20" i="328"/>
  <c r="P10" i="9"/>
  <c r="O20" i="326"/>
  <c r="P10" i="11"/>
  <c r="O20" i="291"/>
  <c r="P10" i="125"/>
  <c r="P10" i="13"/>
  <c r="M20" i="327"/>
  <c r="M20" i="247"/>
  <c r="M20" i="250"/>
  <c r="S664" i="209"/>
  <c r="H38" i="327"/>
  <c r="M32" i="209" s="1"/>
  <c r="M332" i="209"/>
  <c r="H47" i="330"/>
  <c r="H43" i="330"/>
  <c r="P13" i="18"/>
  <c r="P13" i="247"/>
  <c r="P13" i="291"/>
  <c r="P13" i="328"/>
  <c r="M20" i="326"/>
  <c r="M20" i="18"/>
  <c r="M20" i="328"/>
  <c r="M20" i="291"/>
  <c r="P13" i="327"/>
  <c r="P13" i="174"/>
  <c r="M20" i="44"/>
  <c r="M20" i="58"/>
  <c r="G43" i="18"/>
  <c r="O20" i="309"/>
  <c r="O20" i="175"/>
  <c r="O20" i="171"/>
  <c r="O20" i="172"/>
  <c r="K39" i="292"/>
  <c r="P19" i="84"/>
  <c r="P19" i="361"/>
  <c r="L20" i="309"/>
  <c r="S190" i="246"/>
  <c r="H43" i="174"/>
  <c r="P15" i="171" s="1"/>
  <c r="P19" i="175"/>
  <c r="P19" i="184"/>
  <c r="P19" i="309"/>
  <c r="P19" i="231"/>
  <c r="L20" i="231"/>
  <c r="N18" i="95"/>
  <c r="L20" i="84"/>
  <c r="L20" i="172"/>
  <c r="N17" i="279"/>
  <c r="K162" i="246"/>
  <c r="M15" i="191"/>
  <c r="E47" i="186"/>
  <c r="M15" i="95"/>
  <c r="L18" i="156"/>
  <c r="F42" i="185"/>
  <c r="N14" i="190" s="1"/>
  <c r="K759" i="246"/>
  <c r="I139" i="246"/>
  <c r="F18" i="171"/>
  <c r="K768" i="246" s="1"/>
  <c r="F38" i="185"/>
  <c r="N10" i="284" s="1"/>
  <c r="F37" i="185"/>
  <c r="N9" i="156" s="1"/>
  <c r="L18" i="192"/>
  <c r="L17" i="192"/>
  <c r="W33" i="192" s="1"/>
  <c r="O16" i="192"/>
  <c r="O30" i="292"/>
  <c r="U30" i="292" s="1"/>
  <c r="F41" i="185"/>
  <c r="N13" i="190" s="1"/>
  <c r="L139" i="246"/>
  <c r="L18" i="190"/>
  <c r="L17" i="156"/>
  <c r="W33" i="156" s="1"/>
  <c r="F39" i="185"/>
  <c r="N11" i="192" s="1"/>
  <c r="S180" i="246"/>
  <c r="L20" i="175"/>
  <c r="L20" i="184"/>
  <c r="L20" i="361"/>
  <c r="L20" i="171"/>
  <c r="S562" i="246"/>
  <c r="P26" i="104"/>
  <c r="N20" i="229"/>
  <c r="N20" i="172"/>
  <c r="P19" i="186"/>
  <c r="O16" i="356"/>
  <c r="M710" i="209"/>
  <c r="G46" i="173"/>
  <c r="G11" i="175"/>
  <c r="G44" i="175" s="1"/>
  <c r="O16" i="212" s="1"/>
  <c r="L26" i="173"/>
  <c r="O117" i="209"/>
  <c r="L16" i="347"/>
  <c r="W32" i="347" s="1"/>
  <c r="L16" i="220"/>
  <c r="W32" i="220" s="1"/>
  <c r="L16" i="221"/>
  <c r="W32" i="221" s="1"/>
  <c r="O18" i="213"/>
  <c r="O18" i="105"/>
  <c r="O18" i="214"/>
  <c r="G41" i="361"/>
  <c r="G42" i="361"/>
  <c r="H18" i="361"/>
  <c r="G38" i="361"/>
  <c r="G39" i="361"/>
  <c r="G40" i="361"/>
  <c r="G37" i="361"/>
  <c r="N16" i="324"/>
  <c r="N16" i="325"/>
  <c r="Q84" i="209"/>
  <c r="N16" i="213"/>
  <c r="N16" i="105"/>
  <c r="N16" i="214"/>
  <c r="L18" i="289"/>
  <c r="L18" i="288"/>
  <c r="L18" i="290"/>
  <c r="P15" i="11"/>
  <c r="P15" i="4"/>
  <c r="P15" i="15"/>
  <c r="P15" i="10"/>
  <c r="P15" i="14"/>
  <c r="P15" i="13"/>
  <c r="P15" i="6"/>
  <c r="P15" i="125"/>
  <c r="P15" i="9"/>
  <c r="P15" i="16"/>
  <c r="P15" i="7"/>
  <c r="G46" i="170"/>
  <c r="O18" i="188" s="1"/>
  <c r="O16" i="190"/>
  <c r="Q777" i="209"/>
  <c r="F43" i="248"/>
  <c r="N15" i="364" s="1"/>
  <c r="G39" i="248"/>
  <c r="O11" i="364" s="1"/>
  <c r="G42" i="248"/>
  <c r="O14" i="364" s="1"/>
  <c r="L777" i="209"/>
  <c r="G41" i="248"/>
  <c r="O13" i="364" s="1"/>
  <c r="G37" i="248"/>
  <c r="O9" i="364" s="1"/>
  <c r="G40" i="248"/>
  <c r="O12" i="364" s="1"/>
  <c r="G38" i="248"/>
  <c r="O10" i="364" s="1"/>
  <c r="S758" i="209"/>
  <c r="J162" i="246"/>
  <c r="M17" i="279"/>
  <c r="M17" i="95"/>
  <c r="M17" i="191"/>
  <c r="M16" i="105"/>
  <c r="M16" i="213"/>
  <c r="M16" i="214"/>
  <c r="P84" i="209"/>
  <c r="S12" i="292"/>
  <c r="T12" i="292" s="1"/>
  <c r="V12" i="292"/>
  <c r="M18" i="296"/>
  <c r="M18" i="333"/>
  <c r="M18" i="360"/>
  <c r="M18" i="295"/>
  <c r="K144" i="209"/>
  <c r="N17" i="214"/>
  <c r="N17" i="213"/>
  <c r="N17" i="105"/>
  <c r="O16" i="213"/>
  <c r="O16" i="214"/>
  <c r="O16" i="105"/>
  <c r="R84" i="209"/>
  <c r="L15" i="279"/>
  <c r="W31" i="279" s="1"/>
  <c r="L15" i="191"/>
  <c r="W31" i="191" s="1"/>
  <c r="D47" i="186"/>
  <c r="L15" i="95"/>
  <c r="W31" i="95" s="1"/>
  <c r="V16" i="292"/>
  <c r="S16" i="292"/>
  <c r="T16" i="292" s="1"/>
  <c r="K744" i="209"/>
  <c r="F38" i="247"/>
  <c r="F40" i="247"/>
  <c r="F39" i="247"/>
  <c r="F42" i="247"/>
  <c r="F37" i="247"/>
  <c r="F41" i="247"/>
  <c r="O15" i="292"/>
  <c r="O17" i="16"/>
  <c r="L139" i="209"/>
  <c r="O17" i="6"/>
  <c r="O17" i="7"/>
  <c r="O17" i="15"/>
  <c r="O17" i="13"/>
  <c r="O17" i="10"/>
  <c r="O17" i="9"/>
  <c r="O17" i="125"/>
  <c r="O17" i="14"/>
  <c r="O17" i="11"/>
  <c r="O17" i="4"/>
  <c r="P19" i="4"/>
  <c r="P19" i="10"/>
  <c r="P19" i="7"/>
  <c r="P19" i="13"/>
  <c r="P19" i="6"/>
  <c r="P19" i="9"/>
  <c r="S139" i="209"/>
  <c r="P19" i="11"/>
  <c r="P19" i="14"/>
  <c r="P19" i="16"/>
  <c r="P19" i="125"/>
  <c r="P19" i="15"/>
  <c r="D39" i="248"/>
  <c r="L11" i="364" s="1"/>
  <c r="W27" i="364" s="1"/>
  <c r="D38" i="248"/>
  <c r="L10" i="364" s="1"/>
  <c r="W26" i="364" s="1"/>
  <c r="D41" i="248"/>
  <c r="L13" i="364" s="1"/>
  <c r="W29" i="364" s="1"/>
  <c r="I777" i="209"/>
  <c r="D42" i="248"/>
  <c r="L14" i="364" s="1"/>
  <c r="W30" i="364" s="1"/>
  <c r="D40" i="248"/>
  <c r="L12" i="364" s="1"/>
  <c r="W28" i="364" s="1"/>
  <c r="D37" i="248"/>
  <c r="L9" i="364" s="1"/>
  <c r="W25" i="364" s="1"/>
  <c r="H18" i="248"/>
  <c r="F38" i="326"/>
  <c r="F41" i="326"/>
  <c r="O12" i="292"/>
  <c r="F39" i="326"/>
  <c r="F42" i="326"/>
  <c r="F37" i="326"/>
  <c r="F40" i="326"/>
  <c r="E42" i="248"/>
  <c r="M14" i="364" s="1"/>
  <c r="J777" i="209"/>
  <c r="E38" i="248"/>
  <c r="M10" i="364" s="1"/>
  <c r="E41" i="248"/>
  <c r="M13" i="364" s="1"/>
  <c r="E39" i="248"/>
  <c r="M11" i="364" s="1"/>
  <c r="E37" i="248"/>
  <c r="M9" i="364" s="1"/>
  <c r="E40" i="248"/>
  <c r="M12" i="364" s="1"/>
  <c r="G45" i="170"/>
  <c r="O17" i="141" s="1"/>
  <c r="R77" i="246"/>
  <c r="J744" i="209"/>
  <c r="E41" i="247"/>
  <c r="E40" i="247"/>
  <c r="E38" i="247"/>
  <c r="E39" i="247"/>
  <c r="E37" i="247"/>
  <c r="E42" i="247"/>
  <c r="N15" i="325"/>
  <c r="N15" i="324"/>
  <c r="F47" i="326"/>
  <c r="N17" i="325"/>
  <c r="N17" i="324"/>
  <c r="M16" i="296"/>
  <c r="W32" i="296" s="1"/>
  <c r="M16" i="333"/>
  <c r="W30" i="333" s="1"/>
  <c r="M16" i="295"/>
  <c r="W32" i="295" s="1"/>
  <c r="M16" i="360"/>
  <c r="N18" i="221"/>
  <c r="N18" i="347"/>
  <c r="N18" i="220"/>
  <c r="O16" i="290"/>
  <c r="O16" i="289"/>
  <c r="O16" i="288"/>
  <c r="O173" i="209"/>
  <c r="P744" i="209"/>
  <c r="E43" i="247"/>
  <c r="G44" i="328"/>
  <c r="G46" i="328"/>
  <c r="G45" i="328"/>
  <c r="D40" i="186"/>
  <c r="D37" i="186"/>
  <c r="D39" i="186"/>
  <c r="D42" i="186"/>
  <c r="I782" i="246"/>
  <c r="D41" i="186"/>
  <c r="D38" i="186"/>
  <c r="I75" i="294"/>
  <c r="L18" i="95"/>
  <c r="L18" i="191"/>
  <c r="L18" i="279"/>
  <c r="E42" i="186"/>
  <c r="J782" i="246"/>
  <c r="E37" i="186"/>
  <c r="E40" i="186"/>
  <c r="E39" i="186"/>
  <c r="E38" i="186"/>
  <c r="E41" i="186"/>
  <c r="S769" i="209"/>
  <c r="M18" i="191"/>
  <c r="M18" i="95"/>
  <c r="M18" i="279"/>
  <c r="O777" i="209"/>
  <c r="D43" i="248"/>
  <c r="L15" i="364" s="1"/>
  <c r="W31" i="364" s="1"/>
  <c r="G44" i="170"/>
  <c r="O16" i="219" s="1"/>
  <c r="G37" i="291"/>
  <c r="G38" i="291"/>
  <c r="G42" i="291"/>
  <c r="G41" i="291"/>
  <c r="G39" i="291"/>
  <c r="G40" i="291"/>
  <c r="J661" i="209"/>
  <c r="E44" i="250"/>
  <c r="P121" i="209" s="1"/>
  <c r="E45" i="250"/>
  <c r="J181" i="209" s="1"/>
  <c r="J721" i="209"/>
  <c r="P661" i="209"/>
  <c r="E46" i="250"/>
  <c r="N18" i="324"/>
  <c r="N18" i="325"/>
  <c r="P750" i="209"/>
  <c r="E43" i="212"/>
  <c r="E47" i="212" s="1"/>
  <c r="P150" i="209" s="1"/>
  <c r="M17" i="360"/>
  <c r="M17" i="333"/>
  <c r="W31" i="333" s="1"/>
  <c r="M17" i="296"/>
  <c r="W33" i="296" s="1"/>
  <c r="M17" i="295"/>
  <c r="W33" i="295" s="1"/>
  <c r="N18" i="213"/>
  <c r="N18" i="105"/>
  <c r="N18" i="214"/>
  <c r="E41" i="361"/>
  <c r="E38" i="361"/>
  <c r="E40" i="361"/>
  <c r="E42" i="361"/>
  <c r="E37" i="361"/>
  <c r="E39" i="361"/>
  <c r="N16" i="220"/>
  <c r="N16" i="221"/>
  <c r="N16" i="347"/>
  <c r="Q117" i="209"/>
  <c r="O17" i="288"/>
  <c r="O17" i="290"/>
  <c r="O17" i="289"/>
  <c r="O18" i="7"/>
  <c r="O18" i="125"/>
  <c r="O18" i="13"/>
  <c r="O18" i="15"/>
  <c r="O18" i="11"/>
  <c r="O18" i="16"/>
  <c r="O18" i="6"/>
  <c r="O18" i="9"/>
  <c r="O18" i="10"/>
  <c r="O18" i="4"/>
  <c r="O18" i="14"/>
  <c r="M16" i="347"/>
  <c r="P117" i="209"/>
  <c r="M16" i="220"/>
  <c r="M16" i="221"/>
  <c r="O16" i="292"/>
  <c r="F41" i="248"/>
  <c r="N13" i="364" s="1"/>
  <c r="F38" i="248"/>
  <c r="N10" i="364" s="1"/>
  <c r="F37" i="248"/>
  <c r="N9" i="364" s="1"/>
  <c r="K777" i="209"/>
  <c r="F42" i="248"/>
  <c r="N14" i="364" s="1"/>
  <c r="F40" i="248"/>
  <c r="N12" i="364" s="1"/>
  <c r="F39" i="248"/>
  <c r="N11" i="364" s="1"/>
  <c r="L17" i="191"/>
  <c r="W33" i="191" s="1"/>
  <c r="L17" i="95"/>
  <c r="W33" i="95" s="1"/>
  <c r="L17" i="279"/>
  <c r="W33" i="279" s="1"/>
  <c r="I162" i="246"/>
  <c r="M562" i="246"/>
  <c r="L18" i="221"/>
  <c r="L18" i="347"/>
  <c r="L18" i="220"/>
  <c r="M17" i="213"/>
  <c r="M17" i="214"/>
  <c r="J144" i="209"/>
  <c r="M17" i="105"/>
  <c r="F43" i="247"/>
  <c r="Q744" i="209"/>
  <c r="K177" i="209"/>
  <c r="N17" i="347"/>
  <c r="N17" i="221"/>
  <c r="N17" i="220"/>
  <c r="O18" i="290"/>
  <c r="O18" i="289"/>
  <c r="O18" i="288"/>
  <c r="M756" i="209"/>
  <c r="L16" i="95"/>
  <c r="W32" i="95" s="1"/>
  <c r="L16" i="279"/>
  <c r="W32" i="279" s="1"/>
  <c r="L16" i="191"/>
  <c r="W32" i="191" s="1"/>
  <c r="O100" i="246"/>
  <c r="O16" i="14"/>
  <c r="O16" i="6"/>
  <c r="O16" i="9"/>
  <c r="O16" i="4"/>
  <c r="O16" i="16"/>
  <c r="R79" i="209"/>
  <c r="O16" i="11"/>
  <c r="O16" i="7"/>
  <c r="O16" i="13"/>
  <c r="O16" i="10"/>
  <c r="O16" i="125"/>
  <c r="O16" i="15"/>
  <c r="M741" i="209"/>
  <c r="L17" i="289"/>
  <c r="W33" i="289" s="1"/>
  <c r="L17" i="288"/>
  <c r="W33" i="288" s="1"/>
  <c r="L17" i="290"/>
  <c r="W33" i="290" s="1"/>
  <c r="M18" i="220"/>
  <c r="M18" i="347"/>
  <c r="M18" i="221"/>
  <c r="K133" i="246"/>
  <c r="P26" i="248"/>
  <c r="L17" i="220"/>
  <c r="W33" i="220" s="1"/>
  <c r="L17" i="221"/>
  <c r="W33" i="221" s="1"/>
  <c r="I177" i="209"/>
  <c r="L17" i="347"/>
  <c r="W33" i="347" s="1"/>
  <c r="E43" i="248"/>
  <c r="M15" i="364" s="1"/>
  <c r="P777" i="209"/>
  <c r="M18" i="105"/>
  <c r="M18" i="213"/>
  <c r="M18" i="214"/>
  <c r="V15" i="292"/>
  <c r="S15" i="292"/>
  <c r="T15" i="292" s="1"/>
  <c r="M15" i="295"/>
  <c r="E47" i="361"/>
  <c r="M15" i="333"/>
  <c r="W29" i="333" s="1"/>
  <c r="M15" i="296"/>
  <c r="M15" i="360"/>
  <c r="D37" i="291"/>
  <c r="D41" i="291"/>
  <c r="D40" i="291"/>
  <c r="D39" i="291"/>
  <c r="D38" i="291"/>
  <c r="H18" i="291"/>
  <c r="D42" i="291"/>
  <c r="S756" i="209"/>
  <c r="O16" i="284"/>
  <c r="O15" i="289"/>
  <c r="O15" i="290"/>
  <c r="O15" i="288"/>
  <c r="G47" i="291"/>
  <c r="M16" i="279"/>
  <c r="M16" i="191"/>
  <c r="M16" i="95"/>
  <c r="P100" i="246"/>
  <c r="P26" i="291"/>
  <c r="D43" i="291"/>
  <c r="I759" i="246"/>
  <c r="D39" i="185"/>
  <c r="D40" i="185"/>
  <c r="D41" i="185"/>
  <c r="D42" i="185"/>
  <c r="D38" i="185"/>
  <c r="D37" i="185"/>
  <c r="L144" i="209"/>
  <c r="O17" i="105"/>
  <c r="O17" i="214"/>
  <c r="O17" i="213"/>
  <c r="L16" i="289"/>
  <c r="W32" i="289" s="1"/>
  <c r="L16" i="290"/>
  <c r="W32" i="290" s="1"/>
  <c r="L16" i="288"/>
  <c r="W32" i="288" s="1"/>
  <c r="S730" i="209"/>
  <c r="S732" i="209"/>
  <c r="M17" i="220"/>
  <c r="J177" i="209"/>
  <c r="M17" i="221"/>
  <c r="M17" i="347"/>
  <c r="D43" i="309"/>
  <c r="V20" i="49"/>
  <c r="V13" i="49"/>
  <c r="F18" i="125"/>
  <c r="G15" i="125"/>
  <c r="G18" i="125" s="1"/>
  <c r="M14" i="290"/>
  <c r="M14" i="288"/>
  <c r="M14" i="289"/>
  <c r="V11" i="124"/>
  <c r="J28" i="124"/>
  <c r="J30" i="124" s="1"/>
  <c r="V12" i="124"/>
  <c r="V16" i="124"/>
  <c r="V18" i="49"/>
  <c r="L774" i="246"/>
  <c r="M774" i="246" s="1"/>
  <c r="G42" i="118"/>
  <c r="L278" i="246" s="1"/>
  <c r="G38" i="118"/>
  <c r="L30" i="246" s="1"/>
  <c r="G37" i="118"/>
  <c r="R216" i="246" s="1"/>
  <c r="G41" i="118"/>
  <c r="L216" i="246" s="1"/>
  <c r="H18" i="118"/>
  <c r="G40" i="118"/>
  <c r="L92" i="246" s="1"/>
  <c r="G39" i="118"/>
  <c r="R30" i="246" s="1"/>
  <c r="D40" i="154"/>
  <c r="I98" i="209" s="1"/>
  <c r="D42" i="154"/>
  <c r="I278" i="209" s="1"/>
  <c r="D41" i="154"/>
  <c r="I218" i="209" s="1"/>
  <c r="D38" i="154"/>
  <c r="I38" i="209" s="1"/>
  <c r="D39" i="154"/>
  <c r="O38" i="209" s="1"/>
  <c r="D37" i="154"/>
  <c r="O218" i="209" s="1"/>
  <c r="I758" i="209"/>
  <c r="V16" i="49"/>
  <c r="V15" i="49"/>
  <c r="N20" i="84"/>
  <c r="N9" i="290"/>
  <c r="N9" i="288"/>
  <c r="N9" i="289"/>
  <c r="V12" i="49"/>
  <c r="N20" i="231"/>
  <c r="N20" i="171"/>
  <c r="O15" i="347"/>
  <c r="G47" i="248"/>
  <c r="O19" i="364" s="1"/>
  <c r="O15" i="221"/>
  <c r="O15" i="220"/>
  <c r="J36" i="49"/>
  <c r="J39" i="49" s="1"/>
  <c r="X11" i="49" s="1"/>
  <c r="V14" i="49"/>
  <c r="N20" i="184"/>
  <c r="N20" i="361"/>
  <c r="X11" i="340"/>
  <c r="J37" i="340"/>
  <c r="X12" i="340"/>
  <c r="M15" i="241"/>
  <c r="M19" i="241"/>
  <c r="E15" i="123"/>
  <c r="E15" i="44" s="1"/>
  <c r="D18" i="123"/>
  <c r="V19" i="49"/>
  <c r="S776" i="209"/>
  <c r="F15" i="154"/>
  <c r="E18" i="154"/>
  <c r="L15" i="307"/>
  <c r="W31" i="307" s="1"/>
  <c r="D47" i="308"/>
  <c r="E39" i="125"/>
  <c r="P13" i="209" s="1"/>
  <c r="J733" i="209"/>
  <c r="E38" i="125"/>
  <c r="J13" i="209" s="1"/>
  <c r="E42" i="125"/>
  <c r="J253" i="209" s="1"/>
  <c r="E41" i="125"/>
  <c r="J193" i="209" s="1"/>
  <c r="E40" i="125"/>
  <c r="J73" i="209" s="1"/>
  <c r="E37" i="125"/>
  <c r="P193" i="209" s="1"/>
  <c r="K684" i="246"/>
  <c r="P19" i="170"/>
  <c r="P19" i="226"/>
  <c r="P19" i="225"/>
  <c r="M17" i="356"/>
  <c r="M17" i="345"/>
  <c r="L19" i="324"/>
  <c r="W32" i="324" s="1"/>
  <c r="L19" i="325"/>
  <c r="W32" i="325" s="1"/>
  <c r="M13" i="324"/>
  <c r="M13" i="325"/>
  <c r="O9" i="324"/>
  <c r="O9" i="325"/>
  <c r="L10" i="324"/>
  <c r="W26" i="324" s="1"/>
  <c r="L10" i="325"/>
  <c r="W26" i="325" s="1"/>
  <c r="M757" i="209"/>
  <c r="M26" i="330"/>
  <c r="E43" i="330" s="1"/>
  <c r="E47" i="330" s="1"/>
  <c r="L15" i="295"/>
  <c r="L15" i="333"/>
  <c r="L15" i="360"/>
  <c r="W31" i="360" s="1"/>
  <c r="L15" i="296"/>
  <c r="D47" i="361"/>
  <c r="P18" i="361"/>
  <c r="F47" i="308"/>
  <c r="N15" i="307"/>
  <c r="F47" i="309"/>
  <c r="N19" i="308" s="1"/>
  <c r="N15" i="308"/>
  <c r="P17" i="84"/>
  <c r="P17" i="231"/>
  <c r="P17" i="172"/>
  <c r="M190" i="246"/>
  <c r="P18" i="84"/>
  <c r="P18" i="184"/>
  <c r="P18" i="231"/>
  <c r="S686" i="246"/>
  <c r="P18" i="229"/>
  <c r="P17" i="184"/>
  <c r="P17" i="175"/>
  <c r="D11" i="174"/>
  <c r="D46" i="174" s="1"/>
  <c r="M438" i="246"/>
  <c r="M742" i="246"/>
  <c r="S10" i="292"/>
  <c r="T10" i="292" s="1"/>
  <c r="V10" i="292"/>
  <c r="O18" i="72"/>
  <c r="O18" i="338"/>
  <c r="O18" i="154"/>
  <c r="O18" i="79"/>
  <c r="O18" i="196"/>
  <c r="O18" i="123"/>
  <c r="O18" i="39"/>
  <c r="O18" i="337"/>
  <c r="E44" i="309"/>
  <c r="M16" i="308" s="1"/>
  <c r="W31" i="308" s="1"/>
  <c r="E46" i="309"/>
  <c r="M18" i="308" s="1"/>
  <c r="E45" i="309"/>
  <c r="M17" i="308" s="1"/>
  <c r="W32" i="308" s="1"/>
  <c r="F18" i="228"/>
  <c r="K770" i="209"/>
  <c r="F40" i="225"/>
  <c r="F38" i="225"/>
  <c r="F37" i="225"/>
  <c r="O21" i="292"/>
  <c r="F39" i="225"/>
  <c r="F42" i="225"/>
  <c r="F41" i="225"/>
  <c r="K722" i="209"/>
  <c r="F45" i="228"/>
  <c r="F44" i="228"/>
  <c r="M22" i="292"/>
  <c r="F46" i="228"/>
  <c r="N18" i="225" s="1"/>
  <c r="K662" i="209"/>
  <c r="Q662" i="209"/>
  <c r="F11" i="229"/>
  <c r="O12" i="241"/>
  <c r="O11" i="241"/>
  <c r="O9" i="241"/>
  <c r="O10" i="241"/>
  <c r="O13" i="241"/>
  <c r="O14" i="241"/>
  <c r="E43" i="103"/>
  <c r="M26" i="84"/>
  <c r="E43" i="84" s="1"/>
  <c r="E47" i="84" s="1"/>
  <c r="P186" i="246" s="1"/>
  <c r="G44" i="309"/>
  <c r="O16" i="308" s="1"/>
  <c r="G46" i="309"/>
  <c r="O18" i="308" s="1"/>
  <c r="G45" i="309"/>
  <c r="O17" i="308" s="1"/>
  <c r="P77" i="246"/>
  <c r="M16" i="284"/>
  <c r="M16" i="190"/>
  <c r="M16" i="192"/>
  <c r="M16" i="156"/>
  <c r="I236" i="209"/>
  <c r="L18" i="356"/>
  <c r="L18" i="345"/>
  <c r="S747" i="209"/>
  <c r="M16" i="359"/>
  <c r="M16" i="99"/>
  <c r="M16" i="354"/>
  <c r="M16" i="101"/>
  <c r="M16" i="118"/>
  <c r="M16" i="176"/>
  <c r="M16" i="271"/>
  <c r="M16" i="97"/>
  <c r="P95" i="246"/>
  <c r="S27" i="292"/>
  <c r="T27" i="292" s="1"/>
  <c r="V27" i="292"/>
  <c r="L661" i="209"/>
  <c r="G46" i="250"/>
  <c r="L721" i="209"/>
  <c r="G45" i="250"/>
  <c r="L181" i="209" s="1"/>
  <c r="G44" i="250"/>
  <c r="R121" i="209" s="1"/>
  <c r="O18" i="91"/>
  <c r="O19" i="313"/>
  <c r="M26" i="58"/>
  <c r="P780" i="209" s="1"/>
  <c r="I804" i="246"/>
  <c r="D39" i="308"/>
  <c r="D37" i="308"/>
  <c r="D42" i="308"/>
  <c r="D40" i="308"/>
  <c r="D41" i="308"/>
  <c r="D38" i="308"/>
  <c r="D18" i="309"/>
  <c r="D18" i="184"/>
  <c r="E43" i="185"/>
  <c r="M26" i="171"/>
  <c r="E43" i="171" s="1"/>
  <c r="M15" i="223" s="1"/>
  <c r="M26" i="184"/>
  <c r="E43" i="184" s="1"/>
  <c r="E47" i="184" s="1"/>
  <c r="P187" i="246" s="1"/>
  <c r="K139" i="209"/>
  <c r="N17" i="10"/>
  <c r="N17" i="11"/>
  <c r="N17" i="16"/>
  <c r="N17" i="15"/>
  <c r="N17" i="6"/>
  <c r="N17" i="9"/>
  <c r="N17" i="14"/>
  <c r="N17" i="125"/>
  <c r="N17" i="7"/>
  <c r="N17" i="13"/>
  <c r="N17" i="4"/>
  <c r="G45" i="58"/>
  <c r="L180" i="209" s="1"/>
  <c r="L720" i="209"/>
  <c r="L660" i="209"/>
  <c r="R660" i="209"/>
  <c r="G46" i="58"/>
  <c r="G44" i="58"/>
  <c r="R120" i="209" s="1"/>
  <c r="E40" i="185"/>
  <c r="J759" i="246"/>
  <c r="E42" i="185"/>
  <c r="E18" i="184"/>
  <c r="E18" i="171"/>
  <c r="E39" i="185"/>
  <c r="E37" i="185"/>
  <c r="E41" i="185"/>
  <c r="E38" i="185"/>
  <c r="L18" i="354"/>
  <c r="L18" i="118"/>
  <c r="L18" i="101"/>
  <c r="L18" i="271"/>
  <c r="L18" i="359"/>
  <c r="L18" i="99"/>
  <c r="L18" i="97"/>
  <c r="L18" i="176"/>
  <c r="M17" i="307"/>
  <c r="J184" i="246"/>
  <c r="I184" i="246"/>
  <c r="L17" i="307"/>
  <c r="W33" i="307" s="1"/>
  <c r="F43" i="185"/>
  <c r="N26" i="171"/>
  <c r="F43" i="171" s="1"/>
  <c r="N15" i="223" s="1"/>
  <c r="M15" i="271"/>
  <c r="E47" i="104"/>
  <c r="M15" i="176"/>
  <c r="M15" i="99"/>
  <c r="M15" i="354"/>
  <c r="M15" i="359"/>
  <c r="M15" i="97"/>
  <c r="M15" i="118"/>
  <c r="M15" i="101"/>
  <c r="E41" i="103"/>
  <c r="E38" i="103"/>
  <c r="E37" i="103"/>
  <c r="E40" i="103"/>
  <c r="E42" i="103"/>
  <c r="E39" i="103"/>
  <c r="L157" i="246"/>
  <c r="O17" i="97"/>
  <c r="O17" i="176"/>
  <c r="O17" i="101"/>
  <c r="O17" i="99"/>
  <c r="O17" i="354"/>
  <c r="O17" i="271"/>
  <c r="O17" i="359"/>
  <c r="O17" i="118"/>
  <c r="E45" i="171"/>
  <c r="J644" i="246"/>
  <c r="P644" i="246"/>
  <c r="E44" i="171"/>
  <c r="J706" i="246"/>
  <c r="E46" i="171"/>
  <c r="D18" i="173"/>
  <c r="D37" i="212"/>
  <c r="O210" i="209" s="1"/>
  <c r="D38" i="212"/>
  <c r="I30" i="209" s="1"/>
  <c r="I750" i="209"/>
  <c r="D41" i="212"/>
  <c r="I210" i="209" s="1"/>
  <c r="D39" i="212"/>
  <c r="O30" i="209" s="1"/>
  <c r="D40" i="212"/>
  <c r="I90" i="209" s="1"/>
  <c r="D42" i="212"/>
  <c r="I270" i="209" s="1"/>
  <c r="M18" i="15"/>
  <c r="M18" i="9"/>
  <c r="M18" i="14"/>
  <c r="M18" i="16"/>
  <c r="M18" i="7"/>
  <c r="M18" i="6"/>
  <c r="M18" i="11"/>
  <c r="M18" i="10"/>
  <c r="M18" i="4"/>
  <c r="M18" i="125"/>
  <c r="M18" i="13"/>
  <c r="S30" i="292"/>
  <c r="T30" i="292" s="1"/>
  <c r="V30" i="292"/>
  <c r="N18" i="354"/>
  <c r="N18" i="99"/>
  <c r="N18" i="359"/>
  <c r="N18" i="118"/>
  <c r="N18" i="176"/>
  <c r="N18" i="271"/>
  <c r="N18" i="97"/>
  <c r="N18" i="101"/>
  <c r="O16" i="91"/>
  <c r="O17" i="313"/>
  <c r="R71" i="246"/>
  <c r="N15" i="154"/>
  <c r="N15" i="337"/>
  <c r="N15" i="196"/>
  <c r="N15" i="79"/>
  <c r="N15" i="123"/>
  <c r="N15" i="72"/>
  <c r="N15" i="39"/>
  <c r="F47" i="44"/>
  <c r="N15" i="338"/>
  <c r="O16" i="337"/>
  <c r="O16" i="79"/>
  <c r="O16" i="338"/>
  <c r="O16" i="154"/>
  <c r="O16" i="39"/>
  <c r="R102" i="209"/>
  <c r="O16" i="196"/>
  <c r="O16" i="72"/>
  <c r="O16" i="123"/>
  <c r="O19" i="241"/>
  <c r="O15" i="241"/>
  <c r="V21" i="292"/>
  <c r="S21" i="292"/>
  <c r="T21" i="292" s="1"/>
  <c r="M803" i="246"/>
  <c r="M17" i="176"/>
  <c r="M17" i="99"/>
  <c r="M17" i="101"/>
  <c r="M17" i="359"/>
  <c r="J157" i="246"/>
  <c r="M17" i="97"/>
  <c r="M17" i="354"/>
  <c r="M17" i="271"/>
  <c r="M17" i="118"/>
  <c r="L133" i="246"/>
  <c r="O18" i="313"/>
  <c r="O17" i="91"/>
  <c r="F43" i="225"/>
  <c r="Q770" i="209"/>
  <c r="N26" i="228"/>
  <c r="F44" i="327"/>
  <c r="Q92" i="209" s="1"/>
  <c r="K632" i="209"/>
  <c r="K692" i="209"/>
  <c r="F45" i="327"/>
  <c r="K152" i="209" s="1"/>
  <c r="Q632" i="209"/>
  <c r="F46" i="327"/>
  <c r="E45" i="84"/>
  <c r="J186" i="246" s="1"/>
  <c r="J682" i="246"/>
  <c r="E44" i="84"/>
  <c r="P124" i="246" s="1"/>
  <c r="P682" i="246"/>
  <c r="E46" i="84"/>
  <c r="J744" i="246"/>
  <c r="H38" i="174"/>
  <c r="J39" i="292"/>
  <c r="M376" i="246"/>
  <c r="G47" i="104"/>
  <c r="O15" i="176"/>
  <c r="O15" i="271"/>
  <c r="O15" i="354"/>
  <c r="O15" i="359"/>
  <c r="O15" i="118"/>
  <c r="O15" i="101"/>
  <c r="O15" i="99"/>
  <c r="O15" i="97"/>
  <c r="G37" i="103"/>
  <c r="G42" i="103"/>
  <c r="G18" i="84"/>
  <c r="G39" i="103"/>
  <c r="G38" i="103"/>
  <c r="G40" i="103"/>
  <c r="G41" i="103"/>
  <c r="G43" i="185"/>
  <c r="O26" i="171"/>
  <c r="G43" i="171" s="1"/>
  <c r="G47" i="171" s="1"/>
  <c r="E38" i="308"/>
  <c r="E41" i="308"/>
  <c r="E40" i="308"/>
  <c r="E37" i="308"/>
  <c r="E39" i="308"/>
  <c r="E42" i="308"/>
  <c r="E18" i="309"/>
  <c r="J804" i="246"/>
  <c r="R122" i="246"/>
  <c r="O16" i="307"/>
  <c r="M17" i="156"/>
  <c r="M17" i="190"/>
  <c r="M17" i="284"/>
  <c r="J139" i="246"/>
  <c r="M17" i="192"/>
  <c r="M747" i="209"/>
  <c r="M18" i="359"/>
  <c r="M18" i="99"/>
  <c r="M18" i="354"/>
  <c r="M18" i="176"/>
  <c r="M18" i="101"/>
  <c r="M18" i="97"/>
  <c r="M18" i="271"/>
  <c r="M18" i="118"/>
  <c r="N16" i="101"/>
  <c r="Q95" i="246"/>
  <c r="N16" i="118"/>
  <c r="N16" i="359"/>
  <c r="N16" i="176"/>
  <c r="N16" i="97"/>
  <c r="N16" i="99"/>
  <c r="N16" i="354"/>
  <c r="N16" i="271"/>
  <c r="L26" i="58"/>
  <c r="D43" i="18"/>
  <c r="L26" i="327"/>
  <c r="P26" i="18"/>
  <c r="O739" i="209"/>
  <c r="S739" i="209" s="1"/>
  <c r="R770" i="209"/>
  <c r="G43" i="225"/>
  <c r="L9" i="241"/>
  <c r="W25" i="241" s="1"/>
  <c r="L13" i="241"/>
  <c r="W29" i="241" s="1"/>
  <c r="L14" i="241"/>
  <c r="W30" i="241" s="1"/>
  <c r="L11" i="241"/>
  <c r="W27" i="241" s="1"/>
  <c r="L12" i="241"/>
  <c r="W28" i="241" s="1"/>
  <c r="L10" i="241"/>
  <c r="W26" i="241" s="1"/>
  <c r="E44" i="170"/>
  <c r="M16" i="187" s="1"/>
  <c r="F44" i="250"/>
  <c r="Q121" i="209" s="1"/>
  <c r="K721" i="209"/>
  <c r="M18" i="292"/>
  <c r="F45" i="250"/>
  <c r="K181" i="209" s="1"/>
  <c r="F46" i="250"/>
  <c r="K661" i="209"/>
  <c r="R661" i="209"/>
  <c r="Q661" i="209"/>
  <c r="M16" i="91"/>
  <c r="M17" i="313"/>
  <c r="P71" i="246"/>
  <c r="L16" i="97"/>
  <c r="W32" i="97" s="1"/>
  <c r="L16" i="99"/>
  <c r="W32" i="99" s="1"/>
  <c r="L16" i="176"/>
  <c r="W32" i="176" s="1"/>
  <c r="O95" i="246"/>
  <c r="L16" i="354"/>
  <c r="W32" i="354" s="1"/>
  <c r="L16" i="271"/>
  <c r="W32" i="271" s="1"/>
  <c r="L16" i="359"/>
  <c r="W32" i="359" s="1"/>
  <c r="L16" i="101"/>
  <c r="W32" i="101" s="1"/>
  <c r="L16" i="118"/>
  <c r="W32" i="118" s="1"/>
  <c r="L16" i="307"/>
  <c r="W32" i="307" s="1"/>
  <c r="O122" i="246"/>
  <c r="G43" i="103"/>
  <c r="O26" i="84"/>
  <c r="G43" i="84" s="1"/>
  <c r="G47" i="84" s="1"/>
  <c r="R186" i="246" s="1"/>
  <c r="F46" i="328"/>
  <c r="F45" i="328"/>
  <c r="F44" i="328"/>
  <c r="M715" i="246"/>
  <c r="E44" i="184"/>
  <c r="P125" i="246" s="1"/>
  <c r="E45" i="184"/>
  <c r="J187" i="246" s="1"/>
  <c r="J745" i="246"/>
  <c r="P683" i="246"/>
  <c r="J683" i="246"/>
  <c r="E46" i="184"/>
  <c r="J632" i="209"/>
  <c r="E45" i="327"/>
  <c r="J152" i="209" s="1"/>
  <c r="E44" i="327"/>
  <c r="P92" i="209" s="1"/>
  <c r="P632" i="209"/>
  <c r="E46" i="327"/>
  <c r="J692" i="209"/>
  <c r="O110" i="209"/>
  <c r="L16" i="345"/>
  <c r="W32" i="345" s="1"/>
  <c r="L16" i="356"/>
  <c r="W32" i="356" s="1"/>
  <c r="Q77" i="246"/>
  <c r="N16" i="284"/>
  <c r="N16" i="156"/>
  <c r="N16" i="190"/>
  <c r="N16" i="192"/>
  <c r="M772" i="246"/>
  <c r="N17" i="118"/>
  <c r="N17" i="97"/>
  <c r="N17" i="354"/>
  <c r="N17" i="101"/>
  <c r="N17" i="359"/>
  <c r="N17" i="271"/>
  <c r="N17" i="176"/>
  <c r="K157" i="246"/>
  <c r="N17" i="99"/>
  <c r="E38" i="223"/>
  <c r="J22" i="246" s="1"/>
  <c r="E42" i="223"/>
  <c r="J270" i="246" s="1"/>
  <c r="E41" i="223"/>
  <c r="J208" i="246" s="1"/>
  <c r="J766" i="246"/>
  <c r="E37" i="223"/>
  <c r="P208" i="246" s="1"/>
  <c r="E39" i="223"/>
  <c r="P22" i="246" s="1"/>
  <c r="E40" i="223"/>
  <c r="J84" i="246" s="1"/>
  <c r="G41" i="225"/>
  <c r="G39" i="225"/>
  <c r="G38" i="225"/>
  <c r="G40" i="225"/>
  <c r="G37" i="225"/>
  <c r="L770" i="209"/>
  <c r="G42" i="225"/>
  <c r="N18" i="6"/>
  <c r="N18" i="4"/>
  <c r="N18" i="13"/>
  <c r="N18" i="7"/>
  <c r="N18" i="15"/>
  <c r="N18" i="11"/>
  <c r="N18" i="9"/>
  <c r="N18" i="125"/>
  <c r="N18" i="14"/>
  <c r="N18" i="16"/>
  <c r="N18" i="10"/>
  <c r="D18" i="84"/>
  <c r="D39" i="104"/>
  <c r="D42" i="104"/>
  <c r="H18" i="104"/>
  <c r="D38" i="104"/>
  <c r="D40" i="104"/>
  <c r="D41" i="104"/>
  <c r="I777" i="246"/>
  <c r="D37" i="104"/>
  <c r="G44" i="228"/>
  <c r="L722" i="209"/>
  <c r="G11" i="229"/>
  <c r="L662" i="209"/>
  <c r="G46" i="228"/>
  <c r="O18" i="225" s="1"/>
  <c r="R662" i="209"/>
  <c r="G45" i="228"/>
  <c r="I721" i="209"/>
  <c r="D45" i="250"/>
  <c r="I181" i="209" s="1"/>
  <c r="D46" i="250"/>
  <c r="O661" i="209"/>
  <c r="D44" i="250"/>
  <c r="O121" i="209" s="1"/>
  <c r="I661" i="209"/>
  <c r="E46" i="170"/>
  <c r="M18" i="203" s="1"/>
  <c r="M26" i="328"/>
  <c r="E43" i="328" s="1"/>
  <c r="E47" i="328" s="1"/>
  <c r="S438" i="246"/>
  <c r="E43" i="225"/>
  <c r="P770" i="209"/>
  <c r="M26" i="228"/>
  <c r="N16" i="4"/>
  <c r="N16" i="11"/>
  <c r="N16" i="6"/>
  <c r="N16" i="9"/>
  <c r="Q79" i="209"/>
  <c r="N16" i="14"/>
  <c r="N16" i="125"/>
  <c r="N16" i="10"/>
  <c r="N16" i="7"/>
  <c r="N16" i="15"/>
  <c r="N16" i="13"/>
  <c r="N16" i="16"/>
  <c r="M26" i="173"/>
  <c r="E43" i="173" s="1"/>
  <c r="M15" i="334" s="1"/>
  <c r="E43" i="223"/>
  <c r="E47" i="223" s="1"/>
  <c r="P146" i="246" s="1"/>
  <c r="M19" i="313"/>
  <c r="M18" i="91"/>
  <c r="I157" i="246"/>
  <c r="L17" i="101"/>
  <c r="W33" i="101" s="1"/>
  <c r="L17" i="359"/>
  <c r="W33" i="359" s="1"/>
  <c r="L17" i="99"/>
  <c r="W33" i="99" s="1"/>
  <c r="L17" i="118"/>
  <c r="W33" i="118" s="1"/>
  <c r="L17" i="97"/>
  <c r="W33" i="97" s="1"/>
  <c r="L17" i="271"/>
  <c r="W33" i="271" s="1"/>
  <c r="L17" i="354"/>
  <c r="W33" i="354" s="1"/>
  <c r="L17" i="176"/>
  <c r="W33" i="176" s="1"/>
  <c r="M16" i="307"/>
  <c r="P122" i="246"/>
  <c r="I745" i="246"/>
  <c r="D45" i="184"/>
  <c r="I187" i="246" s="1"/>
  <c r="D44" i="184"/>
  <c r="O125" i="246" s="1"/>
  <c r="I683" i="246"/>
  <c r="O683" i="246"/>
  <c r="D46" i="184"/>
  <c r="P18" i="172"/>
  <c r="P18" i="171"/>
  <c r="P18" i="175"/>
  <c r="F43" i="18"/>
  <c r="Q739" i="209"/>
  <c r="N26" i="327"/>
  <c r="S755" i="209"/>
  <c r="O18" i="118"/>
  <c r="O18" i="271"/>
  <c r="O18" i="176"/>
  <c r="O18" i="97"/>
  <c r="O18" i="359"/>
  <c r="O18" i="101"/>
  <c r="O18" i="99"/>
  <c r="O18" i="354"/>
  <c r="S757" i="209"/>
  <c r="R32" i="292"/>
  <c r="U32" i="292"/>
  <c r="M690" i="209"/>
  <c r="M768" i="209"/>
  <c r="N26" i="58"/>
  <c r="S768" i="209"/>
  <c r="F43" i="223"/>
  <c r="F47" i="223" s="1"/>
  <c r="Q146" i="246" s="1"/>
  <c r="N26" i="173"/>
  <c r="F43" i="173" s="1"/>
  <c r="N15" i="139" s="1"/>
  <c r="M16" i="15"/>
  <c r="M16" i="14"/>
  <c r="M16" i="125"/>
  <c r="M16" i="16"/>
  <c r="M16" i="13"/>
  <c r="P79" i="209"/>
  <c r="M16" i="9"/>
  <c r="M16" i="6"/>
  <c r="M16" i="11"/>
  <c r="M16" i="7"/>
  <c r="M16" i="10"/>
  <c r="M16" i="4"/>
  <c r="I170" i="209"/>
  <c r="L17" i="345"/>
  <c r="W33" i="345" s="1"/>
  <c r="L17" i="356"/>
  <c r="W33" i="356" s="1"/>
  <c r="E11" i="175"/>
  <c r="E46" i="175" s="1"/>
  <c r="M18" i="212" s="1"/>
  <c r="E43" i="44"/>
  <c r="M15" i="123" s="1"/>
  <c r="P26" i="225"/>
  <c r="D43" i="225"/>
  <c r="O770" i="209"/>
  <c r="F46" i="330"/>
  <c r="F45" i="330"/>
  <c r="F44" i="330"/>
  <c r="J133" i="246"/>
  <c r="M18" i="313"/>
  <c r="M17" i="91"/>
  <c r="G46" i="330"/>
  <c r="G44" i="330"/>
  <c r="G45" i="330"/>
  <c r="P739" i="209"/>
  <c r="E43" i="18"/>
  <c r="M26" i="327"/>
  <c r="N15" i="91"/>
  <c r="N16" i="313"/>
  <c r="F47" i="103"/>
  <c r="K170" i="209"/>
  <c r="N17" i="356"/>
  <c r="N17" i="345"/>
  <c r="O762" i="209"/>
  <c r="L26" i="328"/>
  <c r="P26" i="44"/>
  <c r="D43" i="44"/>
  <c r="L26" i="330"/>
  <c r="D43" i="330" s="1"/>
  <c r="D47" i="330" s="1"/>
  <c r="L184" i="246"/>
  <c r="O17" i="307"/>
  <c r="O26" i="328"/>
  <c r="G43" i="328" s="1"/>
  <c r="G47" i="328" s="1"/>
  <c r="G43" i="44"/>
  <c r="R762" i="209"/>
  <c r="O26" i="58"/>
  <c r="O26" i="330"/>
  <c r="M17" i="10"/>
  <c r="M17" i="13"/>
  <c r="M17" i="7"/>
  <c r="M17" i="6"/>
  <c r="J139" i="209"/>
  <c r="M17" i="125"/>
  <c r="M17" i="9"/>
  <c r="M17" i="14"/>
  <c r="M17" i="11"/>
  <c r="M17" i="16"/>
  <c r="M17" i="15"/>
  <c r="M17" i="4"/>
  <c r="N15" i="271"/>
  <c r="N15" i="118"/>
  <c r="N15" i="99"/>
  <c r="N15" i="97"/>
  <c r="N15" i="176"/>
  <c r="N15" i="354"/>
  <c r="N15" i="101"/>
  <c r="N15" i="359"/>
  <c r="F47" i="104"/>
  <c r="K139" i="246"/>
  <c r="N17" i="190"/>
  <c r="N17" i="192"/>
  <c r="N17" i="156"/>
  <c r="N17" i="284"/>
  <c r="D45" i="327"/>
  <c r="I152" i="209" s="1"/>
  <c r="I632" i="209"/>
  <c r="O632" i="209"/>
  <c r="D46" i="327"/>
  <c r="D44" i="327"/>
  <c r="O92" i="209" s="1"/>
  <c r="I692" i="209"/>
  <c r="G42" i="104"/>
  <c r="G38" i="104"/>
  <c r="G39" i="104"/>
  <c r="G41" i="104"/>
  <c r="G40" i="104"/>
  <c r="L777" i="246"/>
  <c r="G37" i="104"/>
  <c r="N26" i="330"/>
  <c r="F43" i="330" s="1"/>
  <c r="F47" i="330" s="1"/>
  <c r="I744" i="246"/>
  <c r="D44" i="84"/>
  <c r="O124" i="246" s="1"/>
  <c r="O682" i="246"/>
  <c r="I682" i="246"/>
  <c r="D46" i="84"/>
  <c r="D45" i="84"/>
  <c r="I186" i="246" s="1"/>
  <c r="D44" i="309"/>
  <c r="L16" i="308" s="1"/>
  <c r="D46" i="309"/>
  <c r="L18" i="308" s="1"/>
  <c r="D45" i="309"/>
  <c r="L17" i="308" s="1"/>
  <c r="P762" i="209"/>
  <c r="N10" i="241"/>
  <c r="N14" i="241"/>
  <c r="N12" i="241"/>
  <c r="N13" i="241"/>
  <c r="N11" i="241"/>
  <c r="N9" i="241"/>
  <c r="F44" i="58"/>
  <c r="Q120" i="209" s="1"/>
  <c r="K720" i="209"/>
  <c r="M13" i="292"/>
  <c r="K660" i="209"/>
  <c r="F45" i="58"/>
  <c r="K180" i="209" s="1"/>
  <c r="Q660" i="209"/>
  <c r="F46" i="58"/>
  <c r="P17" i="171"/>
  <c r="P17" i="229"/>
  <c r="P17" i="361"/>
  <c r="O17" i="337"/>
  <c r="O17" i="196"/>
  <c r="O17" i="79"/>
  <c r="L162" i="209"/>
  <c r="O17" i="72"/>
  <c r="O17" i="338"/>
  <c r="O17" i="123"/>
  <c r="O17" i="154"/>
  <c r="O17" i="39"/>
  <c r="F38" i="104"/>
  <c r="F40" i="104"/>
  <c r="O27" i="292"/>
  <c r="F39" i="104"/>
  <c r="F42" i="104"/>
  <c r="F37" i="104"/>
  <c r="F41" i="104"/>
  <c r="K777" i="246"/>
  <c r="N16" i="345"/>
  <c r="N16" i="356"/>
  <c r="Q110" i="209"/>
  <c r="N18" i="356"/>
  <c r="N18" i="345"/>
  <c r="O16" i="359"/>
  <c r="O16" i="118"/>
  <c r="O16" i="271"/>
  <c r="O16" i="354"/>
  <c r="O16" i="176"/>
  <c r="R95" i="246"/>
  <c r="O16" i="101"/>
  <c r="O16" i="99"/>
  <c r="O16" i="97"/>
  <c r="M18" i="190"/>
  <c r="M18" i="192"/>
  <c r="M18" i="284"/>
  <c r="M18" i="156"/>
  <c r="N18" i="192"/>
  <c r="N18" i="190"/>
  <c r="N18" i="156"/>
  <c r="N18" i="284"/>
  <c r="I722" i="209"/>
  <c r="D44" i="228"/>
  <c r="D46" i="228"/>
  <c r="L18" i="225" s="1"/>
  <c r="O662" i="209"/>
  <c r="I662" i="209"/>
  <c r="D45" i="228"/>
  <c r="D43" i="212"/>
  <c r="D47" i="212" s="1"/>
  <c r="O150" i="209" s="1"/>
  <c r="O750" i="209"/>
  <c r="L26" i="228"/>
  <c r="R632" i="209"/>
  <c r="G46" i="327"/>
  <c r="L632" i="209"/>
  <c r="L692" i="209"/>
  <c r="G44" i="327"/>
  <c r="R92" i="209" s="1"/>
  <c r="G45" i="327"/>
  <c r="L152" i="209" s="1"/>
  <c r="L682" i="246"/>
  <c r="G44" i="84"/>
  <c r="R124" i="246" s="1"/>
  <c r="L744" i="246"/>
  <c r="R682" i="246"/>
  <c r="G46" i="84"/>
  <c r="G45" i="84"/>
  <c r="L186" i="246" s="1"/>
  <c r="E18" i="173"/>
  <c r="N10" i="360"/>
  <c r="N10" i="296"/>
  <c r="N10" i="333"/>
  <c r="N10" i="295"/>
  <c r="P11" i="186"/>
  <c r="P11" i="170"/>
  <c r="S56" i="246"/>
  <c r="P11" i="226"/>
  <c r="P11" i="104"/>
  <c r="P11" i="225"/>
  <c r="H39" i="174"/>
  <c r="S376" i="246"/>
  <c r="M16" i="334"/>
  <c r="M16" i="215"/>
  <c r="M16" i="162"/>
  <c r="M16" i="355"/>
  <c r="M16" i="202"/>
  <c r="M16" i="139"/>
  <c r="M16" i="166"/>
  <c r="M16" i="344"/>
  <c r="M16" i="165"/>
  <c r="M16" i="216"/>
  <c r="N13" i="279"/>
  <c r="N13" i="95"/>
  <c r="N13" i="191"/>
  <c r="K224" i="246"/>
  <c r="N15" i="95"/>
  <c r="F47" i="186"/>
  <c r="N15" i="191"/>
  <c r="N15" i="279"/>
  <c r="S748" i="246"/>
  <c r="S314" i="246"/>
  <c r="I39" i="292"/>
  <c r="H37" i="174"/>
  <c r="M20" i="184"/>
  <c r="M20" i="229"/>
  <c r="M20" i="309"/>
  <c r="M20" i="172"/>
  <c r="M20" i="231"/>
  <c r="M20" i="171"/>
  <c r="M20" i="175"/>
  <c r="M20" i="84"/>
  <c r="M20" i="361"/>
  <c r="P16" i="184"/>
  <c r="P16" i="171"/>
  <c r="P16" i="172"/>
  <c r="P16" i="361"/>
  <c r="P16" i="229"/>
  <c r="P16" i="84"/>
  <c r="P16" i="175"/>
  <c r="P16" i="231"/>
  <c r="P16" i="309"/>
  <c r="S128" i="246"/>
  <c r="P9" i="104"/>
  <c r="P9" i="186"/>
  <c r="P9" i="225"/>
  <c r="S242" i="246"/>
  <c r="P9" i="170"/>
  <c r="P9" i="226"/>
  <c r="S500" i="246"/>
  <c r="P39" i="292"/>
  <c r="N41" i="292"/>
  <c r="P41" i="292" s="1"/>
  <c r="N13" i="91"/>
  <c r="K195" i="246"/>
  <c r="N13" i="313"/>
  <c r="M604" i="209"/>
  <c r="P19" i="174"/>
  <c r="S180" i="209"/>
  <c r="L20" i="228"/>
  <c r="L20" i="174"/>
  <c r="L20" i="58"/>
  <c r="L20" i="44"/>
  <c r="L20" i="248"/>
  <c r="L20" i="330"/>
  <c r="L20" i="18"/>
  <c r="L20" i="291"/>
  <c r="L20" i="250"/>
  <c r="L20" i="328"/>
  <c r="L20" i="247"/>
  <c r="L20" i="326"/>
  <c r="L20" i="327"/>
  <c r="N20" i="58"/>
  <c r="N20" i="327"/>
  <c r="N20" i="247"/>
  <c r="N20" i="250"/>
  <c r="N20" i="44"/>
  <c r="N20" i="326"/>
  <c r="N20" i="291"/>
  <c r="N20" i="330"/>
  <c r="N20" i="228"/>
  <c r="N20" i="18"/>
  <c r="N20" i="174"/>
  <c r="N20" i="328"/>
  <c r="N20" i="248"/>
  <c r="D42" i="9"/>
  <c r="I256" i="209" s="1"/>
  <c r="I736" i="209"/>
  <c r="D41" i="9"/>
  <c r="I196" i="209" s="1"/>
  <c r="D38" i="9"/>
  <c r="I16" i="209" s="1"/>
  <c r="O16" i="209"/>
  <c r="D37" i="9"/>
  <c r="O196" i="209" s="1"/>
  <c r="D40" i="9"/>
  <c r="I76" i="209" s="1"/>
  <c r="X13" i="80"/>
  <c r="X11" i="80"/>
  <c r="X14" i="80"/>
  <c r="X12" i="80"/>
  <c r="J35" i="80"/>
  <c r="F15" i="11"/>
  <c r="E18" i="11"/>
  <c r="L11" i="91"/>
  <c r="W27" i="91" s="1"/>
  <c r="O9" i="246"/>
  <c r="L11" i="313"/>
  <c r="W28" i="313" s="1"/>
  <c r="L9" i="91"/>
  <c r="W25" i="91" s="1"/>
  <c r="L9" i="313"/>
  <c r="W26" i="313" s="1"/>
  <c r="O195" i="246"/>
  <c r="D41" i="126"/>
  <c r="I228" i="246" s="1"/>
  <c r="D42" i="126"/>
  <c r="I290" i="246" s="1"/>
  <c r="D38" i="126"/>
  <c r="I42" i="246" s="1"/>
  <c r="D37" i="126"/>
  <c r="O228" i="246" s="1"/>
  <c r="D39" i="126"/>
  <c r="O42" i="246" s="1"/>
  <c r="D40" i="126"/>
  <c r="I104" i="246" s="1"/>
  <c r="I786" i="246"/>
  <c r="L16" i="313"/>
  <c r="W32" i="313" s="1"/>
  <c r="L15" i="91"/>
  <c r="W31" i="91" s="1"/>
  <c r="D47" i="103"/>
  <c r="E18" i="79"/>
  <c r="F15" i="79"/>
  <c r="D15" i="172"/>
  <c r="D15" i="174" s="1"/>
  <c r="D15" i="231"/>
  <c r="D15" i="170"/>
  <c r="D15" i="175" s="1"/>
  <c r="L10" i="313"/>
  <c r="W27" i="313" s="1"/>
  <c r="I9" i="246"/>
  <c r="L10" i="91"/>
  <c r="W26" i="91" s="1"/>
  <c r="X11" i="129"/>
  <c r="J35" i="129"/>
  <c r="X26" i="27"/>
  <c r="X25" i="27"/>
  <c r="X13" i="27"/>
  <c r="X14" i="27"/>
  <c r="X23" i="27"/>
  <c r="X19" i="27"/>
  <c r="J51" i="27"/>
  <c r="X27" i="27"/>
  <c r="X24" i="27"/>
  <c r="X20" i="27"/>
  <c r="X16" i="27"/>
  <c r="X15" i="27"/>
  <c r="X17" i="27"/>
  <c r="X11" i="27"/>
  <c r="X18" i="27"/>
  <c r="V532" i="209"/>
  <c r="C592" i="209"/>
  <c r="L12" i="91"/>
  <c r="W28" i="91" s="1"/>
  <c r="I71" i="246"/>
  <c r="L12" i="313"/>
  <c r="W29" i="313" s="1"/>
  <c r="E15" i="226"/>
  <c r="F15" i="126"/>
  <c r="E18" i="126"/>
  <c r="L13" i="313"/>
  <c r="W30" i="313" s="1"/>
  <c r="I195" i="246"/>
  <c r="L13" i="91"/>
  <c r="W29" i="91" s="1"/>
  <c r="D18" i="226"/>
  <c r="D37" i="226" s="1"/>
  <c r="O240" i="246" s="1"/>
  <c r="M784" i="246"/>
  <c r="L15" i="313"/>
  <c r="W31" i="313" s="1"/>
  <c r="I257" i="246"/>
  <c r="L14" i="91"/>
  <c r="W30" i="91" s="1"/>
  <c r="O164" i="246"/>
  <c r="I291" i="246"/>
  <c r="I237" i="246"/>
  <c r="K746" i="246"/>
  <c r="E44" i="231"/>
  <c r="P126" i="246" s="1"/>
  <c r="P684" i="246"/>
  <c r="J746" i="246"/>
  <c r="E45" i="231"/>
  <c r="J188" i="246" s="1"/>
  <c r="E46" i="231"/>
  <c r="J684" i="246"/>
  <c r="O233" i="246"/>
  <c r="O26" i="170"/>
  <c r="G43" i="226"/>
  <c r="G47" i="226" s="1"/>
  <c r="R178" i="246" s="1"/>
  <c r="O26" i="231"/>
  <c r="G43" i="231" s="1"/>
  <c r="G47" i="231" s="1"/>
  <c r="R188" i="246" s="1"/>
  <c r="L26" i="172"/>
  <c r="P26" i="226"/>
  <c r="D43" i="226"/>
  <c r="D47" i="226" s="1"/>
  <c r="O178" i="246" s="1"/>
  <c r="L26" i="170"/>
  <c r="M17" i="349"/>
  <c r="M17" i="293"/>
  <c r="M17" i="178"/>
  <c r="M17" i="187"/>
  <c r="M17" i="189"/>
  <c r="M17" i="141"/>
  <c r="M17" i="188"/>
  <c r="M17" i="146"/>
  <c r="M17" i="203"/>
  <c r="M17" i="362"/>
  <c r="M17" i="151"/>
  <c r="M17" i="204"/>
  <c r="M17" i="126"/>
  <c r="M17" i="194"/>
  <c r="M17" i="195"/>
  <c r="M17" i="353"/>
  <c r="M17" i="160"/>
  <c r="M17" i="270"/>
  <c r="M17" i="219"/>
  <c r="M17" i="183"/>
  <c r="M17" i="137"/>
  <c r="F45" i="170"/>
  <c r="F44" i="170"/>
  <c r="F46" i="170"/>
  <c r="O229" i="246"/>
  <c r="I113" i="246"/>
  <c r="F44" i="231"/>
  <c r="Q126" i="246" s="1"/>
  <c r="O43" i="246"/>
  <c r="I51" i="246"/>
  <c r="M37" i="292"/>
  <c r="S37" i="292" s="1"/>
  <c r="T37" i="292" s="1"/>
  <c r="I109" i="246"/>
  <c r="D46" i="172"/>
  <c r="O676" i="246"/>
  <c r="D44" i="172"/>
  <c r="D45" i="172"/>
  <c r="I676" i="246"/>
  <c r="I738" i="246"/>
  <c r="O15" i="279"/>
  <c r="G47" i="186"/>
  <c r="O15" i="191"/>
  <c r="O15" i="95"/>
  <c r="P116" i="246"/>
  <c r="I233" i="246"/>
  <c r="F45" i="231"/>
  <c r="K188" i="246" s="1"/>
  <c r="M10" i="359"/>
  <c r="M10" i="354"/>
  <c r="M10" i="271"/>
  <c r="M10" i="97"/>
  <c r="M10" i="101"/>
  <c r="M10" i="99"/>
  <c r="M10" i="176"/>
  <c r="J33" i="246"/>
  <c r="M10" i="118"/>
  <c r="O172" i="246"/>
  <c r="D47" i="151"/>
  <c r="L15" i="271"/>
  <c r="W31" i="271" s="1"/>
  <c r="L15" i="118"/>
  <c r="W31" i="118" s="1"/>
  <c r="L15" i="176"/>
  <c r="W31" i="176" s="1"/>
  <c r="L15" i="101"/>
  <c r="W31" i="101" s="1"/>
  <c r="L15" i="97"/>
  <c r="W31" i="97" s="1"/>
  <c r="L15" i="354"/>
  <c r="W31" i="354" s="1"/>
  <c r="L15" i="359"/>
  <c r="W31" i="359" s="1"/>
  <c r="D47" i="104"/>
  <c r="L15" i="99"/>
  <c r="W31" i="99" s="1"/>
  <c r="I43" i="246"/>
  <c r="O51" i="246"/>
  <c r="M791" i="246"/>
  <c r="M9" i="345"/>
  <c r="M9" i="356"/>
  <c r="P230" i="209"/>
  <c r="O47" i="246"/>
  <c r="F45" i="172"/>
  <c r="F44" i="172"/>
  <c r="K738" i="246"/>
  <c r="Q676" i="246"/>
  <c r="K676" i="246"/>
  <c r="F46" i="172"/>
  <c r="D47" i="203"/>
  <c r="I299" i="246"/>
  <c r="O151" i="246"/>
  <c r="I110" i="209"/>
  <c r="L12" i="345"/>
  <c r="W28" i="345" s="1"/>
  <c r="L12" i="356"/>
  <c r="W28" i="356" s="1"/>
  <c r="Q684" i="246"/>
  <c r="I47" i="246"/>
  <c r="D47" i="137"/>
  <c r="S36" i="292"/>
  <c r="T36" i="292" s="1"/>
  <c r="V36" i="292"/>
  <c r="D44" i="170"/>
  <c r="D45" i="170"/>
  <c r="D46" i="170"/>
  <c r="M26" i="170"/>
  <c r="E43" i="226"/>
  <c r="M26" i="172"/>
  <c r="M26" i="231"/>
  <c r="E43" i="231" s="1"/>
  <c r="E47" i="231" s="1"/>
  <c r="P188" i="246" s="1"/>
  <c r="I229" i="246"/>
  <c r="O237" i="246"/>
  <c r="P676" i="246"/>
  <c r="E46" i="172"/>
  <c r="E45" i="172"/>
  <c r="E44" i="172"/>
  <c r="J676" i="246"/>
  <c r="J738" i="246"/>
  <c r="E11" i="174"/>
  <c r="N26" i="170"/>
  <c r="F43" i="226"/>
  <c r="F47" i="226" s="1"/>
  <c r="Q178" i="246" s="1"/>
  <c r="N26" i="172"/>
  <c r="N26" i="231"/>
  <c r="F43" i="231" s="1"/>
  <c r="F47" i="231" s="1"/>
  <c r="Q188" i="246" s="1"/>
  <c r="I295" i="246"/>
  <c r="I105" i="246"/>
  <c r="L17" i="355"/>
  <c r="W33" i="355" s="1"/>
  <c r="L17" i="334"/>
  <c r="W33" i="334" s="1"/>
  <c r="L17" i="166"/>
  <c r="W33" i="166" s="1"/>
  <c r="L17" i="215"/>
  <c r="W33" i="215" s="1"/>
  <c r="L17" i="165"/>
  <c r="W33" i="165" s="1"/>
  <c r="L17" i="216"/>
  <c r="W33" i="216" s="1"/>
  <c r="L17" i="202"/>
  <c r="W33" i="202" s="1"/>
  <c r="L17" i="344"/>
  <c r="W33" i="344" s="1"/>
  <c r="L17" i="139"/>
  <c r="W33" i="139" s="1"/>
  <c r="L17" i="162"/>
  <c r="W33" i="162" s="1"/>
  <c r="N17" i="344"/>
  <c r="N17" i="165"/>
  <c r="N17" i="139"/>
  <c r="N17" i="216"/>
  <c r="N17" i="334"/>
  <c r="N17" i="202"/>
  <c r="N17" i="215"/>
  <c r="N17" i="162"/>
  <c r="N17" i="166"/>
  <c r="N17" i="355"/>
  <c r="O17" i="139"/>
  <c r="O17" i="216"/>
  <c r="O17" i="165"/>
  <c r="O17" i="344"/>
  <c r="O17" i="334"/>
  <c r="O17" i="162"/>
  <c r="O17" i="166"/>
  <c r="O17" i="355"/>
  <c r="O17" i="215"/>
  <c r="O17" i="202"/>
  <c r="O18" i="173"/>
  <c r="O18" i="103"/>
  <c r="O18" i="223"/>
  <c r="O18" i="185"/>
  <c r="N18" i="103"/>
  <c r="N18" i="223"/>
  <c r="N18" i="185"/>
  <c r="N18" i="173"/>
  <c r="O144" i="246"/>
  <c r="V24" i="37" l="1"/>
  <c r="V37" i="37"/>
  <c r="V19" i="37"/>
  <c r="F38" i="84"/>
  <c r="K62" i="246" s="1"/>
  <c r="Q9" i="246"/>
  <c r="N11" i="313"/>
  <c r="N10" i="313"/>
  <c r="N10" i="91"/>
  <c r="V20" i="37"/>
  <c r="V28" i="37"/>
  <c r="V27" i="37"/>
  <c r="V34" i="37"/>
  <c r="J59" i="37"/>
  <c r="J61" i="37" s="1"/>
  <c r="X24" i="37" s="1"/>
  <c r="N15" i="313"/>
  <c r="N14" i="91"/>
  <c r="X65" i="36"/>
  <c r="N9" i="91"/>
  <c r="Q195" i="246"/>
  <c r="V38" i="37"/>
  <c r="V36" i="37"/>
  <c r="V12" i="37"/>
  <c r="V31" i="37"/>
  <c r="V35" i="37"/>
  <c r="N12" i="313"/>
  <c r="R26" i="292"/>
  <c r="F42" i="84"/>
  <c r="K310" i="246" s="1"/>
  <c r="F39" i="84"/>
  <c r="Q62" i="246" s="1"/>
  <c r="F40" i="84"/>
  <c r="K124" i="246" s="1"/>
  <c r="O28" i="292"/>
  <c r="U28" i="292" s="1"/>
  <c r="K806" i="246"/>
  <c r="F41" i="84"/>
  <c r="K248" i="246" s="1"/>
  <c r="V16" i="37"/>
  <c r="D15" i="6"/>
  <c r="E15" i="6" s="1"/>
  <c r="X70" i="37"/>
  <c r="X71" i="37" s="1"/>
  <c r="V11" i="37"/>
  <c r="K71" i="246"/>
  <c r="D37" i="79"/>
  <c r="O219" i="209" s="1"/>
  <c r="J54" i="36"/>
  <c r="J51" i="28"/>
  <c r="J53" i="28" s="1"/>
  <c r="V13" i="28" s="1"/>
  <c r="D15" i="4"/>
  <c r="D18" i="4" s="1"/>
  <c r="D42" i="4" s="1"/>
  <c r="I251" i="209" s="1"/>
  <c r="D18" i="44"/>
  <c r="D39" i="44" s="1"/>
  <c r="D38" i="79"/>
  <c r="I39" i="209" s="1"/>
  <c r="D39" i="79"/>
  <c r="O39" i="209" s="1"/>
  <c r="D42" i="79"/>
  <c r="I279" i="209" s="1"/>
  <c r="I759" i="209"/>
  <c r="D40" i="79"/>
  <c r="I99" i="209" s="1"/>
  <c r="L26" i="174"/>
  <c r="D43" i="174" s="1"/>
  <c r="L15" i="214"/>
  <c r="W31" i="214" s="1"/>
  <c r="G38" i="308"/>
  <c r="O10" i="307" s="1"/>
  <c r="E14" i="330"/>
  <c r="V27" i="34"/>
  <c r="X27" i="34" s="1"/>
  <c r="V23" i="34"/>
  <c r="X23" i="34" s="1"/>
  <c r="V21" i="34"/>
  <c r="X21" i="34" s="1"/>
  <c r="V31" i="34"/>
  <c r="X31" i="34" s="1"/>
  <c r="V28" i="34"/>
  <c r="X28" i="34" s="1"/>
  <c r="V15" i="34"/>
  <c r="X15" i="34" s="1"/>
  <c r="V24" i="34"/>
  <c r="X24" i="34" s="1"/>
  <c r="V13" i="34"/>
  <c r="X13" i="34" s="1"/>
  <c r="V12" i="34"/>
  <c r="X12" i="34" s="1"/>
  <c r="V29" i="34"/>
  <c r="V14" i="34"/>
  <c r="X14" i="34" s="1"/>
  <c r="V11" i="34"/>
  <c r="V26" i="34"/>
  <c r="X26" i="34" s="1"/>
  <c r="V18" i="34"/>
  <c r="V17" i="34"/>
  <c r="E15" i="328"/>
  <c r="E14" i="58"/>
  <c r="E14" i="229" s="1"/>
  <c r="P720" i="209"/>
  <c r="P480" i="209"/>
  <c r="E12" i="229"/>
  <c r="E16" i="328"/>
  <c r="E16" i="330"/>
  <c r="E16" i="58"/>
  <c r="E16" i="229" s="1"/>
  <c r="D17" i="328"/>
  <c r="D17" i="58"/>
  <c r="D17" i="229" s="1"/>
  <c r="D17" i="330"/>
  <c r="D16" i="328"/>
  <c r="D16" i="330"/>
  <c r="D16" i="58"/>
  <c r="D16" i="229" s="1"/>
  <c r="L10" i="213"/>
  <c r="W26" i="213" s="1"/>
  <c r="L10" i="105"/>
  <c r="W26" i="105" s="1"/>
  <c r="V16" i="34"/>
  <c r="X16" i="34" s="1"/>
  <c r="V25" i="34"/>
  <c r="X25" i="34" s="1"/>
  <c r="L10" i="214"/>
  <c r="W26" i="214" s="1"/>
  <c r="D14" i="18"/>
  <c r="D14" i="327" s="1"/>
  <c r="G42" i="308"/>
  <c r="L308" i="246" s="1"/>
  <c r="J48" i="34"/>
  <c r="E18" i="9"/>
  <c r="J736" i="209" s="1"/>
  <c r="L804" i="246"/>
  <c r="M804" i="246" s="1"/>
  <c r="G39" i="308"/>
  <c r="O11" i="307" s="1"/>
  <c r="G40" i="308"/>
  <c r="L122" i="246" s="1"/>
  <c r="H18" i="308"/>
  <c r="X15" i="29"/>
  <c r="G18" i="309"/>
  <c r="G38" i="309" s="1"/>
  <c r="O10" i="308" s="1"/>
  <c r="G41" i="308"/>
  <c r="L246" i="246" s="1"/>
  <c r="L11" i="213"/>
  <c r="W27" i="213" s="1"/>
  <c r="L11" i="214"/>
  <c r="W27" i="214" s="1"/>
  <c r="O15" i="105"/>
  <c r="O15" i="214"/>
  <c r="J30" i="142"/>
  <c r="X13" i="142"/>
  <c r="X12" i="142"/>
  <c r="O15" i="213"/>
  <c r="D47" i="247"/>
  <c r="L19" i="105" s="1"/>
  <c r="W34" i="105" s="1"/>
  <c r="L15" i="213"/>
  <c r="W31" i="213" s="1"/>
  <c r="L13" i="214"/>
  <c r="W29" i="214" s="1"/>
  <c r="L13" i="213"/>
  <c r="W29" i="213" s="1"/>
  <c r="F15" i="7"/>
  <c r="G15" i="7" s="1"/>
  <c r="I204" i="209"/>
  <c r="L11" i="105"/>
  <c r="W27" i="105" s="1"/>
  <c r="O13" i="105"/>
  <c r="L204" i="209"/>
  <c r="O13" i="213"/>
  <c r="L12" i="214"/>
  <c r="W28" i="214" s="1"/>
  <c r="L14" i="105"/>
  <c r="W30" i="105" s="1"/>
  <c r="L14" i="214"/>
  <c r="W30" i="214" s="1"/>
  <c r="I264" i="209"/>
  <c r="M19" i="325"/>
  <c r="J45" i="29"/>
  <c r="M744" i="209"/>
  <c r="D18" i="6"/>
  <c r="D41" i="6" s="1"/>
  <c r="I198" i="209" s="1"/>
  <c r="X12" i="161"/>
  <c r="U31" i="292"/>
  <c r="N14" i="95"/>
  <c r="N14" i="279"/>
  <c r="X14" i="29"/>
  <c r="X13" i="29"/>
  <c r="X16" i="29"/>
  <c r="X11" i="29"/>
  <c r="L12" i="213"/>
  <c r="W28" i="213" s="1"/>
  <c r="L9" i="214"/>
  <c r="W25" i="214" s="1"/>
  <c r="L12" i="105"/>
  <c r="W28" i="105" s="1"/>
  <c r="L9" i="213"/>
  <c r="W25" i="213" s="1"/>
  <c r="N14" i="191"/>
  <c r="O204" i="209"/>
  <c r="N10" i="290"/>
  <c r="X18" i="49"/>
  <c r="K100" i="246"/>
  <c r="N11" i="288"/>
  <c r="E39" i="250"/>
  <c r="P61" i="209" s="1"/>
  <c r="M9" i="324"/>
  <c r="D38" i="11"/>
  <c r="I14" i="209" s="1"/>
  <c r="N10" i="95"/>
  <c r="N11" i="191"/>
  <c r="I734" i="209"/>
  <c r="D37" i="11"/>
  <c r="O194" i="209" s="1"/>
  <c r="D39" i="11"/>
  <c r="O14" i="209" s="1"/>
  <c r="K38" i="246"/>
  <c r="N10" i="191"/>
  <c r="N11" i="95"/>
  <c r="N9" i="95"/>
  <c r="N9" i="191"/>
  <c r="Q224" i="246"/>
  <c r="N11" i="279"/>
  <c r="O12" i="324"/>
  <c r="L84" i="209"/>
  <c r="N12" i="191"/>
  <c r="N12" i="279"/>
  <c r="M19" i="290"/>
  <c r="S744" i="209"/>
  <c r="M19" i="288"/>
  <c r="O14" i="325"/>
  <c r="D42" i="11"/>
  <c r="I254" i="209" s="1"/>
  <c r="D41" i="11"/>
  <c r="I194" i="209" s="1"/>
  <c r="O10" i="324"/>
  <c r="M14" i="325"/>
  <c r="O13" i="325"/>
  <c r="M10" i="324"/>
  <c r="L264" i="209"/>
  <c r="O14" i="105"/>
  <c r="X11" i="161"/>
  <c r="M11" i="324"/>
  <c r="O11" i="325"/>
  <c r="M12" i="324"/>
  <c r="X16" i="161"/>
  <c r="X15" i="161"/>
  <c r="X19" i="161"/>
  <c r="J39" i="161"/>
  <c r="X14" i="161"/>
  <c r="X13" i="161"/>
  <c r="X18" i="161"/>
  <c r="O9" i="105"/>
  <c r="R17" i="292"/>
  <c r="E11" i="328"/>
  <c r="E46" i="328" s="1"/>
  <c r="O9" i="214"/>
  <c r="O9" i="213"/>
  <c r="J702" i="209"/>
  <c r="E44" i="44"/>
  <c r="P102" i="209" s="1"/>
  <c r="E11" i="330"/>
  <c r="E46" i="330" s="1"/>
  <c r="E46" i="44"/>
  <c r="M18" i="39" s="1"/>
  <c r="E45" i="44"/>
  <c r="M17" i="72" s="1"/>
  <c r="E11" i="58"/>
  <c r="P660" i="209" s="1"/>
  <c r="J642" i="209"/>
  <c r="L14" i="325"/>
  <c r="N12" i="288"/>
  <c r="N12" i="289"/>
  <c r="S28" i="292"/>
  <c r="T28" i="292" s="1"/>
  <c r="X19" i="49"/>
  <c r="G38" i="212"/>
  <c r="L30" i="209" s="1"/>
  <c r="X16" i="32"/>
  <c r="N10" i="289"/>
  <c r="G37" i="185"/>
  <c r="O9" i="190" s="1"/>
  <c r="G41" i="185"/>
  <c r="O13" i="190" s="1"/>
  <c r="G18" i="171"/>
  <c r="G37" i="171" s="1"/>
  <c r="R210" i="246" s="1"/>
  <c r="G40" i="185"/>
  <c r="O12" i="284" s="1"/>
  <c r="H18" i="185"/>
  <c r="S750" i="209"/>
  <c r="O10" i="214"/>
  <c r="L24" i="209"/>
  <c r="O12" i="213"/>
  <c r="N14" i="288"/>
  <c r="X12" i="49"/>
  <c r="D15" i="7"/>
  <c r="O14" i="213"/>
  <c r="O12" i="214"/>
  <c r="L759" i="246"/>
  <c r="M798" i="246" s="1"/>
  <c r="M12" i="289"/>
  <c r="X14" i="49"/>
  <c r="M750" i="209"/>
  <c r="J41" i="49"/>
  <c r="J44" i="49" s="1"/>
  <c r="G18" i="228"/>
  <c r="G39" i="228" s="1"/>
  <c r="G38" i="185"/>
  <c r="O10" i="156" s="1"/>
  <c r="N11" i="290"/>
  <c r="G41" i="212"/>
  <c r="L210" i="209" s="1"/>
  <c r="G37" i="212"/>
  <c r="R210" i="209" s="1"/>
  <c r="G42" i="212"/>
  <c r="L270" i="209" s="1"/>
  <c r="G39" i="185"/>
  <c r="O11" i="156" s="1"/>
  <c r="O10" i="213"/>
  <c r="N14" i="290"/>
  <c r="G40" i="212"/>
  <c r="L90" i="209" s="1"/>
  <c r="H18" i="212"/>
  <c r="G39" i="212"/>
  <c r="R30" i="209" s="1"/>
  <c r="L13" i="325"/>
  <c r="L9" i="325"/>
  <c r="W25" i="325" s="1"/>
  <c r="J33" i="32"/>
  <c r="X17" i="32"/>
  <c r="X11" i="32"/>
  <c r="L16" i="223"/>
  <c r="N13" i="289"/>
  <c r="N13" i="288"/>
  <c r="P781" i="209"/>
  <c r="N12" i="307"/>
  <c r="L17" i="223"/>
  <c r="L16" i="103"/>
  <c r="L16" i="185"/>
  <c r="O86" i="246"/>
  <c r="F38" i="309"/>
  <c r="N10" i="308" s="1"/>
  <c r="F15" i="6"/>
  <c r="E18" i="6"/>
  <c r="J738" i="209" s="1"/>
  <c r="O11" i="105"/>
  <c r="O11" i="214"/>
  <c r="M738" i="246"/>
  <c r="O11" i="213"/>
  <c r="L12" i="324"/>
  <c r="W28" i="324" s="1"/>
  <c r="O19" i="325"/>
  <c r="L11" i="325"/>
  <c r="W27" i="325" s="1"/>
  <c r="H37" i="229"/>
  <c r="S544" i="209"/>
  <c r="M10" i="289"/>
  <c r="M12" i="288"/>
  <c r="M9" i="176"/>
  <c r="M9" i="97"/>
  <c r="M9" i="271"/>
  <c r="P16" i="333"/>
  <c r="N9" i="307"/>
  <c r="G18" i="184"/>
  <c r="G42" i="184" s="1"/>
  <c r="L311" i="246" s="1"/>
  <c r="M745" i="246"/>
  <c r="L17" i="103"/>
  <c r="L15" i="284"/>
  <c r="W31" i="284" s="1"/>
  <c r="M9" i="118"/>
  <c r="P219" i="246"/>
  <c r="M9" i="354"/>
  <c r="M9" i="99"/>
  <c r="M9" i="101"/>
  <c r="N19" i="296"/>
  <c r="N19" i="333"/>
  <c r="F42" i="309"/>
  <c r="N14" i="308" s="1"/>
  <c r="F37" i="309"/>
  <c r="N9" i="308" s="1"/>
  <c r="F39" i="309"/>
  <c r="N11" i="308" s="1"/>
  <c r="F41" i="309"/>
  <c r="N13" i="308" s="1"/>
  <c r="N17" i="223"/>
  <c r="N17" i="185"/>
  <c r="F37" i="184"/>
  <c r="Q249" i="246" s="1"/>
  <c r="N17" i="103"/>
  <c r="K148" i="246"/>
  <c r="I148" i="246"/>
  <c r="L17" i="185"/>
  <c r="L15" i="156"/>
  <c r="W31" i="156" s="1"/>
  <c r="P26" i="184"/>
  <c r="O17" i="186"/>
  <c r="M11" i="271"/>
  <c r="M13" i="97"/>
  <c r="M12" i="101"/>
  <c r="N11" i="360"/>
  <c r="E37" i="250"/>
  <c r="P241" i="209" s="1"/>
  <c r="K246" i="246"/>
  <c r="L10" i="356"/>
  <c r="W26" i="356" s="1"/>
  <c r="M18" i="344"/>
  <c r="K60" i="246"/>
  <c r="N14" i="307"/>
  <c r="N11" i="307"/>
  <c r="O18" i="104"/>
  <c r="M14" i="271"/>
  <c r="M14" i="97"/>
  <c r="M11" i="97"/>
  <c r="J95" i="246"/>
  <c r="J219" i="246"/>
  <c r="M12" i="99"/>
  <c r="M13" i="354"/>
  <c r="M12" i="354"/>
  <c r="M13" i="118"/>
  <c r="M12" i="359"/>
  <c r="M12" i="271"/>
  <c r="M13" i="99"/>
  <c r="M13" i="176"/>
  <c r="M12" i="118"/>
  <c r="M13" i="271"/>
  <c r="M13" i="101"/>
  <c r="M12" i="97"/>
  <c r="F40" i="184"/>
  <c r="K125" i="246" s="1"/>
  <c r="N13" i="295"/>
  <c r="N14" i="333"/>
  <c r="N13" i="296"/>
  <c r="N13" i="333"/>
  <c r="N19" i="295"/>
  <c r="P15" i="333"/>
  <c r="N11" i="295"/>
  <c r="N11" i="333"/>
  <c r="O19" i="296"/>
  <c r="O18" i="226"/>
  <c r="O18" i="170"/>
  <c r="N16" i="215"/>
  <c r="N16" i="103"/>
  <c r="N16" i="202"/>
  <c r="O16" i="173"/>
  <c r="N16" i="216"/>
  <c r="N18" i="355"/>
  <c r="N18" i="334"/>
  <c r="N18" i="215"/>
  <c r="Q86" i="246"/>
  <c r="M746" i="246"/>
  <c r="N16" i="334"/>
  <c r="O16" i="185"/>
  <c r="N16" i="166"/>
  <c r="N16" i="162"/>
  <c r="N16" i="165"/>
  <c r="O16" i="223"/>
  <c r="N16" i="223"/>
  <c r="N16" i="173"/>
  <c r="N16" i="355"/>
  <c r="N16" i="139"/>
  <c r="R86" i="246"/>
  <c r="K748" i="246"/>
  <c r="M39" i="292"/>
  <c r="S39" i="292" s="1"/>
  <c r="T39" i="292" s="1"/>
  <c r="F44" i="175"/>
  <c r="N16" i="212" s="1"/>
  <c r="M10" i="356"/>
  <c r="S304" i="209"/>
  <c r="L14" i="356"/>
  <c r="W30" i="356" s="1"/>
  <c r="I230" i="209"/>
  <c r="L11" i="356"/>
  <c r="W27" i="356" s="1"/>
  <c r="L13" i="345"/>
  <c r="W29" i="345" s="1"/>
  <c r="I50" i="209"/>
  <c r="M14" i="356"/>
  <c r="I782" i="209"/>
  <c r="M12" i="345"/>
  <c r="F46" i="175"/>
  <c r="N18" i="212" s="1"/>
  <c r="J50" i="209"/>
  <c r="R782" i="209"/>
  <c r="N18" i="139"/>
  <c r="N18" i="216"/>
  <c r="N18" i="202"/>
  <c r="N18" i="166"/>
  <c r="N18" i="162"/>
  <c r="O16" i="139"/>
  <c r="N18" i="165"/>
  <c r="N18" i="344"/>
  <c r="G45" i="175"/>
  <c r="O17" i="212" s="1"/>
  <c r="O18" i="216"/>
  <c r="F41" i="173"/>
  <c r="N13" i="162" s="1"/>
  <c r="M17" i="355"/>
  <c r="O18" i="202"/>
  <c r="F42" i="173"/>
  <c r="N14" i="162" s="1"/>
  <c r="F40" i="173"/>
  <c r="N12" i="334" s="1"/>
  <c r="F37" i="173"/>
  <c r="F39" i="173"/>
  <c r="O18" i="215"/>
  <c r="R35" i="292"/>
  <c r="F38" i="184"/>
  <c r="K63" i="246" s="1"/>
  <c r="P19" i="44"/>
  <c r="M17" i="216"/>
  <c r="O18" i="344"/>
  <c r="Q201" i="246"/>
  <c r="F39" i="184"/>
  <c r="Q63" i="246" s="1"/>
  <c r="M17" i="165"/>
  <c r="M9" i="289"/>
  <c r="O18" i="165"/>
  <c r="I86" i="246"/>
  <c r="N9" i="192"/>
  <c r="F42" i="184"/>
  <c r="K311" i="246" s="1"/>
  <c r="P19" i="248"/>
  <c r="M17" i="202"/>
  <c r="M17" i="139"/>
  <c r="M9" i="290"/>
  <c r="O18" i="139"/>
  <c r="N9" i="284"/>
  <c r="F41" i="184"/>
  <c r="K249" i="246" s="1"/>
  <c r="M17" i="215"/>
  <c r="O18" i="166"/>
  <c r="N9" i="190"/>
  <c r="K807" i="246"/>
  <c r="M17" i="166"/>
  <c r="M17" i="162"/>
  <c r="O18" i="334"/>
  <c r="M17" i="334"/>
  <c r="M424" i="209"/>
  <c r="S364" i="209"/>
  <c r="S184" i="209"/>
  <c r="P19" i="327"/>
  <c r="P19" i="250"/>
  <c r="P19" i="247"/>
  <c r="P19" i="328"/>
  <c r="P19" i="308"/>
  <c r="P19" i="291"/>
  <c r="P19" i="18"/>
  <c r="P19" i="326"/>
  <c r="P19" i="330"/>
  <c r="N14" i="296"/>
  <c r="N14" i="295"/>
  <c r="D41" i="171"/>
  <c r="L13" i="223" s="1"/>
  <c r="I768" i="246"/>
  <c r="R686" i="246"/>
  <c r="E40" i="84"/>
  <c r="J124" i="246" s="1"/>
  <c r="Q686" i="246"/>
  <c r="F44" i="174"/>
  <c r="N16" i="184" s="1"/>
  <c r="F45" i="174"/>
  <c r="K190" i="246" s="1"/>
  <c r="K686" i="246"/>
  <c r="O16" i="186"/>
  <c r="L180" i="246"/>
  <c r="O17" i="226"/>
  <c r="O17" i="170"/>
  <c r="L18" i="223"/>
  <c r="L18" i="103"/>
  <c r="L18" i="185"/>
  <c r="O18" i="355"/>
  <c r="O18" i="162"/>
  <c r="L12" i="103"/>
  <c r="L14" i="345"/>
  <c r="W30" i="345" s="1"/>
  <c r="O19" i="295"/>
  <c r="G46" i="174"/>
  <c r="O18" i="361" s="1"/>
  <c r="E38" i="84"/>
  <c r="J62" i="246" s="1"/>
  <c r="O16" i="226"/>
  <c r="M14" i="354"/>
  <c r="D41" i="228"/>
  <c r="L13" i="225" s="1"/>
  <c r="M13" i="356"/>
  <c r="P33" i="246"/>
  <c r="D47" i="185"/>
  <c r="L19" i="190" s="1"/>
  <c r="W34" i="190" s="1"/>
  <c r="R20" i="292"/>
  <c r="E41" i="250"/>
  <c r="J241" i="209" s="1"/>
  <c r="G14" i="7"/>
  <c r="G14" i="18" s="1"/>
  <c r="G14" i="330" s="1"/>
  <c r="F14" i="18"/>
  <c r="L686" i="246"/>
  <c r="E39" i="84"/>
  <c r="P62" i="246" s="1"/>
  <c r="R118" i="246"/>
  <c r="M14" i="176"/>
  <c r="D38" i="228"/>
  <c r="I62" i="209" s="1"/>
  <c r="M13" i="345"/>
  <c r="M11" i="176"/>
  <c r="L15" i="190"/>
  <c r="W31" i="190" s="1"/>
  <c r="J781" i="209"/>
  <c r="L748" i="246"/>
  <c r="D44" i="175"/>
  <c r="L16" i="212" s="1"/>
  <c r="E37" i="84"/>
  <c r="P248" i="246" s="1"/>
  <c r="O16" i="104"/>
  <c r="M14" i="101"/>
  <c r="D42" i="228"/>
  <c r="I302" i="209" s="1"/>
  <c r="M11" i="118"/>
  <c r="M770" i="209"/>
  <c r="G44" i="174"/>
  <c r="O16" i="84" s="1"/>
  <c r="E41" i="84"/>
  <c r="J248" i="246" s="1"/>
  <c r="J281" i="246"/>
  <c r="M14" i="359"/>
  <c r="D37" i="228"/>
  <c r="O242" i="209" s="1"/>
  <c r="M11" i="354"/>
  <c r="M11" i="99"/>
  <c r="E38" i="250"/>
  <c r="J61" i="209" s="1"/>
  <c r="X16" i="49"/>
  <c r="X21" i="49"/>
  <c r="L16" i="334"/>
  <c r="W32" i="334" s="1"/>
  <c r="E42" i="84"/>
  <c r="J310" i="246" s="1"/>
  <c r="O50" i="209"/>
  <c r="M14" i="99"/>
  <c r="D39" i="228"/>
  <c r="L11" i="225" s="1"/>
  <c r="M11" i="359"/>
  <c r="M18" i="165"/>
  <c r="O19" i="333"/>
  <c r="E42" i="250"/>
  <c r="J301" i="209" s="1"/>
  <c r="L16" i="355"/>
  <c r="W32" i="355" s="1"/>
  <c r="P122" i="209"/>
  <c r="V33" i="292"/>
  <c r="M13" i="289"/>
  <c r="D38" i="171"/>
  <c r="L10" i="223" s="1"/>
  <c r="M11" i="289"/>
  <c r="M10" i="290"/>
  <c r="L12" i="223"/>
  <c r="L12" i="173"/>
  <c r="M13" i="290"/>
  <c r="M11" i="288"/>
  <c r="D42" i="171"/>
  <c r="I272" i="246" s="1"/>
  <c r="O15" i="202"/>
  <c r="O15" i="139"/>
  <c r="L9" i="345"/>
  <c r="W25" i="345" s="1"/>
  <c r="D37" i="171"/>
  <c r="O210" i="246" s="1"/>
  <c r="O230" i="209"/>
  <c r="O15" i="344"/>
  <c r="D39" i="171"/>
  <c r="O24" i="246" s="1"/>
  <c r="L18" i="139"/>
  <c r="L18" i="202"/>
  <c r="M12" i="356"/>
  <c r="G18" i="173"/>
  <c r="G38" i="223"/>
  <c r="L22" i="246" s="1"/>
  <c r="L766" i="246"/>
  <c r="G42" i="223"/>
  <c r="L270" i="246" s="1"/>
  <c r="G39" i="223"/>
  <c r="R22" i="246" s="1"/>
  <c r="H18" i="223"/>
  <c r="G37" i="223"/>
  <c r="R208" i="246" s="1"/>
  <c r="G40" i="223"/>
  <c r="L84" i="246" s="1"/>
  <c r="G41" i="223"/>
  <c r="L208" i="246" s="1"/>
  <c r="O16" i="137"/>
  <c r="M14" i="345"/>
  <c r="P50" i="209"/>
  <c r="L16" i="165"/>
  <c r="W32" i="165" s="1"/>
  <c r="M18" i="202"/>
  <c r="M18" i="216"/>
  <c r="M18" i="215"/>
  <c r="L16" i="202"/>
  <c r="W32" i="202" s="1"/>
  <c r="L18" i="165"/>
  <c r="D45" i="175"/>
  <c r="L17" i="212" s="1"/>
  <c r="L16" i="344"/>
  <c r="W32" i="344" s="1"/>
  <c r="L16" i="166"/>
  <c r="W32" i="166" s="1"/>
  <c r="L18" i="216"/>
  <c r="L18" i="166"/>
  <c r="L18" i="215"/>
  <c r="O16" i="355"/>
  <c r="M18" i="334"/>
  <c r="M18" i="162"/>
  <c r="M18" i="139"/>
  <c r="L16" i="139"/>
  <c r="W32" i="139" s="1"/>
  <c r="L18" i="355"/>
  <c r="O16" i="344"/>
  <c r="L16" i="162"/>
  <c r="W32" i="162" s="1"/>
  <c r="L16" i="215"/>
  <c r="W32" i="215" s="1"/>
  <c r="L18" i="162"/>
  <c r="L18" i="334"/>
  <c r="O16" i="334"/>
  <c r="M18" i="355"/>
  <c r="O15" i="162"/>
  <c r="O15" i="215"/>
  <c r="O15" i="334"/>
  <c r="G47" i="173"/>
  <c r="O19" i="165" s="1"/>
  <c r="O15" i="165"/>
  <c r="O15" i="166"/>
  <c r="O15" i="216"/>
  <c r="P26" i="173"/>
  <c r="N12" i="192"/>
  <c r="R752" i="209"/>
  <c r="N12" i="156"/>
  <c r="K77" i="246"/>
  <c r="N12" i="190"/>
  <c r="O26" i="229"/>
  <c r="R784" i="209" s="1"/>
  <c r="E15" i="13"/>
  <c r="D18" i="13"/>
  <c r="J34" i="30"/>
  <c r="J38" i="30" s="1"/>
  <c r="V15" i="30"/>
  <c r="V18" i="30"/>
  <c r="V19" i="30"/>
  <c r="V12" i="30"/>
  <c r="V11" i="30"/>
  <c r="M15" i="165"/>
  <c r="N15" i="215"/>
  <c r="M17" i="225"/>
  <c r="W32" i="225" s="1"/>
  <c r="G46" i="175"/>
  <c r="O18" i="212" s="1"/>
  <c r="N15" i="355"/>
  <c r="J24" i="292"/>
  <c r="N15" i="334"/>
  <c r="N9" i="295"/>
  <c r="N12" i="360"/>
  <c r="H38" i="229"/>
  <c r="P10" i="327" s="1"/>
  <c r="S777" i="209"/>
  <c r="N15" i="166"/>
  <c r="N15" i="216"/>
  <c r="O18" i="146"/>
  <c r="N9" i="360"/>
  <c r="N12" i="295"/>
  <c r="N15" i="344"/>
  <c r="O18" i="141"/>
  <c r="O17" i="189"/>
  <c r="N10" i="192"/>
  <c r="N9" i="296"/>
  <c r="N12" i="333"/>
  <c r="F47" i="173"/>
  <c r="O17" i="293"/>
  <c r="D592" i="209"/>
  <c r="U532" i="209"/>
  <c r="N15" i="202"/>
  <c r="E44" i="175"/>
  <c r="M16" i="212" s="1"/>
  <c r="W31" i="212" s="1"/>
  <c r="D43" i="173"/>
  <c r="D47" i="173" s="1"/>
  <c r="G42" i="186"/>
  <c r="G38" i="186"/>
  <c r="G37" i="186"/>
  <c r="G40" i="186"/>
  <c r="G39" i="186"/>
  <c r="L782" i="246"/>
  <c r="M782" i="246" s="1"/>
  <c r="G41" i="186"/>
  <c r="J782" i="209"/>
  <c r="N19" i="288"/>
  <c r="N19" i="289"/>
  <c r="N19" i="290"/>
  <c r="E42" i="228"/>
  <c r="J302" i="209" s="1"/>
  <c r="X13" i="49"/>
  <c r="E41" i="228"/>
  <c r="M13" i="225" s="1"/>
  <c r="W28" i="225" s="1"/>
  <c r="P26" i="309"/>
  <c r="J39" i="100"/>
  <c r="X11" i="100"/>
  <c r="X17" i="100"/>
  <c r="X16" i="100"/>
  <c r="X13" i="100"/>
  <c r="X14" i="100"/>
  <c r="X18" i="100"/>
  <c r="X15" i="100"/>
  <c r="X12" i="100"/>
  <c r="E40" i="228"/>
  <c r="M12" i="225" s="1"/>
  <c r="W27" i="225" s="1"/>
  <c r="E39" i="228"/>
  <c r="M11" i="225" s="1"/>
  <c r="W26" i="225" s="1"/>
  <c r="M11" i="356"/>
  <c r="X15" i="49"/>
  <c r="P18" i="327"/>
  <c r="M184" i="209"/>
  <c r="P18" i="44"/>
  <c r="P17" i="248"/>
  <c r="P17" i="327"/>
  <c r="P17" i="326"/>
  <c r="P15" i="84"/>
  <c r="M18" i="160"/>
  <c r="M18" i="353"/>
  <c r="O15" i="104"/>
  <c r="M18" i="178"/>
  <c r="M18" i="183"/>
  <c r="O16" i="189"/>
  <c r="M18" i="137"/>
  <c r="O18" i="187"/>
  <c r="O17" i="195"/>
  <c r="G47" i="172"/>
  <c r="R180" i="246" s="1"/>
  <c r="O18" i="270"/>
  <c r="O18" i="204"/>
  <c r="O16" i="126"/>
  <c r="O16" i="146"/>
  <c r="O17" i="194"/>
  <c r="L26" i="175"/>
  <c r="D43" i="175" s="1"/>
  <c r="E45" i="175"/>
  <c r="M17" i="212" s="1"/>
  <c r="W32" i="212" s="1"/>
  <c r="N15" i="162"/>
  <c r="N15" i="165"/>
  <c r="E38" i="228"/>
  <c r="M10" i="225" s="1"/>
  <c r="W25" i="225" s="1"/>
  <c r="M18" i="146"/>
  <c r="D44" i="174"/>
  <c r="L16" i="84" s="1"/>
  <c r="I748" i="246"/>
  <c r="O16" i="215"/>
  <c r="O16" i="202"/>
  <c r="O17" i="223"/>
  <c r="M18" i="189"/>
  <c r="M18" i="293"/>
  <c r="M18" i="188"/>
  <c r="N14" i="284"/>
  <c r="P18" i="174"/>
  <c r="P18" i="330"/>
  <c r="S770" i="209"/>
  <c r="P15" i="309"/>
  <c r="P15" i="184"/>
  <c r="L11" i="360"/>
  <c r="W27" i="360" s="1"/>
  <c r="L11" i="296"/>
  <c r="L11" i="333"/>
  <c r="L11" i="295"/>
  <c r="M18" i="219"/>
  <c r="O16" i="216"/>
  <c r="L148" i="246"/>
  <c r="M18" i="187"/>
  <c r="M18" i="141"/>
  <c r="O15" i="226"/>
  <c r="P18" i="58"/>
  <c r="P18" i="250"/>
  <c r="M721" i="209"/>
  <c r="P15" i="175"/>
  <c r="L14" i="295"/>
  <c r="L14" i="360"/>
  <c r="W30" i="360" s="1"/>
  <c r="L14" i="333"/>
  <c r="L14" i="296"/>
  <c r="O16" i="166"/>
  <c r="M18" i="195"/>
  <c r="M18" i="194"/>
  <c r="M18" i="349"/>
  <c r="O15" i="186"/>
  <c r="K263" i="246"/>
  <c r="M15" i="79"/>
  <c r="P15" i="229"/>
  <c r="L12" i="360"/>
  <c r="W28" i="360" s="1"/>
  <c r="L12" i="333"/>
  <c r="L12" i="295"/>
  <c r="L12" i="296"/>
  <c r="O15" i="308"/>
  <c r="G47" i="309"/>
  <c r="O19" i="308" s="1"/>
  <c r="P18" i="247"/>
  <c r="O16" i="162"/>
  <c r="O17" i="173"/>
  <c r="M18" i="151"/>
  <c r="M18" i="126"/>
  <c r="M18" i="362"/>
  <c r="N14" i="156"/>
  <c r="P18" i="18"/>
  <c r="P18" i="248"/>
  <c r="P15" i="361"/>
  <c r="L10" i="360"/>
  <c r="W26" i="360" s="1"/>
  <c r="L10" i="296"/>
  <c r="L10" i="295"/>
  <c r="L10" i="333"/>
  <c r="O17" i="103"/>
  <c r="M18" i="204"/>
  <c r="N14" i="192"/>
  <c r="P18" i="326"/>
  <c r="P18" i="291"/>
  <c r="E47" i="308"/>
  <c r="M15" i="307"/>
  <c r="L9" i="360"/>
  <c r="W25" i="360" s="1"/>
  <c r="L9" i="333"/>
  <c r="L9" i="295"/>
  <c r="L9" i="296"/>
  <c r="L13" i="360"/>
  <c r="W29" i="360" s="1"/>
  <c r="L13" i="296"/>
  <c r="L13" i="333"/>
  <c r="L13" i="295"/>
  <c r="G47" i="308"/>
  <c r="O15" i="307"/>
  <c r="O16" i="165"/>
  <c r="M18" i="270"/>
  <c r="P18" i="328"/>
  <c r="P15" i="172"/>
  <c r="P15" i="231"/>
  <c r="M777" i="209"/>
  <c r="E47" i="309"/>
  <c r="M19" i="308" s="1"/>
  <c r="M15" i="308"/>
  <c r="W30" i="308" s="1"/>
  <c r="M15" i="202"/>
  <c r="O18" i="194"/>
  <c r="O18" i="293"/>
  <c r="O18" i="126"/>
  <c r="O16" i="141"/>
  <c r="O16" i="188"/>
  <c r="O17" i="160"/>
  <c r="O17" i="203"/>
  <c r="P17" i="330"/>
  <c r="P17" i="247"/>
  <c r="V462" i="209"/>
  <c r="V522" i="209" s="1"/>
  <c r="V582" i="209" s="1"/>
  <c r="V642" i="209" s="1"/>
  <c r="V702" i="209" s="1"/>
  <c r="V762" i="209" s="1"/>
  <c r="C522" i="209"/>
  <c r="C582" i="209" s="1"/>
  <c r="C642" i="209" s="1"/>
  <c r="C702" i="209" s="1"/>
  <c r="C762" i="209" s="1"/>
  <c r="O18" i="362"/>
  <c r="O18" i="160"/>
  <c r="O16" i="203"/>
  <c r="O16" i="160"/>
  <c r="O16" i="187"/>
  <c r="O17" i="126"/>
  <c r="O17" i="187"/>
  <c r="O17" i="183"/>
  <c r="N10" i="156"/>
  <c r="P17" i="291"/>
  <c r="O18" i="178"/>
  <c r="O18" i="189"/>
  <c r="O16" i="349"/>
  <c r="O16" i="151"/>
  <c r="O16" i="293"/>
  <c r="O17" i="137"/>
  <c r="O17" i="151"/>
  <c r="O17" i="349"/>
  <c r="K15" i="246"/>
  <c r="P17" i="58"/>
  <c r="P17" i="328"/>
  <c r="O18" i="151"/>
  <c r="O18" i="219"/>
  <c r="O18" i="137"/>
  <c r="O16" i="270"/>
  <c r="O16" i="362"/>
  <c r="O16" i="183"/>
  <c r="O17" i="219"/>
  <c r="O17" i="188"/>
  <c r="O17" i="146"/>
  <c r="N10" i="190"/>
  <c r="P17" i="18"/>
  <c r="X20" i="49"/>
  <c r="O18" i="349"/>
  <c r="O18" i="195"/>
  <c r="O18" i="353"/>
  <c r="O16" i="204"/>
  <c r="O16" i="194"/>
  <c r="O16" i="353"/>
  <c r="O17" i="362"/>
  <c r="O17" i="270"/>
  <c r="O17" i="353"/>
  <c r="P17" i="174"/>
  <c r="P17" i="44"/>
  <c r="O18" i="203"/>
  <c r="O18" i="183"/>
  <c r="O16" i="178"/>
  <c r="O16" i="195"/>
  <c r="O17" i="204"/>
  <c r="O17" i="178"/>
  <c r="P17" i="308"/>
  <c r="O15" i="9"/>
  <c r="O15" i="7"/>
  <c r="O15" i="10"/>
  <c r="O15" i="14"/>
  <c r="O15" i="15"/>
  <c r="G47" i="18"/>
  <c r="O15" i="125"/>
  <c r="O15" i="13"/>
  <c r="O15" i="6"/>
  <c r="O15" i="16"/>
  <c r="O15" i="11"/>
  <c r="O15" i="4"/>
  <c r="M19" i="95"/>
  <c r="M19" i="191"/>
  <c r="M19" i="279"/>
  <c r="P162" i="246"/>
  <c r="F40" i="171"/>
  <c r="N12" i="103" s="1"/>
  <c r="F37" i="171"/>
  <c r="N9" i="173" s="1"/>
  <c r="F41" i="171"/>
  <c r="N13" i="173" s="1"/>
  <c r="R30" i="292"/>
  <c r="F39" i="171"/>
  <c r="N11" i="185" s="1"/>
  <c r="F38" i="171"/>
  <c r="K24" i="246" s="1"/>
  <c r="F42" i="171"/>
  <c r="N14" i="103" s="1"/>
  <c r="N15" i="185"/>
  <c r="D45" i="174"/>
  <c r="I190" i="246" s="1"/>
  <c r="O686" i="246"/>
  <c r="N13" i="156"/>
  <c r="Q15" i="246"/>
  <c r="I686" i="246"/>
  <c r="K201" i="246"/>
  <c r="N11" i="190"/>
  <c r="N13" i="284"/>
  <c r="N13" i="192"/>
  <c r="N11" i="156"/>
  <c r="N11" i="284"/>
  <c r="I15" i="246"/>
  <c r="L10" i="192"/>
  <c r="W26" i="192" s="1"/>
  <c r="L10" i="156"/>
  <c r="W26" i="156" s="1"/>
  <c r="L10" i="190"/>
  <c r="W26" i="190" s="1"/>
  <c r="L10" i="284"/>
  <c r="W26" i="284" s="1"/>
  <c r="L13" i="290"/>
  <c r="W29" i="290" s="1"/>
  <c r="L13" i="288"/>
  <c r="W29" i="288" s="1"/>
  <c r="L13" i="289"/>
  <c r="W29" i="289" s="1"/>
  <c r="M13" i="360"/>
  <c r="M13" i="296"/>
  <c r="W29" i="296" s="1"/>
  <c r="M13" i="295"/>
  <c r="W29" i="295" s="1"/>
  <c r="M13" i="333"/>
  <c r="M13" i="191"/>
  <c r="J224" i="246"/>
  <c r="M13" i="279"/>
  <c r="M13" i="95"/>
  <c r="O38" i="246"/>
  <c r="L11" i="191"/>
  <c r="W27" i="191" s="1"/>
  <c r="L11" i="95"/>
  <c r="W27" i="95" s="1"/>
  <c r="L11" i="279"/>
  <c r="W27" i="279" s="1"/>
  <c r="M10" i="347"/>
  <c r="M10" i="221"/>
  <c r="J57" i="209"/>
  <c r="M10" i="220"/>
  <c r="N13" i="325"/>
  <c r="N13" i="324"/>
  <c r="L10" i="220"/>
  <c r="W26" i="220" s="1"/>
  <c r="L10" i="221"/>
  <c r="W26" i="221" s="1"/>
  <c r="I57" i="209"/>
  <c r="L10" i="347"/>
  <c r="W26" i="347" s="1"/>
  <c r="N10" i="105"/>
  <c r="K24" i="209"/>
  <c r="N10" i="213"/>
  <c r="N10" i="214"/>
  <c r="O12" i="221"/>
  <c r="O12" i="220"/>
  <c r="L117" i="209"/>
  <c r="O12" i="347"/>
  <c r="O9" i="333"/>
  <c r="O9" i="296"/>
  <c r="O9" i="360"/>
  <c r="O9" i="295"/>
  <c r="M15" i="139"/>
  <c r="I263" i="246"/>
  <c r="L14" i="190"/>
  <c r="W30" i="190" s="1"/>
  <c r="L14" i="192"/>
  <c r="W30" i="192" s="1"/>
  <c r="L14" i="156"/>
  <c r="W30" i="156" s="1"/>
  <c r="L14" i="284"/>
  <c r="W30" i="284" s="1"/>
  <c r="L9" i="290"/>
  <c r="W25" i="290" s="1"/>
  <c r="L9" i="288"/>
  <c r="W25" i="288" s="1"/>
  <c r="L9" i="289"/>
  <c r="W25" i="289" s="1"/>
  <c r="N9" i="220"/>
  <c r="N9" i="221"/>
  <c r="Q237" i="209"/>
  <c r="N9" i="347"/>
  <c r="M10" i="191"/>
  <c r="M10" i="95"/>
  <c r="J38" i="246"/>
  <c r="M10" i="279"/>
  <c r="O224" i="246"/>
  <c r="L9" i="95"/>
  <c r="W25" i="95" s="1"/>
  <c r="L9" i="191"/>
  <c r="W25" i="191" s="1"/>
  <c r="L9" i="279"/>
  <c r="W25" i="279" s="1"/>
  <c r="M14" i="213"/>
  <c r="M14" i="105"/>
  <c r="M14" i="214"/>
  <c r="J264" i="209"/>
  <c r="N10" i="325"/>
  <c r="N10" i="324"/>
  <c r="O57" i="209"/>
  <c r="L11" i="220"/>
  <c r="W27" i="220" s="1"/>
  <c r="L11" i="347"/>
  <c r="W27" i="347" s="1"/>
  <c r="L11" i="221"/>
  <c r="W27" i="221" s="1"/>
  <c r="O9" i="220"/>
  <c r="R237" i="209"/>
  <c r="O9" i="221"/>
  <c r="O9" i="347"/>
  <c r="O12" i="295"/>
  <c r="O12" i="333"/>
  <c r="O12" i="296"/>
  <c r="O12" i="360"/>
  <c r="N10" i="221"/>
  <c r="N10" i="220"/>
  <c r="K57" i="209"/>
  <c r="N10" i="347"/>
  <c r="O12" i="288"/>
  <c r="O12" i="289"/>
  <c r="O12" i="290"/>
  <c r="O11" i="296"/>
  <c r="O11" i="295"/>
  <c r="O11" i="333"/>
  <c r="O11" i="360"/>
  <c r="M15" i="216"/>
  <c r="M15" i="162"/>
  <c r="L12" i="156"/>
  <c r="W28" i="156" s="1"/>
  <c r="L12" i="190"/>
  <c r="W28" i="190" s="1"/>
  <c r="I77" i="246"/>
  <c r="L12" i="284"/>
  <c r="W28" i="284" s="1"/>
  <c r="L12" i="192"/>
  <c r="W28" i="192" s="1"/>
  <c r="L14" i="288"/>
  <c r="W30" i="288" s="1"/>
  <c r="L14" i="289"/>
  <c r="W30" i="289" s="1"/>
  <c r="L14" i="290"/>
  <c r="W30" i="290" s="1"/>
  <c r="N13" i="220"/>
  <c r="N13" i="347"/>
  <c r="N13" i="221"/>
  <c r="K237" i="209"/>
  <c r="M11" i="296"/>
  <c r="W27" i="296" s="1"/>
  <c r="M11" i="295"/>
  <c r="W27" i="295" s="1"/>
  <c r="M11" i="333"/>
  <c r="W27" i="333" s="1"/>
  <c r="M11" i="360"/>
  <c r="O11" i="288"/>
  <c r="O11" i="290"/>
  <c r="O11" i="289"/>
  <c r="M12" i="191"/>
  <c r="J100" i="246"/>
  <c r="M12" i="95"/>
  <c r="M12" i="279"/>
  <c r="M11" i="214"/>
  <c r="M11" i="105"/>
  <c r="P24" i="209"/>
  <c r="M11" i="213"/>
  <c r="N12" i="324"/>
  <c r="N12" i="325"/>
  <c r="L9" i="347"/>
  <c r="W25" i="347" s="1"/>
  <c r="O237" i="209"/>
  <c r="L9" i="221"/>
  <c r="W25" i="221" s="1"/>
  <c r="L9" i="220"/>
  <c r="W25" i="220" s="1"/>
  <c r="K204" i="209"/>
  <c r="N13" i="105"/>
  <c r="N13" i="214"/>
  <c r="N13" i="213"/>
  <c r="O10" i="295"/>
  <c r="O10" i="360"/>
  <c r="O10" i="296"/>
  <c r="O10" i="333"/>
  <c r="I100" i="246"/>
  <c r="L12" i="279"/>
  <c r="W28" i="279" s="1"/>
  <c r="L12" i="191"/>
  <c r="W28" i="191" s="1"/>
  <c r="L12" i="95"/>
  <c r="W28" i="95" s="1"/>
  <c r="P204" i="209"/>
  <c r="M9" i="105"/>
  <c r="M9" i="214"/>
  <c r="M9" i="213"/>
  <c r="M14" i="220"/>
  <c r="M14" i="221"/>
  <c r="M14" i="347"/>
  <c r="J297" i="209"/>
  <c r="R15" i="292"/>
  <c r="U15" i="292"/>
  <c r="L237" i="209"/>
  <c r="O13" i="221"/>
  <c r="O13" i="220"/>
  <c r="O13" i="347"/>
  <c r="N15" i="103"/>
  <c r="E47" i="173"/>
  <c r="M15" i="344"/>
  <c r="L11" i="284"/>
  <c r="W27" i="284" s="1"/>
  <c r="O15" i="246"/>
  <c r="L11" i="190"/>
  <c r="W27" i="190" s="1"/>
  <c r="L11" i="156"/>
  <c r="W27" i="156" s="1"/>
  <c r="L11" i="192"/>
  <c r="W27" i="192" s="1"/>
  <c r="R16" i="292"/>
  <c r="U16" i="292"/>
  <c r="M9" i="295"/>
  <c r="W25" i="295" s="1"/>
  <c r="M9" i="296"/>
  <c r="W25" i="296" s="1"/>
  <c r="M9" i="333"/>
  <c r="W25" i="333" s="1"/>
  <c r="M9" i="360"/>
  <c r="O13" i="289"/>
  <c r="O13" i="288"/>
  <c r="O13" i="290"/>
  <c r="M9" i="279"/>
  <c r="P224" i="246"/>
  <c r="M9" i="95"/>
  <c r="M9" i="191"/>
  <c r="L10" i="279"/>
  <c r="W26" i="279" s="1"/>
  <c r="L10" i="95"/>
  <c r="W26" i="95" s="1"/>
  <c r="I38" i="246"/>
  <c r="L10" i="191"/>
  <c r="W26" i="191" s="1"/>
  <c r="M10" i="105"/>
  <c r="M10" i="213"/>
  <c r="M10" i="214"/>
  <c r="J24" i="209"/>
  <c r="M12" i="220"/>
  <c r="J117" i="209"/>
  <c r="M12" i="347"/>
  <c r="M12" i="221"/>
  <c r="N9" i="325"/>
  <c r="N9" i="324"/>
  <c r="L12" i="221"/>
  <c r="W28" i="221" s="1"/>
  <c r="I117" i="209"/>
  <c r="L12" i="347"/>
  <c r="W28" i="347" s="1"/>
  <c r="L12" i="220"/>
  <c r="W28" i="220" s="1"/>
  <c r="N9" i="105"/>
  <c r="Q204" i="209"/>
  <c r="N9" i="214"/>
  <c r="N9" i="213"/>
  <c r="L297" i="209"/>
  <c r="O14" i="347"/>
  <c r="O14" i="220"/>
  <c r="O14" i="221"/>
  <c r="F47" i="171"/>
  <c r="Q148" i="246" s="1"/>
  <c r="M15" i="215"/>
  <c r="M15" i="166"/>
  <c r="O19" i="288"/>
  <c r="O19" i="290"/>
  <c r="O19" i="289"/>
  <c r="L10" i="289"/>
  <c r="W26" i="289" s="1"/>
  <c r="L10" i="288"/>
  <c r="W26" i="288" s="1"/>
  <c r="L10" i="290"/>
  <c r="W26" i="290" s="1"/>
  <c r="M19" i="296"/>
  <c r="W34" i="296" s="1"/>
  <c r="M19" i="295"/>
  <c r="W34" i="295" s="1"/>
  <c r="M19" i="333"/>
  <c r="W32" i="333" s="1"/>
  <c r="M19" i="360"/>
  <c r="E47" i="248"/>
  <c r="M19" i="364" s="1"/>
  <c r="M15" i="347"/>
  <c r="M15" i="221"/>
  <c r="M15" i="220"/>
  <c r="N11" i="221"/>
  <c r="Q57" i="209"/>
  <c r="N11" i="347"/>
  <c r="N11" i="220"/>
  <c r="M14" i="333"/>
  <c r="M14" i="360"/>
  <c r="M14" i="295"/>
  <c r="W30" i="295" s="1"/>
  <c r="M14" i="296"/>
  <c r="W30" i="296" s="1"/>
  <c r="O14" i="289"/>
  <c r="O14" i="290"/>
  <c r="O14" i="288"/>
  <c r="I224" i="246"/>
  <c r="L13" i="279"/>
  <c r="W29" i="279" s="1"/>
  <c r="L13" i="95"/>
  <c r="W29" i="95" s="1"/>
  <c r="L13" i="191"/>
  <c r="W29" i="191" s="1"/>
  <c r="J84" i="209"/>
  <c r="M12" i="105"/>
  <c r="M12" i="213"/>
  <c r="M12" i="214"/>
  <c r="M9" i="221"/>
  <c r="M9" i="347"/>
  <c r="P237" i="209"/>
  <c r="M9" i="220"/>
  <c r="N14" i="325"/>
  <c r="N14" i="324"/>
  <c r="L14" i="221"/>
  <c r="W30" i="221" s="1"/>
  <c r="L14" i="220"/>
  <c r="W30" i="220" s="1"/>
  <c r="I297" i="209"/>
  <c r="L14" i="347"/>
  <c r="W30" i="347" s="1"/>
  <c r="N14" i="214"/>
  <c r="K264" i="209"/>
  <c r="N14" i="213"/>
  <c r="N14" i="105"/>
  <c r="O162" i="246"/>
  <c r="L19" i="95"/>
  <c r="W34" i="95" s="1"/>
  <c r="L19" i="191"/>
  <c r="W34" i="191" s="1"/>
  <c r="L19" i="279"/>
  <c r="W34" i="279" s="1"/>
  <c r="O11" i="221"/>
  <c r="O11" i="347"/>
  <c r="O11" i="220"/>
  <c r="R57" i="209"/>
  <c r="O14" i="296"/>
  <c r="O14" i="333"/>
  <c r="O14" i="360"/>
  <c r="O14" i="295"/>
  <c r="L15" i="347"/>
  <c r="W31" i="347" s="1"/>
  <c r="D47" i="248"/>
  <c r="L19" i="364" s="1"/>
  <c r="W34" i="364" s="1"/>
  <c r="L15" i="220"/>
  <c r="W31" i="220" s="1"/>
  <c r="L15" i="221"/>
  <c r="W31" i="221" s="1"/>
  <c r="N15" i="173"/>
  <c r="D47" i="291"/>
  <c r="L15" i="290"/>
  <c r="W31" i="290" s="1"/>
  <c r="L15" i="289"/>
  <c r="W31" i="289" s="1"/>
  <c r="L15" i="288"/>
  <c r="W31" i="288" s="1"/>
  <c r="L11" i="290"/>
  <c r="W27" i="290" s="1"/>
  <c r="L11" i="288"/>
  <c r="W27" i="288" s="1"/>
  <c r="L11" i="289"/>
  <c r="W27" i="289" s="1"/>
  <c r="F47" i="247"/>
  <c r="N15" i="105"/>
  <c r="N15" i="214"/>
  <c r="N15" i="213"/>
  <c r="N12" i="347"/>
  <c r="N12" i="221"/>
  <c r="N12" i="220"/>
  <c r="K117" i="209"/>
  <c r="M12" i="360"/>
  <c r="M12" i="333"/>
  <c r="W28" i="333" s="1"/>
  <c r="M12" i="296"/>
  <c r="W28" i="296" s="1"/>
  <c r="M12" i="295"/>
  <c r="W28" i="295" s="1"/>
  <c r="O10" i="288"/>
  <c r="O10" i="289"/>
  <c r="O10" i="290"/>
  <c r="J286" i="246"/>
  <c r="M14" i="279"/>
  <c r="M14" i="191"/>
  <c r="M14" i="95"/>
  <c r="M15" i="214"/>
  <c r="E47" i="247"/>
  <c r="M15" i="213"/>
  <c r="M15" i="105"/>
  <c r="N19" i="325"/>
  <c r="N19" i="324"/>
  <c r="M13" i="105"/>
  <c r="J204" i="209"/>
  <c r="M13" i="213"/>
  <c r="M13" i="214"/>
  <c r="M11" i="220"/>
  <c r="P57" i="209"/>
  <c r="M11" i="221"/>
  <c r="M11" i="347"/>
  <c r="N11" i="325"/>
  <c r="N11" i="324"/>
  <c r="Q24" i="209"/>
  <c r="N11" i="213"/>
  <c r="N11" i="214"/>
  <c r="N11" i="105"/>
  <c r="N15" i="220"/>
  <c r="F47" i="248"/>
  <c r="N19" i="364" s="1"/>
  <c r="N15" i="221"/>
  <c r="N15" i="347"/>
  <c r="O13" i="295"/>
  <c r="O13" i="360"/>
  <c r="O13" i="296"/>
  <c r="O13" i="333"/>
  <c r="L13" i="192"/>
  <c r="W29" i="192" s="1"/>
  <c r="L13" i="190"/>
  <c r="W29" i="190" s="1"/>
  <c r="L13" i="284"/>
  <c r="W29" i="284" s="1"/>
  <c r="L13" i="156"/>
  <c r="W29" i="156" s="1"/>
  <c r="I201" i="246"/>
  <c r="M11" i="279"/>
  <c r="M11" i="95"/>
  <c r="M11" i="191"/>
  <c r="P38" i="246"/>
  <c r="M15" i="355"/>
  <c r="L9" i="192"/>
  <c r="W25" i="192" s="1"/>
  <c r="O201" i="246"/>
  <c r="L9" i="156"/>
  <c r="W25" i="156" s="1"/>
  <c r="L9" i="190"/>
  <c r="W25" i="190" s="1"/>
  <c r="L9" i="284"/>
  <c r="W25" i="284" s="1"/>
  <c r="L12" i="289"/>
  <c r="W28" i="289" s="1"/>
  <c r="L12" i="290"/>
  <c r="W28" i="290" s="1"/>
  <c r="L12" i="288"/>
  <c r="W28" i="288" s="1"/>
  <c r="K297" i="209"/>
  <c r="N14" i="220"/>
  <c r="N14" i="221"/>
  <c r="N14" i="347"/>
  <c r="M10" i="296"/>
  <c r="W26" i="296" s="1"/>
  <c r="M10" i="333"/>
  <c r="W26" i="333" s="1"/>
  <c r="M10" i="360"/>
  <c r="M10" i="295"/>
  <c r="W26" i="295" s="1"/>
  <c r="O9" i="288"/>
  <c r="O9" i="289"/>
  <c r="O9" i="290"/>
  <c r="I286" i="246"/>
  <c r="L14" i="279"/>
  <c r="W30" i="279" s="1"/>
  <c r="L14" i="191"/>
  <c r="W30" i="191" s="1"/>
  <c r="L14" i="95"/>
  <c r="W30" i="95" s="1"/>
  <c r="M13" i="221"/>
  <c r="M13" i="220"/>
  <c r="J237" i="209"/>
  <c r="M13" i="347"/>
  <c r="U12" i="292"/>
  <c r="R12" i="292"/>
  <c r="I237" i="209"/>
  <c r="L13" i="221"/>
  <c r="W29" i="221" s="1"/>
  <c r="L13" i="220"/>
  <c r="W29" i="220" s="1"/>
  <c r="L13" i="347"/>
  <c r="W29" i="347" s="1"/>
  <c r="K84" i="209"/>
  <c r="N12" i="213"/>
  <c r="N12" i="214"/>
  <c r="N12" i="105"/>
  <c r="O10" i="347"/>
  <c r="O10" i="221"/>
  <c r="O10" i="220"/>
  <c r="L57" i="209"/>
  <c r="O15" i="185"/>
  <c r="M16" i="204"/>
  <c r="F42" i="125"/>
  <c r="K253" i="209" s="1"/>
  <c r="F40" i="125"/>
  <c r="K73" i="209" s="1"/>
  <c r="F39" i="125"/>
  <c r="Q13" i="209" s="1"/>
  <c r="F41" i="125"/>
  <c r="K193" i="209" s="1"/>
  <c r="F37" i="125"/>
  <c r="Q193" i="209" s="1"/>
  <c r="K733" i="209"/>
  <c r="F38" i="125"/>
  <c r="K13" i="209" s="1"/>
  <c r="G15" i="154"/>
  <c r="G18" i="154" s="1"/>
  <c r="F18" i="154"/>
  <c r="M16" i="353"/>
  <c r="X16" i="124"/>
  <c r="X11" i="124"/>
  <c r="X12" i="124"/>
  <c r="J32" i="124"/>
  <c r="G42" i="125"/>
  <c r="L253" i="209" s="1"/>
  <c r="G38" i="125"/>
  <c r="L13" i="209" s="1"/>
  <c r="G41" i="125"/>
  <c r="L193" i="209" s="1"/>
  <c r="L733" i="209"/>
  <c r="M733" i="209" s="1"/>
  <c r="G40" i="125"/>
  <c r="L73" i="209" s="1"/>
  <c r="G37" i="125"/>
  <c r="R193" i="209" s="1"/>
  <c r="G39" i="125"/>
  <c r="R13" i="209" s="1"/>
  <c r="H18" i="125"/>
  <c r="M16" i="219"/>
  <c r="O184" i="246"/>
  <c r="L19" i="307"/>
  <c r="W34" i="307" s="1"/>
  <c r="R177" i="209"/>
  <c r="O19" i="220"/>
  <c r="O19" i="221"/>
  <c r="O19" i="347"/>
  <c r="O15" i="173"/>
  <c r="D40" i="123"/>
  <c r="I95" i="209" s="1"/>
  <c r="D38" i="123"/>
  <c r="I35" i="209" s="1"/>
  <c r="D41" i="123"/>
  <c r="I215" i="209" s="1"/>
  <c r="D42" i="123"/>
  <c r="I275" i="209" s="1"/>
  <c r="I755" i="209"/>
  <c r="D37" i="123"/>
  <c r="O215" i="209" s="1"/>
  <c r="D39" i="123"/>
  <c r="O35" i="209" s="1"/>
  <c r="O26" i="174"/>
  <c r="G43" i="174" s="1"/>
  <c r="O15" i="361" s="1"/>
  <c r="M16" i="188"/>
  <c r="E37" i="154"/>
  <c r="P218" i="209" s="1"/>
  <c r="E40" i="154"/>
  <c r="J98" i="209" s="1"/>
  <c r="J758" i="209"/>
  <c r="E42" i="154"/>
  <c r="J278" i="209" s="1"/>
  <c r="E41" i="154"/>
  <c r="J218" i="209" s="1"/>
  <c r="E39" i="154"/>
  <c r="P38" i="209" s="1"/>
  <c r="E38" i="154"/>
  <c r="J38" i="209" s="1"/>
  <c r="F15" i="123"/>
  <c r="F15" i="44" s="1"/>
  <c r="E18" i="123"/>
  <c r="E18" i="44" s="1"/>
  <c r="D47" i="309"/>
  <c r="L19" i="308" s="1"/>
  <c r="L15" i="308"/>
  <c r="P26" i="231"/>
  <c r="W30" i="223"/>
  <c r="M15" i="337"/>
  <c r="M692" i="209"/>
  <c r="L19" i="333"/>
  <c r="L19" i="360"/>
  <c r="W34" i="360" s="1"/>
  <c r="L19" i="296"/>
  <c r="L19" i="295"/>
  <c r="N19" i="307"/>
  <c r="Q184" i="246"/>
  <c r="M15" i="185"/>
  <c r="W30" i="185" s="1"/>
  <c r="M744" i="246"/>
  <c r="R27" i="292"/>
  <c r="U27" i="292"/>
  <c r="L11" i="97"/>
  <c r="W27" i="97" s="1"/>
  <c r="L11" i="354"/>
  <c r="W27" i="354" s="1"/>
  <c r="L11" i="101"/>
  <c r="W27" i="101" s="1"/>
  <c r="L11" i="359"/>
  <c r="W27" i="359" s="1"/>
  <c r="L11" i="118"/>
  <c r="W27" i="118" s="1"/>
  <c r="O33" i="246"/>
  <c r="L11" i="271"/>
  <c r="W27" i="271" s="1"/>
  <c r="L11" i="99"/>
  <c r="W27" i="99" s="1"/>
  <c r="L11" i="176"/>
  <c r="W27" i="176" s="1"/>
  <c r="J60" i="246"/>
  <c r="M10" i="307"/>
  <c r="O14" i="156"/>
  <c r="L263" i="246"/>
  <c r="O14" i="284"/>
  <c r="O14" i="190"/>
  <c r="O14" i="192"/>
  <c r="L110" i="209"/>
  <c r="O12" i="345"/>
  <c r="O12" i="356"/>
  <c r="O15" i="91"/>
  <c r="G47" i="103"/>
  <c r="O16" i="313"/>
  <c r="M18" i="173"/>
  <c r="M18" i="223"/>
  <c r="M18" i="103"/>
  <c r="M18" i="185"/>
  <c r="J257" i="246"/>
  <c r="M14" i="91"/>
  <c r="M15" i="313"/>
  <c r="E41" i="171"/>
  <c r="E37" i="171"/>
  <c r="E42" i="171"/>
  <c r="E38" i="171"/>
  <c r="E40" i="171"/>
  <c r="J768" i="246"/>
  <c r="E39" i="171"/>
  <c r="O15" i="103"/>
  <c r="E47" i="171"/>
  <c r="M19" i="173" s="1"/>
  <c r="M16" i="203"/>
  <c r="M16" i="195"/>
  <c r="E47" i="44"/>
  <c r="M19" i="337" s="1"/>
  <c r="M15" i="196"/>
  <c r="E37" i="173"/>
  <c r="E40" i="173"/>
  <c r="E38" i="173"/>
  <c r="E42" i="173"/>
  <c r="E39" i="173"/>
  <c r="E41" i="173"/>
  <c r="L17" i="225"/>
  <c r="I182" i="209"/>
  <c r="K281" i="246"/>
  <c r="N14" i="359"/>
  <c r="N14" i="97"/>
  <c r="N14" i="354"/>
  <c r="N14" i="271"/>
  <c r="N14" i="101"/>
  <c r="N14" i="176"/>
  <c r="N14" i="118"/>
  <c r="N14" i="99"/>
  <c r="O15" i="225"/>
  <c r="G47" i="228"/>
  <c r="O14" i="101"/>
  <c r="O14" i="359"/>
  <c r="O14" i="176"/>
  <c r="O14" i="354"/>
  <c r="O14" i="271"/>
  <c r="O14" i="97"/>
  <c r="L281" i="246"/>
  <c r="O14" i="118"/>
  <c r="O14" i="99"/>
  <c r="R780" i="209"/>
  <c r="G43" i="58"/>
  <c r="G47" i="58" s="1"/>
  <c r="R180" i="209" s="1"/>
  <c r="E43" i="228"/>
  <c r="P782" i="209"/>
  <c r="L664" i="209"/>
  <c r="L724" i="209"/>
  <c r="G46" i="229"/>
  <c r="G44" i="229"/>
  <c r="G45" i="229"/>
  <c r="V18" i="292"/>
  <c r="S18" i="292"/>
  <c r="T18" i="292" s="1"/>
  <c r="M12" i="307"/>
  <c r="J122" i="246"/>
  <c r="O11" i="91"/>
  <c r="R9" i="246"/>
  <c r="O11" i="313"/>
  <c r="M17" i="103"/>
  <c r="W32" i="103" s="1"/>
  <c r="M17" i="173"/>
  <c r="W32" i="173" s="1"/>
  <c r="J148" i="246"/>
  <c r="M17" i="223"/>
  <c r="W32" i="223" s="1"/>
  <c r="M17" i="185"/>
  <c r="W32" i="185" s="1"/>
  <c r="M13" i="192"/>
  <c r="M13" i="156"/>
  <c r="M13" i="190"/>
  <c r="M13" i="284"/>
  <c r="J201" i="246"/>
  <c r="L13" i="307"/>
  <c r="W29" i="307" s="1"/>
  <c r="I246" i="246"/>
  <c r="V22" i="292"/>
  <c r="S22" i="292"/>
  <c r="T22" i="292" s="1"/>
  <c r="N9" i="356"/>
  <c r="Q230" i="209"/>
  <c r="N9" i="345"/>
  <c r="O15" i="154"/>
  <c r="O15" i="337"/>
  <c r="O15" i="79"/>
  <c r="O15" i="196"/>
  <c r="O15" i="72"/>
  <c r="O15" i="338"/>
  <c r="G47" i="44"/>
  <c r="O15" i="39"/>
  <c r="O15" i="123"/>
  <c r="R122" i="209"/>
  <c r="O16" i="225"/>
  <c r="D38" i="250"/>
  <c r="I61" i="209" s="1"/>
  <c r="H18" i="250"/>
  <c r="D40" i="250"/>
  <c r="I121" i="209" s="1"/>
  <c r="D39" i="250"/>
  <c r="O61" i="209" s="1"/>
  <c r="I781" i="209"/>
  <c r="D37" i="250"/>
  <c r="O241" i="209" s="1"/>
  <c r="D42" i="250"/>
  <c r="I301" i="209" s="1"/>
  <c r="D41" i="250"/>
  <c r="I241" i="209" s="1"/>
  <c r="L257" i="246"/>
  <c r="O15" i="313"/>
  <c r="O14" i="91"/>
  <c r="N15" i="156"/>
  <c r="F47" i="185"/>
  <c r="N15" i="190"/>
  <c r="N15" i="284"/>
  <c r="N15" i="192"/>
  <c r="L14" i="307"/>
  <c r="W30" i="307" s="1"/>
  <c r="I308" i="246"/>
  <c r="E43" i="327"/>
  <c r="E47" i="327" s="1"/>
  <c r="P152" i="209" s="1"/>
  <c r="P752" i="209"/>
  <c r="L9" i="354"/>
  <c r="W25" i="354" s="1"/>
  <c r="L9" i="359"/>
  <c r="W25" i="359" s="1"/>
  <c r="L9" i="176"/>
  <c r="W25" i="176" s="1"/>
  <c r="L9" i="101"/>
  <c r="W25" i="101" s="1"/>
  <c r="O219" i="246"/>
  <c r="L9" i="97"/>
  <c r="W25" i="97" s="1"/>
  <c r="L9" i="271"/>
  <c r="W25" i="271" s="1"/>
  <c r="L9" i="99"/>
  <c r="W25" i="99" s="1"/>
  <c r="L9" i="118"/>
  <c r="W25" i="118" s="1"/>
  <c r="O15" i="223"/>
  <c r="M15" i="173"/>
  <c r="W30" i="173" s="1"/>
  <c r="M16" i="160"/>
  <c r="M16" i="293"/>
  <c r="M16" i="349"/>
  <c r="M15" i="338"/>
  <c r="N11" i="99"/>
  <c r="N11" i="118"/>
  <c r="N11" i="176"/>
  <c r="N11" i="97"/>
  <c r="N11" i="359"/>
  <c r="N11" i="101"/>
  <c r="N11" i="354"/>
  <c r="N11" i="271"/>
  <c r="Q33" i="246"/>
  <c r="S762" i="209"/>
  <c r="D43" i="328"/>
  <c r="D47" i="328" s="1"/>
  <c r="P26" i="328"/>
  <c r="F43" i="250"/>
  <c r="F47" i="250" s="1"/>
  <c r="Q181" i="209" s="1"/>
  <c r="Q781" i="209"/>
  <c r="G43" i="250"/>
  <c r="G47" i="250" s="1"/>
  <c r="R181" i="209" s="1"/>
  <c r="R781" i="209"/>
  <c r="L15" i="356"/>
  <c r="W31" i="356" s="1"/>
  <c r="L15" i="345"/>
  <c r="W31" i="345" s="1"/>
  <c r="D47" i="225"/>
  <c r="M722" i="209"/>
  <c r="L14" i="176"/>
  <c r="W30" i="176" s="1"/>
  <c r="L14" i="118"/>
  <c r="W30" i="118" s="1"/>
  <c r="I281" i="246"/>
  <c r="L14" i="271"/>
  <c r="W30" i="271" s="1"/>
  <c r="L14" i="99"/>
  <c r="W30" i="99" s="1"/>
  <c r="L14" i="97"/>
  <c r="W30" i="97" s="1"/>
  <c r="L14" i="359"/>
  <c r="W30" i="359" s="1"/>
  <c r="L14" i="354"/>
  <c r="W30" i="354" s="1"/>
  <c r="L14" i="101"/>
  <c r="W30" i="101" s="1"/>
  <c r="J246" i="246"/>
  <c r="M13" i="307"/>
  <c r="G41" i="84"/>
  <c r="L248" i="246" s="1"/>
  <c r="G37" i="84"/>
  <c r="R248" i="246" s="1"/>
  <c r="G40" i="84"/>
  <c r="L124" i="246" s="1"/>
  <c r="G42" i="84"/>
  <c r="L310" i="246" s="1"/>
  <c r="G39" i="84"/>
  <c r="R62" i="246" s="1"/>
  <c r="G38" i="84"/>
  <c r="L62" i="246" s="1"/>
  <c r="L806" i="246"/>
  <c r="D41" i="173"/>
  <c r="D37" i="173"/>
  <c r="D42" i="173"/>
  <c r="D40" i="173"/>
  <c r="D38" i="173"/>
  <c r="D39" i="173"/>
  <c r="M9" i="192"/>
  <c r="M9" i="156"/>
  <c r="P201" i="246"/>
  <c r="M9" i="190"/>
  <c r="M9" i="284"/>
  <c r="I122" i="246"/>
  <c r="L12" i="307"/>
  <c r="W28" i="307" s="1"/>
  <c r="Q122" i="209"/>
  <c r="N16" i="225"/>
  <c r="K50" i="209"/>
  <c r="N10" i="356"/>
  <c r="N10" i="345"/>
  <c r="F42" i="250"/>
  <c r="K301" i="209" s="1"/>
  <c r="K781" i="209"/>
  <c r="F41" i="250"/>
  <c r="K241" i="209" s="1"/>
  <c r="F38" i="250"/>
  <c r="K61" i="209" s="1"/>
  <c r="F39" i="250"/>
  <c r="Q61" i="209" s="1"/>
  <c r="F40" i="250"/>
  <c r="K121" i="209" s="1"/>
  <c r="O18" i="292"/>
  <c r="F37" i="250"/>
  <c r="Q241" i="209" s="1"/>
  <c r="O9" i="307"/>
  <c r="R246" i="246"/>
  <c r="N19" i="99"/>
  <c r="N19" i="118"/>
  <c r="Q157" i="246"/>
  <c r="N19" i="176"/>
  <c r="N19" i="97"/>
  <c r="N19" i="354"/>
  <c r="N19" i="101"/>
  <c r="N19" i="271"/>
  <c r="N19" i="359"/>
  <c r="N19" i="241"/>
  <c r="N15" i="241"/>
  <c r="N12" i="356"/>
  <c r="N12" i="345"/>
  <c r="K110" i="209"/>
  <c r="M16" i="146"/>
  <c r="M16" i="178"/>
  <c r="M16" i="141"/>
  <c r="M15" i="72"/>
  <c r="L16" i="225"/>
  <c r="O122" i="209"/>
  <c r="N10" i="359"/>
  <c r="N10" i="118"/>
  <c r="N10" i="271"/>
  <c r="N10" i="176"/>
  <c r="N10" i="99"/>
  <c r="N10" i="101"/>
  <c r="K33" i="246"/>
  <c r="N10" i="354"/>
  <c r="N10" i="97"/>
  <c r="G39" i="250"/>
  <c r="R61" i="209" s="1"/>
  <c r="L781" i="209"/>
  <c r="G41" i="250"/>
  <c r="L241" i="209" s="1"/>
  <c r="G37" i="250"/>
  <c r="R241" i="209" s="1"/>
  <c r="G38" i="250"/>
  <c r="L61" i="209" s="1"/>
  <c r="G40" i="250"/>
  <c r="L121" i="209" s="1"/>
  <c r="G42" i="250"/>
  <c r="L301" i="209" s="1"/>
  <c r="L95" i="246"/>
  <c r="O12" i="359"/>
  <c r="O12" i="176"/>
  <c r="O12" i="97"/>
  <c r="O12" i="271"/>
  <c r="O12" i="99"/>
  <c r="O12" i="118"/>
  <c r="O12" i="354"/>
  <c r="O12" i="101"/>
  <c r="M15" i="11"/>
  <c r="M15" i="15"/>
  <c r="M15" i="13"/>
  <c r="M15" i="9"/>
  <c r="M15" i="6"/>
  <c r="M15" i="16"/>
  <c r="M15" i="7"/>
  <c r="M15" i="4"/>
  <c r="E47" i="18"/>
  <c r="M15" i="125"/>
  <c r="M15" i="14"/>
  <c r="M15" i="10"/>
  <c r="F43" i="327"/>
  <c r="F47" i="327" s="1"/>
  <c r="Q152" i="209" s="1"/>
  <c r="Q752" i="209"/>
  <c r="O17" i="225"/>
  <c r="L182" i="209"/>
  <c r="M777" i="246"/>
  <c r="O10" i="345"/>
  <c r="O10" i="356"/>
  <c r="L50" i="209"/>
  <c r="E41" i="309"/>
  <c r="M13" i="308" s="1"/>
  <c r="W28" i="308" s="1"/>
  <c r="E42" i="309"/>
  <c r="M14" i="308" s="1"/>
  <c r="W29" i="308" s="1"/>
  <c r="E37" i="309"/>
  <c r="M9" i="308" s="1"/>
  <c r="W24" i="308" s="1"/>
  <c r="E40" i="309"/>
  <c r="M12" i="308" s="1"/>
  <c r="W27" i="308" s="1"/>
  <c r="E38" i="309"/>
  <c r="M10" i="308" s="1"/>
  <c r="W25" i="308" s="1"/>
  <c r="E39" i="309"/>
  <c r="M11" i="308" s="1"/>
  <c r="W26" i="308" s="1"/>
  <c r="O15" i="192"/>
  <c r="O15" i="284"/>
  <c r="O15" i="156"/>
  <c r="O15" i="190"/>
  <c r="G47" i="185"/>
  <c r="O19" i="359"/>
  <c r="O19" i="101"/>
  <c r="O19" i="97"/>
  <c r="R157" i="246"/>
  <c r="O19" i="99"/>
  <c r="O19" i="271"/>
  <c r="O19" i="176"/>
  <c r="O19" i="118"/>
  <c r="O19" i="354"/>
  <c r="N26" i="229"/>
  <c r="F43" i="228"/>
  <c r="Q782" i="209"/>
  <c r="N19" i="123"/>
  <c r="N19" i="337"/>
  <c r="N19" i="72"/>
  <c r="N19" i="39"/>
  <c r="N19" i="154"/>
  <c r="N19" i="196"/>
  <c r="N19" i="338"/>
  <c r="N19" i="79"/>
  <c r="Q162" i="209"/>
  <c r="M12" i="91"/>
  <c r="M12" i="313"/>
  <c r="J71" i="246"/>
  <c r="E37" i="184"/>
  <c r="P249" i="246" s="1"/>
  <c r="E38" i="184"/>
  <c r="J63" i="246" s="1"/>
  <c r="E40" i="184"/>
  <c r="J125" i="246" s="1"/>
  <c r="J807" i="246"/>
  <c r="E42" i="184"/>
  <c r="J311" i="246" s="1"/>
  <c r="E39" i="184"/>
  <c r="P63" i="246" s="1"/>
  <c r="E41" i="184"/>
  <c r="J249" i="246" s="1"/>
  <c r="E47" i="185"/>
  <c r="M15" i="190"/>
  <c r="M15" i="284"/>
  <c r="M15" i="192"/>
  <c r="M15" i="156"/>
  <c r="O246" i="246"/>
  <c r="L9" i="307"/>
  <c r="W25" i="307" s="1"/>
  <c r="F44" i="229"/>
  <c r="R664" i="209"/>
  <c r="F46" i="229"/>
  <c r="M24" i="292"/>
  <c r="K724" i="209"/>
  <c r="F45" i="229"/>
  <c r="Q664" i="209"/>
  <c r="K664" i="209"/>
  <c r="N13" i="345"/>
  <c r="K230" i="209"/>
  <c r="N13" i="356"/>
  <c r="F38" i="228"/>
  <c r="F41" i="228"/>
  <c r="F42" i="228"/>
  <c r="O22" i="292"/>
  <c r="F37" i="228"/>
  <c r="F40" i="228"/>
  <c r="K782" i="209"/>
  <c r="F39" i="228"/>
  <c r="O9" i="359"/>
  <c r="O9" i="271"/>
  <c r="O9" i="99"/>
  <c r="O9" i="354"/>
  <c r="O9" i="101"/>
  <c r="R219" i="246"/>
  <c r="O9" i="176"/>
  <c r="O9" i="118"/>
  <c r="O9" i="97"/>
  <c r="K182" i="209"/>
  <c r="N17" i="225"/>
  <c r="O9" i="91"/>
  <c r="O9" i="313"/>
  <c r="R195" i="246"/>
  <c r="M16" i="137"/>
  <c r="M16" i="151"/>
  <c r="M16" i="362"/>
  <c r="P26" i="84"/>
  <c r="M15" i="39"/>
  <c r="L26" i="229"/>
  <c r="P26" i="228"/>
  <c r="O782" i="209"/>
  <c r="D43" i="228"/>
  <c r="L219" i="246"/>
  <c r="O13" i="101"/>
  <c r="O13" i="118"/>
  <c r="O13" i="99"/>
  <c r="O13" i="176"/>
  <c r="O13" i="271"/>
  <c r="O13" i="97"/>
  <c r="O13" i="359"/>
  <c r="O13" i="354"/>
  <c r="L60" i="246"/>
  <c r="F43" i="58"/>
  <c r="F47" i="58" s="1"/>
  <c r="Q180" i="209" s="1"/>
  <c r="Q780" i="209"/>
  <c r="O781" i="209"/>
  <c r="P26" i="250"/>
  <c r="D43" i="250"/>
  <c r="D47" i="250" s="1"/>
  <c r="O181" i="209" s="1"/>
  <c r="L13" i="271"/>
  <c r="W29" i="271" s="1"/>
  <c r="L13" i="118"/>
  <c r="W29" i="118" s="1"/>
  <c r="L13" i="97"/>
  <c r="W29" i="97" s="1"/>
  <c r="L13" i="99"/>
  <c r="W29" i="99" s="1"/>
  <c r="L13" i="101"/>
  <c r="W29" i="101" s="1"/>
  <c r="L13" i="354"/>
  <c r="W29" i="354" s="1"/>
  <c r="L13" i="176"/>
  <c r="W29" i="176" s="1"/>
  <c r="I219" i="246"/>
  <c r="L13" i="359"/>
  <c r="W29" i="359" s="1"/>
  <c r="O11" i="345"/>
  <c r="O11" i="356"/>
  <c r="R50" i="209"/>
  <c r="O15" i="356"/>
  <c r="O15" i="345"/>
  <c r="G47" i="225"/>
  <c r="D43" i="327"/>
  <c r="D47" i="327" s="1"/>
  <c r="O152" i="209" s="1"/>
  <c r="O752" i="209"/>
  <c r="P26" i="327"/>
  <c r="J308" i="246"/>
  <c r="M14" i="307"/>
  <c r="L195" i="246"/>
  <c r="O13" i="313"/>
  <c r="O13" i="91"/>
  <c r="P86" i="246"/>
  <c r="M16" i="173"/>
  <c r="W31" i="173" s="1"/>
  <c r="M16" i="185"/>
  <c r="W31" i="185" s="1"/>
  <c r="M16" i="103"/>
  <c r="W31" i="103" s="1"/>
  <c r="M16" i="223"/>
  <c r="W31" i="223" s="1"/>
  <c r="P195" i="246"/>
  <c r="M9" i="313"/>
  <c r="M9" i="91"/>
  <c r="M14" i="192"/>
  <c r="M14" i="190"/>
  <c r="J263" i="246"/>
  <c r="M14" i="156"/>
  <c r="M14" i="284"/>
  <c r="D37" i="184"/>
  <c r="O249" i="246" s="1"/>
  <c r="I807" i="246"/>
  <c r="D41" i="184"/>
  <c r="I249" i="246" s="1"/>
  <c r="D38" i="184"/>
  <c r="I63" i="246" s="1"/>
  <c r="D40" i="184"/>
  <c r="I125" i="246" s="1"/>
  <c r="D42" i="184"/>
  <c r="I311" i="246" s="1"/>
  <c r="D39" i="184"/>
  <c r="O63" i="246" s="1"/>
  <c r="O60" i="246"/>
  <c r="L11" i="307"/>
  <c r="W27" i="307" s="1"/>
  <c r="E47" i="103"/>
  <c r="M15" i="91"/>
  <c r="M16" i="313"/>
  <c r="K290" i="209"/>
  <c r="N14" i="345"/>
  <c r="N14" i="356"/>
  <c r="R144" i="209"/>
  <c r="O19" i="213"/>
  <c r="O19" i="214"/>
  <c r="O19" i="105"/>
  <c r="E47" i="225"/>
  <c r="M15" i="356"/>
  <c r="M15" i="345"/>
  <c r="M11" i="91"/>
  <c r="M11" i="313"/>
  <c r="P9" i="246"/>
  <c r="L15" i="241"/>
  <c r="W31" i="241" s="1"/>
  <c r="L19" i="241"/>
  <c r="W34" i="241" s="1"/>
  <c r="M15" i="103"/>
  <c r="W30" i="103" s="1"/>
  <c r="M16" i="270"/>
  <c r="M16" i="194"/>
  <c r="M16" i="126"/>
  <c r="M15" i="154"/>
  <c r="N13" i="99"/>
  <c r="N13" i="359"/>
  <c r="N13" i="354"/>
  <c r="N13" i="97"/>
  <c r="K219" i="246"/>
  <c r="N13" i="176"/>
  <c r="N13" i="271"/>
  <c r="N13" i="118"/>
  <c r="N13" i="101"/>
  <c r="O11" i="118"/>
  <c r="O11" i="99"/>
  <c r="O11" i="97"/>
  <c r="O11" i="359"/>
  <c r="O11" i="271"/>
  <c r="R33" i="246"/>
  <c r="O11" i="101"/>
  <c r="O11" i="176"/>
  <c r="O11" i="354"/>
  <c r="Q133" i="246"/>
  <c r="N19" i="91"/>
  <c r="N20" i="313"/>
  <c r="N15" i="9"/>
  <c r="N15" i="15"/>
  <c r="N15" i="14"/>
  <c r="N15" i="125"/>
  <c r="N15" i="6"/>
  <c r="N15" i="7"/>
  <c r="N15" i="10"/>
  <c r="N15" i="11"/>
  <c r="N15" i="4"/>
  <c r="N15" i="16"/>
  <c r="F47" i="18"/>
  <c r="N15" i="13"/>
  <c r="L12" i="97"/>
  <c r="W28" i="97" s="1"/>
  <c r="L12" i="118"/>
  <c r="W28" i="118" s="1"/>
  <c r="L12" i="359"/>
  <c r="W28" i="359" s="1"/>
  <c r="L12" i="271"/>
  <c r="W28" i="271" s="1"/>
  <c r="L12" i="101"/>
  <c r="W28" i="101" s="1"/>
  <c r="I95" i="246"/>
  <c r="L12" i="99"/>
  <c r="W28" i="99" s="1"/>
  <c r="L12" i="176"/>
  <c r="W28" i="176" s="1"/>
  <c r="L12" i="354"/>
  <c r="W28" i="354" s="1"/>
  <c r="O13" i="356"/>
  <c r="L230" i="209"/>
  <c r="O13" i="345"/>
  <c r="L15" i="14"/>
  <c r="W31" i="14" s="1"/>
  <c r="L15" i="16"/>
  <c r="W31" i="16" s="1"/>
  <c r="L15" i="4"/>
  <c r="W31" i="4" s="1"/>
  <c r="L15" i="7"/>
  <c r="W31" i="7" s="1"/>
  <c r="L15" i="11"/>
  <c r="W31" i="11" s="1"/>
  <c r="L15" i="15"/>
  <c r="W31" i="15" s="1"/>
  <c r="L15" i="6"/>
  <c r="W31" i="6" s="1"/>
  <c r="L15" i="125"/>
  <c r="W31" i="125" s="1"/>
  <c r="L15" i="9"/>
  <c r="W31" i="9" s="1"/>
  <c r="D47" i="18"/>
  <c r="L15" i="10"/>
  <c r="W31" i="10" s="1"/>
  <c r="L15" i="13"/>
  <c r="W31" i="13" s="1"/>
  <c r="P60" i="246"/>
  <c r="M11" i="307"/>
  <c r="L71" i="246"/>
  <c r="O12" i="91"/>
  <c r="O12" i="313"/>
  <c r="N15" i="345"/>
  <c r="F47" i="225"/>
  <c r="N15" i="356"/>
  <c r="M10" i="91"/>
  <c r="M10" i="313"/>
  <c r="J9" i="246"/>
  <c r="D40" i="309"/>
  <c r="L12" i="308" s="1"/>
  <c r="D37" i="309"/>
  <c r="L9" i="308" s="1"/>
  <c r="D38" i="309"/>
  <c r="L10" i="308" s="1"/>
  <c r="D42" i="309"/>
  <c r="L14" i="308" s="1"/>
  <c r="D39" i="309"/>
  <c r="L11" i="308" s="1"/>
  <c r="D41" i="309"/>
  <c r="L13" i="308" s="1"/>
  <c r="N11" i="356"/>
  <c r="Q50" i="209"/>
  <c r="N11" i="345"/>
  <c r="R230" i="209"/>
  <c r="O9" i="356"/>
  <c r="O9" i="345"/>
  <c r="M11" i="192"/>
  <c r="M11" i="284"/>
  <c r="P15" i="246"/>
  <c r="M11" i="190"/>
  <c r="M11" i="156"/>
  <c r="N12" i="101"/>
  <c r="N12" i="271"/>
  <c r="N12" i="354"/>
  <c r="N12" i="176"/>
  <c r="N12" i="118"/>
  <c r="K95" i="246"/>
  <c r="N12" i="97"/>
  <c r="N12" i="99"/>
  <c r="N12" i="359"/>
  <c r="I806" i="246"/>
  <c r="D42" i="84"/>
  <c r="I310" i="246" s="1"/>
  <c r="D40" i="84"/>
  <c r="I124" i="246" s="1"/>
  <c r="H18" i="84"/>
  <c r="D39" i="84"/>
  <c r="O62" i="246" s="1"/>
  <c r="D41" i="84"/>
  <c r="I248" i="246" s="1"/>
  <c r="D37" i="84"/>
  <c r="O248" i="246" s="1"/>
  <c r="D38" i="84"/>
  <c r="I62" i="246" s="1"/>
  <c r="P26" i="171"/>
  <c r="M16" i="183"/>
  <c r="M16" i="189"/>
  <c r="N9" i="176"/>
  <c r="Q219" i="246"/>
  <c r="N9" i="97"/>
  <c r="N9" i="99"/>
  <c r="N9" i="354"/>
  <c r="N9" i="101"/>
  <c r="N9" i="359"/>
  <c r="N9" i="271"/>
  <c r="N9" i="118"/>
  <c r="V13" i="292"/>
  <c r="S13" i="292"/>
  <c r="T13" i="292" s="1"/>
  <c r="O10" i="359"/>
  <c r="L33" i="246"/>
  <c r="O10" i="99"/>
  <c r="O10" i="101"/>
  <c r="O10" i="354"/>
  <c r="O10" i="118"/>
  <c r="O10" i="97"/>
  <c r="O10" i="176"/>
  <c r="O10" i="271"/>
  <c r="P26" i="330"/>
  <c r="G43" i="330"/>
  <c r="G47" i="330" s="1"/>
  <c r="D47" i="44"/>
  <c r="L15" i="79"/>
  <c r="W31" i="79" s="1"/>
  <c r="L15" i="39"/>
  <c r="W31" i="39" s="1"/>
  <c r="L15" i="196"/>
  <c r="W31" i="196" s="1"/>
  <c r="L15" i="154"/>
  <c r="W31" i="154" s="1"/>
  <c r="L15" i="338"/>
  <c r="W31" i="338" s="1"/>
  <c r="L15" i="123"/>
  <c r="W31" i="123" s="1"/>
  <c r="L15" i="337"/>
  <c r="W31" i="337" s="1"/>
  <c r="L15" i="72"/>
  <c r="W31" i="72" s="1"/>
  <c r="L10" i="354"/>
  <c r="W26" i="354" s="1"/>
  <c r="L10" i="101"/>
  <c r="W26" i="101" s="1"/>
  <c r="I33" i="246"/>
  <c r="L10" i="271"/>
  <c r="W26" i="271" s="1"/>
  <c r="L10" i="176"/>
  <c r="W26" i="176" s="1"/>
  <c r="L10" i="118"/>
  <c r="W26" i="118" s="1"/>
  <c r="L10" i="99"/>
  <c r="W26" i="99" s="1"/>
  <c r="L10" i="97"/>
  <c r="W26" i="97" s="1"/>
  <c r="L10" i="359"/>
  <c r="W26" i="359" s="1"/>
  <c r="O14" i="345"/>
  <c r="L290" i="209"/>
  <c r="O14" i="356"/>
  <c r="O780" i="209"/>
  <c r="D43" i="58"/>
  <c r="D47" i="58" s="1"/>
  <c r="O180" i="209" s="1"/>
  <c r="P26" i="58"/>
  <c r="P246" i="246"/>
  <c r="M9" i="307"/>
  <c r="O10" i="313"/>
  <c r="O10" i="91"/>
  <c r="L9" i="246"/>
  <c r="P10" i="175"/>
  <c r="P10" i="171"/>
  <c r="P10" i="84"/>
  <c r="P10" i="231"/>
  <c r="P10" i="229"/>
  <c r="P10" i="309"/>
  <c r="P10" i="184"/>
  <c r="P10" i="172"/>
  <c r="M66" i="246"/>
  <c r="P10" i="361"/>
  <c r="M13" i="313"/>
  <c r="J195" i="246"/>
  <c r="M13" i="91"/>
  <c r="P157" i="246"/>
  <c r="M19" i="354"/>
  <c r="M19" i="101"/>
  <c r="M19" i="176"/>
  <c r="M19" i="118"/>
  <c r="M19" i="359"/>
  <c r="M19" i="97"/>
  <c r="M19" i="271"/>
  <c r="M19" i="99"/>
  <c r="M10" i="284"/>
  <c r="J15" i="246"/>
  <c r="M10" i="192"/>
  <c r="M10" i="156"/>
  <c r="M10" i="190"/>
  <c r="M12" i="190"/>
  <c r="M12" i="192"/>
  <c r="M12" i="284"/>
  <c r="J77" i="246"/>
  <c r="M12" i="156"/>
  <c r="L10" i="307"/>
  <c r="W26" i="307" s="1"/>
  <c r="I60" i="246"/>
  <c r="M26" i="229"/>
  <c r="E43" i="58"/>
  <c r="E47" i="58" s="1"/>
  <c r="P180" i="209" s="1"/>
  <c r="U21" i="292"/>
  <c r="R21" i="292"/>
  <c r="P11" i="309"/>
  <c r="P11" i="172"/>
  <c r="P11" i="184"/>
  <c r="S66" i="246"/>
  <c r="P11" i="171"/>
  <c r="P11" i="361"/>
  <c r="P11" i="231"/>
  <c r="P11" i="175"/>
  <c r="P11" i="84"/>
  <c r="P11" i="229"/>
  <c r="D38" i="226"/>
  <c r="I54" i="246" s="1"/>
  <c r="V37" i="292"/>
  <c r="N19" i="279"/>
  <c r="N19" i="95"/>
  <c r="Q162" i="246"/>
  <c r="N19" i="191"/>
  <c r="P9" i="361"/>
  <c r="P9" i="231"/>
  <c r="P9" i="229"/>
  <c r="P9" i="309"/>
  <c r="P9" i="175"/>
  <c r="S252" i="246"/>
  <c r="P9" i="184"/>
  <c r="P9" i="84"/>
  <c r="P9" i="172"/>
  <c r="P9" i="171"/>
  <c r="P11" i="326"/>
  <c r="P11" i="327"/>
  <c r="P11" i="174"/>
  <c r="P11" i="328"/>
  <c r="P11" i="291"/>
  <c r="P11" i="330"/>
  <c r="P11" i="44"/>
  <c r="P11" i="308"/>
  <c r="P11" i="18"/>
  <c r="S64" i="209"/>
  <c r="P11" i="247"/>
  <c r="P11" i="58"/>
  <c r="P11" i="250"/>
  <c r="P11" i="248"/>
  <c r="U33" i="292"/>
  <c r="R33" i="292"/>
  <c r="D18" i="170"/>
  <c r="D42" i="170" s="1"/>
  <c r="D40" i="226"/>
  <c r="I116" i="246" s="1"/>
  <c r="G15" i="79"/>
  <c r="F18" i="79"/>
  <c r="G15" i="11"/>
  <c r="G18" i="11" s="1"/>
  <c r="F18" i="11"/>
  <c r="E39" i="11"/>
  <c r="P14" i="209" s="1"/>
  <c r="J734" i="209"/>
  <c r="E37" i="11"/>
  <c r="P194" i="209" s="1"/>
  <c r="E40" i="11"/>
  <c r="J74" i="209" s="1"/>
  <c r="E42" i="11"/>
  <c r="J254" i="209" s="1"/>
  <c r="E41" i="11"/>
  <c r="J194" i="209" s="1"/>
  <c r="E38" i="11"/>
  <c r="J14" i="209" s="1"/>
  <c r="D41" i="226"/>
  <c r="I240" i="246" s="1"/>
  <c r="D39" i="226"/>
  <c r="O54" i="246" s="1"/>
  <c r="G15" i="9"/>
  <c r="G18" i="9" s="1"/>
  <c r="F18" i="9"/>
  <c r="C652" i="209"/>
  <c r="V592" i="209"/>
  <c r="L19" i="91"/>
  <c r="W34" i="91" s="1"/>
  <c r="O133" i="246"/>
  <c r="L20" i="313"/>
  <c r="W35" i="313" s="1"/>
  <c r="E41" i="7"/>
  <c r="J197" i="209" s="1"/>
  <c r="E37" i="7"/>
  <c r="P197" i="209" s="1"/>
  <c r="E40" i="7"/>
  <c r="J77" i="209" s="1"/>
  <c r="E38" i="7"/>
  <c r="J17" i="209" s="1"/>
  <c r="J737" i="209"/>
  <c r="E42" i="7"/>
  <c r="J257" i="209" s="1"/>
  <c r="E39" i="7"/>
  <c r="P17" i="209" s="1"/>
  <c r="E40" i="79"/>
  <c r="J99" i="209" s="1"/>
  <c r="J759" i="209"/>
  <c r="E42" i="79"/>
  <c r="J279" i="209" s="1"/>
  <c r="E41" i="79"/>
  <c r="J219" i="209" s="1"/>
  <c r="E38" i="79"/>
  <c r="J39" i="209" s="1"/>
  <c r="E39" i="79"/>
  <c r="P39" i="209" s="1"/>
  <c r="E37" i="79"/>
  <c r="P219" i="209" s="1"/>
  <c r="D18" i="231"/>
  <c r="D38" i="231" s="1"/>
  <c r="I64" i="246" s="1"/>
  <c r="D18" i="172"/>
  <c r="D18" i="174" s="1"/>
  <c r="J786" i="246"/>
  <c r="E42" i="126"/>
  <c r="J290" i="246" s="1"/>
  <c r="E37" i="126"/>
  <c r="P228" i="246" s="1"/>
  <c r="E41" i="126"/>
  <c r="J228" i="246" s="1"/>
  <c r="E40" i="126"/>
  <c r="J104" i="246" s="1"/>
  <c r="E38" i="126"/>
  <c r="J42" i="246" s="1"/>
  <c r="E39" i="126"/>
  <c r="P42" i="246" s="1"/>
  <c r="E18" i="226"/>
  <c r="I798" i="246"/>
  <c r="D42" i="226"/>
  <c r="I302" i="246" s="1"/>
  <c r="G15" i="126"/>
  <c r="F18" i="126"/>
  <c r="F15" i="226"/>
  <c r="D18" i="328"/>
  <c r="E15" i="172"/>
  <c r="E15" i="174" s="1"/>
  <c r="E15" i="170"/>
  <c r="E15" i="175" s="1"/>
  <c r="E15" i="231"/>
  <c r="O171" i="246"/>
  <c r="L18" i="203"/>
  <c r="L18" i="160"/>
  <c r="L18" i="349"/>
  <c r="L18" i="219"/>
  <c r="L18" i="270"/>
  <c r="L18" i="151"/>
  <c r="L18" i="353"/>
  <c r="L18" i="189"/>
  <c r="L18" i="195"/>
  <c r="L18" i="204"/>
  <c r="L18" i="362"/>
  <c r="L18" i="183"/>
  <c r="L18" i="188"/>
  <c r="L18" i="293"/>
  <c r="L18" i="137"/>
  <c r="L18" i="146"/>
  <c r="L18" i="194"/>
  <c r="L18" i="178"/>
  <c r="L18" i="187"/>
  <c r="L18" i="141"/>
  <c r="L18" i="126"/>
  <c r="N16" i="170"/>
  <c r="N16" i="226"/>
  <c r="N16" i="186"/>
  <c r="Q118" i="246"/>
  <c r="N16" i="104"/>
  <c r="L19" i="359"/>
  <c r="W34" i="359" s="1"/>
  <c r="L19" i="354"/>
  <c r="W34" i="354" s="1"/>
  <c r="L19" i="97"/>
  <c r="W34" i="97" s="1"/>
  <c r="O157" i="246"/>
  <c r="L19" i="118"/>
  <c r="W34" i="118" s="1"/>
  <c r="L19" i="99"/>
  <c r="W34" i="99" s="1"/>
  <c r="L19" i="271"/>
  <c r="W34" i="271" s="1"/>
  <c r="L19" i="176"/>
  <c r="W34" i="176" s="1"/>
  <c r="L19" i="101"/>
  <c r="W34" i="101" s="1"/>
  <c r="I122" i="209"/>
  <c r="L12" i="225"/>
  <c r="N16" i="183"/>
  <c r="N16" i="204"/>
  <c r="N16" i="188"/>
  <c r="N16" i="203"/>
  <c r="N16" i="187"/>
  <c r="N16" i="362"/>
  <c r="N16" i="353"/>
  <c r="N16" i="270"/>
  <c r="N16" i="126"/>
  <c r="N16" i="219"/>
  <c r="N16" i="146"/>
  <c r="N16" i="195"/>
  <c r="N16" i="349"/>
  <c r="N16" i="141"/>
  <c r="N16" i="151"/>
  <c r="N16" i="178"/>
  <c r="N16" i="189"/>
  <c r="N16" i="293"/>
  <c r="N16" i="194"/>
  <c r="N16" i="160"/>
  <c r="N16" i="137"/>
  <c r="P242" i="209"/>
  <c r="M9" i="225"/>
  <c r="W24" i="225" s="1"/>
  <c r="L17" i="151"/>
  <c r="W33" i="151" s="1"/>
  <c r="L17" i="353"/>
  <c r="W33" i="353" s="1"/>
  <c r="L17" i="270"/>
  <c r="W33" i="270" s="1"/>
  <c r="L17" i="194"/>
  <c r="W33" i="194" s="1"/>
  <c r="L17" i="126"/>
  <c r="W33" i="126" s="1"/>
  <c r="L17" i="160"/>
  <c r="W33" i="160" s="1"/>
  <c r="L17" i="178"/>
  <c r="W33" i="178" s="1"/>
  <c r="L17" i="141"/>
  <c r="W33" i="141" s="1"/>
  <c r="L17" i="195"/>
  <c r="W33" i="195" s="1"/>
  <c r="L17" i="349"/>
  <c r="W33" i="349" s="1"/>
  <c r="L17" i="187"/>
  <c r="W33" i="187" s="1"/>
  <c r="L17" i="146"/>
  <c r="W33" i="146" s="1"/>
  <c r="L17" i="189"/>
  <c r="W33" i="189" s="1"/>
  <c r="L17" i="362"/>
  <c r="W33" i="362" s="1"/>
  <c r="L17" i="188"/>
  <c r="W33" i="188" s="1"/>
  <c r="L17" i="137"/>
  <c r="W33" i="137" s="1"/>
  <c r="L17" i="293"/>
  <c r="W33" i="293" s="1"/>
  <c r="L17" i="203"/>
  <c r="W33" i="203" s="1"/>
  <c r="L17" i="183"/>
  <c r="W33" i="183" s="1"/>
  <c r="L17" i="204"/>
  <c r="W33" i="204" s="1"/>
  <c r="L17" i="219"/>
  <c r="W33" i="219" s="1"/>
  <c r="N17" i="226"/>
  <c r="K180" i="246"/>
  <c r="N17" i="104"/>
  <c r="N17" i="170"/>
  <c r="N17" i="186"/>
  <c r="L18" i="226"/>
  <c r="L18" i="186"/>
  <c r="L18" i="170"/>
  <c r="L18" i="104"/>
  <c r="N17" i="178"/>
  <c r="N17" i="146"/>
  <c r="N17" i="137"/>
  <c r="N17" i="195"/>
  <c r="N17" i="126"/>
  <c r="N17" i="189"/>
  <c r="N17" i="353"/>
  <c r="N17" i="141"/>
  <c r="N17" i="219"/>
  <c r="N17" i="270"/>
  <c r="N17" i="188"/>
  <c r="N17" i="203"/>
  <c r="N17" i="293"/>
  <c r="N17" i="151"/>
  <c r="N17" i="362"/>
  <c r="N17" i="187"/>
  <c r="N17" i="160"/>
  <c r="N17" i="194"/>
  <c r="N17" i="349"/>
  <c r="N17" i="204"/>
  <c r="N17" i="183"/>
  <c r="M17" i="186"/>
  <c r="W32" i="186" s="1"/>
  <c r="M17" i="170"/>
  <c r="W32" i="170" s="1"/>
  <c r="M17" i="226"/>
  <c r="W32" i="226" s="1"/>
  <c r="J180" i="246"/>
  <c r="M17" i="104"/>
  <c r="W32" i="104" s="1"/>
  <c r="N18" i="189"/>
  <c r="N18" i="203"/>
  <c r="N18" i="126"/>
  <c r="N18" i="195"/>
  <c r="N18" i="270"/>
  <c r="N18" i="146"/>
  <c r="N18" i="178"/>
  <c r="N18" i="194"/>
  <c r="N18" i="204"/>
  <c r="N18" i="362"/>
  <c r="N18" i="187"/>
  <c r="N18" i="160"/>
  <c r="N18" i="183"/>
  <c r="N18" i="293"/>
  <c r="N18" i="151"/>
  <c r="N18" i="219"/>
  <c r="N18" i="188"/>
  <c r="N18" i="353"/>
  <c r="N18" i="141"/>
  <c r="N18" i="137"/>
  <c r="N18" i="349"/>
  <c r="F43" i="172"/>
  <c r="N26" i="174"/>
  <c r="F43" i="174" s="1"/>
  <c r="J686" i="246"/>
  <c r="E45" i="174"/>
  <c r="P686" i="246"/>
  <c r="E44" i="174"/>
  <c r="E46" i="174"/>
  <c r="J748" i="246"/>
  <c r="L16" i="204"/>
  <c r="W32" i="204" s="1"/>
  <c r="L16" i="126"/>
  <c r="W32" i="126" s="1"/>
  <c r="L16" i="151"/>
  <c r="W32" i="151" s="1"/>
  <c r="L16" i="219"/>
  <c r="W32" i="219" s="1"/>
  <c r="L16" i="160"/>
  <c r="W32" i="160" s="1"/>
  <c r="L16" i="195"/>
  <c r="W32" i="195" s="1"/>
  <c r="L16" i="183"/>
  <c r="W32" i="183" s="1"/>
  <c r="L16" i="353"/>
  <c r="W32" i="353" s="1"/>
  <c r="L16" i="137"/>
  <c r="W32" i="137" s="1"/>
  <c r="L16" i="146"/>
  <c r="W32" i="146" s="1"/>
  <c r="L16" i="270"/>
  <c r="W32" i="270" s="1"/>
  <c r="L16" i="362"/>
  <c r="W32" i="362" s="1"/>
  <c r="L16" i="189"/>
  <c r="W32" i="189" s="1"/>
  <c r="L16" i="188"/>
  <c r="W32" i="188" s="1"/>
  <c r="L16" i="187"/>
  <c r="W32" i="187" s="1"/>
  <c r="L16" i="194"/>
  <c r="W32" i="194" s="1"/>
  <c r="L16" i="178"/>
  <c r="W32" i="178" s="1"/>
  <c r="L16" i="141"/>
  <c r="W32" i="141" s="1"/>
  <c r="L16" i="349"/>
  <c r="W32" i="349" s="1"/>
  <c r="L16" i="203"/>
  <c r="W32" i="203" s="1"/>
  <c r="L16" i="293"/>
  <c r="W32" i="293" s="1"/>
  <c r="R162" i="246"/>
  <c r="O19" i="279"/>
  <c r="O19" i="191"/>
  <c r="O19" i="95"/>
  <c r="G43" i="170"/>
  <c r="O26" i="175"/>
  <c r="G43" i="175" s="1"/>
  <c r="L17" i="186"/>
  <c r="L17" i="226"/>
  <c r="L17" i="170"/>
  <c r="L17" i="104"/>
  <c r="I180" i="246"/>
  <c r="M18" i="104"/>
  <c r="M18" i="170"/>
  <c r="M18" i="226"/>
  <c r="M18" i="186"/>
  <c r="L16" i="170"/>
  <c r="L16" i="186"/>
  <c r="L16" i="226"/>
  <c r="L16" i="104"/>
  <c r="O118" i="246"/>
  <c r="O175" i="246"/>
  <c r="P26" i="172"/>
  <c r="D43" i="172"/>
  <c r="F43" i="170"/>
  <c r="N26" i="175"/>
  <c r="F43" i="175" s="1"/>
  <c r="N18" i="226"/>
  <c r="N18" i="170"/>
  <c r="N18" i="104"/>
  <c r="N18" i="186"/>
  <c r="O167" i="246"/>
  <c r="D43" i="170"/>
  <c r="P26" i="170"/>
  <c r="E47" i="226"/>
  <c r="P178" i="246" s="1"/>
  <c r="E43" i="170"/>
  <c r="M26" i="175"/>
  <c r="E43" i="175" s="1"/>
  <c r="M16" i="104"/>
  <c r="W31" i="104" s="1"/>
  <c r="M16" i="226"/>
  <c r="W31" i="226" s="1"/>
  <c r="M16" i="170"/>
  <c r="W31" i="170" s="1"/>
  <c r="P118" i="246"/>
  <c r="M16" i="186"/>
  <c r="W31" i="186" s="1"/>
  <c r="E43" i="172"/>
  <c r="M26" i="174"/>
  <c r="E43" i="174" s="1"/>
  <c r="N10" i="334"/>
  <c r="N10" i="215"/>
  <c r="N10" i="216"/>
  <c r="N10" i="166"/>
  <c r="N10" i="355"/>
  <c r="N10" i="165"/>
  <c r="N10" i="344"/>
  <c r="N10" i="202"/>
  <c r="N10" i="162"/>
  <c r="N10" i="139"/>
  <c r="R148" i="246"/>
  <c r="O19" i="103"/>
  <c r="O19" i="223"/>
  <c r="O19" i="185"/>
  <c r="O19" i="173"/>
  <c r="L18" i="84"/>
  <c r="L18" i="184"/>
  <c r="L18" i="171"/>
  <c r="L18" i="361"/>
  <c r="L18" i="309"/>
  <c r="L18" i="175"/>
  <c r="L18" i="231"/>
  <c r="L18" i="172"/>
  <c r="L18" i="229"/>
  <c r="L15" i="173"/>
  <c r="L15" i="185"/>
  <c r="L15" i="223"/>
  <c r="D47" i="171"/>
  <c r="L15" i="103"/>
  <c r="O17" i="184"/>
  <c r="L190" i="246"/>
  <c r="O17" i="172"/>
  <c r="O17" i="175"/>
  <c r="O17" i="231"/>
  <c r="O17" i="84"/>
  <c r="O17" i="309"/>
  <c r="O17" i="229"/>
  <c r="O17" i="361"/>
  <c r="O17" i="171"/>
  <c r="N18" i="231"/>
  <c r="N18" i="172"/>
  <c r="N18" i="175"/>
  <c r="N18" i="171"/>
  <c r="N18" i="184"/>
  <c r="N18" i="309"/>
  <c r="N18" i="84"/>
  <c r="N18" i="361"/>
  <c r="N18" i="229"/>
  <c r="E15" i="4" l="1"/>
  <c r="F15" i="4" s="1"/>
  <c r="D40" i="44"/>
  <c r="D37" i="44"/>
  <c r="D42" i="44"/>
  <c r="D41" i="44"/>
  <c r="D38" i="44"/>
  <c r="I42" i="209" s="1"/>
  <c r="I762" i="209"/>
  <c r="R60" i="246"/>
  <c r="J63" i="37"/>
  <c r="X34" i="37"/>
  <c r="X19" i="37"/>
  <c r="X27" i="37"/>
  <c r="X35" i="37"/>
  <c r="X15" i="37"/>
  <c r="X23" i="37"/>
  <c r="X31" i="37"/>
  <c r="X28" i="37"/>
  <c r="X20" i="37"/>
  <c r="X11" i="37"/>
  <c r="X12" i="37"/>
  <c r="X36" i="37"/>
  <c r="X38" i="37"/>
  <c r="X37" i="37"/>
  <c r="X16" i="37"/>
  <c r="R28" i="292"/>
  <c r="V22" i="28"/>
  <c r="X29" i="34"/>
  <c r="J50" i="34"/>
  <c r="V26" i="28"/>
  <c r="X11" i="34"/>
  <c r="V12" i="28"/>
  <c r="V21" i="28"/>
  <c r="D37" i="4"/>
  <c r="O191" i="209" s="1"/>
  <c r="V11" i="28"/>
  <c r="D39" i="4"/>
  <c r="O11" i="209" s="1"/>
  <c r="D40" i="4"/>
  <c r="I71" i="209" s="1"/>
  <c r="V18" i="28"/>
  <c r="D38" i="4"/>
  <c r="I11" i="209" s="1"/>
  <c r="V16" i="28"/>
  <c r="V23" i="28"/>
  <c r="D41" i="4"/>
  <c r="I191" i="209" s="1"/>
  <c r="V15" i="28"/>
  <c r="I731" i="209"/>
  <c r="J55" i="28"/>
  <c r="J58" i="28" s="1"/>
  <c r="D15" i="18"/>
  <c r="D15" i="330" s="1"/>
  <c r="V32" i="36"/>
  <c r="V29" i="36"/>
  <c r="V28" i="36"/>
  <c r="V27" i="36"/>
  <c r="V23" i="36"/>
  <c r="V17" i="36"/>
  <c r="V11" i="36"/>
  <c r="V16" i="36"/>
  <c r="V10" i="36"/>
  <c r="V36" i="36"/>
  <c r="V33" i="36"/>
  <c r="J56" i="36"/>
  <c r="J58" i="36" s="1"/>
  <c r="V22" i="36"/>
  <c r="O13" i="307"/>
  <c r="O14" i="307"/>
  <c r="G40" i="309"/>
  <c r="O12" i="308" s="1"/>
  <c r="G41" i="309"/>
  <c r="O13" i="308" s="1"/>
  <c r="G42" i="309"/>
  <c r="O14" i="308" s="1"/>
  <c r="H18" i="309"/>
  <c r="G37" i="309"/>
  <c r="O9" i="308" s="1"/>
  <c r="G39" i="309"/>
  <c r="O11" i="308" s="1"/>
  <c r="X17" i="34"/>
  <c r="X18" i="34"/>
  <c r="L19" i="214"/>
  <c r="W34" i="214" s="1"/>
  <c r="O12" i="307"/>
  <c r="D15" i="328"/>
  <c r="P724" i="209"/>
  <c r="P484" i="209"/>
  <c r="D18" i="7"/>
  <c r="D37" i="7" s="1"/>
  <c r="O197" i="209" s="1"/>
  <c r="E42" i="9"/>
  <c r="J256" i="209" s="1"/>
  <c r="E39" i="9"/>
  <c r="P16" i="209" s="1"/>
  <c r="E38" i="9"/>
  <c r="J16" i="209" s="1"/>
  <c r="E41" i="9"/>
  <c r="J196" i="209" s="1"/>
  <c r="E40" i="9"/>
  <c r="J76" i="209" s="1"/>
  <c r="E37" i="9"/>
  <c r="P196" i="209" s="1"/>
  <c r="L19" i="213"/>
  <c r="W34" i="213" s="1"/>
  <c r="O144" i="209"/>
  <c r="F18" i="7"/>
  <c r="F37" i="7" s="1"/>
  <c r="Q197" i="209" s="1"/>
  <c r="D38" i="6"/>
  <c r="I18" i="209" s="1"/>
  <c r="D40" i="6"/>
  <c r="I78" i="209" s="1"/>
  <c r="D42" i="6"/>
  <c r="I258" i="209" s="1"/>
  <c r="I738" i="209"/>
  <c r="D37" i="6"/>
  <c r="O198" i="209" s="1"/>
  <c r="D39" i="6"/>
  <c r="O18" i="209" s="1"/>
  <c r="O13" i="156"/>
  <c r="L201" i="246"/>
  <c r="L77" i="246"/>
  <c r="O12" i="190"/>
  <c r="O12" i="192"/>
  <c r="O12" i="156"/>
  <c r="E45" i="328"/>
  <c r="M18" i="337"/>
  <c r="M18" i="72"/>
  <c r="E44" i="328"/>
  <c r="J162" i="209"/>
  <c r="M16" i="123"/>
  <c r="E45" i="330"/>
  <c r="E44" i="330"/>
  <c r="O13" i="284"/>
  <c r="M16" i="338"/>
  <c r="M16" i="72"/>
  <c r="M16" i="154"/>
  <c r="O13" i="192"/>
  <c r="M16" i="39"/>
  <c r="M16" i="196"/>
  <c r="M16" i="79"/>
  <c r="M16" i="337"/>
  <c r="E46" i="58"/>
  <c r="E11" i="229"/>
  <c r="J664" i="209" s="1"/>
  <c r="M18" i="196"/>
  <c r="M18" i="123"/>
  <c r="M18" i="79"/>
  <c r="M18" i="154"/>
  <c r="M18" i="338"/>
  <c r="E44" i="58"/>
  <c r="P120" i="209" s="1"/>
  <c r="M17" i="196"/>
  <c r="M17" i="154"/>
  <c r="M17" i="79"/>
  <c r="M17" i="39"/>
  <c r="M17" i="338"/>
  <c r="M17" i="123"/>
  <c r="J720" i="209"/>
  <c r="J660" i="209"/>
  <c r="E45" i="58"/>
  <c r="J180" i="209" s="1"/>
  <c r="M17" i="337"/>
  <c r="G42" i="228"/>
  <c r="O14" i="225" s="1"/>
  <c r="G40" i="228"/>
  <c r="O12" i="225" s="1"/>
  <c r="O10" i="190"/>
  <c r="O9" i="284"/>
  <c r="R201" i="246"/>
  <c r="M766" i="246"/>
  <c r="O9" i="156"/>
  <c r="O9" i="192"/>
  <c r="O9" i="223"/>
  <c r="O9" i="103"/>
  <c r="G40" i="171"/>
  <c r="O12" i="185" s="1"/>
  <c r="O9" i="185"/>
  <c r="O9" i="173"/>
  <c r="G42" i="171"/>
  <c r="O14" i="103" s="1"/>
  <c r="G38" i="171"/>
  <c r="O10" i="173" s="1"/>
  <c r="G41" i="171"/>
  <c r="L210" i="246" s="1"/>
  <c r="G39" i="171"/>
  <c r="O11" i="223" s="1"/>
  <c r="L768" i="246"/>
  <c r="H18" i="171"/>
  <c r="G18" i="7"/>
  <c r="G39" i="7" s="1"/>
  <c r="R17" i="209" s="1"/>
  <c r="O11" i="190"/>
  <c r="R15" i="246"/>
  <c r="O11" i="284"/>
  <c r="O10" i="284"/>
  <c r="M759" i="246"/>
  <c r="O11" i="192"/>
  <c r="E18" i="4"/>
  <c r="E39" i="4" s="1"/>
  <c r="P11" i="209" s="1"/>
  <c r="G41" i="228"/>
  <c r="O13" i="225" s="1"/>
  <c r="L782" i="209"/>
  <c r="M782" i="209" s="1"/>
  <c r="H18" i="228"/>
  <c r="O10" i="192"/>
  <c r="G37" i="228"/>
  <c r="O9" i="225" s="1"/>
  <c r="L15" i="246"/>
  <c r="G38" i="228"/>
  <c r="L62" i="209" s="1"/>
  <c r="E15" i="18"/>
  <c r="E15" i="327" s="1"/>
  <c r="E39" i="6"/>
  <c r="P18" i="209" s="1"/>
  <c r="P9" i="247"/>
  <c r="E40" i="6"/>
  <c r="J78" i="209" s="1"/>
  <c r="P9" i="58"/>
  <c r="P9" i="328"/>
  <c r="P9" i="326"/>
  <c r="E41" i="6"/>
  <c r="J198" i="209" s="1"/>
  <c r="P9" i="330"/>
  <c r="E42" i="6"/>
  <c r="J258" i="209" s="1"/>
  <c r="P9" i="250"/>
  <c r="E38" i="6"/>
  <c r="J18" i="209" s="1"/>
  <c r="P9" i="248"/>
  <c r="P9" i="44"/>
  <c r="E37" i="6"/>
  <c r="P198" i="209" s="1"/>
  <c r="P9" i="308"/>
  <c r="P9" i="291"/>
  <c r="P9" i="174"/>
  <c r="S244" i="209"/>
  <c r="G38" i="184"/>
  <c r="L63" i="246" s="1"/>
  <c r="G14" i="327"/>
  <c r="G14" i="58"/>
  <c r="G14" i="229" s="1"/>
  <c r="P19" i="333"/>
  <c r="P9" i="18"/>
  <c r="P9" i="327"/>
  <c r="G15" i="6"/>
  <c r="G18" i="6" s="1"/>
  <c r="G39" i="6" s="1"/>
  <c r="R18" i="209" s="1"/>
  <c r="F18" i="6"/>
  <c r="F42" i="6" s="1"/>
  <c r="K258" i="209" s="1"/>
  <c r="G37" i="184"/>
  <c r="R249" i="246" s="1"/>
  <c r="G41" i="184"/>
  <c r="L249" i="246" s="1"/>
  <c r="H18" i="184"/>
  <c r="G40" i="184"/>
  <c r="L125" i="246" s="1"/>
  <c r="G39" i="184"/>
  <c r="R63" i="246" s="1"/>
  <c r="L807" i="246"/>
  <c r="M807" i="246" s="1"/>
  <c r="O139" i="246"/>
  <c r="N17" i="175"/>
  <c r="L19" i="156"/>
  <c r="W34" i="156" s="1"/>
  <c r="L19" i="192"/>
  <c r="W34" i="192" s="1"/>
  <c r="L19" i="284"/>
  <c r="W34" i="284" s="1"/>
  <c r="N17" i="229"/>
  <c r="N17" i="309"/>
  <c r="N17" i="231"/>
  <c r="N17" i="361"/>
  <c r="N17" i="84"/>
  <c r="N17" i="172"/>
  <c r="N17" i="184"/>
  <c r="N17" i="171"/>
  <c r="I210" i="246"/>
  <c r="V39" i="292"/>
  <c r="O18" i="84"/>
  <c r="N16" i="231"/>
  <c r="M41" i="292"/>
  <c r="S41" i="292" s="1"/>
  <c r="T41" i="292" s="1"/>
  <c r="N9" i="162"/>
  <c r="L14" i="173"/>
  <c r="L13" i="103"/>
  <c r="N10" i="223"/>
  <c r="N13" i="216"/>
  <c r="O18" i="231"/>
  <c r="O18" i="171"/>
  <c r="N11" i="215"/>
  <c r="N16" i="172"/>
  <c r="N16" i="171"/>
  <c r="O18" i="172"/>
  <c r="N16" i="309"/>
  <c r="Q128" i="246"/>
  <c r="L13" i="185"/>
  <c r="L13" i="173"/>
  <c r="L9" i="223"/>
  <c r="S782" i="209"/>
  <c r="N14" i="139"/>
  <c r="N11" i="166"/>
  <c r="N14" i="355"/>
  <c r="N14" i="165"/>
  <c r="N13" i="165"/>
  <c r="N13" i="355"/>
  <c r="N14" i="344"/>
  <c r="N14" i="202"/>
  <c r="N13" i="202"/>
  <c r="N14" i="215"/>
  <c r="N14" i="334"/>
  <c r="N13" i="139"/>
  <c r="N13" i="215"/>
  <c r="N14" i="216"/>
  <c r="N13" i="344"/>
  <c r="N13" i="166"/>
  <c r="N14" i="166"/>
  <c r="N13" i="334"/>
  <c r="N12" i="355"/>
  <c r="N12" i="162"/>
  <c r="N9" i="334"/>
  <c r="N9" i="355"/>
  <c r="N9" i="216"/>
  <c r="N9" i="166"/>
  <c r="N9" i="344"/>
  <c r="N9" i="215"/>
  <c r="N9" i="202"/>
  <c r="N9" i="139"/>
  <c r="N9" i="165"/>
  <c r="O62" i="209"/>
  <c r="L9" i="225"/>
  <c r="N12" i="202"/>
  <c r="N12" i="165"/>
  <c r="N12" i="166"/>
  <c r="N12" i="215"/>
  <c r="N12" i="344"/>
  <c r="O19" i="344"/>
  <c r="N12" i="216"/>
  <c r="N12" i="139"/>
  <c r="L15" i="166"/>
  <c r="W31" i="166" s="1"/>
  <c r="L15" i="334"/>
  <c r="W31" i="334" s="1"/>
  <c r="N11" i="344"/>
  <c r="N11" i="165"/>
  <c r="N11" i="334"/>
  <c r="N11" i="162"/>
  <c r="N11" i="202"/>
  <c r="N11" i="139"/>
  <c r="N11" i="216"/>
  <c r="N11" i="355"/>
  <c r="L10" i="225"/>
  <c r="J60" i="28"/>
  <c r="M748" i="246"/>
  <c r="I242" i="209"/>
  <c r="N9" i="185"/>
  <c r="N10" i="185"/>
  <c r="O18" i="175"/>
  <c r="O18" i="229"/>
  <c r="O18" i="184"/>
  <c r="N16" i="361"/>
  <c r="N16" i="84"/>
  <c r="N16" i="229"/>
  <c r="O18" i="309"/>
  <c r="N16" i="175"/>
  <c r="O16" i="309"/>
  <c r="O16" i="229"/>
  <c r="O16" i="231"/>
  <c r="O16" i="361"/>
  <c r="N10" i="103"/>
  <c r="R128" i="246"/>
  <c r="O16" i="175"/>
  <c r="O16" i="184"/>
  <c r="N10" i="173"/>
  <c r="O16" i="171"/>
  <c r="O16" i="172"/>
  <c r="I24" i="246"/>
  <c r="L14" i="223"/>
  <c r="L10" i="185"/>
  <c r="L14" i="185"/>
  <c r="L14" i="103"/>
  <c r="L9" i="185"/>
  <c r="L9" i="173"/>
  <c r="L10" i="173"/>
  <c r="L10" i="103"/>
  <c r="L14" i="225"/>
  <c r="L15" i="344"/>
  <c r="W31" i="344" s="1"/>
  <c r="L15" i="215"/>
  <c r="W31" i="215" s="1"/>
  <c r="L15" i="162"/>
  <c r="W31" i="162" s="1"/>
  <c r="L15" i="165"/>
  <c r="W31" i="165" s="1"/>
  <c r="L15" i="216"/>
  <c r="W31" i="216" s="1"/>
  <c r="L15" i="139"/>
  <c r="W31" i="139" s="1"/>
  <c r="L15" i="355"/>
  <c r="W31" i="355" s="1"/>
  <c r="L15" i="202"/>
  <c r="W31" i="202" s="1"/>
  <c r="P12" i="333"/>
  <c r="F14" i="58"/>
  <c r="F14" i="229" s="1"/>
  <c r="F14" i="330"/>
  <c r="F14" i="327"/>
  <c r="L11" i="223"/>
  <c r="L11" i="173"/>
  <c r="L11" i="185"/>
  <c r="L11" i="103"/>
  <c r="N12" i="223"/>
  <c r="O19" i="215"/>
  <c r="N9" i="223"/>
  <c r="O19" i="202"/>
  <c r="O19" i="355"/>
  <c r="N19" i="185"/>
  <c r="N9" i="103"/>
  <c r="O19" i="166"/>
  <c r="Q210" i="246"/>
  <c r="O19" i="139"/>
  <c r="O19" i="334"/>
  <c r="P10" i="333"/>
  <c r="L9" i="103"/>
  <c r="O19" i="216"/>
  <c r="P14" i="333"/>
  <c r="O19" i="162"/>
  <c r="G39" i="173"/>
  <c r="G37" i="173"/>
  <c r="G38" i="173"/>
  <c r="G40" i="173"/>
  <c r="G42" i="173"/>
  <c r="G41" i="173"/>
  <c r="H18" i="173"/>
  <c r="L16" i="184"/>
  <c r="L16" i="229"/>
  <c r="J242" i="209"/>
  <c r="J122" i="209"/>
  <c r="N19" i="355"/>
  <c r="S752" i="209"/>
  <c r="N19" i="202"/>
  <c r="N19" i="165"/>
  <c r="G43" i="229"/>
  <c r="O15" i="58" s="1"/>
  <c r="N19" i="162"/>
  <c r="N19" i="139"/>
  <c r="N19" i="216"/>
  <c r="N19" i="166"/>
  <c r="N19" i="215"/>
  <c r="N19" i="344"/>
  <c r="M19" i="139"/>
  <c r="N19" i="334"/>
  <c r="M19" i="165"/>
  <c r="X15" i="30"/>
  <c r="X19" i="30"/>
  <c r="J40" i="30"/>
  <c r="X11" i="30"/>
  <c r="X12" i="30"/>
  <c r="X18" i="30"/>
  <c r="D42" i="13"/>
  <c r="I252" i="209" s="1"/>
  <c r="D39" i="13"/>
  <c r="O12" i="209" s="1"/>
  <c r="D40" i="13"/>
  <c r="I72" i="209" s="1"/>
  <c r="D38" i="13"/>
  <c r="I12" i="209" s="1"/>
  <c r="D41" i="13"/>
  <c r="I192" i="209" s="1"/>
  <c r="D37" i="13"/>
  <c r="O192" i="209" s="1"/>
  <c r="I732" i="209"/>
  <c r="F15" i="13"/>
  <c r="F15" i="18" s="1"/>
  <c r="F15" i="327" s="1"/>
  <c r="E18" i="13"/>
  <c r="P162" i="209"/>
  <c r="M19" i="338"/>
  <c r="P10" i="328"/>
  <c r="P10" i="58"/>
  <c r="L16" i="171"/>
  <c r="L16" i="309"/>
  <c r="O128" i="246"/>
  <c r="L16" i="231"/>
  <c r="L16" i="175"/>
  <c r="L16" i="361"/>
  <c r="L16" i="172"/>
  <c r="M19" i="216"/>
  <c r="J62" i="209"/>
  <c r="M19" i="344"/>
  <c r="M19" i="355"/>
  <c r="P10" i="248"/>
  <c r="P10" i="174"/>
  <c r="M19" i="166"/>
  <c r="M14" i="225"/>
  <c r="W29" i="225" s="1"/>
  <c r="M64" i="209"/>
  <c r="P10" i="18"/>
  <c r="P10" i="44"/>
  <c r="M19" i="162"/>
  <c r="P62" i="209"/>
  <c r="P10" i="330"/>
  <c r="P10" i="291"/>
  <c r="P10" i="308"/>
  <c r="M19" i="202"/>
  <c r="O19" i="186"/>
  <c r="P10" i="326"/>
  <c r="M19" i="334"/>
  <c r="P10" i="247"/>
  <c r="U592" i="209"/>
  <c r="D652" i="209"/>
  <c r="M19" i="215"/>
  <c r="P10" i="250"/>
  <c r="O11" i="95"/>
  <c r="O11" i="279"/>
  <c r="O11" i="191"/>
  <c r="R38" i="246"/>
  <c r="L100" i="246"/>
  <c r="O12" i="279"/>
  <c r="O12" i="191"/>
  <c r="O12" i="95"/>
  <c r="O9" i="191"/>
  <c r="O9" i="279"/>
  <c r="O9" i="95"/>
  <c r="R224" i="246"/>
  <c r="O10" i="95"/>
  <c r="O10" i="279"/>
  <c r="L38" i="246"/>
  <c r="O10" i="191"/>
  <c r="O14" i="191"/>
  <c r="O14" i="95"/>
  <c r="O14" i="279"/>
  <c r="L286" i="246"/>
  <c r="M19" i="72"/>
  <c r="O13" i="95"/>
  <c r="O13" i="279"/>
  <c r="O13" i="191"/>
  <c r="L224" i="246"/>
  <c r="P11" i="333"/>
  <c r="N14" i="173"/>
  <c r="K210" i="246"/>
  <c r="N14" i="185"/>
  <c r="N13" i="185"/>
  <c r="P9" i="333"/>
  <c r="O19" i="170"/>
  <c r="O19" i="104"/>
  <c r="O19" i="226"/>
  <c r="L17" i="84"/>
  <c r="W33" i="308"/>
  <c r="L17" i="309"/>
  <c r="P13" i="333"/>
  <c r="R184" i="246"/>
  <c r="O19" i="307"/>
  <c r="N11" i="173"/>
  <c r="M19" i="307"/>
  <c r="P184" i="246"/>
  <c r="N11" i="223"/>
  <c r="N12" i="185"/>
  <c r="N11" i="103"/>
  <c r="K86" i="246"/>
  <c r="Q24" i="246"/>
  <c r="N12" i="173"/>
  <c r="O19" i="13"/>
  <c r="O19" i="4"/>
  <c r="O19" i="10"/>
  <c r="O19" i="16"/>
  <c r="O19" i="7"/>
  <c r="O19" i="15"/>
  <c r="O19" i="125"/>
  <c r="O19" i="9"/>
  <c r="R139" i="209"/>
  <c r="O19" i="11"/>
  <c r="O19" i="14"/>
  <c r="O19" i="6"/>
  <c r="M806" i="246"/>
  <c r="L17" i="172"/>
  <c r="L17" i="171"/>
  <c r="L17" i="361"/>
  <c r="L17" i="184"/>
  <c r="L17" i="229"/>
  <c r="L17" i="231"/>
  <c r="L17" i="175"/>
  <c r="N14" i="223"/>
  <c r="N13" i="103"/>
  <c r="K272" i="246"/>
  <c r="N13" i="223"/>
  <c r="O15" i="171"/>
  <c r="O15" i="175"/>
  <c r="N19" i="103"/>
  <c r="O15" i="84"/>
  <c r="P26" i="174"/>
  <c r="N19" i="223"/>
  <c r="G47" i="174"/>
  <c r="O19" i="175" s="1"/>
  <c r="O15" i="309"/>
  <c r="O15" i="184"/>
  <c r="N19" i="173"/>
  <c r="O15" i="231"/>
  <c r="O15" i="229"/>
  <c r="O15" i="172"/>
  <c r="W33" i="173"/>
  <c r="P144" i="209"/>
  <c r="M19" i="105"/>
  <c r="M19" i="214"/>
  <c r="M19" i="213"/>
  <c r="O177" i="209"/>
  <c r="L19" i="221"/>
  <c r="W34" i="221" s="1"/>
  <c r="L19" i="347"/>
  <c r="W34" i="347" s="1"/>
  <c r="L19" i="220"/>
  <c r="W34" i="220" s="1"/>
  <c r="L19" i="290"/>
  <c r="W34" i="290" s="1"/>
  <c r="L19" i="289"/>
  <c r="W34" i="289" s="1"/>
  <c r="L19" i="288"/>
  <c r="W34" i="288" s="1"/>
  <c r="M19" i="223"/>
  <c r="W33" i="223" s="1"/>
  <c r="Q177" i="209"/>
  <c r="N19" i="220"/>
  <c r="N19" i="347"/>
  <c r="N19" i="221"/>
  <c r="N19" i="214"/>
  <c r="N19" i="213"/>
  <c r="N19" i="105"/>
  <c r="Q144" i="209"/>
  <c r="M19" i="347"/>
  <c r="M19" i="220"/>
  <c r="M19" i="221"/>
  <c r="P177" i="209"/>
  <c r="P148" i="246"/>
  <c r="M19" i="39"/>
  <c r="M19" i="123"/>
  <c r="F39" i="154"/>
  <c r="Q38" i="209" s="1"/>
  <c r="F40" i="154"/>
  <c r="K98" i="209" s="1"/>
  <c r="F38" i="154"/>
  <c r="K38" i="209" s="1"/>
  <c r="K758" i="209"/>
  <c r="F42" i="154"/>
  <c r="K278" i="209" s="1"/>
  <c r="F37" i="154"/>
  <c r="Q218" i="209" s="1"/>
  <c r="F41" i="154"/>
  <c r="K218" i="209" s="1"/>
  <c r="M19" i="196"/>
  <c r="J755" i="209"/>
  <c r="E38" i="123"/>
  <c r="J35" i="209" s="1"/>
  <c r="E41" i="123"/>
  <c r="J215" i="209" s="1"/>
  <c r="E40" i="123"/>
  <c r="J95" i="209" s="1"/>
  <c r="E37" i="123"/>
  <c r="P215" i="209" s="1"/>
  <c r="E42" i="123"/>
  <c r="J275" i="209" s="1"/>
  <c r="E39" i="123"/>
  <c r="P35" i="209" s="1"/>
  <c r="H18" i="154"/>
  <c r="G42" i="154"/>
  <c r="L278" i="209" s="1"/>
  <c r="G40" i="154"/>
  <c r="L98" i="209" s="1"/>
  <c r="G41" i="154"/>
  <c r="L218" i="209" s="1"/>
  <c r="L758" i="209"/>
  <c r="M758" i="209" s="1"/>
  <c r="G38" i="154"/>
  <c r="L38" i="209" s="1"/>
  <c r="G37" i="154"/>
  <c r="R218" i="209" s="1"/>
  <c r="G39" i="154"/>
  <c r="R38" i="209" s="1"/>
  <c r="M19" i="154"/>
  <c r="G15" i="123"/>
  <c r="G15" i="44" s="1"/>
  <c r="F18" i="123"/>
  <c r="F18" i="44" s="1"/>
  <c r="S781" i="209"/>
  <c r="M19" i="79"/>
  <c r="M19" i="103"/>
  <c r="W33" i="103" s="1"/>
  <c r="M19" i="185"/>
  <c r="W33" i="185" s="1"/>
  <c r="S780" i="209"/>
  <c r="M19" i="11"/>
  <c r="M19" i="6"/>
  <c r="M19" i="14"/>
  <c r="M19" i="10"/>
  <c r="M19" i="15"/>
  <c r="M19" i="16"/>
  <c r="M19" i="9"/>
  <c r="P139" i="209"/>
  <c r="M19" i="125"/>
  <c r="M19" i="13"/>
  <c r="M19" i="7"/>
  <c r="M19" i="4"/>
  <c r="L13" i="166"/>
  <c r="W29" i="166" s="1"/>
  <c r="L13" i="139"/>
  <c r="W29" i="139" s="1"/>
  <c r="L13" i="162"/>
  <c r="W29" i="162" s="1"/>
  <c r="L13" i="215"/>
  <c r="W29" i="215" s="1"/>
  <c r="L13" i="165"/>
  <c r="W29" i="165" s="1"/>
  <c r="L13" i="202"/>
  <c r="W29" i="202" s="1"/>
  <c r="L13" i="216"/>
  <c r="W29" i="216" s="1"/>
  <c r="L13" i="334"/>
  <c r="W29" i="334" s="1"/>
  <c r="L13" i="344"/>
  <c r="W29" i="344" s="1"/>
  <c r="L13" i="355"/>
  <c r="W29" i="355" s="1"/>
  <c r="M781" i="209"/>
  <c r="O16" i="58"/>
  <c r="O16" i="248"/>
  <c r="R124" i="209"/>
  <c r="O16" i="174"/>
  <c r="O16" i="228"/>
  <c r="O16" i="328"/>
  <c r="O16" i="250"/>
  <c r="O16" i="44"/>
  <c r="O16" i="326"/>
  <c r="O16" i="330"/>
  <c r="O16" i="247"/>
  <c r="O16" i="18"/>
  <c r="O16" i="327"/>
  <c r="P784" i="209"/>
  <c r="E43" i="229"/>
  <c r="K122" i="209"/>
  <c r="N12" i="225"/>
  <c r="Q124" i="209"/>
  <c r="N16" i="250"/>
  <c r="N16" i="228"/>
  <c r="N16" i="328"/>
  <c r="N16" i="18"/>
  <c r="N16" i="247"/>
  <c r="N16" i="248"/>
  <c r="N16" i="326"/>
  <c r="N16" i="330"/>
  <c r="N16" i="174"/>
  <c r="N16" i="44"/>
  <c r="N16" i="327"/>
  <c r="N16" i="58"/>
  <c r="L12" i="355"/>
  <c r="W28" i="355" s="1"/>
  <c r="L12" i="344"/>
  <c r="W28" i="344" s="1"/>
  <c r="L12" i="166"/>
  <c r="W28" i="166" s="1"/>
  <c r="L12" i="215"/>
  <c r="W28" i="215" s="1"/>
  <c r="L12" i="216"/>
  <c r="W28" i="216" s="1"/>
  <c r="L12" i="202"/>
  <c r="W28" i="202" s="1"/>
  <c r="L12" i="162"/>
  <c r="W28" i="162" s="1"/>
  <c r="L12" i="334"/>
  <c r="W28" i="334" s="1"/>
  <c r="L12" i="165"/>
  <c r="W28" i="165" s="1"/>
  <c r="L12" i="139"/>
  <c r="W28" i="139" s="1"/>
  <c r="M15" i="225"/>
  <c r="W30" i="225" s="1"/>
  <c r="E47" i="228"/>
  <c r="M10" i="344"/>
  <c r="M10" i="216"/>
  <c r="M10" i="202"/>
  <c r="M10" i="215"/>
  <c r="M10" i="355"/>
  <c r="M10" i="165"/>
  <c r="M10" i="166"/>
  <c r="M10" i="139"/>
  <c r="M10" i="334"/>
  <c r="M10" i="162"/>
  <c r="M13" i="103"/>
  <c r="W28" i="103" s="1"/>
  <c r="M13" i="185"/>
  <c r="W28" i="185" s="1"/>
  <c r="M13" i="223"/>
  <c r="W28" i="223" s="1"/>
  <c r="M13" i="173"/>
  <c r="W28" i="173" s="1"/>
  <c r="J210" i="246"/>
  <c r="O19" i="345"/>
  <c r="O19" i="356"/>
  <c r="R170" i="209"/>
  <c r="L15" i="225"/>
  <c r="D47" i="228"/>
  <c r="Q242" i="209"/>
  <c r="N9" i="225"/>
  <c r="N15" i="225"/>
  <c r="F47" i="228"/>
  <c r="L14" i="344"/>
  <c r="W30" i="344" s="1"/>
  <c r="L14" i="216"/>
  <c r="W30" i="216" s="1"/>
  <c r="L14" i="162"/>
  <c r="W30" i="162" s="1"/>
  <c r="L14" i="202"/>
  <c r="W30" i="202" s="1"/>
  <c r="L14" i="165"/>
  <c r="W30" i="165" s="1"/>
  <c r="L14" i="355"/>
  <c r="W30" i="355" s="1"/>
  <c r="L14" i="166"/>
  <c r="W30" i="166" s="1"/>
  <c r="L14" i="334"/>
  <c r="W30" i="334" s="1"/>
  <c r="L14" i="139"/>
  <c r="W30" i="139" s="1"/>
  <c r="L14" i="215"/>
  <c r="W30" i="215" s="1"/>
  <c r="O11" i="225"/>
  <c r="R62" i="209"/>
  <c r="M12" i="355"/>
  <c r="M12" i="215"/>
  <c r="M12" i="334"/>
  <c r="M12" i="344"/>
  <c r="M12" i="165"/>
  <c r="M12" i="166"/>
  <c r="M12" i="139"/>
  <c r="M12" i="202"/>
  <c r="M12" i="162"/>
  <c r="M12" i="216"/>
  <c r="O19" i="91"/>
  <c r="O20" i="313"/>
  <c r="R133" i="246"/>
  <c r="U22" i="292"/>
  <c r="R22" i="292"/>
  <c r="Q784" i="209"/>
  <c r="F43" i="229"/>
  <c r="D43" i="229"/>
  <c r="L15" i="248" s="1"/>
  <c r="P26" i="229"/>
  <c r="O784" i="209"/>
  <c r="S784" i="209" s="1"/>
  <c r="N13" i="225"/>
  <c r="K242" i="209"/>
  <c r="O19" i="156"/>
  <c r="O19" i="192"/>
  <c r="O19" i="190"/>
  <c r="O19" i="284"/>
  <c r="R139" i="246"/>
  <c r="O19" i="79"/>
  <c r="R162" i="209"/>
  <c r="O19" i="338"/>
  <c r="O19" i="123"/>
  <c r="O19" i="154"/>
  <c r="O19" i="72"/>
  <c r="O19" i="337"/>
  <c r="O19" i="196"/>
  <c r="O19" i="39"/>
  <c r="O18" i="326"/>
  <c r="O18" i="330"/>
  <c r="O18" i="44"/>
  <c r="O18" i="228"/>
  <c r="O18" i="327"/>
  <c r="O18" i="291"/>
  <c r="O18" i="174"/>
  <c r="O18" i="328"/>
  <c r="O18" i="248"/>
  <c r="O18" i="247"/>
  <c r="O18" i="18"/>
  <c r="O18" i="58"/>
  <c r="O18" i="250"/>
  <c r="M12" i="173"/>
  <c r="W27" i="173" s="1"/>
  <c r="M12" i="185"/>
  <c r="W27" i="185" s="1"/>
  <c r="J86" i="246"/>
  <c r="M12" i="223"/>
  <c r="W27" i="223" s="1"/>
  <c r="M12" i="103"/>
  <c r="W27" i="103" s="1"/>
  <c r="L9" i="139"/>
  <c r="W25" i="139" s="1"/>
  <c r="L9" i="334"/>
  <c r="W25" i="334" s="1"/>
  <c r="L9" i="215"/>
  <c r="W25" i="215" s="1"/>
  <c r="L9" i="355"/>
  <c r="W25" i="355" s="1"/>
  <c r="L9" i="165"/>
  <c r="W25" i="165" s="1"/>
  <c r="L9" i="202"/>
  <c r="W25" i="202" s="1"/>
  <c r="L9" i="344"/>
  <c r="W25" i="344" s="1"/>
  <c r="L9" i="166"/>
  <c r="W25" i="166" s="1"/>
  <c r="L9" i="162"/>
  <c r="W25" i="162" s="1"/>
  <c r="L9" i="216"/>
  <c r="W25" i="216" s="1"/>
  <c r="M9" i="166"/>
  <c r="M9" i="334"/>
  <c r="M9" i="165"/>
  <c r="M9" i="139"/>
  <c r="M9" i="202"/>
  <c r="M9" i="162"/>
  <c r="M9" i="216"/>
  <c r="M9" i="344"/>
  <c r="M9" i="215"/>
  <c r="M9" i="355"/>
  <c r="N14" i="225"/>
  <c r="K302" i="209"/>
  <c r="N19" i="192"/>
  <c r="Q139" i="246"/>
  <c r="N19" i="284"/>
  <c r="N19" i="190"/>
  <c r="N19" i="156"/>
  <c r="L19" i="72"/>
  <c r="W34" i="72" s="1"/>
  <c r="L19" i="79"/>
  <c r="W34" i="79" s="1"/>
  <c r="L19" i="123"/>
  <c r="W34" i="123" s="1"/>
  <c r="L19" i="39"/>
  <c r="W34" i="39" s="1"/>
  <c r="L19" i="154"/>
  <c r="W34" i="154" s="1"/>
  <c r="L19" i="337"/>
  <c r="W34" i="337" s="1"/>
  <c r="L19" i="196"/>
  <c r="W34" i="196" s="1"/>
  <c r="L19" i="338"/>
  <c r="W34" i="338" s="1"/>
  <c r="O162" i="209"/>
  <c r="P133" i="246"/>
  <c r="M20" i="313"/>
  <c r="M19" i="91"/>
  <c r="N10" i="225"/>
  <c r="K62" i="209"/>
  <c r="S24" i="292"/>
  <c r="T24" i="292" s="1"/>
  <c r="V24" i="292"/>
  <c r="M13" i="165"/>
  <c r="M13" i="139"/>
  <c r="M13" i="355"/>
  <c r="M13" i="344"/>
  <c r="M13" i="334"/>
  <c r="M13" i="216"/>
  <c r="M13" i="166"/>
  <c r="M13" i="215"/>
  <c r="M13" i="162"/>
  <c r="M13" i="202"/>
  <c r="M10" i="185"/>
  <c r="W25" i="185" s="1"/>
  <c r="M10" i="223"/>
  <c r="W25" i="223" s="1"/>
  <c r="M10" i="103"/>
  <c r="W25" i="103" s="1"/>
  <c r="M10" i="173"/>
  <c r="W25" i="173" s="1"/>
  <c r="J24" i="246"/>
  <c r="O17" i="44"/>
  <c r="O17" i="328"/>
  <c r="O17" i="326"/>
  <c r="O17" i="174"/>
  <c r="O17" i="330"/>
  <c r="O17" i="18"/>
  <c r="O17" i="247"/>
  <c r="O17" i="228"/>
  <c r="O17" i="327"/>
  <c r="O17" i="250"/>
  <c r="L184" i="209"/>
  <c r="O17" i="248"/>
  <c r="O17" i="58"/>
  <c r="O17" i="291"/>
  <c r="M11" i="103"/>
  <c r="W26" i="103" s="1"/>
  <c r="M11" i="185"/>
  <c r="W26" i="185" s="1"/>
  <c r="P24" i="246"/>
  <c r="M11" i="173"/>
  <c r="W26" i="173" s="1"/>
  <c r="M11" i="223"/>
  <c r="W26" i="223" s="1"/>
  <c r="N17" i="228"/>
  <c r="K184" i="209"/>
  <c r="N17" i="327"/>
  <c r="N17" i="250"/>
  <c r="N17" i="174"/>
  <c r="N17" i="58"/>
  <c r="N17" i="44"/>
  <c r="N17" i="291"/>
  <c r="N17" i="18"/>
  <c r="N17" i="247"/>
  <c r="N17" i="326"/>
  <c r="N17" i="248"/>
  <c r="N17" i="330"/>
  <c r="N17" i="328"/>
  <c r="N19" i="345"/>
  <c r="Q170" i="209"/>
  <c r="N19" i="356"/>
  <c r="N19" i="7"/>
  <c r="N19" i="14"/>
  <c r="N19" i="16"/>
  <c r="N19" i="9"/>
  <c r="N19" i="13"/>
  <c r="N19" i="6"/>
  <c r="N19" i="125"/>
  <c r="N19" i="15"/>
  <c r="N19" i="10"/>
  <c r="N19" i="11"/>
  <c r="N19" i="4"/>
  <c r="Q139" i="209"/>
  <c r="M19" i="356"/>
  <c r="P170" i="209"/>
  <c r="M19" i="345"/>
  <c r="N11" i="225"/>
  <c r="Q62" i="209"/>
  <c r="N18" i="250"/>
  <c r="N18" i="327"/>
  <c r="N18" i="328"/>
  <c r="N18" i="291"/>
  <c r="N18" i="326"/>
  <c r="N18" i="248"/>
  <c r="N18" i="174"/>
  <c r="N18" i="247"/>
  <c r="N18" i="44"/>
  <c r="N18" i="330"/>
  <c r="N18" i="58"/>
  <c r="N18" i="18"/>
  <c r="N18" i="228"/>
  <c r="R18" i="292"/>
  <c r="U18" i="292"/>
  <c r="L11" i="166"/>
  <c r="W27" i="166" s="1"/>
  <c r="L11" i="334"/>
  <c r="W27" i="334" s="1"/>
  <c r="L11" i="215"/>
  <c r="W27" i="215" s="1"/>
  <c r="L11" i="165"/>
  <c r="W27" i="165" s="1"/>
  <c r="L11" i="162"/>
  <c r="W27" i="162" s="1"/>
  <c r="L11" i="344"/>
  <c r="W27" i="344" s="1"/>
  <c r="L11" i="216"/>
  <c r="W27" i="216" s="1"/>
  <c r="L11" i="139"/>
  <c r="W27" i="139" s="1"/>
  <c r="L11" i="202"/>
  <c r="W27" i="202" s="1"/>
  <c r="L11" i="355"/>
  <c r="W27" i="355" s="1"/>
  <c r="O19" i="225"/>
  <c r="R182" i="209"/>
  <c r="M11" i="139"/>
  <c r="M11" i="202"/>
  <c r="M11" i="344"/>
  <c r="M11" i="215"/>
  <c r="M11" i="334"/>
  <c r="M11" i="355"/>
  <c r="M11" i="166"/>
  <c r="M11" i="162"/>
  <c r="M11" i="165"/>
  <c r="M11" i="216"/>
  <c r="J272" i="246"/>
  <c r="M14" i="103"/>
  <c r="W29" i="103" s="1"/>
  <c r="M14" i="223"/>
  <c r="W29" i="223" s="1"/>
  <c r="M14" i="173"/>
  <c r="W29" i="173" s="1"/>
  <c r="M14" i="185"/>
  <c r="W29" i="185" s="1"/>
  <c r="L19" i="125"/>
  <c r="W34" i="125" s="1"/>
  <c r="O139" i="209"/>
  <c r="L19" i="15"/>
  <c r="W34" i="15" s="1"/>
  <c r="L19" i="6"/>
  <c r="W34" i="6" s="1"/>
  <c r="L19" i="14"/>
  <c r="W34" i="14" s="1"/>
  <c r="L19" i="13"/>
  <c r="W34" i="13" s="1"/>
  <c r="L19" i="10"/>
  <c r="W34" i="10" s="1"/>
  <c r="L19" i="4"/>
  <c r="W34" i="4" s="1"/>
  <c r="L19" i="16"/>
  <c r="W34" i="16" s="1"/>
  <c r="L19" i="7"/>
  <c r="W34" i="7" s="1"/>
  <c r="L19" i="11"/>
  <c r="W34" i="11" s="1"/>
  <c r="L19" i="9"/>
  <c r="W34" i="9" s="1"/>
  <c r="P139" i="246"/>
  <c r="M19" i="284"/>
  <c r="M19" i="190"/>
  <c r="M19" i="156"/>
  <c r="M19" i="192"/>
  <c r="L10" i="215"/>
  <c r="W26" i="215" s="1"/>
  <c r="L10" i="166"/>
  <c r="W26" i="166" s="1"/>
  <c r="L10" i="334"/>
  <c r="W26" i="334" s="1"/>
  <c r="L10" i="162"/>
  <c r="W26" i="162" s="1"/>
  <c r="L10" i="165"/>
  <c r="W26" i="165" s="1"/>
  <c r="L10" i="202"/>
  <c r="W26" i="202" s="1"/>
  <c r="L10" i="216"/>
  <c r="W26" i="216" s="1"/>
  <c r="L10" i="355"/>
  <c r="W26" i="355" s="1"/>
  <c r="L10" i="344"/>
  <c r="W26" i="344" s="1"/>
  <c r="L10" i="139"/>
  <c r="W26" i="139" s="1"/>
  <c r="L19" i="345"/>
  <c r="W34" i="345" s="1"/>
  <c r="L19" i="356"/>
  <c r="W34" i="356" s="1"/>
  <c r="O170" i="209"/>
  <c r="M14" i="162"/>
  <c r="M14" i="165"/>
  <c r="M14" i="202"/>
  <c r="M14" i="355"/>
  <c r="M14" i="139"/>
  <c r="M14" i="216"/>
  <c r="M14" i="334"/>
  <c r="M14" i="215"/>
  <c r="M14" i="344"/>
  <c r="M14" i="166"/>
  <c r="M9" i="173"/>
  <c r="W24" i="173" s="1"/>
  <c r="M9" i="185"/>
  <c r="W24" i="185" s="1"/>
  <c r="P210" i="246"/>
  <c r="M9" i="103"/>
  <c r="W24" i="103" s="1"/>
  <c r="M9" i="223"/>
  <c r="W24" i="223" s="1"/>
  <c r="D18" i="175"/>
  <c r="D39" i="175" s="1"/>
  <c r="L11" i="212" s="1"/>
  <c r="D38" i="170"/>
  <c r="L10" i="188" s="1"/>
  <c r="W26" i="188" s="1"/>
  <c r="D40" i="170"/>
  <c r="L12" i="126" s="1"/>
  <c r="W28" i="126" s="1"/>
  <c r="D37" i="170"/>
  <c r="L9" i="151" s="1"/>
  <c r="W25" i="151" s="1"/>
  <c r="D39" i="170"/>
  <c r="L11" i="293" s="1"/>
  <c r="W27" i="293" s="1"/>
  <c r="D41" i="170"/>
  <c r="L13" i="160" s="1"/>
  <c r="W29" i="160" s="1"/>
  <c r="D37" i="231"/>
  <c r="O250" i="246" s="1"/>
  <c r="D40" i="231"/>
  <c r="I126" i="246" s="1"/>
  <c r="D42" i="231"/>
  <c r="I312" i="246" s="1"/>
  <c r="D39" i="231"/>
  <c r="O64" i="246" s="1"/>
  <c r="D41" i="231"/>
  <c r="I250" i="246" s="1"/>
  <c r="I808" i="246"/>
  <c r="D42" i="172"/>
  <c r="L14" i="186" s="1"/>
  <c r="D38" i="172"/>
  <c r="I56" i="246" s="1"/>
  <c r="D39" i="172"/>
  <c r="L11" i="186" s="1"/>
  <c r="D40" i="172"/>
  <c r="L12" i="186" s="1"/>
  <c r="D37" i="172"/>
  <c r="L9" i="226" s="1"/>
  <c r="D41" i="172"/>
  <c r="L13" i="104" s="1"/>
  <c r="I800" i="246"/>
  <c r="L12" i="39"/>
  <c r="W28" i="39" s="1"/>
  <c r="L12" i="72"/>
  <c r="W28" i="72" s="1"/>
  <c r="L12" i="338"/>
  <c r="W28" i="338" s="1"/>
  <c r="L12" i="123"/>
  <c r="W28" i="123" s="1"/>
  <c r="L12" i="196"/>
  <c r="W28" i="196" s="1"/>
  <c r="L12" i="154"/>
  <c r="W28" i="154" s="1"/>
  <c r="L12" i="79"/>
  <c r="W28" i="79" s="1"/>
  <c r="L12" i="337"/>
  <c r="W28" i="337" s="1"/>
  <c r="I102" i="209"/>
  <c r="L14" i="79"/>
  <c r="W30" i="79" s="1"/>
  <c r="I282" i="209"/>
  <c r="L14" i="337"/>
  <c r="W30" i="337" s="1"/>
  <c r="L14" i="123"/>
  <c r="W30" i="123" s="1"/>
  <c r="L14" i="154"/>
  <c r="W30" i="154" s="1"/>
  <c r="L14" i="338"/>
  <c r="W30" i="338" s="1"/>
  <c r="L14" i="39"/>
  <c r="W30" i="39" s="1"/>
  <c r="L14" i="72"/>
  <c r="W30" i="72" s="1"/>
  <c r="L14" i="196"/>
  <c r="W30" i="196" s="1"/>
  <c r="G18" i="126"/>
  <c r="G15" i="226"/>
  <c r="L736" i="209"/>
  <c r="M736" i="209" s="1"/>
  <c r="G38" i="9"/>
  <c r="L16" i="209" s="1"/>
  <c r="G41" i="9"/>
  <c r="L196" i="209" s="1"/>
  <c r="G39" i="9"/>
  <c r="R16" i="209" s="1"/>
  <c r="G42" i="9"/>
  <c r="L256" i="209" s="1"/>
  <c r="G40" i="9"/>
  <c r="L76" i="209" s="1"/>
  <c r="G37" i="9"/>
  <c r="R196" i="209" s="1"/>
  <c r="H18" i="9"/>
  <c r="V652" i="209"/>
  <c r="C712" i="209"/>
  <c r="P26" i="175"/>
  <c r="D15" i="327"/>
  <c r="L13" i="123"/>
  <c r="W29" i="123" s="1"/>
  <c r="L13" i="196"/>
  <c r="W29" i="196" s="1"/>
  <c r="I222" i="209"/>
  <c r="L13" i="338"/>
  <c r="W29" i="338" s="1"/>
  <c r="L13" i="79"/>
  <c r="W29" i="79" s="1"/>
  <c r="L13" i="72"/>
  <c r="W29" i="72" s="1"/>
  <c r="L13" i="39"/>
  <c r="W29" i="39" s="1"/>
  <c r="L13" i="337"/>
  <c r="W29" i="337" s="1"/>
  <c r="L13" i="154"/>
  <c r="W29" i="154" s="1"/>
  <c r="G15" i="4"/>
  <c r="F18" i="4"/>
  <c r="O222" i="209"/>
  <c r="L9" i="337"/>
  <c r="W25" i="337" s="1"/>
  <c r="L9" i="72"/>
  <c r="W25" i="72" s="1"/>
  <c r="L9" i="123"/>
  <c r="W25" i="123" s="1"/>
  <c r="L9" i="79"/>
  <c r="W25" i="79" s="1"/>
  <c r="L9" i="196"/>
  <c r="W25" i="196" s="1"/>
  <c r="L9" i="154"/>
  <c r="W25" i="154" s="1"/>
  <c r="L9" i="338"/>
  <c r="W25" i="338" s="1"/>
  <c r="L9" i="39"/>
  <c r="W25" i="39" s="1"/>
  <c r="L10" i="154"/>
  <c r="W26" i="154" s="1"/>
  <c r="L10" i="338"/>
  <c r="W26" i="338" s="1"/>
  <c r="L10" i="123"/>
  <c r="W26" i="123" s="1"/>
  <c r="L10" i="72"/>
  <c r="W26" i="72" s="1"/>
  <c r="E18" i="170"/>
  <c r="E37" i="226"/>
  <c r="P240" i="246" s="1"/>
  <c r="E40" i="226"/>
  <c r="J116" i="246" s="1"/>
  <c r="J798" i="246"/>
  <c r="E41" i="226"/>
  <c r="J240" i="246" s="1"/>
  <c r="E38" i="226"/>
  <c r="J54" i="246" s="1"/>
  <c r="E18" i="231"/>
  <c r="E18" i="172"/>
  <c r="E39" i="226"/>
  <c r="P54" i="246" s="1"/>
  <c r="E42" i="226"/>
  <c r="J302" i="246" s="1"/>
  <c r="F42" i="11"/>
  <c r="K254" i="209" s="1"/>
  <c r="F38" i="11"/>
  <c r="K14" i="209" s="1"/>
  <c r="F40" i="11"/>
  <c r="K74" i="209" s="1"/>
  <c r="K734" i="209"/>
  <c r="F39" i="11"/>
  <c r="Q14" i="209" s="1"/>
  <c r="F37" i="11"/>
  <c r="Q194" i="209" s="1"/>
  <c r="F41" i="11"/>
  <c r="K194" i="209" s="1"/>
  <c r="G18" i="79"/>
  <c r="F42" i="126"/>
  <c r="K290" i="246" s="1"/>
  <c r="F40" i="126"/>
  <c r="K104" i="246" s="1"/>
  <c r="F39" i="126"/>
  <c r="Q42" i="246" s="1"/>
  <c r="F41" i="126"/>
  <c r="K228" i="246" s="1"/>
  <c r="F37" i="126"/>
  <c r="Q228" i="246" s="1"/>
  <c r="F38" i="126"/>
  <c r="K42" i="246" s="1"/>
  <c r="K786" i="246"/>
  <c r="F18" i="226"/>
  <c r="F42" i="9"/>
  <c r="K256" i="209" s="1"/>
  <c r="K736" i="209"/>
  <c r="F41" i="9"/>
  <c r="K196" i="209" s="1"/>
  <c r="F39" i="9"/>
  <c r="Q16" i="209" s="1"/>
  <c r="F37" i="9"/>
  <c r="Q196" i="209" s="1"/>
  <c r="F38" i="9"/>
  <c r="K16" i="209" s="1"/>
  <c r="F40" i="9"/>
  <c r="K76" i="209" s="1"/>
  <c r="F41" i="7"/>
  <c r="K197" i="209" s="1"/>
  <c r="G37" i="11"/>
  <c r="R194" i="209" s="1"/>
  <c r="G41" i="11"/>
  <c r="L194" i="209" s="1"/>
  <c r="L734" i="209"/>
  <c r="M734" i="209" s="1"/>
  <c r="G39" i="11"/>
  <c r="R14" i="209" s="1"/>
  <c r="G38" i="11"/>
  <c r="L14" i="209" s="1"/>
  <c r="G40" i="11"/>
  <c r="L74" i="209" s="1"/>
  <c r="G42" i="11"/>
  <c r="L254" i="209" s="1"/>
  <c r="H18" i="11"/>
  <c r="F15" i="231"/>
  <c r="F15" i="170"/>
  <c r="F15" i="175" s="1"/>
  <c r="F15" i="172"/>
  <c r="F15" i="174" s="1"/>
  <c r="D41" i="328"/>
  <c r="D40" i="328"/>
  <c r="D39" i="328"/>
  <c r="D42" i="328"/>
  <c r="D37" i="328"/>
  <c r="D38" i="328"/>
  <c r="F15" i="328"/>
  <c r="L11" i="337"/>
  <c r="W27" i="337" s="1"/>
  <c r="L11" i="338"/>
  <c r="W27" i="338" s="1"/>
  <c r="L11" i="123"/>
  <c r="W27" i="123" s="1"/>
  <c r="L11" i="79"/>
  <c r="W27" i="79" s="1"/>
  <c r="L11" i="154"/>
  <c r="W27" i="154" s="1"/>
  <c r="L11" i="39"/>
  <c r="W27" i="39" s="1"/>
  <c r="O42" i="209"/>
  <c r="L11" i="196"/>
  <c r="W27" i="196" s="1"/>
  <c r="L11" i="72"/>
  <c r="W27" i="72" s="1"/>
  <c r="E41" i="44"/>
  <c r="E39" i="44"/>
  <c r="E38" i="44"/>
  <c r="E42" i="44"/>
  <c r="J762" i="209"/>
  <c r="E40" i="44"/>
  <c r="E37" i="44"/>
  <c r="E18" i="328"/>
  <c r="F41" i="79"/>
  <c r="K219" i="209" s="1"/>
  <c r="F39" i="79"/>
  <c r="Q39" i="209" s="1"/>
  <c r="K759" i="209"/>
  <c r="F37" i="79"/>
  <c r="Q219" i="209" s="1"/>
  <c r="F38" i="79"/>
  <c r="K39" i="209" s="1"/>
  <c r="F42" i="79"/>
  <c r="K279" i="209" s="1"/>
  <c r="F40" i="79"/>
  <c r="K99" i="209" s="1"/>
  <c r="M15" i="212"/>
  <c r="W30" i="212" s="1"/>
  <c r="E47" i="175"/>
  <c r="M19" i="212" s="1"/>
  <c r="W33" i="212" s="1"/>
  <c r="O15" i="212"/>
  <c r="G47" i="175"/>
  <c r="O19" i="212" s="1"/>
  <c r="M16" i="172"/>
  <c r="W31" i="172" s="1"/>
  <c r="M16" i="175"/>
  <c r="W31" i="175" s="1"/>
  <c r="M16" i="361"/>
  <c r="W31" i="361" s="1"/>
  <c r="M16" i="309"/>
  <c r="W31" i="309" s="1"/>
  <c r="M16" i="84"/>
  <c r="W31" i="84" s="1"/>
  <c r="M16" i="171"/>
  <c r="W31" i="171" s="1"/>
  <c r="M16" i="231"/>
  <c r="W31" i="231" s="1"/>
  <c r="P128" i="246"/>
  <c r="M16" i="184"/>
  <c r="W31" i="184" s="1"/>
  <c r="M16" i="229"/>
  <c r="D37" i="174"/>
  <c r="D40" i="174"/>
  <c r="D39" i="174"/>
  <c r="D41" i="174"/>
  <c r="D38" i="174"/>
  <c r="I810" i="246"/>
  <c r="D42" i="174"/>
  <c r="E47" i="174"/>
  <c r="M15" i="172"/>
  <c r="M15" i="171"/>
  <c r="W30" i="171" s="1"/>
  <c r="M15" i="84"/>
  <c r="W30" i="84" s="1"/>
  <c r="M15" i="309"/>
  <c r="M15" i="231"/>
  <c r="W30" i="231" s="1"/>
  <c r="M15" i="361"/>
  <c r="W30" i="361" s="1"/>
  <c r="M15" i="175"/>
  <c r="W30" i="175" s="1"/>
  <c r="M15" i="184"/>
  <c r="W30" i="184" s="1"/>
  <c r="M15" i="229"/>
  <c r="M15" i="203"/>
  <c r="M15" i="195"/>
  <c r="M15" i="183"/>
  <c r="M15" i="126"/>
  <c r="M15" i="188"/>
  <c r="M15" i="137"/>
  <c r="M15" i="141"/>
  <c r="M15" i="151"/>
  <c r="M15" i="204"/>
  <c r="M15" i="219"/>
  <c r="M15" i="270"/>
  <c r="M15" i="362"/>
  <c r="M15" i="178"/>
  <c r="M15" i="349"/>
  <c r="M15" i="146"/>
  <c r="M15" i="160"/>
  <c r="E47" i="170"/>
  <c r="M15" i="187"/>
  <c r="M15" i="194"/>
  <c r="M15" i="293"/>
  <c r="M15" i="189"/>
  <c r="M15" i="353"/>
  <c r="O15" i="151"/>
  <c r="O15" i="353"/>
  <c r="O15" i="187"/>
  <c r="O15" i="141"/>
  <c r="O15" i="137"/>
  <c r="O15" i="126"/>
  <c r="O15" i="204"/>
  <c r="O15" i="362"/>
  <c r="O15" i="183"/>
  <c r="O15" i="219"/>
  <c r="O15" i="160"/>
  <c r="O15" i="146"/>
  <c r="O15" i="203"/>
  <c r="O15" i="178"/>
  <c r="O15" i="293"/>
  <c r="O15" i="349"/>
  <c r="O15" i="270"/>
  <c r="O15" i="195"/>
  <c r="G47" i="170"/>
  <c r="O15" i="194"/>
  <c r="O15" i="188"/>
  <c r="O15" i="189"/>
  <c r="F47" i="175"/>
  <c r="N19" i="212" s="1"/>
  <c r="N15" i="212"/>
  <c r="L15" i="170"/>
  <c r="L15" i="226"/>
  <c r="L15" i="186"/>
  <c r="D47" i="172"/>
  <c r="L15" i="104"/>
  <c r="M18" i="361"/>
  <c r="M18" i="84"/>
  <c r="M18" i="309"/>
  <c r="M18" i="184"/>
  <c r="M18" i="172"/>
  <c r="M18" i="171"/>
  <c r="M18" i="175"/>
  <c r="M18" i="229"/>
  <c r="M18" i="231"/>
  <c r="M15" i="104"/>
  <c r="M15" i="170"/>
  <c r="W30" i="170" s="1"/>
  <c r="M15" i="226"/>
  <c r="W30" i="226" s="1"/>
  <c r="E47" i="172"/>
  <c r="M15" i="186"/>
  <c r="M17" i="361"/>
  <c r="W32" i="361" s="1"/>
  <c r="M17" i="229"/>
  <c r="M17" i="175"/>
  <c r="W32" i="175" s="1"/>
  <c r="M17" i="84"/>
  <c r="W32" i="84" s="1"/>
  <c r="M17" i="171"/>
  <c r="W32" i="171" s="1"/>
  <c r="M17" i="184"/>
  <c r="W32" i="184" s="1"/>
  <c r="M17" i="309"/>
  <c r="W32" i="309" s="1"/>
  <c r="M17" i="231"/>
  <c r="W32" i="231" s="1"/>
  <c r="M17" i="172"/>
  <c r="W32" i="172" s="1"/>
  <c r="J190" i="246"/>
  <c r="N15" i="270"/>
  <c r="N15" i="204"/>
  <c r="N15" i="137"/>
  <c r="N15" i="187"/>
  <c r="N15" i="188"/>
  <c r="N15" i="146"/>
  <c r="N15" i="194"/>
  <c r="N15" i="189"/>
  <c r="N15" i="195"/>
  <c r="N15" i="349"/>
  <c r="N15" i="126"/>
  <c r="N15" i="183"/>
  <c r="N15" i="293"/>
  <c r="F47" i="170"/>
  <c r="N15" i="178"/>
  <c r="N15" i="219"/>
  <c r="N15" i="362"/>
  <c r="N15" i="203"/>
  <c r="N15" i="151"/>
  <c r="N15" i="141"/>
  <c r="N15" i="353"/>
  <c r="N15" i="160"/>
  <c r="N15" i="309"/>
  <c r="W30" i="309" s="1"/>
  <c r="F47" i="174"/>
  <c r="N15" i="229"/>
  <c r="N15" i="84"/>
  <c r="N15" i="175"/>
  <c r="N15" i="171"/>
  <c r="N15" i="172"/>
  <c r="W30" i="172" s="1"/>
  <c r="N15" i="184"/>
  <c r="N15" i="361"/>
  <c r="N15" i="231"/>
  <c r="L15" i="353"/>
  <c r="W31" i="353" s="1"/>
  <c r="L15" i="126"/>
  <c r="W31" i="126" s="1"/>
  <c r="L15" i="204"/>
  <c r="W31" i="204" s="1"/>
  <c r="L15" i="189"/>
  <c r="W31" i="189" s="1"/>
  <c r="L15" i="146"/>
  <c r="W31" i="146" s="1"/>
  <c r="L15" i="187"/>
  <c r="W31" i="187" s="1"/>
  <c r="L15" i="362"/>
  <c r="W31" i="362" s="1"/>
  <c r="L15" i="219"/>
  <c r="W31" i="219" s="1"/>
  <c r="L15" i="160"/>
  <c r="W31" i="160" s="1"/>
  <c r="L15" i="183"/>
  <c r="W31" i="183" s="1"/>
  <c r="L15" i="293"/>
  <c r="W31" i="293" s="1"/>
  <c r="L15" i="203"/>
  <c r="W31" i="203" s="1"/>
  <c r="L15" i="141"/>
  <c r="W31" i="141" s="1"/>
  <c r="L15" i="270"/>
  <c r="W31" i="270" s="1"/>
  <c r="L15" i="195"/>
  <c r="W31" i="195" s="1"/>
  <c r="L15" i="349"/>
  <c r="W31" i="349" s="1"/>
  <c r="L15" i="178"/>
  <c r="W31" i="178" s="1"/>
  <c r="L15" i="194"/>
  <c r="W31" i="194" s="1"/>
  <c r="D47" i="170"/>
  <c r="L15" i="137"/>
  <c r="W31" i="137" s="1"/>
  <c r="L15" i="151"/>
  <c r="W31" i="151" s="1"/>
  <c r="L15" i="188"/>
  <c r="W31" i="188" s="1"/>
  <c r="N15" i="170"/>
  <c r="N15" i="226"/>
  <c r="N15" i="186"/>
  <c r="W30" i="186" s="1"/>
  <c r="F47" i="172"/>
  <c r="N15" i="104"/>
  <c r="W30" i="104" s="1"/>
  <c r="L14" i="194"/>
  <c r="W30" i="194" s="1"/>
  <c r="L14" i="195"/>
  <c r="W30" i="195" s="1"/>
  <c r="L14" i="293"/>
  <c r="W30" i="293" s="1"/>
  <c r="L14" i="137"/>
  <c r="W30" i="137" s="1"/>
  <c r="L14" i="188"/>
  <c r="W30" i="188" s="1"/>
  <c r="L14" i="204"/>
  <c r="W30" i="204" s="1"/>
  <c r="L14" i="270"/>
  <c r="W30" i="270" s="1"/>
  <c r="L14" i="187"/>
  <c r="W30" i="187" s="1"/>
  <c r="L14" i="219"/>
  <c r="W30" i="219" s="1"/>
  <c r="L14" i="151"/>
  <c r="W30" i="151" s="1"/>
  <c r="L14" i="183"/>
  <c r="W30" i="183" s="1"/>
  <c r="L14" i="126"/>
  <c r="W30" i="126" s="1"/>
  <c r="L14" i="146"/>
  <c r="W30" i="146" s="1"/>
  <c r="L14" i="178"/>
  <c r="W30" i="178" s="1"/>
  <c r="L14" i="362"/>
  <c r="W30" i="362" s="1"/>
  <c r="L14" i="203"/>
  <c r="W30" i="203" s="1"/>
  <c r="L14" i="160"/>
  <c r="W30" i="160" s="1"/>
  <c r="L14" i="353"/>
  <c r="W30" i="353" s="1"/>
  <c r="L14" i="141"/>
  <c r="W30" i="141" s="1"/>
  <c r="L14" i="349"/>
  <c r="W30" i="349" s="1"/>
  <c r="L14" i="189"/>
  <c r="W30" i="189" s="1"/>
  <c r="L19" i="223"/>
  <c r="L19" i="173"/>
  <c r="L19" i="103"/>
  <c r="L19" i="185"/>
  <c r="O148" i="246"/>
  <c r="L15" i="172"/>
  <c r="D47" i="174"/>
  <c r="L15" i="231"/>
  <c r="L15" i="184"/>
  <c r="L15" i="84"/>
  <c r="L15" i="309"/>
  <c r="L15" i="175"/>
  <c r="L15" i="229"/>
  <c r="L15" i="361"/>
  <c r="L15" i="171"/>
  <c r="L19" i="334"/>
  <c r="W34" i="334" s="1"/>
  <c r="L19" i="166"/>
  <c r="W34" i="166" s="1"/>
  <c r="L19" i="344"/>
  <c r="W34" i="344" s="1"/>
  <c r="L19" i="165"/>
  <c r="W34" i="165" s="1"/>
  <c r="L19" i="139"/>
  <c r="W34" i="139" s="1"/>
  <c r="L19" i="215"/>
  <c r="W34" i="215" s="1"/>
  <c r="L19" i="162"/>
  <c r="W34" i="162" s="1"/>
  <c r="L19" i="355"/>
  <c r="W34" i="355" s="1"/>
  <c r="L19" i="216"/>
  <c r="W34" i="216" s="1"/>
  <c r="L19" i="202"/>
  <c r="W34" i="202" s="1"/>
  <c r="D47" i="175"/>
  <c r="L19" i="212" s="1"/>
  <c r="L15" i="212"/>
  <c r="L10" i="337" l="1"/>
  <c r="W26" i="337" s="1"/>
  <c r="L10" i="39"/>
  <c r="W26" i="39" s="1"/>
  <c r="L10" i="196"/>
  <c r="W26" i="196" s="1"/>
  <c r="L10" i="79"/>
  <c r="W26" i="79" s="1"/>
  <c r="X21" i="28"/>
  <c r="D15" i="58"/>
  <c r="D15" i="229" s="1"/>
  <c r="X22" i="28"/>
  <c r="X16" i="28"/>
  <c r="X15" i="28"/>
  <c r="X26" i="28"/>
  <c r="X12" i="28"/>
  <c r="V17" i="28"/>
  <c r="X17" i="28" s="1"/>
  <c r="X13" i="28"/>
  <c r="X11" i="28"/>
  <c r="X23" i="28"/>
  <c r="X22" i="36"/>
  <c r="X23" i="36"/>
  <c r="X16" i="36"/>
  <c r="X11" i="36"/>
  <c r="X17" i="36"/>
  <c r="X36" i="36"/>
  <c r="X27" i="36"/>
  <c r="X28" i="36"/>
  <c r="X29" i="36"/>
  <c r="J60" i="36"/>
  <c r="X33" i="36"/>
  <c r="X10" i="36"/>
  <c r="X32" i="36"/>
  <c r="F42" i="7"/>
  <c r="K257" i="209" s="1"/>
  <c r="F39" i="7"/>
  <c r="Q17" i="209" s="1"/>
  <c r="F38" i="7"/>
  <c r="K17" i="209" s="1"/>
  <c r="F40" i="7"/>
  <c r="K77" i="209" s="1"/>
  <c r="K737" i="209"/>
  <c r="E15" i="330"/>
  <c r="G41" i="7"/>
  <c r="L197" i="209" s="1"/>
  <c r="L122" i="209"/>
  <c r="O12" i="223"/>
  <c r="O12" i="103"/>
  <c r="L86" i="246"/>
  <c r="L302" i="209"/>
  <c r="O12" i="173"/>
  <c r="E37" i="4"/>
  <c r="P191" i="209" s="1"/>
  <c r="J724" i="209"/>
  <c r="P664" i="209"/>
  <c r="E44" i="229"/>
  <c r="M16" i="330" s="1"/>
  <c r="Y31" i="330" s="1"/>
  <c r="G40" i="6"/>
  <c r="L78" i="209" s="1"/>
  <c r="E46" i="229"/>
  <c r="M18" i="228" s="1"/>
  <c r="E45" i="229"/>
  <c r="M17" i="291" s="1"/>
  <c r="W32" i="291" s="1"/>
  <c r="F40" i="6"/>
  <c r="K78" i="209" s="1"/>
  <c r="O11" i="185"/>
  <c r="O11" i="103"/>
  <c r="R24" i="246"/>
  <c r="O11" i="173"/>
  <c r="G38" i="6"/>
  <c r="L18" i="209" s="1"/>
  <c r="O14" i="223"/>
  <c r="O14" i="173"/>
  <c r="L272" i="246"/>
  <c r="O14" i="185"/>
  <c r="O10" i="185"/>
  <c r="O13" i="223"/>
  <c r="O10" i="223"/>
  <c r="O13" i="185"/>
  <c r="O13" i="173"/>
  <c r="L24" i="246"/>
  <c r="O10" i="103"/>
  <c r="O13" i="103"/>
  <c r="G18" i="123"/>
  <c r="G18" i="44" s="1"/>
  <c r="G15" i="328"/>
  <c r="G42" i="7"/>
  <c r="L257" i="209" s="1"/>
  <c r="G37" i="7"/>
  <c r="R197" i="209" s="1"/>
  <c r="G40" i="7"/>
  <c r="L77" i="209" s="1"/>
  <c r="G38" i="7"/>
  <c r="L17" i="209" s="1"/>
  <c r="L737" i="209"/>
  <c r="R242" i="209"/>
  <c r="O10" i="225"/>
  <c r="E41" i="4"/>
  <c r="J191" i="209" s="1"/>
  <c r="E38" i="4"/>
  <c r="J11" i="209" s="1"/>
  <c r="J731" i="209"/>
  <c r="E40" i="4"/>
  <c r="J71" i="209" s="1"/>
  <c r="E42" i="4"/>
  <c r="J251" i="209" s="1"/>
  <c r="E15" i="58"/>
  <c r="E15" i="229" s="1"/>
  <c r="L242" i="209"/>
  <c r="E18" i="18"/>
  <c r="E18" i="330" s="1"/>
  <c r="E40" i="330" s="1"/>
  <c r="L738" i="209"/>
  <c r="M738" i="209" s="1"/>
  <c r="D18" i="18"/>
  <c r="D18" i="58" s="1"/>
  <c r="D38" i="58" s="1"/>
  <c r="I60" i="209" s="1"/>
  <c r="H18" i="7"/>
  <c r="I737" i="209"/>
  <c r="D42" i="7"/>
  <c r="I257" i="209" s="1"/>
  <c r="G37" i="6"/>
  <c r="R198" i="209" s="1"/>
  <c r="D41" i="7"/>
  <c r="I197" i="209" s="1"/>
  <c r="G41" i="6"/>
  <c r="L198" i="209" s="1"/>
  <c r="G42" i="6"/>
  <c r="L258" i="209" s="1"/>
  <c r="D39" i="7"/>
  <c r="O17" i="209" s="1"/>
  <c r="H18" i="6"/>
  <c r="D38" i="7"/>
  <c r="I17" i="209" s="1"/>
  <c r="D40" i="7"/>
  <c r="I77" i="209" s="1"/>
  <c r="F38" i="6"/>
  <c r="K18" i="209" s="1"/>
  <c r="F41" i="6"/>
  <c r="K198" i="209" s="1"/>
  <c r="F37" i="6"/>
  <c r="Q198" i="209" s="1"/>
  <c r="K738" i="209"/>
  <c r="F39" i="6"/>
  <c r="Q18" i="209" s="1"/>
  <c r="V41" i="292"/>
  <c r="O15" i="330"/>
  <c r="O15" i="228"/>
  <c r="G47" i="229"/>
  <c r="O19" i="250" s="1"/>
  <c r="O15" i="328"/>
  <c r="O15" i="18"/>
  <c r="O15" i="327"/>
  <c r="O13" i="139"/>
  <c r="O13" i="344"/>
  <c r="O13" i="165"/>
  <c r="O13" i="355"/>
  <c r="O13" i="166"/>
  <c r="O13" i="215"/>
  <c r="O13" i="202"/>
  <c r="O13" i="334"/>
  <c r="O13" i="216"/>
  <c r="O13" i="162"/>
  <c r="O14" i="215"/>
  <c r="O14" i="139"/>
  <c r="O14" i="166"/>
  <c r="O14" i="334"/>
  <c r="O14" i="165"/>
  <c r="O14" i="202"/>
  <c r="O14" i="162"/>
  <c r="O14" i="344"/>
  <c r="O14" i="355"/>
  <c r="O14" i="216"/>
  <c r="O12" i="139"/>
  <c r="O12" i="355"/>
  <c r="O12" i="216"/>
  <c r="O12" i="165"/>
  <c r="O12" i="334"/>
  <c r="O12" i="162"/>
  <c r="O12" i="344"/>
  <c r="O12" i="202"/>
  <c r="O12" i="215"/>
  <c r="O12" i="166"/>
  <c r="O10" i="344"/>
  <c r="O10" i="139"/>
  <c r="O10" i="202"/>
  <c r="O10" i="216"/>
  <c r="O10" i="355"/>
  <c r="O10" i="166"/>
  <c r="O10" i="165"/>
  <c r="O10" i="334"/>
  <c r="O10" i="215"/>
  <c r="O10" i="162"/>
  <c r="O9" i="334"/>
  <c r="O9" i="344"/>
  <c r="O9" i="162"/>
  <c r="O9" i="215"/>
  <c r="O9" i="165"/>
  <c r="O9" i="216"/>
  <c r="O9" i="202"/>
  <c r="O9" i="355"/>
  <c r="O9" i="166"/>
  <c r="O9" i="139"/>
  <c r="O11" i="202"/>
  <c r="O11" i="139"/>
  <c r="O11" i="165"/>
  <c r="O11" i="166"/>
  <c r="O11" i="334"/>
  <c r="O11" i="162"/>
  <c r="O11" i="344"/>
  <c r="O11" i="216"/>
  <c r="O11" i="355"/>
  <c r="O11" i="215"/>
  <c r="O15" i="44"/>
  <c r="O15" i="248"/>
  <c r="O15" i="174"/>
  <c r="O15" i="250"/>
  <c r="O15" i="291"/>
  <c r="O15" i="326"/>
  <c r="O15" i="247"/>
  <c r="F18" i="13"/>
  <c r="F18" i="18" s="1"/>
  <c r="F18" i="58" s="1"/>
  <c r="G15" i="13"/>
  <c r="G18" i="13" s="1"/>
  <c r="E40" i="13"/>
  <c r="J72" i="209" s="1"/>
  <c r="E38" i="13"/>
  <c r="J12" i="209" s="1"/>
  <c r="E37" i="13"/>
  <c r="P192" i="209" s="1"/>
  <c r="E42" i="13"/>
  <c r="J252" i="209" s="1"/>
  <c r="E39" i="13"/>
  <c r="P12" i="209" s="1"/>
  <c r="J732" i="209"/>
  <c r="E41" i="13"/>
  <c r="J192" i="209" s="1"/>
  <c r="R190" i="246"/>
  <c r="U652" i="209"/>
  <c r="D712" i="209"/>
  <c r="O19" i="361"/>
  <c r="O19" i="184"/>
  <c r="L11" i="349"/>
  <c r="W27" i="349" s="1"/>
  <c r="L12" i="219"/>
  <c r="W28" i="219" s="1"/>
  <c r="O19" i="84"/>
  <c r="O19" i="309"/>
  <c r="O19" i="231"/>
  <c r="O19" i="171"/>
  <c r="O19" i="229"/>
  <c r="O19" i="172"/>
  <c r="L11" i="195"/>
  <c r="W27" i="195" s="1"/>
  <c r="L11" i="187"/>
  <c r="W27" i="187" s="1"/>
  <c r="L11" i="178"/>
  <c r="W27" i="178" s="1"/>
  <c r="L10" i="219"/>
  <c r="W26" i="219" s="1"/>
  <c r="L10" i="270"/>
  <c r="W26" i="270" s="1"/>
  <c r="L10" i="353"/>
  <c r="W26" i="353" s="1"/>
  <c r="L10" i="195"/>
  <c r="W26" i="195" s="1"/>
  <c r="L12" i="293"/>
  <c r="W28" i="293" s="1"/>
  <c r="D42" i="175"/>
  <c r="L14" i="212" s="1"/>
  <c r="L11" i="219"/>
  <c r="W27" i="219" s="1"/>
  <c r="L12" i="146"/>
  <c r="W28" i="146" s="1"/>
  <c r="L12" i="353"/>
  <c r="W28" i="353" s="1"/>
  <c r="L12" i="270"/>
  <c r="W28" i="270" s="1"/>
  <c r="L12" i="195"/>
  <c r="W28" i="195" s="1"/>
  <c r="L12" i="151"/>
  <c r="W28" i="151" s="1"/>
  <c r="L12" i="137"/>
  <c r="W28" i="137" s="1"/>
  <c r="L12" i="188"/>
  <c r="W28" i="188" s="1"/>
  <c r="L12" i="362"/>
  <c r="W28" i="362" s="1"/>
  <c r="W30" i="229"/>
  <c r="L10" i="194"/>
  <c r="W26" i="194" s="1"/>
  <c r="L10" i="178"/>
  <c r="W26" i="178" s="1"/>
  <c r="L10" i="141"/>
  <c r="W26" i="141" s="1"/>
  <c r="L10" i="204"/>
  <c r="W26" i="204" s="1"/>
  <c r="L10" i="203"/>
  <c r="W26" i="203" s="1"/>
  <c r="L10" i="293"/>
  <c r="W26" i="293" s="1"/>
  <c r="L10" i="151"/>
  <c r="W26" i="151" s="1"/>
  <c r="L10" i="187"/>
  <c r="W26" i="187" s="1"/>
  <c r="L10" i="137"/>
  <c r="W26" i="137" s="1"/>
  <c r="L10" i="146"/>
  <c r="W26" i="146" s="1"/>
  <c r="L10" i="183"/>
  <c r="W26" i="183" s="1"/>
  <c r="L10" i="126"/>
  <c r="W26" i="126" s="1"/>
  <c r="L10" i="349"/>
  <c r="W26" i="349" s="1"/>
  <c r="L10" i="189"/>
  <c r="W26" i="189" s="1"/>
  <c r="L10" i="362"/>
  <c r="W26" i="362" s="1"/>
  <c r="L10" i="160"/>
  <c r="W26" i="160" s="1"/>
  <c r="K755" i="209"/>
  <c r="F38" i="123"/>
  <c r="K35" i="209" s="1"/>
  <c r="F41" i="123"/>
  <c r="K215" i="209" s="1"/>
  <c r="F42" i="123"/>
  <c r="K275" i="209" s="1"/>
  <c r="F40" i="123"/>
  <c r="K95" i="209" s="1"/>
  <c r="F37" i="123"/>
  <c r="Q215" i="209" s="1"/>
  <c r="F39" i="123"/>
  <c r="Q35" i="209" s="1"/>
  <c r="F15" i="58"/>
  <c r="F15" i="229" s="1"/>
  <c r="F15" i="330"/>
  <c r="L9" i="189"/>
  <c r="W25" i="189" s="1"/>
  <c r="L9" i="187"/>
  <c r="W25" i="187" s="1"/>
  <c r="L9" i="293"/>
  <c r="W25" i="293" s="1"/>
  <c r="L9" i="146"/>
  <c r="W25" i="146" s="1"/>
  <c r="L9" i="353"/>
  <c r="W25" i="353" s="1"/>
  <c r="L9" i="141"/>
  <c r="W25" i="141" s="1"/>
  <c r="L9" i="183"/>
  <c r="W25" i="183" s="1"/>
  <c r="L9" i="160"/>
  <c r="W25" i="160" s="1"/>
  <c r="L9" i="194"/>
  <c r="W25" i="194" s="1"/>
  <c r="L9" i="137"/>
  <c r="W25" i="137" s="1"/>
  <c r="L9" i="349"/>
  <c r="W25" i="349" s="1"/>
  <c r="L9" i="270"/>
  <c r="W25" i="270" s="1"/>
  <c r="L9" i="195"/>
  <c r="W25" i="195" s="1"/>
  <c r="L9" i="203"/>
  <c r="W25" i="203" s="1"/>
  <c r="L9" i="204"/>
  <c r="W25" i="204" s="1"/>
  <c r="L9" i="126"/>
  <c r="W25" i="126" s="1"/>
  <c r="L9" i="188"/>
  <c r="W25" i="188" s="1"/>
  <c r="L9" i="362"/>
  <c r="W25" i="362" s="1"/>
  <c r="L9" i="178"/>
  <c r="W25" i="178" s="1"/>
  <c r="L9" i="219"/>
  <c r="W25" i="219" s="1"/>
  <c r="L12" i="349"/>
  <c r="W28" i="349" s="1"/>
  <c r="L12" i="203"/>
  <c r="W28" i="203" s="1"/>
  <c r="L12" i="160"/>
  <c r="W28" i="160" s="1"/>
  <c r="L12" i="194"/>
  <c r="W28" i="194" s="1"/>
  <c r="L12" i="189"/>
  <c r="W28" i="189" s="1"/>
  <c r="L12" i="183"/>
  <c r="W28" i="183" s="1"/>
  <c r="L12" i="178"/>
  <c r="W28" i="178" s="1"/>
  <c r="L12" i="204"/>
  <c r="W28" i="204" s="1"/>
  <c r="L12" i="141"/>
  <c r="W28" i="141" s="1"/>
  <c r="L12" i="187"/>
  <c r="W28" i="187" s="1"/>
  <c r="L9" i="170"/>
  <c r="D41" i="175"/>
  <c r="L13" i="212" s="1"/>
  <c r="D37" i="175"/>
  <c r="L9" i="212" s="1"/>
  <c r="D40" i="175"/>
  <c r="L12" i="212" s="1"/>
  <c r="Y32" i="330"/>
  <c r="X32" i="330"/>
  <c r="X32" i="58"/>
  <c r="Y32" i="58"/>
  <c r="N15" i="326"/>
  <c r="N15" i="291"/>
  <c r="N15" i="327"/>
  <c r="N15" i="58"/>
  <c r="N15" i="328"/>
  <c r="N15" i="250"/>
  <c r="N15" i="44"/>
  <c r="N15" i="247"/>
  <c r="N15" i="248"/>
  <c r="N15" i="174"/>
  <c r="N15" i="330"/>
  <c r="F47" i="229"/>
  <c r="N15" i="18"/>
  <c r="N15" i="228"/>
  <c r="D38" i="175"/>
  <c r="L10" i="212" s="1"/>
  <c r="O242" i="246"/>
  <c r="P182" i="209"/>
  <c r="M19" i="225"/>
  <c r="Q182" i="209"/>
  <c r="N19" i="225"/>
  <c r="W33" i="225" s="1"/>
  <c r="M15" i="174"/>
  <c r="W30" i="174" s="1"/>
  <c r="M15" i="247"/>
  <c r="W30" i="247" s="1"/>
  <c r="M15" i="44"/>
  <c r="W30" i="44" s="1"/>
  <c r="M15" i="228"/>
  <c r="W30" i="228" s="1"/>
  <c r="M15" i="327"/>
  <c r="W30" i="327" s="1"/>
  <c r="M15" i="248"/>
  <c r="W30" i="248" s="1"/>
  <c r="M15" i="330"/>
  <c r="E47" i="229"/>
  <c r="M15" i="18"/>
  <c r="W30" i="18" s="1"/>
  <c r="M15" i="291"/>
  <c r="W30" i="291" s="1"/>
  <c r="M15" i="250"/>
  <c r="W30" i="250" s="1"/>
  <c r="M15" i="328"/>
  <c r="W30" i="328" s="1"/>
  <c r="M15" i="58"/>
  <c r="M15" i="326"/>
  <c r="W30" i="326" s="1"/>
  <c r="L15" i="291"/>
  <c r="L15" i="174"/>
  <c r="L15" i="326"/>
  <c r="L15" i="18"/>
  <c r="L15" i="44"/>
  <c r="L15" i="228"/>
  <c r="L15" i="250"/>
  <c r="L15" i="330"/>
  <c r="L15" i="328"/>
  <c r="D47" i="229"/>
  <c r="L15" i="58"/>
  <c r="L15" i="247"/>
  <c r="L15" i="327"/>
  <c r="O182" i="209"/>
  <c r="L19" i="225"/>
  <c r="L9" i="186"/>
  <c r="L13" i="270"/>
  <c r="W29" i="270" s="1"/>
  <c r="L13" i="195"/>
  <c r="W29" i="195" s="1"/>
  <c r="L12" i="104"/>
  <c r="L12" i="170"/>
  <c r="L12" i="226"/>
  <c r="I118" i="246"/>
  <c r="L13" i="187"/>
  <c r="W29" i="187" s="1"/>
  <c r="L13" i="362"/>
  <c r="W29" i="362" s="1"/>
  <c r="L13" i="183"/>
  <c r="W29" i="183" s="1"/>
  <c r="L11" i="151"/>
  <c r="W27" i="151" s="1"/>
  <c r="L11" i="189"/>
  <c r="W27" i="189" s="1"/>
  <c r="L11" i="188"/>
  <c r="W27" i="188" s="1"/>
  <c r="L13" i="204"/>
  <c r="W29" i="204" s="1"/>
  <c r="L13" i="141"/>
  <c r="W29" i="141" s="1"/>
  <c r="L13" i="189"/>
  <c r="W29" i="189" s="1"/>
  <c r="L11" i="203"/>
  <c r="W27" i="203" s="1"/>
  <c r="L11" i="362"/>
  <c r="W27" i="362" s="1"/>
  <c r="L11" i="141"/>
  <c r="W27" i="141" s="1"/>
  <c r="L13" i="137"/>
  <c r="W29" i="137" s="1"/>
  <c r="L13" i="219"/>
  <c r="W29" i="219" s="1"/>
  <c r="L13" i="194"/>
  <c r="W29" i="194" s="1"/>
  <c r="L13" i="349"/>
  <c r="W29" i="349" s="1"/>
  <c r="L11" i="137"/>
  <c r="W27" i="137" s="1"/>
  <c r="L11" i="270"/>
  <c r="W27" i="270" s="1"/>
  <c r="L11" i="126"/>
  <c r="W27" i="126" s="1"/>
  <c r="L14" i="104"/>
  <c r="L13" i="188"/>
  <c r="W29" i="188" s="1"/>
  <c r="L13" i="293"/>
  <c r="W29" i="293" s="1"/>
  <c r="L13" i="353"/>
  <c r="W29" i="353" s="1"/>
  <c r="L11" i="160"/>
  <c r="W27" i="160" s="1"/>
  <c r="L11" i="204"/>
  <c r="W27" i="204" s="1"/>
  <c r="L10" i="186"/>
  <c r="L13" i="126"/>
  <c r="W29" i="126" s="1"/>
  <c r="L13" i="146"/>
  <c r="W29" i="146" s="1"/>
  <c r="L13" i="151"/>
  <c r="W29" i="151" s="1"/>
  <c r="L11" i="183"/>
  <c r="W27" i="183" s="1"/>
  <c r="L11" i="146"/>
  <c r="W27" i="146" s="1"/>
  <c r="L13" i="203"/>
  <c r="W29" i="203" s="1"/>
  <c r="L13" i="178"/>
  <c r="W29" i="178" s="1"/>
  <c r="L11" i="194"/>
  <c r="W27" i="194" s="1"/>
  <c r="L11" i="353"/>
  <c r="W27" i="353" s="1"/>
  <c r="L9" i="104"/>
  <c r="L10" i="226"/>
  <c r="O56" i="246"/>
  <c r="L11" i="104"/>
  <c r="L11" i="170"/>
  <c r="L11" i="226"/>
  <c r="L10" i="104"/>
  <c r="L10" i="170"/>
  <c r="I304" i="246"/>
  <c r="L14" i="226"/>
  <c r="L14" i="170"/>
  <c r="L13" i="226"/>
  <c r="I242" i="246"/>
  <c r="L13" i="170"/>
  <c r="L13" i="186"/>
  <c r="M11" i="123"/>
  <c r="M11" i="196"/>
  <c r="M11" i="337"/>
  <c r="M11" i="338"/>
  <c r="P42" i="209"/>
  <c r="M11" i="39"/>
  <c r="M11" i="72"/>
  <c r="M11" i="154"/>
  <c r="M11" i="79"/>
  <c r="K762" i="209"/>
  <c r="O11" i="292"/>
  <c r="F38" i="44"/>
  <c r="F42" i="44"/>
  <c r="F18" i="328"/>
  <c r="F40" i="44"/>
  <c r="F41" i="44"/>
  <c r="F37" i="44"/>
  <c r="F39" i="44"/>
  <c r="M13" i="39"/>
  <c r="M13" i="337"/>
  <c r="M13" i="79"/>
  <c r="M13" i="123"/>
  <c r="M13" i="72"/>
  <c r="M13" i="154"/>
  <c r="J222" i="209"/>
  <c r="M13" i="196"/>
  <c r="M13" i="338"/>
  <c r="F18" i="231"/>
  <c r="F18" i="170"/>
  <c r="F42" i="226"/>
  <c r="K302" i="246" s="1"/>
  <c r="F40" i="226"/>
  <c r="K116" i="246" s="1"/>
  <c r="F41" i="226"/>
  <c r="K240" i="246" s="1"/>
  <c r="F37" i="226"/>
  <c r="Q240" i="246" s="1"/>
  <c r="K798" i="246"/>
  <c r="O36" i="292"/>
  <c r="F39" i="226"/>
  <c r="Q54" i="246" s="1"/>
  <c r="F38" i="226"/>
  <c r="K54" i="246" s="1"/>
  <c r="F18" i="172"/>
  <c r="L759" i="209"/>
  <c r="M759" i="209" s="1"/>
  <c r="G38" i="79"/>
  <c r="L39" i="209" s="1"/>
  <c r="G37" i="79"/>
  <c r="R219" i="209" s="1"/>
  <c r="G39" i="79"/>
  <c r="R39" i="209" s="1"/>
  <c r="G42" i="79"/>
  <c r="L279" i="209" s="1"/>
  <c r="G40" i="79"/>
  <c r="L99" i="209" s="1"/>
  <c r="G41" i="79"/>
  <c r="L219" i="209" s="1"/>
  <c r="H18" i="79"/>
  <c r="J42" i="209"/>
  <c r="M10" i="39"/>
  <c r="M10" i="196"/>
  <c r="M10" i="154"/>
  <c r="M10" i="337"/>
  <c r="M10" i="338"/>
  <c r="M10" i="79"/>
  <c r="M10" i="123"/>
  <c r="M10" i="72"/>
  <c r="E39" i="328"/>
  <c r="E41" i="328"/>
  <c r="E40" i="328"/>
  <c r="E42" i="328"/>
  <c r="E37" i="328"/>
  <c r="E38" i="328"/>
  <c r="E18" i="175"/>
  <c r="E41" i="170"/>
  <c r="E40" i="170"/>
  <c r="E39" i="170"/>
  <c r="E38" i="170"/>
  <c r="E42" i="170"/>
  <c r="E37" i="170"/>
  <c r="F41" i="4"/>
  <c r="K191" i="209" s="1"/>
  <c r="F40" i="4"/>
  <c r="K71" i="209" s="1"/>
  <c r="F37" i="4"/>
  <c r="Q191" i="209" s="1"/>
  <c r="F39" i="4"/>
  <c r="Q11" i="209" s="1"/>
  <c r="F42" i="4"/>
  <c r="K251" i="209" s="1"/>
  <c r="F38" i="4"/>
  <c r="K11" i="209" s="1"/>
  <c r="K731" i="209"/>
  <c r="M9" i="39"/>
  <c r="M9" i="123"/>
  <c r="M9" i="79"/>
  <c r="M9" i="196"/>
  <c r="P222" i="209"/>
  <c r="M9" i="337"/>
  <c r="M9" i="72"/>
  <c r="M9" i="154"/>
  <c r="M9" i="338"/>
  <c r="J800" i="246"/>
  <c r="E42" i="172"/>
  <c r="E39" i="172"/>
  <c r="E38" i="172"/>
  <c r="E41" i="172"/>
  <c r="E37" i="172"/>
  <c r="E18" i="174"/>
  <c r="E40" i="172"/>
  <c r="G18" i="4"/>
  <c r="M12" i="154"/>
  <c r="M12" i="123"/>
  <c r="M12" i="39"/>
  <c r="M12" i="72"/>
  <c r="M12" i="338"/>
  <c r="M12" i="196"/>
  <c r="M12" i="79"/>
  <c r="M12" i="337"/>
  <c r="J102" i="209"/>
  <c r="E37" i="231"/>
  <c r="P250" i="246" s="1"/>
  <c r="E41" i="231"/>
  <c r="J250" i="246" s="1"/>
  <c r="E38" i="231"/>
  <c r="J64" i="246" s="1"/>
  <c r="E39" i="231"/>
  <c r="P64" i="246" s="1"/>
  <c r="E42" i="231"/>
  <c r="J312" i="246" s="1"/>
  <c r="J808" i="246"/>
  <c r="E40" i="231"/>
  <c r="J126" i="246" s="1"/>
  <c r="C772" i="209"/>
  <c r="V772" i="209" s="1"/>
  <c r="V712" i="209"/>
  <c r="G39" i="126"/>
  <c r="R42" i="246" s="1"/>
  <c r="G42" i="126"/>
  <c r="L290" i="246" s="1"/>
  <c r="G38" i="126"/>
  <c r="L42" i="246" s="1"/>
  <c r="G40" i="126"/>
  <c r="L104" i="246" s="1"/>
  <c r="G37" i="126"/>
  <c r="R228" i="246" s="1"/>
  <c r="G41" i="126"/>
  <c r="L228" i="246" s="1"/>
  <c r="L786" i="246"/>
  <c r="M786" i="246" s="1"/>
  <c r="G18" i="226"/>
  <c r="H18" i="126"/>
  <c r="M14" i="337"/>
  <c r="M14" i="196"/>
  <c r="M14" i="79"/>
  <c r="M14" i="39"/>
  <c r="M14" i="338"/>
  <c r="J282" i="209"/>
  <c r="M14" i="72"/>
  <c r="M14" i="123"/>
  <c r="M14" i="154"/>
  <c r="G15" i="231"/>
  <c r="G15" i="172"/>
  <c r="G15" i="174" s="1"/>
  <c r="G15" i="170"/>
  <c r="G15" i="175" s="1"/>
  <c r="N19" i="293"/>
  <c r="N19" i="141"/>
  <c r="N19" i="362"/>
  <c r="N19" i="188"/>
  <c r="N19" i="146"/>
  <c r="N19" i="270"/>
  <c r="N19" i="195"/>
  <c r="N19" i="349"/>
  <c r="N19" i="137"/>
  <c r="N19" i="187"/>
  <c r="N19" i="126"/>
  <c r="N19" i="183"/>
  <c r="N19" i="151"/>
  <c r="N19" i="204"/>
  <c r="N19" i="160"/>
  <c r="N19" i="178"/>
  <c r="N19" i="189"/>
  <c r="N19" i="194"/>
  <c r="N19" i="353"/>
  <c r="N19" i="219"/>
  <c r="N19" i="203"/>
  <c r="O180" i="246"/>
  <c r="L19" i="170"/>
  <c r="L19" i="186"/>
  <c r="L19" i="226"/>
  <c r="L19" i="104"/>
  <c r="M19" i="361"/>
  <c r="W33" i="361" s="1"/>
  <c r="M19" i="171"/>
  <c r="W33" i="171" s="1"/>
  <c r="M19" i="84"/>
  <c r="W33" i="84" s="1"/>
  <c r="M19" i="309"/>
  <c r="M19" i="184"/>
  <c r="W33" i="184" s="1"/>
  <c r="P190" i="246"/>
  <c r="M19" i="229"/>
  <c r="M19" i="175"/>
  <c r="W33" i="175" s="1"/>
  <c r="M19" i="172"/>
  <c r="M19" i="231"/>
  <c r="W33" i="231" s="1"/>
  <c r="M19" i="137"/>
  <c r="M19" i="204"/>
  <c r="M19" i="293"/>
  <c r="M19" i="203"/>
  <c r="M19" i="219"/>
  <c r="M19" i="195"/>
  <c r="M19" i="270"/>
  <c r="M19" i="160"/>
  <c r="M19" i="362"/>
  <c r="M19" i="194"/>
  <c r="M19" i="183"/>
  <c r="M19" i="146"/>
  <c r="M19" i="141"/>
  <c r="M19" i="188"/>
  <c r="M19" i="151"/>
  <c r="M19" i="189"/>
  <c r="M19" i="126"/>
  <c r="M19" i="349"/>
  <c r="M19" i="187"/>
  <c r="M19" i="353"/>
  <c r="M19" i="178"/>
  <c r="L14" i="231"/>
  <c r="L14" i="171"/>
  <c r="I314" i="246"/>
  <c r="L14" i="361"/>
  <c r="L14" i="309"/>
  <c r="L14" i="184"/>
  <c r="L14" i="84"/>
  <c r="L14" i="229"/>
  <c r="L14" i="175"/>
  <c r="L14" i="172"/>
  <c r="L19" i="187"/>
  <c r="W34" i="187" s="1"/>
  <c r="L19" i="141"/>
  <c r="W34" i="141" s="1"/>
  <c r="L19" i="189"/>
  <c r="W34" i="189" s="1"/>
  <c r="L19" i="293"/>
  <c r="W34" i="293" s="1"/>
  <c r="L19" i="151"/>
  <c r="W34" i="151" s="1"/>
  <c r="L19" i="204"/>
  <c r="W34" i="204" s="1"/>
  <c r="L19" i="353"/>
  <c r="W34" i="353" s="1"/>
  <c r="L19" i="178"/>
  <c r="W34" i="178" s="1"/>
  <c r="L19" i="195"/>
  <c r="W34" i="195" s="1"/>
  <c r="L19" i="146"/>
  <c r="W34" i="146" s="1"/>
  <c r="L19" i="126"/>
  <c r="W34" i="126" s="1"/>
  <c r="L19" i="194"/>
  <c r="W34" i="194" s="1"/>
  <c r="L19" i="160"/>
  <c r="W34" i="160" s="1"/>
  <c r="L19" i="188"/>
  <c r="W34" i="188" s="1"/>
  <c r="L19" i="349"/>
  <c r="W34" i="349" s="1"/>
  <c r="L19" i="137"/>
  <c r="W34" i="137" s="1"/>
  <c r="L19" i="219"/>
  <c r="W34" i="219" s="1"/>
  <c r="L19" i="203"/>
  <c r="W34" i="203" s="1"/>
  <c r="L19" i="362"/>
  <c r="W34" i="362" s="1"/>
  <c r="L19" i="270"/>
  <c r="W34" i="270" s="1"/>
  <c r="L19" i="183"/>
  <c r="W34" i="183" s="1"/>
  <c r="M19" i="170"/>
  <c r="P180" i="246"/>
  <c r="M19" i="186"/>
  <c r="M19" i="226"/>
  <c r="M19" i="104"/>
  <c r="L10" i="84"/>
  <c r="L10" i="184"/>
  <c r="L10" i="171"/>
  <c r="L10" i="309"/>
  <c r="L10" i="172"/>
  <c r="L10" i="361"/>
  <c r="L10" i="231"/>
  <c r="L10" i="229"/>
  <c r="I66" i="246"/>
  <c r="L10" i="175"/>
  <c r="L13" i="175"/>
  <c r="L13" i="172"/>
  <c r="L13" i="309"/>
  <c r="L13" i="229"/>
  <c r="I252" i="246"/>
  <c r="L13" i="84"/>
  <c r="L13" i="184"/>
  <c r="L13" i="231"/>
  <c r="L13" i="361"/>
  <c r="L13" i="171"/>
  <c r="N19" i="361"/>
  <c r="N19" i="175"/>
  <c r="N19" i="184"/>
  <c r="N19" i="171"/>
  <c r="N19" i="229"/>
  <c r="N19" i="84"/>
  <c r="N19" i="309"/>
  <c r="W33" i="309" s="1"/>
  <c r="Q190" i="246"/>
  <c r="N19" i="231"/>
  <c r="N19" i="172"/>
  <c r="W33" i="172" s="1"/>
  <c r="O19" i="188"/>
  <c r="O19" i="349"/>
  <c r="O19" i="194"/>
  <c r="O19" i="353"/>
  <c r="O19" i="137"/>
  <c r="O19" i="293"/>
  <c r="O19" i="126"/>
  <c r="O19" i="146"/>
  <c r="O19" i="189"/>
  <c r="O19" i="204"/>
  <c r="O19" i="187"/>
  <c r="O19" i="160"/>
  <c r="O19" i="219"/>
  <c r="O19" i="362"/>
  <c r="O19" i="195"/>
  <c r="O19" i="270"/>
  <c r="O19" i="141"/>
  <c r="O19" i="183"/>
  <c r="O19" i="151"/>
  <c r="O19" i="178"/>
  <c r="O19" i="203"/>
  <c r="L11" i="175"/>
  <c r="L11" i="84"/>
  <c r="L11" i="171"/>
  <c r="L11" i="184"/>
  <c r="L11" i="172"/>
  <c r="O66" i="246"/>
  <c r="L11" i="229"/>
  <c r="L11" i="309"/>
  <c r="L11" i="361"/>
  <c r="L11" i="231"/>
  <c r="N19" i="186"/>
  <c r="W33" i="186" s="1"/>
  <c r="N19" i="104"/>
  <c r="W33" i="104" s="1"/>
  <c r="Q180" i="246"/>
  <c r="N19" i="170"/>
  <c r="W33" i="170" s="1"/>
  <c r="N19" i="226"/>
  <c r="W33" i="226" s="1"/>
  <c r="L12" i="361"/>
  <c r="I128" i="246"/>
  <c r="L12" i="175"/>
  <c r="L12" i="309"/>
  <c r="L12" i="84"/>
  <c r="L12" i="172"/>
  <c r="L12" i="231"/>
  <c r="L12" i="171"/>
  <c r="L12" i="184"/>
  <c r="L12" i="229"/>
  <c r="O252" i="246"/>
  <c r="L9" i="229"/>
  <c r="L9" i="84"/>
  <c r="L9" i="231"/>
  <c r="L9" i="172"/>
  <c r="L9" i="171"/>
  <c r="L9" i="309"/>
  <c r="L9" i="361"/>
  <c r="L9" i="175"/>
  <c r="L9" i="184"/>
  <c r="L19" i="175"/>
  <c r="L19" i="231"/>
  <c r="L19" i="361"/>
  <c r="L19" i="229"/>
  <c r="L19" i="84"/>
  <c r="L19" i="309"/>
  <c r="L19" i="184"/>
  <c r="L19" i="172"/>
  <c r="O190" i="246"/>
  <c r="L19" i="171"/>
  <c r="G15" i="18" l="1"/>
  <c r="G15" i="327" s="1"/>
  <c r="M18" i="18"/>
  <c r="M18" i="326"/>
  <c r="M16" i="44"/>
  <c r="W31" i="44" s="1"/>
  <c r="M18" i="291"/>
  <c r="M18" i="248"/>
  <c r="W32" i="229"/>
  <c r="M17" i="44"/>
  <c r="W32" i="44" s="1"/>
  <c r="M18" i="328"/>
  <c r="M18" i="250"/>
  <c r="M18" i="330"/>
  <c r="M17" i="330"/>
  <c r="M16" i="174"/>
  <c r="W31" i="174" s="1"/>
  <c r="M16" i="250"/>
  <c r="W31" i="250" s="1"/>
  <c r="M16" i="247"/>
  <c r="W31" i="247" s="1"/>
  <c r="W31" i="229"/>
  <c r="M16" i="248"/>
  <c r="W31" i="248" s="1"/>
  <c r="X31" i="330"/>
  <c r="M16" i="18"/>
  <c r="W31" i="18" s="1"/>
  <c r="M16" i="58"/>
  <c r="Y31" i="58" s="1"/>
  <c r="M16" i="327"/>
  <c r="W31" i="327" s="1"/>
  <c r="M16" i="326"/>
  <c r="W31" i="326" s="1"/>
  <c r="P124" i="209"/>
  <c r="M16" i="328"/>
  <c r="W31" i="328" s="1"/>
  <c r="M16" i="228"/>
  <c r="W31" i="228" s="1"/>
  <c r="M17" i="228"/>
  <c r="W32" i="228" s="1"/>
  <c r="M17" i="326"/>
  <c r="W32" i="326" s="1"/>
  <c r="M17" i="18"/>
  <c r="W32" i="18" s="1"/>
  <c r="M17" i="248"/>
  <c r="W32" i="248" s="1"/>
  <c r="M17" i="174"/>
  <c r="W32" i="174" s="1"/>
  <c r="M17" i="58"/>
  <c r="J184" i="209"/>
  <c r="M17" i="327"/>
  <c r="W32" i="327" s="1"/>
  <c r="M17" i="250"/>
  <c r="W32" i="250" s="1"/>
  <c r="M17" i="247"/>
  <c r="W32" i="247" s="1"/>
  <c r="M17" i="328"/>
  <c r="W32" i="328" s="1"/>
  <c r="G41" i="123"/>
  <c r="L215" i="209" s="1"/>
  <c r="M18" i="174"/>
  <c r="M18" i="327"/>
  <c r="M18" i="247"/>
  <c r="M18" i="58"/>
  <c r="M18" i="44"/>
  <c r="H18" i="123"/>
  <c r="G42" i="123"/>
  <c r="L275" i="209" s="1"/>
  <c r="G40" i="123"/>
  <c r="L95" i="209" s="1"/>
  <c r="L755" i="209"/>
  <c r="M755" i="209" s="1"/>
  <c r="G38" i="123"/>
  <c r="L35" i="209" s="1"/>
  <c r="G39" i="123"/>
  <c r="R35" i="209" s="1"/>
  <c r="G37" i="123"/>
  <c r="R215" i="209" s="1"/>
  <c r="E18" i="58"/>
  <c r="E41" i="58" s="1"/>
  <c r="J240" i="209" s="1"/>
  <c r="E39" i="330"/>
  <c r="E42" i="330"/>
  <c r="E37" i="330"/>
  <c r="E39" i="18"/>
  <c r="M11" i="7" s="1"/>
  <c r="M737" i="209"/>
  <c r="E41" i="18"/>
  <c r="M13" i="11" s="1"/>
  <c r="D38" i="18"/>
  <c r="I19" i="209" s="1"/>
  <c r="E41" i="330"/>
  <c r="E38" i="330"/>
  <c r="J739" i="209"/>
  <c r="E42" i="18"/>
  <c r="M14" i="15" s="1"/>
  <c r="E40" i="18"/>
  <c r="M12" i="15" s="1"/>
  <c r="E18" i="327"/>
  <c r="J752" i="209" s="1"/>
  <c r="E38" i="18"/>
  <c r="J19" i="209" s="1"/>
  <c r="E37" i="18"/>
  <c r="M9" i="7" s="1"/>
  <c r="D18" i="327"/>
  <c r="D40" i="327" s="1"/>
  <c r="I92" i="209" s="1"/>
  <c r="D41" i="18"/>
  <c r="L13" i="11" s="1"/>
  <c r="W29" i="11" s="1"/>
  <c r="D42" i="18"/>
  <c r="L14" i="6" s="1"/>
  <c r="W30" i="6" s="1"/>
  <c r="D39" i="18"/>
  <c r="L11" i="7" s="1"/>
  <c r="W27" i="7" s="1"/>
  <c r="D18" i="330"/>
  <c r="D37" i="330" s="1"/>
  <c r="D42" i="58"/>
  <c r="I300" i="209" s="1"/>
  <c r="D18" i="229"/>
  <c r="D38" i="229" s="1"/>
  <c r="L10" i="58" s="1"/>
  <c r="D40" i="18"/>
  <c r="L12" i="11" s="1"/>
  <c r="W28" i="11" s="1"/>
  <c r="I739" i="209"/>
  <c r="D41" i="58"/>
  <c r="I240" i="209" s="1"/>
  <c r="D39" i="58"/>
  <c r="O60" i="209" s="1"/>
  <c r="D40" i="58"/>
  <c r="I120" i="209" s="1"/>
  <c r="D37" i="58"/>
  <c r="O240" i="209" s="1"/>
  <c r="D37" i="18"/>
  <c r="L9" i="14" s="1"/>
  <c r="W25" i="14" s="1"/>
  <c r="I780" i="209"/>
  <c r="O19" i="248"/>
  <c r="O19" i="291"/>
  <c r="O19" i="174"/>
  <c r="O19" i="328"/>
  <c r="O19" i="326"/>
  <c r="O19" i="247"/>
  <c r="O19" i="327"/>
  <c r="O19" i="228"/>
  <c r="O19" i="58"/>
  <c r="O19" i="44"/>
  <c r="R184" i="209"/>
  <c r="O19" i="18"/>
  <c r="O19" i="330"/>
  <c r="G39" i="13"/>
  <c r="R12" i="209" s="1"/>
  <c r="G40" i="13"/>
  <c r="L72" i="209" s="1"/>
  <c r="L732" i="209"/>
  <c r="M732" i="209" s="1"/>
  <c r="G38" i="13"/>
  <c r="L12" i="209" s="1"/>
  <c r="G41" i="13"/>
  <c r="L192" i="209" s="1"/>
  <c r="G42" i="13"/>
  <c r="L252" i="209" s="1"/>
  <c r="H18" i="13"/>
  <c r="G37" i="13"/>
  <c r="R192" i="209" s="1"/>
  <c r="F42" i="13"/>
  <c r="K252" i="209" s="1"/>
  <c r="F37" i="13"/>
  <c r="Q192" i="209" s="1"/>
  <c r="K732" i="209"/>
  <c r="F39" i="13"/>
  <c r="Q12" i="209" s="1"/>
  <c r="F40" i="13"/>
  <c r="K72" i="209" s="1"/>
  <c r="F38" i="13"/>
  <c r="K12" i="209" s="1"/>
  <c r="F41" i="13"/>
  <c r="K192" i="209" s="1"/>
  <c r="U712" i="209"/>
  <c r="D772" i="209"/>
  <c r="U772" i="209" s="1"/>
  <c r="W33" i="229"/>
  <c r="L19" i="326"/>
  <c r="L19" i="247"/>
  <c r="L19" i="330"/>
  <c r="L19" i="44"/>
  <c r="O184" i="209"/>
  <c r="L19" i="328"/>
  <c r="L19" i="228"/>
  <c r="L19" i="248"/>
  <c r="L19" i="18"/>
  <c r="L19" i="327"/>
  <c r="L19" i="174"/>
  <c r="L19" i="250"/>
  <c r="L19" i="291"/>
  <c r="L19" i="58"/>
  <c r="N19" i="327"/>
  <c r="N19" i="330"/>
  <c r="N19" i="248"/>
  <c r="W33" i="248" s="1"/>
  <c r="N19" i="328"/>
  <c r="N19" i="44"/>
  <c r="N19" i="228"/>
  <c r="N19" i="58"/>
  <c r="N19" i="291"/>
  <c r="W33" i="291" s="1"/>
  <c r="N19" i="247"/>
  <c r="W33" i="247" s="1"/>
  <c r="N19" i="18"/>
  <c r="N19" i="250"/>
  <c r="W33" i="250" s="1"/>
  <c r="N19" i="174"/>
  <c r="Q184" i="209"/>
  <c r="N19" i="326"/>
  <c r="M19" i="328"/>
  <c r="W33" i="328" s="1"/>
  <c r="M19" i="327"/>
  <c r="W33" i="327" s="1"/>
  <c r="M19" i="44"/>
  <c r="W33" i="44" s="1"/>
  <c r="M19" i="250"/>
  <c r="M19" i="330"/>
  <c r="M19" i="18"/>
  <c r="W33" i="18" s="1"/>
  <c r="M19" i="228"/>
  <c r="W33" i="228" s="1"/>
  <c r="M19" i="247"/>
  <c r="M19" i="174"/>
  <c r="W33" i="174" s="1"/>
  <c r="P184" i="209"/>
  <c r="M19" i="58"/>
  <c r="M19" i="248"/>
  <c r="M19" i="326"/>
  <c r="W33" i="326" s="1"/>
  <c r="M19" i="291"/>
  <c r="Y30" i="330"/>
  <c r="X30" i="330"/>
  <c r="X30" i="58"/>
  <c r="Y30" i="58"/>
  <c r="F18" i="330"/>
  <c r="F41" i="330" s="1"/>
  <c r="F38" i="58"/>
  <c r="K60" i="209" s="1"/>
  <c r="F18" i="229"/>
  <c r="F37" i="58"/>
  <c r="Q240" i="209" s="1"/>
  <c r="K780" i="209"/>
  <c r="F42" i="58"/>
  <c r="K300" i="209" s="1"/>
  <c r="F40" i="58"/>
  <c r="K120" i="209" s="1"/>
  <c r="O13" i="292"/>
  <c r="F41" i="58"/>
  <c r="K240" i="209" s="1"/>
  <c r="F39" i="58"/>
  <c r="Q60" i="209" s="1"/>
  <c r="E37" i="175"/>
  <c r="M9" i="212" s="1"/>
  <c r="W24" i="212" s="1"/>
  <c r="E38" i="175"/>
  <c r="M10" i="212" s="1"/>
  <c r="W25" i="212" s="1"/>
  <c r="E42" i="175"/>
  <c r="M14" i="212" s="1"/>
  <c r="W29" i="212" s="1"/>
  <c r="E41" i="175"/>
  <c r="M13" i="212" s="1"/>
  <c r="W28" i="212" s="1"/>
  <c r="E39" i="175"/>
  <c r="M11" i="212" s="1"/>
  <c r="W26" i="212" s="1"/>
  <c r="E40" i="175"/>
  <c r="M12" i="212" s="1"/>
  <c r="W27" i="212" s="1"/>
  <c r="P242" i="246"/>
  <c r="M9" i="226"/>
  <c r="W24" i="226" s="1"/>
  <c r="M9" i="104"/>
  <c r="W24" i="104" s="1"/>
  <c r="M9" i="186"/>
  <c r="W24" i="186" s="1"/>
  <c r="M9" i="170"/>
  <c r="W24" i="170" s="1"/>
  <c r="R36" i="292"/>
  <c r="U36" i="292"/>
  <c r="N14" i="196"/>
  <c r="K282" i="209"/>
  <c r="N14" i="72"/>
  <c r="N14" i="39"/>
  <c r="N14" i="154"/>
  <c r="N14" i="79"/>
  <c r="N14" i="123"/>
  <c r="N14" i="338"/>
  <c r="N14" i="337"/>
  <c r="M13" i="104"/>
  <c r="W28" i="104" s="1"/>
  <c r="M13" i="170"/>
  <c r="W28" i="170" s="1"/>
  <c r="M13" i="226"/>
  <c r="W28" i="226" s="1"/>
  <c r="M13" i="186"/>
  <c r="W28" i="186" s="1"/>
  <c r="J242" i="246"/>
  <c r="N10" i="39"/>
  <c r="N10" i="338"/>
  <c r="K42" i="209"/>
  <c r="N10" i="196"/>
  <c r="N10" i="154"/>
  <c r="N10" i="337"/>
  <c r="N10" i="79"/>
  <c r="N10" i="123"/>
  <c r="N10" i="72"/>
  <c r="G40" i="226"/>
  <c r="L116" i="246" s="1"/>
  <c r="G38" i="226"/>
  <c r="L54" i="246" s="1"/>
  <c r="G18" i="170"/>
  <c r="G42" i="226"/>
  <c r="L302" i="246" s="1"/>
  <c r="G37" i="226"/>
  <c r="R240" i="246" s="1"/>
  <c r="G41" i="226"/>
  <c r="L240" i="246" s="1"/>
  <c r="G18" i="172"/>
  <c r="G39" i="226"/>
  <c r="R54" i="246" s="1"/>
  <c r="L798" i="246"/>
  <c r="G18" i="231"/>
  <c r="H18" i="226"/>
  <c r="F42" i="231"/>
  <c r="K312" i="246" s="1"/>
  <c r="F39" i="231"/>
  <c r="Q64" i="246" s="1"/>
  <c r="F37" i="231"/>
  <c r="Q250" i="246" s="1"/>
  <c r="O37" i="292"/>
  <c r="F40" i="231"/>
  <c r="K126" i="246" s="1"/>
  <c r="F38" i="231"/>
  <c r="K64" i="246" s="1"/>
  <c r="F41" i="231"/>
  <c r="K250" i="246" s="1"/>
  <c r="K808" i="246"/>
  <c r="M10" i="104"/>
  <c r="W25" i="104" s="1"/>
  <c r="M10" i="170"/>
  <c r="W25" i="170" s="1"/>
  <c r="J56" i="246"/>
  <c r="M10" i="186"/>
  <c r="W25" i="186" s="1"/>
  <c r="M10" i="226"/>
  <c r="W25" i="226" s="1"/>
  <c r="M14" i="178"/>
  <c r="M14" i="270"/>
  <c r="M14" i="151"/>
  <c r="M14" i="349"/>
  <c r="M14" i="293"/>
  <c r="M14" i="187"/>
  <c r="M14" i="194"/>
  <c r="M14" i="137"/>
  <c r="M14" i="183"/>
  <c r="M14" i="146"/>
  <c r="M14" i="160"/>
  <c r="M14" i="219"/>
  <c r="M14" i="353"/>
  <c r="M14" i="195"/>
  <c r="M14" i="126"/>
  <c r="M14" i="204"/>
  <c r="M14" i="141"/>
  <c r="M14" i="188"/>
  <c r="M14" i="203"/>
  <c r="M14" i="189"/>
  <c r="M14" i="362"/>
  <c r="R11" i="292"/>
  <c r="U11" i="292"/>
  <c r="M11" i="104"/>
  <c r="W26" i="104" s="1"/>
  <c r="P56" i="246"/>
  <c r="M11" i="186"/>
  <c r="W26" i="186" s="1"/>
  <c r="M11" i="170"/>
  <c r="W26" i="170" s="1"/>
  <c r="M11" i="226"/>
  <c r="W26" i="226" s="1"/>
  <c r="F40" i="18"/>
  <c r="K739" i="209"/>
  <c r="F37" i="18"/>
  <c r="F42" i="18"/>
  <c r="F18" i="327"/>
  <c r="F38" i="18"/>
  <c r="O10" i="292"/>
  <c r="F41" i="18"/>
  <c r="F39" i="18"/>
  <c r="M10" i="151"/>
  <c r="M10" i="204"/>
  <c r="M10" i="178"/>
  <c r="M10" i="349"/>
  <c r="M10" i="195"/>
  <c r="M10" i="219"/>
  <c r="M10" i="141"/>
  <c r="M10" i="183"/>
  <c r="M10" i="160"/>
  <c r="M10" i="353"/>
  <c r="M10" i="194"/>
  <c r="M10" i="293"/>
  <c r="M10" i="126"/>
  <c r="M10" i="137"/>
  <c r="M10" i="362"/>
  <c r="M10" i="189"/>
  <c r="M10" i="187"/>
  <c r="M10" i="270"/>
  <c r="M10" i="188"/>
  <c r="M10" i="203"/>
  <c r="M10" i="146"/>
  <c r="N11" i="79"/>
  <c r="N11" i="196"/>
  <c r="N11" i="337"/>
  <c r="N11" i="72"/>
  <c r="N11" i="39"/>
  <c r="N11" i="154"/>
  <c r="N11" i="123"/>
  <c r="N11" i="338"/>
  <c r="Q42" i="209"/>
  <c r="F37" i="328"/>
  <c r="F42" i="328"/>
  <c r="F39" i="328"/>
  <c r="F38" i="328"/>
  <c r="F40" i="328"/>
  <c r="F41" i="328"/>
  <c r="M9" i="137"/>
  <c r="M9" i="219"/>
  <c r="M9" i="353"/>
  <c r="M9" i="160"/>
  <c r="M9" i="293"/>
  <c r="M9" i="189"/>
  <c r="M9" i="194"/>
  <c r="M9" i="203"/>
  <c r="M9" i="126"/>
  <c r="M9" i="362"/>
  <c r="M9" i="178"/>
  <c r="M9" i="204"/>
  <c r="M9" i="187"/>
  <c r="M9" i="183"/>
  <c r="M9" i="195"/>
  <c r="M9" i="151"/>
  <c r="M9" i="270"/>
  <c r="M9" i="349"/>
  <c r="M9" i="188"/>
  <c r="M9" i="146"/>
  <c r="M9" i="141"/>
  <c r="G37" i="4"/>
  <c r="R191" i="209" s="1"/>
  <c r="G41" i="4"/>
  <c r="L191" i="209" s="1"/>
  <c r="L731" i="209"/>
  <c r="M731" i="209" s="1"/>
  <c r="H18" i="4"/>
  <c r="G40" i="4"/>
  <c r="L71" i="209" s="1"/>
  <c r="G39" i="4"/>
  <c r="R11" i="209" s="1"/>
  <c r="G42" i="4"/>
  <c r="L251" i="209" s="1"/>
  <c r="G38" i="4"/>
  <c r="L11" i="209" s="1"/>
  <c r="G18" i="18"/>
  <c r="G18" i="58" s="1"/>
  <c r="M14" i="104"/>
  <c r="W29" i="104" s="1"/>
  <c r="J304" i="246"/>
  <c r="M14" i="170"/>
  <c r="W29" i="170" s="1"/>
  <c r="M14" i="186"/>
  <c r="W29" i="186" s="1"/>
  <c r="M14" i="226"/>
  <c r="W29" i="226" s="1"/>
  <c r="M11" i="194"/>
  <c r="M11" i="183"/>
  <c r="M11" i="362"/>
  <c r="M11" i="219"/>
  <c r="M11" i="160"/>
  <c r="M11" i="195"/>
  <c r="M11" i="270"/>
  <c r="M11" i="203"/>
  <c r="M11" i="187"/>
  <c r="M11" i="126"/>
  <c r="M11" i="349"/>
  <c r="M11" i="188"/>
  <c r="M11" i="178"/>
  <c r="M11" i="151"/>
  <c r="M11" i="189"/>
  <c r="M11" i="353"/>
  <c r="M11" i="204"/>
  <c r="M11" i="146"/>
  <c r="M11" i="293"/>
  <c r="M11" i="141"/>
  <c r="M11" i="137"/>
  <c r="N9" i="196"/>
  <c r="N9" i="154"/>
  <c r="N9" i="72"/>
  <c r="N9" i="79"/>
  <c r="N9" i="39"/>
  <c r="Q222" i="209"/>
  <c r="N9" i="123"/>
  <c r="N9" i="338"/>
  <c r="N9" i="337"/>
  <c r="J810" i="246"/>
  <c r="E42" i="174"/>
  <c r="E41" i="174"/>
  <c r="E38" i="174"/>
  <c r="E37" i="174"/>
  <c r="E39" i="174"/>
  <c r="E40" i="174"/>
  <c r="M12" i="270"/>
  <c r="M12" i="188"/>
  <c r="M12" i="362"/>
  <c r="M12" i="146"/>
  <c r="M12" i="183"/>
  <c r="M12" i="195"/>
  <c r="M12" i="194"/>
  <c r="M12" i="141"/>
  <c r="M12" i="353"/>
  <c r="M12" i="126"/>
  <c r="M12" i="219"/>
  <c r="M12" i="293"/>
  <c r="M12" i="204"/>
  <c r="M12" i="160"/>
  <c r="M12" i="137"/>
  <c r="M12" i="178"/>
  <c r="M12" i="187"/>
  <c r="M12" i="349"/>
  <c r="M12" i="151"/>
  <c r="M12" i="189"/>
  <c r="M12" i="203"/>
  <c r="G18" i="328"/>
  <c r="G42" i="44"/>
  <c r="G39" i="44"/>
  <c r="G40" i="44"/>
  <c r="G38" i="44"/>
  <c r="L762" i="209"/>
  <c r="M762" i="209" s="1"/>
  <c r="G41" i="44"/>
  <c r="G37" i="44"/>
  <c r="H18" i="44"/>
  <c r="F18" i="174"/>
  <c r="F39" i="172"/>
  <c r="F41" i="172"/>
  <c r="F40" i="172"/>
  <c r="K800" i="246"/>
  <c r="F38" i="172"/>
  <c r="F42" i="172"/>
  <c r="F37" i="172"/>
  <c r="N13" i="196"/>
  <c r="N13" i="338"/>
  <c r="N13" i="154"/>
  <c r="N13" i="337"/>
  <c r="N13" i="39"/>
  <c r="N13" i="123"/>
  <c r="N13" i="79"/>
  <c r="N13" i="72"/>
  <c r="K222" i="209"/>
  <c r="M12" i="186"/>
  <c r="W27" i="186" s="1"/>
  <c r="M12" i="170"/>
  <c r="W27" i="170" s="1"/>
  <c r="M12" i="226"/>
  <c r="W27" i="226" s="1"/>
  <c r="M12" i="104"/>
  <c r="W27" i="104" s="1"/>
  <c r="J118" i="246"/>
  <c r="M13" i="349"/>
  <c r="M13" i="203"/>
  <c r="M13" i="353"/>
  <c r="M13" i="219"/>
  <c r="M13" i="141"/>
  <c r="M13" i="126"/>
  <c r="M13" i="187"/>
  <c r="M13" i="362"/>
  <c r="M13" i="204"/>
  <c r="M13" i="183"/>
  <c r="M13" i="137"/>
  <c r="M13" i="178"/>
  <c r="M13" i="160"/>
  <c r="M13" i="270"/>
  <c r="M13" i="293"/>
  <c r="M13" i="189"/>
  <c r="M13" i="146"/>
  <c r="M13" i="195"/>
  <c r="M13" i="151"/>
  <c r="M13" i="188"/>
  <c r="M13" i="194"/>
  <c r="F18" i="175"/>
  <c r="F39" i="170"/>
  <c r="F37" i="170"/>
  <c r="F42" i="170"/>
  <c r="F38" i="170"/>
  <c r="F40" i="170"/>
  <c r="F41" i="170"/>
  <c r="N12" i="196"/>
  <c r="N12" i="154"/>
  <c r="N12" i="337"/>
  <c r="N12" i="338"/>
  <c r="N12" i="39"/>
  <c r="N12" i="123"/>
  <c r="N12" i="72"/>
  <c r="N12" i="79"/>
  <c r="K102" i="209"/>
  <c r="G15" i="330" l="1"/>
  <c r="G15" i="58"/>
  <c r="G15" i="229" s="1"/>
  <c r="X31" i="58"/>
  <c r="M14" i="7"/>
  <c r="M14" i="6"/>
  <c r="J79" i="209"/>
  <c r="M14" i="14"/>
  <c r="M14" i="10"/>
  <c r="M11" i="15"/>
  <c r="L11" i="125"/>
  <c r="W27" i="125" s="1"/>
  <c r="E42" i="58"/>
  <c r="J300" i="209" s="1"/>
  <c r="E18" i="229"/>
  <c r="E41" i="229" s="1"/>
  <c r="M13" i="327" s="1"/>
  <c r="E40" i="58"/>
  <c r="J120" i="209" s="1"/>
  <c r="J780" i="209"/>
  <c r="E38" i="58"/>
  <c r="J60" i="209" s="1"/>
  <c r="E37" i="58"/>
  <c r="P240" i="209" s="1"/>
  <c r="E39" i="58"/>
  <c r="P60" i="209" s="1"/>
  <c r="E41" i="327"/>
  <c r="J212" i="209" s="1"/>
  <c r="M12" i="125"/>
  <c r="M12" i="16"/>
  <c r="M11" i="11"/>
  <c r="M11" i="13"/>
  <c r="M12" i="6"/>
  <c r="M12" i="4"/>
  <c r="M12" i="13"/>
  <c r="M11" i="16"/>
  <c r="P19" i="209"/>
  <c r="M12" i="11"/>
  <c r="L14" i="10"/>
  <c r="W30" i="10" s="1"/>
  <c r="L14" i="4"/>
  <c r="W30" i="4" s="1"/>
  <c r="D38" i="327"/>
  <c r="I32" i="209" s="1"/>
  <c r="M13" i="125"/>
  <c r="M13" i="16"/>
  <c r="M14" i="125"/>
  <c r="M14" i="16"/>
  <c r="L14" i="13"/>
  <c r="W30" i="13" s="1"/>
  <c r="M14" i="9"/>
  <c r="E40" i="327"/>
  <c r="J92" i="209" s="1"/>
  <c r="M13" i="13"/>
  <c r="M12" i="9"/>
  <c r="M12" i="14"/>
  <c r="M11" i="125"/>
  <c r="M12" i="10"/>
  <c r="M12" i="7"/>
  <c r="M11" i="4"/>
  <c r="M11" i="10"/>
  <c r="M11" i="9"/>
  <c r="M11" i="6"/>
  <c r="M11" i="14"/>
  <c r="M14" i="11"/>
  <c r="M14" i="4"/>
  <c r="J259" i="209"/>
  <c r="M14" i="13"/>
  <c r="M10" i="14"/>
  <c r="M10" i="9"/>
  <c r="J199" i="209"/>
  <c r="M10" i="7"/>
  <c r="M13" i="10"/>
  <c r="M13" i="7"/>
  <c r="M10" i="10"/>
  <c r="M10" i="16"/>
  <c r="M13" i="6"/>
  <c r="M13" i="9"/>
  <c r="M10" i="15"/>
  <c r="M13" i="4"/>
  <c r="M13" i="14"/>
  <c r="M13" i="15"/>
  <c r="M10" i="6"/>
  <c r="M10" i="4"/>
  <c r="M10" i="13"/>
  <c r="L10" i="228"/>
  <c r="E38" i="327"/>
  <c r="J32" i="209" s="1"/>
  <c r="L10" i="9"/>
  <c r="W26" i="9" s="1"/>
  <c r="L10" i="13"/>
  <c r="W26" i="13" s="1"/>
  <c r="M10" i="125"/>
  <c r="L10" i="6"/>
  <c r="W26" i="6" s="1"/>
  <c r="E42" i="327"/>
  <c r="J272" i="209" s="1"/>
  <c r="L10" i="11"/>
  <c r="W26" i="11" s="1"/>
  <c r="L10" i="14"/>
  <c r="W26" i="14" s="1"/>
  <c r="L10" i="16"/>
  <c r="W26" i="16" s="1"/>
  <c r="L10" i="7"/>
  <c r="W26" i="7" s="1"/>
  <c r="E39" i="327"/>
  <c r="P32" i="209" s="1"/>
  <c r="L10" i="125"/>
  <c r="W26" i="125" s="1"/>
  <c r="L10" i="15"/>
  <c r="W26" i="15" s="1"/>
  <c r="E37" i="327"/>
  <c r="P212" i="209" s="1"/>
  <c r="L10" i="4"/>
  <c r="W26" i="4" s="1"/>
  <c r="L10" i="10"/>
  <c r="W26" i="10" s="1"/>
  <c r="L10" i="327"/>
  <c r="L10" i="328"/>
  <c r="M9" i="16"/>
  <c r="M10" i="11"/>
  <c r="M9" i="6"/>
  <c r="P199" i="209"/>
  <c r="M9" i="15"/>
  <c r="M9" i="13"/>
  <c r="M9" i="4"/>
  <c r="M9" i="10"/>
  <c r="M9" i="14"/>
  <c r="M9" i="9"/>
  <c r="M9" i="125"/>
  <c r="M9" i="11"/>
  <c r="D41" i="330"/>
  <c r="I752" i="209"/>
  <c r="L13" i="7"/>
  <c r="W29" i="7" s="1"/>
  <c r="D39" i="327"/>
  <c r="O32" i="209" s="1"/>
  <c r="D41" i="327"/>
  <c r="I212" i="209" s="1"/>
  <c r="D42" i="327"/>
  <c r="I272" i="209" s="1"/>
  <c r="L13" i="16"/>
  <c r="W29" i="16" s="1"/>
  <c r="I199" i="209"/>
  <c r="L13" i="9"/>
  <c r="W29" i="9" s="1"/>
  <c r="L13" i="15"/>
  <c r="W29" i="15" s="1"/>
  <c r="L13" i="4"/>
  <c r="W29" i="4" s="1"/>
  <c r="D37" i="327"/>
  <c r="O212" i="209" s="1"/>
  <c r="L13" i="10"/>
  <c r="W29" i="10" s="1"/>
  <c r="L13" i="13"/>
  <c r="W29" i="13" s="1"/>
  <c r="L14" i="11"/>
  <c r="W30" i="11" s="1"/>
  <c r="L14" i="16"/>
  <c r="W30" i="16" s="1"/>
  <c r="I259" i="209"/>
  <c r="L14" i="7"/>
  <c r="W30" i="7" s="1"/>
  <c r="L14" i="14"/>
  <c r="W30" i="14" s="1"/>
  <c r="L14" i="15"/>
  <c r="W30" i="15" s="1"/>
  <c r="D39" i="330"/>
  <c r="L11" i="6"/>
  <c r="W27" i="6" s="1"/>
  <c r="L14" i="9"/>
  <c r="W30" i="9" s="1"/>
  <c r="L14" i="125"/>
  <c r="W30" i="125" s="1"/>
  <c r="L13" i="6"/>
  <c r="W29" i="6" s="1"/>
  <c r="L13" i="125"/>
  <c r="W29" i="125" s="1"/>
  <c r="L11" i="4"/>
  <c r="W27" i="4" s="1"/>
  <c r="D42" i="330"/>
  <c r="L12" i="13"/>
  <c r="W28" i="13" s="1"/>
  <c r="L12" i="125"/>
  <c r="W28" i="125" s="1"/>
  <c r="L13" i="14"/>
  <c r="W29" i="14" s="1"/>
  <c r="L12" i="9"/>
  <c r="W28" i="9" s="1"/>
  <c r="O19" i="209"/>
  <c r="L11" i="10"/>
  <c r="W27" i="10" s="1"/>
  <c r="L11" i="13"/>
  <c r="W27" i="13" s="1"/>
  <c r="L11" i="9"/>
  <c r="W27" i="9" s="1"/>
  <c r="L11" i="16"/>
  <c r="W27" i="16" s="1"/>
  <c r="L12" i="7"/>
  <c r="W28" i="7" s="1"/>
  <c r="L11" i="15"/>
  <c r="W27" i="15" s="1"/>
  <c r="L12" i="14"/>
  <c r="W28" i="14" s="1"/>
  <c r="D40" i="330"/>
  <c r="D38" i="330"/>
  <c r="L11" i="14"/>
  <c r="W27" i="14" s="1"/>
  <c r="L11" i="11"/>
  <c r="W27" i="11" s="1"/>
  <c r="L10" i="174"/>
  <c r="L10" i="18"/>
  <c r="I64" i="209"/>
  <c r="L10" i="44"/>
  <c r="L10" i="247"/>
  <c r="L10" i="291"/>
  <c r="L10" i="250"/>
  <c r="L10" i="330"/>
  <c r="D41" i="229"/>
  <c r="L13" i="330" s="1"/>
  <c r="L10" i="326"/>
  <c r="L10" i="248"/>
  <c r="D40" i="229"/>
  <c r="L12" i="327" s="1"/>
  <c r="L12" i="16"/>
  <c r="W28" i="16" s="1"/>
  <c r="L12" i="10"/>
  <c r="W28" i="10" s="1"/>
  <c r="D42" i="229"/>
  <c r="L14" i="18" s="1"/>
  <c r="L12" i="15"/>
  <c r="W28" i="15" s="1"/>
  <c r="I79" i="209"/>
  <c r="L12" i="6"/>
  <c r="W28" i="6" s="1"/>
  <c r="D37" i="229"/>
  <c r="L9" i="327" s="1"/>
  <c r="I784" i="209"/>
  <c r="L12" i="4"/>
  <c r="W28" i="4" s="1"/>
  <c r="D39" i="229"/>
  <c r="L9" i="11"/>
  <c r="W25" i="11" s="1"/>
  <c r="L9" i="6"/>
  <c r="W25" i="6" s="1"/>
  <c r="O199" i="209"/>
  <c r="L9" i="125"/>
  <c r="W25" i="125" s="1"/>
  <c r="L9" i="15"/>
  <c r="W25" i="15" s="1"/>
  <c r="L9" i="7"/>
  <c r="W25" i="7" s="1"/>
  <c r="L9" i="16"/>
  <c r="W25" i="16" s="1"/>
  <c r="L9" i="4"/>
  <c r="W25" i="4" s="1"/>
  <c r="L9" i="9"/>
  <c r="W25" i="9" s="1"/>
  <c r="L9" i="10"/>
  <c r="W25" i="10" s="1"/>
  <c r="L9" i="13"/>
  <c r="W25" i="13" s="1"/>
  <c r="Y33" i="58"/>
  <c r="X33" i="58"/>
  <c r="Y33" i="330"/>
  <c r="X33" i="330"/>
  <c r="F39" i="330"/>
  <c r="F40" i="330"/>
  <c r="F42" i="330"/>
  <c r="F38" i="330"/>
  <c r="F37" i="330"/>
  <c r="G37" i="328"/>
  <c r="G40" i="328"/>
  <c r="G42" i="328"/>
  <c r="G41" i="328"/>
  <c r="G39" i="328"/>
  <c r="G38" i="328"/>
  <c r="H18" i="328"/>
  <c r="M11" i="175"/>
  <c r="W26" i="175" s="1"/>
  <c r="M11" i="229"/>
  <c r="M11" i="172"/>
  <c r="W26" i="172" s="1"/>
  <c r="M11" i="361"/>
  <c r="W26" i="361" s="1"/>
  <c r="M11" i="171"/>
  <c r="W26" i="171" s="1"/>
  <c r="M11" i="309"/>
  <c r="W26" i="309" s="1"/>
  <c r="P66" i="246"/>
  <c r="M11" i="231"/>
  <c r="W26" i="231" s="1"/>
  <c r="M11" i="84"/>
  <c r="W26" i="84" s="1"/>
  <c r="M11" i="184"/>
  <c r="W26" i="184" s="1"/>
  <c r="F40" i="175"/>
  <c r="N12" i="212" s="1"/>
  <c r="F42" i="175"/>
  <c r="N14" i="212" s="1"/>
  <c r="F37" i="175"/>
  <c r="N9" i="212" s="1"/>
  <c r="F41" i="175"/>
  <c r="N13" i="212" s="1"/>
  <c r="F38" i="175"/>
  <c r="N10" i="212" s="1"/>
  <c r="F39" i="175"/>
  <c r="N11" i="212" s="1"/>
  <c r="O9" i="196"/>
  <c r="O9" i="123"/>
  <c r="O9" i="338"/>
  <c r="O9" i="154"/>
  <c r="O9" i="39"/>
  <c r="O9" i="72"/>
  <c r="O9" i="79"/>
  <c r="R222" i="209"/>
  <c r="O9" i="337"/>
  <c r="M9" i="171"/>
  <c r="W24" i="171" s="1"/>
  <c r="M9" i="84"/>
  <c r="W24" i="84" s="1"/>
  <c r="M9" i="184"/>
  <c r="W24" i="184" s="1"/>
  <c r="M9" i="231"/>
  <c r="W24" i="231" s="1"/>
  <c r="M9" i="175"/>
  <c r="W24" i="175" s="1"/>
  <c r="M9" i="229"/>
  <c r="M9" i="361"/>
  <c r="W24" i="361" s="1"/>
  <c r="M9" i="172"/>
  <c r="W24" i="172" s="1"/>
  <c r="P252" i="246"/>
  <c r="M9" i="309"/>
  <c r="W24" i="309" s="1"/>
  <c r="N14" i="6"/>
  <c r="N14" i="9"/>
  <c r="N14" i="14"/>
  <c r="N14" i="11"/>
  <c r="N14" i="10"/>
  <c r="N14" i="13"/>
  <c r="N14" i="4"/>
  <c r="N14" i="16"/>
  <c r="N14" i="125"/>
  <c r="N14" i="7"/>
  <c r="N14" i="15"/>
  <c r="K259" i="209"/>
  <c r="U37" i="292"/>
  <c r="R37" i="292"/>
  <c r="G37" i="172"/>
  <c r="G18" i="174"/>
  <c r="G42" i="172"/>
  <c r="G38" i="172"/>
  <c r="G39" i="172"/>
  <c r="G41" i="172"/>
  <c r="L800" i="246"/>
  <c r="G40" i="172"/>
  <c r="H18" i="172"/>
  <c r="R13" i="292"/>
  <c r="U13" i="292"/>
  <c r="K118" i="246"/>
  <c r="N12" i="170"/>
  <c r="N12" i="226"/>
  <c r="N12" i="104"/>
  <c r="N12" i="186"/>
  <c r="O13" i="154"/>
  <c r="L222" i="209"/>
  <c r="O13" i="196"/>
  <c r="O13" i="338"/>
  <c r="O13" i="79"/>
  <c r="O13" i="123"/>
  <c r="O13" i="72"/>
  <c r="O13" i="337"/>
  <c r="O13" i="39"/>
  <c r="M10" i="171"/>
  <c r="W25" i="171" s="1"/>
  <c r="M10" i="184"/>
  <c r="W25" i="184" s="1"/>
  <c r="M10" i="175"/>
  <c r="W25" i="175" s="1"/>
  <c r="M10" i="84"/>
  <c r="W25" i="84" s="1"/>
  <c r="M10" i="361"/>
  <c r="W25" i="361" s="1"/>
  <c r="M10" i="231"/>
  <c r="W25" i="231" s="1"/>
  <c r="M10" i="229"/>
  <c r="M10" i="172"/>
  <c r="W25" i="172" s="1"/>
  <c r="J66" i="246"/>
  <c r="M10" i="309"/>
  <c r="W25" i="309" s="1"/>
  <c r="N9" i="4"/>
  <c r="N9" i="13"/>
  <c r="N9" i="11"/>
  <c r="N9" i="15"/>
  <c r="N9" i="125"/>
  <c r="N9" i="9"/>
  <c r="N9" i="16"/>
  <c r="N9" i="10"/>
  <c r="N9" i="6"/>
  <c r="N9" i="7"/>
  <c r="N9" i="14"/>
  <c r="Q199" i="209"/>
  <c r="N10" i="186"/>
  <c r="N10" i="170"/>
  <c r="N10" i="104"/>
  <c r="K56" i="246"/>
  <c r="N10" i="226"/>
  <c r="F42" i="327"/>
  <c r="K272" i="209" s="1"/>
  <c r="F39" i="327"/>
  <c r="Q32" i="209" s="1"/>
  <c r="F41" i="327"/>
  <c r="K212" i="209" s="1"/>
  <c r="K752" i="209"/>
  <c r="F38" i="327"/>
  <c r="K32" i="209" s="1"/>
  <c r="F37" i="327"/>
  <c r="Q212" i="209" s="1"/>
  <c r="F40" i="327"/>
  <c r="K92" i="209" s="1"/>
  <c r="N13" i="195"/>
  <c r="N13" i="270"/>
  <c r="N13" i="187"/>
  <c r="N13" i="126"/>
  <c r="N13" i="146"/>
  <c r="N13" i="188"/>
  <c r="N13" i="349"/>
  <c r="N13" i="219"/>
  <c r="N13" i="293"/>
  <c r="N13" i="362"/>
  <c r="N13" i="353"/>
  <c r="N13" i="137"/>
  <c r="N13" i="151"/>
  <c r="N13" i="189"/>
  <c r="N13" i="203"/>
  <c r="N13" i="160"/>
  <c r="N13" i="178"/>
  <c r="N13" i="204"/>
  <c r="N13" i="183"/>
  <c r="N13" i="194"/>
  <c r="N13" i="141"/>
  <c r="N13" i="226"/>
  <c r="N13" i="170"/>
  <c r="N13" i="186"/>
  <c r="N13" i="104"/>
  <c r="K242" i="246"/>
  <c r="M13" i="84"/>
  <c r="W28" i="84" s="1"/>
  <c r="M13" i="175"/>
  <c r="W28" i="175" s="1"/>
  <c r="J252" i="246"/>
  <c r="M13" i="231"/>
  <c r="W28" i="231" s="1"/>
  <c r="M13" i="229"/>
  <c r="M13" i="171"/>
  <c r="W28" i="171" s="1"/>
  <c r="M13" i="361"/>
  <c r="W28" i="361" s="1"/>
  <c r="M13" i="184"/>
  <c r="W28" i="184" s="1"/>
  <c r="M13" i="309"/>
  <c r="W28" i="309" s="1"/>
  <c r="M13" i="172"/>
  <c r="W28" i="172" s="1"/>
  <c r="N12" i="204"/>
  <c r="N12" i="187"/>
  <c r="N12" i="188"/>
  <c r="N12" i="195"/>
  <c r="N12" i="137"/>
  <c r="N12" i="126"/>
  <c r="N12" i="146"/>
  <c r="N12" i="353"/>
  <c r="N12" i="194"/>
  <c r="N12" i="362"/>
  <c r="N12" i="141"/>
  <c r="N12" i="189"/>
  <c r="N12" i="219"/>
  <c r="N12" i="293"/>
  <c r="N12" i="151"/>
  <c r="N12" i="203"/>
  <c r="N12" i="178"/>
  <c r="N12" i="349"/>
  <c r="N12" i="183"/>
  <c r="N12" i="270"/>
  <c r="N12" i="160"/>
  <c r="N11" i="104"/>
  <c r="N11" i="186"/>
  <c r="N11" i="170"/>
  <c r="Q56" i="246"/>
  <c r="N11" i="226"/>
  <c r="O10" i="196"/>
  <c r="L42" i="209"/>
  <c r="O10" i="72"/>
  <c r="O10" i="123"/>
  <c r="O10" i="338"/>
  <c r="O10" i="154"/>
  <c r="O10" i="79"/>
  <c r="O10" i="337"/>
  <c r="O10" i="39"/>
  <c r="M14" i="175"/>
  <c r="W29" i="175" s="1"/>
  <c r="M14" i="171"/>
  <c r="W29" i="171" s="1"/>
  <c r="M14" i="361"/>
  <c r="W29" i="361" s="1"/>
  <c r="M14" i="229"/>
  <c r="M14" i="231"/>
  <c r="W29" i="231" s="1"/>
  <c r="M14" i="309"/>
  <c r="W29" i="309" s="1"/>
  <c r="J314" i="246"/>
  <c r="M14" i="172"/>
  <c r="W29" i="172" s="1"/>
  <c r="M14" i="184"/>
  <c r="W29" i="184" s="1"/>
  <c r="M14" i="84"/>
  <c r="W29" i="84" s="1"/>
  <c r="Q19" i="209"/>
  <c r="N11" i="14"/>
  <c r="N11" i="15"/>
  <c r="N11" i="7"/>
  <c r="N11" i="16"/>
  <c r="N11" i="4"/>
  <c r="N11" i="6"/>
  <c r="N11" i="9"/>
  <c r="N11" i="11"/>
  <c r="N11" i="125"/>
  <c r="N11" i="10"/>
  <c r="N11" i="13"/>
  <c r="N12" i="10"/>
  <c r="N12" i="4"/>
  <c r="N12" i="14"/>
  <c r="N12" i="125"/>
  <c r="N12" i="9"/>
  <c r="K79" i="209"/>
  <c r="N12" i="11"/>
  <c r="N12" i="13"/>
  <c r="N12" i="6"/>
  <c r="N12" i="16"/>
  <c r="N12" i="15"/>
  <c r="N12" i="7"/>
  <c r="N11" i="183"/>
  <c r="N11" i="194"/>
  <c r="N11" i="362"/>
  <c r="N11" i="137"/>
  <c r="N11" i="187"/>
  <c r="N11" i="219"/>
  <c r="N11" i="126"/>
  <c r="N11" i="178"/>
  <c r="N11" i="189"/>
  <c r="N11" i="151"/>
  <c r="N11" i="353"/>
  <c r="N11" i="146"/>
  <c r="N11" i="195"/>
  <c r="N11" i="141"/>
  <c r="N11" i="293"/>
  <c r="N11" i="188"/>
  <c r="N11" i="204"/>
  <c r="N11" i="270"/>
  <c r="N11" i="349"/>
  <c r="N11" i="160"/>
  <c r="N11" i="203"/>
  <c r="N10" i="137"/>
  <c r="N10" i="178"/>
  <c r="N10" i="204"/>
  <c r="N10" i="126"/>
  <c r="N10" i="203"/>
  <c r="N10" i="187"/>
  <c r="N10" i="349"/>
  <c r="N10" i="146"/>
  <c r="N10" i="195"/>
  <c r="N10" i="353"/>
  <c r="N10" i="362"/>
  <c r="N10" i="151"/>
  <c r="N10" i="194"/>
  <c r="N10" i="219"/>
  <c r="N10" i="189"/>
  <c r="N10" i="188"/>
  <c r="N10" i="270"/>
  <c r="N10" i="293"/>
  <c r="N10" i="183"/>
  <c r="N10" i="141"/>
  <c r="N10" i="160"/>
  <c r="F39" i="174"/>
  <c r="F40" i="174"/>
  <c r="F37" i="174"/>
  <c r="F38" i="174"/>
  <c r="F42" i="174"/>
  <c r="O39" i="292"/>
  <c r="K810" i="246"/>
  <c r="F41" i="174"/>
  <c r="O12" i="337"/>
  <c r="O12" i="123"/>
  <c r="O12" i="39"/>
  <c r="O12" i="72"/>
  <c r="O12" i="196"/>
  <c r="O12" i="154"/>
  <c r="L102" i="209"/>
  <c r="O12" i="338"/>
  <c r="O12" i="79"/>
  <c r="K199" i="209"/>
  <c r="N13" i="6"/>
  <c r="N13" i="7"/>
  <c r="N13" i="13"/>
  <c r="N13" i="14"/>
  <c r="N13" i="15"/>
  <c r="N13" i="16"/>
  <c r="N13" i="11"/>
  <c r="N13" i="125"/>
  <c r="N13" i="9"/>
  <c r="N13" i="4"/>
  <c r="N13" i="10"/>
  <c r="G42" i="170"/>
  <c r="G38" i="170"/>
  <c r="G39" i="170"/>
  <c r="G41" i="170"/>
  <c r="G37" i="170"/>
  <c r="G18" i="175"/>
  <c r="G40" i="170"/>
  <c r="H18" i="170"/>
  <c r="N14" i="362"/>
  <c r="N14" i="126"/>
  <c r="N14" i="194"/>
  <c r="N14" i="188"/>
  <c r="N14" i="293"/>
  <c r="N14" i="137"/>
  <c r="N14" i="353"/>
  <c r="N14" i="178"/>
  <c r="N14" i="151"/>
  <c r="N14" i="349"/>
  <c r="N14" i="203"/>
  <c r="N14" i="270"/>
  <c r="N14" i="160"/>
  <c r="N14" i="141"/>
  <c r="N14" i="146"/>
  <c r="N14" i="195"/>
  <c r="N14" i="187"/>
  <c r="N14" i="204"/>
  <c r="N14" i="219"/>
  <c r="N14" i="189"/>
  <c r="N14" i="183"/>
  <c r="Q242" i="246"/>
  <c r="N9" i="226"/>
  <c r="N9" i="104"/>
  <c r="N9" i="186"/>
  <c r="N9" i="170"/>
  <c r="H18" i="58"/>
  <c r="G18" i="229"/>
  <c r="G38" i="58"/>
  <c r="L60" i="209" s="1"/>
  <c r="L780" i="209"/>
  <c r="M780" i="209" s="1"/>
  <c r="G40" i="58"/>
  <c r="L120" i="209" s="1"/>
  <c r="G39" i="58"/>
  <c r="R60" i="209" s="1"/>
  <c r="G37" i="58"/>
  <c r="R240" i="209" s="1"/>
  <c r="G41" i="58"/>
  <c r="L240" i="209" s="1"/>
  <c r="G42" i="58"/>
  <c r="L300" i="209" s="1"/>
  <c r="O11" i="338"/>
  <c r="O11" i="79"/>
  <c r="O11" i="337"/>
  <c r="R42" i="209"/>
  <c r="O11" i="123"/>
  <c r="O11" i="154"/>
  <c r="O11" i="196"/>
  <c r="O11" i="72"/>
  <c r="O11" i="39"/>
  <c r="H18" i="18"/>
  <c r="G39" i="18"/>
  <c r="G41" i="18"/>
  <c r="G40" i="18"/>
  <c r="L739" i="209"/>
  <c r="M739" i="209" s="1"/>
  <c r="G42" i="18"/>
  <c r="G38" i="18"/>
  <c r="G18" i="327"/>
  <c r="G37" i="18"/>
  <c r="R10" i="292"/>
  <c r="U10" i="292"/>
  <c r="L808" i="246"/>
  <c r="M808" i="246" s="1"/>
  <c r="G41" i="231"/>
  <c r="L250" i="246" s="1"/>
  <c r="G37" i="231"/>
  <c r="R250" i="246" s="1"/>
  <c r="G42" i="231"/>
  <c r="L312" i="246" s="1"/>
  <c r="G39" i="231"/>
  <c r="R64" i="246" s="1"/>
  <c r="G40" i="231"/>
  <c r="L126" i="246" s="1"/>
  <c r="G38" i="231"/>
  <c r="L64" i="246" s="1"/>
  <c r="H18" i="231"/>
  <c r="F37" i="229"/>
  <c r="O24" i="292"/>
  <c r="F38" i="229"/>
  <c r="K784" i="209"/>
  <c r="F39" i="229"/>
  <c r="F41" i="229"/>
  <c r="F42" i="229"/>
  <c r="F40" i="229"/>
  <c r="N9" i="188"/>
  <c r="N9" i="189"/>
  <c r="N9" i="126"/>
  <c r="N9" i="204"/>
  <c r="N9" i="178"/>
  <c r="N9" i="137"/>
  <c r="N9" i="349"/>
  <c r="N9" i="183"/>
  <c r="N9" i="141"/>
  <c r="N9" i="187"/>
  <c r="N9" i="151"/>
  <c r="N9" i="160"/>
  <c r="N9" i="270"/>
  <c r="N9" i="194"/>
  <c r="N9" i="353"/>
  <c r="N9" i="219"/>
  <c r="N9" i="195"/>
  <c r="N9" i="203"/>
  <c r="N9" i="146"/>
  <c r="N9" i="362"/>
  <c r="N9" i="293"/>
  <c r="N14" i="104"/>
  <c r="N14" i="226"/>
  <c r="N14" i="186"/>
  <c r="N14" i="170"/>
  <c r="K304" i="246"/>
  <c r="G18" i="330"/>
  <c r="O14" i="337"/>
  <c r="O14" i="338"/>
  <c r="O14" i="39"/>
  <c r="O14" i="196"/>
  <c r="O14" i="154"/>
  <c r="O14" i="123"/>
  <c r="O14" i="79"/>
  <c r="O14" i="72"/>
  <c r="L282" i="209"/>
  <c r="M12" i="84"/>
  <c r="W27" i="84" s="1"/>
  <c r="M12" i="231"/>
  <c r="W27" i="231" s="1"/>
  <c r="M12" i="171"/>
  <c r="W27" i="171" s="1"/>
  <c r="M12" i="309"/>
  <c r="W27" i="309" s="1"/>
  <c r="M12" i="172"/>
  <c r="W27" i="172" s="1"/>
  <c r="J128" i="246"/>
  <c r="M12" i="175"/>
  <c r="W27" i="175" s="1"/>
  <c r="M12" i="184"/>
  <c r="W27" i="184" s="1"/>
  <c r="M12" i="361"/>
  <c r="W27" i="361" s="1"/>
  <c r="M12" i="229"/>
  <c r="N10" i="6"/>
  <c r="N10" i="15"/>
  <c r="N10" i="13"/>
  <c r="K19" i="209"/>
  <c r="N10" i="10"/>
  <c r="N10" i="7"/>
  <c r="N10" i="4"/>
  <c r="N10" i="11"/>
  <c r="N10" i="16"/>
  <c r="N10" i="14"/>
  <c r="N10" i="9"/>
  <c r="N10" i="125"/>
  <c r="O642" i="209" l="1"/>
  <c r="D11" i="330"/>
  <c r="I702" i="209"/>
  <c r="M702" i="209" s="1"/>
  <c r="D45" i="44"/>
  <c r="D46" i="44"/>
  <c r="D11" i="328"/>
  <c r="I642" i="209"/>
  <c r="D11" i="58"/>
  <c r="D44" i="44"/>
  <c r="D14" i="328"/>
  <c r="D14" i="58"/>
  <c r="D14" i="229" s="1"/>
  <c r="D14" i="330"/>
  <c r="O702" i="209"/>
  <c r="S702" i="209" s="1"/>
  <c r="D12" i="328"/>
  <c r="D12" i="330"/>
  <c r="O462" i="209"/>
  <c r="S462" i="209" s="1"/>
  <c r="D12" i="58"/>
  <c r="D13" i="58"/>
  <c r="D13" i="229" s="1"/>
  <c r="D13" i="330"/>
  <c r="D13" i="328"/>
  <c r="M13" i="328"/>
  <c r="W28" i="328" s="1"/>
  <c r="M13" i="248"/>
  <c r="W28" i="248" s="1"/>
  <c r="M13" i="58"/>
  <c r="X28" i="58" s="1"/>
  <c r="W28" i="229"/>
  <c r="M13" i="18"/>
  <c r="W28" i="18" s="1"/>
  <c r="J244" i="209"/>
  <c r="J784" i="209"/>
  <c r="M13" i="330"/>
  <c r="Y28" i="330" s="1"/>
  <c r="E40" i="229"/>
  <c r="M12" i="18" s="1"/>
  <c r="W27" i="18" s="1"/>
  <c r="M13" i="326"/>
  <c r="W28" i="326" s="1"/>
  <c r="M13" i="174"/>
  <c r="W28" i="174" s="1"/>
  <c r="M13" i="44"/>
  <c r="W28" i="44" s="1"/>
  <c r="M13" i="247"/>
  <c r="W28" i="247" s="1"/>
  <c r="E42" i="229"/>
  <c r="M14" i="330" s="1"/>
  <c r="X29" i="330" s="1"/>
  <c r="M13" i="291"/>
  <c r="W28" i="291" s="1"/>
  <c r="E38" i="229"/>
  <c r="M10" i="330" s="1"/>
  <c r="X25" i="330" s="1"/>
  <c r="M13" i="250"/>
  <c r="W28" i="250" s="1"/>
  <c r="E39" i="229"/>
  <c r="M11" i="18" s="1"/>
  <c r="W26" i="18" s="1"/>
  <c r="M13" i="228"/>
  <c r="W28" i="228" s="1"/>
  <c r="E37" i="229"/>
  <c r="M9" i="250" s="1"/>
  <c r="W24" i="250" s="1"/>
  <c r="W28" i="327"/>
  <c r="I244" i="209"/>
  <c r="L13" i="291"/>
  <c r="L14" i="44"/>
  <c r="L14" i="326"/>
  <c r="L14" i="327"/>
  <c r="L14" i="247"/>
  <c r="L14" i="250"/>
  <c r="L13" i="18"/>
  <c r="L14" i="328"/>
  <c r="L13" i="247"/>
  <c r="L13" i="44"/>
  <c r="L13" i="250"/>
  <c r="L13" i="328"/>
  <c r="L13" i="248"/>
  <c r="L13" i="326"/>
  <c r="L9" i="326"/>
  <c r="L12" i="291"/>
  <c r="L9" i="174"/>
  <c r="L12" i="44"/>
  <c r="L9" i="291"/>
  <c r="L12" i="247"/>
  <c r="L12" i="228"/>
  <c r="L12" i="174"/>
  <c r="L12" i="328"/>
  <c r="L12" i="250"/>
  <c r="O244" i="209"/>
  <c r="L12" i="18"/>
  <c r="I124" i="209"/>
  <c r="L9" i="248"/>
  <c r="L9" i="328"/>
  <c r="L13" i="58"/>
  <c r="L13" i="228"/>
  <c r="L13" i="327"/>
  <c r="L13" i="174"/>
  <c r="L12" i="248"/>
  <c r="L12" i="326"/>
  <c r="L9" i="58"/>
  <c r="L12" i="58"/>
  <c r="L12" i="330"/>
  <c r="L9" i="247"/>
  <c r="L14" i="330"/>
  <c r="L14" i="58"/>
  <c r="L14" i="248"/>
  <c r="L14" i="291"/>
  <c r="I304" i="209"/>
  <c r="L14" i="228"/>
  <c r="L14" i="174"/>
  <c r="L11" i="58"/>
  <c r="L11" i="328"/>
  <c r="L11" i="248"/>
  <c r="L11" i="247"/>
  <c r="L11" i="327"/>
  <c r="O64" i="209"/>
  <c r="L11" i="291"/>
  <c r="L11" i="326"/>
  <c r="L11" i="228"/>
  <c r="L11" i="330"/>
  <c r="L11" i="44"/>
  <c r="L11" i="18"/>
  <c r="L11" i="174"/>
  <c r="L11" i="250"/>
  <c r="L9" i="228"/>
  <c r="L9" i="18"/>
  <c r="L9" i="250"/>
  <c r="L9" i="330"/>
  <c r="L9" i="44"/>
  <c r="O11" i="9"/>
  <c r="O11" i="4"/>
  <c r="O11" i="125"/>
  <c r="O11" i="7"/>
  <c r="O11" i="16"/>
  <c r="O11" i="11"/>
  <c r="R19" i="209"/>
  <c r="O11" i="15"/>
  <c r="O11" i="13"/>
  <c r="O11" i="10"/>
  <c r="O11" i="6"/>
  <c r="O11" i="14"/>
  <c r="O13" i="126"/>
  <c r="O13" i="353"/>
  <c r="O13" i="151"/>
  <c r="O13" i="194"/>
  <c r="O13" i="160"/>
  <c r="O13" i="204"/>
  <c r="O13" i="137"/>
  <c r="O13" i="270"/>
  <c r="O13" i="362"/>
  <c r="O13" i="187"/>
  <c r="O13" i="141"/>
  <c r="O13" i="146"/>
  <c r="O13" i="189"/>
  <c r="O13" i="188"/>
  <c r="O13" i="195"/>
  <c r="O13" i="178"/>
  <c r="O13" i="183"/>
  <c r="O13" i="219"/>
  <c r="O13" i="349"/>
  <c r="O13" i="203"/>
  <c r="O13" i="293"/>
  <c r="O11" i="104"/>
  <c r="R56" i="246"/>
  <c r="O11" i="186"/>
  <c r="O11" i="170"/>
  <c r="O11" i="226"/>
  <c r="N13" i="250"/>
  <c r="N13" i="326"/>
  <c r="N13" i="228"/>
  <c r="N13" i="328"/>
  <c r="N13" i="330"/>
  <c r="N13" i="58"/>
  <c r="N13" i="247"/>
  <c r="N13" i="174"/>
  <c r="N13" i="44"/>
  <c r="N13" i="291"/>
  <c r="N13" i="18"/>
  <c r="N13" i="327"/>
  <c r="K244" i="209"/>
  <c r="N13" i="248"/>
  <c r="N12" i="171"/>
  <c r="N12" i="229"/>
  <c r="N12" i="175"/>
  <c r="N12" i="231"/>
  <c r="N12" i="361"/>
  <c r="K128" i="246"/>
  <c r="N12" i="84"/>
  <c r="N12" i="309"/>
  <c r="N12" i="184"/>
  <c r="N12" i="172"/>
  <c r="O10" i="104"/>
  <c r="L56" i="246"/>
  <c r="O10" i="226"/>
  <c r="O10" i="186"/>
  <c r="O10" i="170"/>
  <c r="N11" i="44"/>
  <c r="N11" i="327"/>
  <c r="N11" i="250"/>
  <c r="N11" i="228"/>
  <c r="N11" i="58"/>
  <c r="N11" i="326"/>
  <c r="N11" i="330"/>
  <c r="N11" i="18"/>
  <c r="N11" i="247"/>
  <c r="N11" i="248"/>
  <c r="N11" i="328"/>
  <c r="N11" i="174"/>
  <c r="N11" i="291"/>
  <c r="Q64" i="209"/>
  <c r="H18" i="327"/>
  <c r="G38" i="327"/>
  <c r="L32" i="209" s="1"/>
  <c r="G37" i="327"/>
  <c r="R212" i="209" s="1"/>
  <c r="G42" i="327"/>
  <c r="L272" i="209" s="1"/>
  <c r="G40" i="327"/>
  <c r="L92" i="209" s="1"/>
  <c r="G39" i="327"/>
  <c r="R32" i="209" s="1"/>
  <c r="L752" i="209"/>
  <c r="M752" i="209" s="1"/>
  <c r="G41" i="327"/>
  <c r="L212" i="209" s="1"/>
  <c r="O10" i="183"/>
  <c r="O10" i="353"/>
  <c r="O10" i="146"/>
  <c r="O10" i="362"/>
  <c r="O10" i="195"/>
  <c r="O10" i="203"/>
  <c r="O10" i="151"/>
  <c r="O10" i="349"/>
  <c r="O10" i="126"/>
  <c r="O10" i="141"/>
  <c r="O10" i="204"/>
  <c r="O10" i="188"/>
  <c r="O10" i="187"/>
  <c r="O10" i="293"/>
  <c r="O10" i="219"/>
  <c r="O10" i="270"/>
  <c r="O10" i="160"/>
  <c r="O10" i="194"/>
  <c r="O10" i="189"/>
  <c r="O10" i="178"/>
  <c r="O10" i="137"/>
  <c r="N11" i="361"/>
  <c r="N11" i="172"/>
  <c r="N11" i="175"/>
  <c r="N11" i="229"/>
  <c r="N11" i="171"/>
  <c r="N11" i="231"/>
  <c r="Q66" i="246"/>
  <c r="N11" i="84"/>
  <c r="N11" i="184"/>
  <c r="N11" i="309"/>
  <c r="O14" i="170"/>
  <c r="O14" i="226"/>
  <c r="O14" i="104"/>
  <c r="O14" i="186"/>
  <c r="L304" i="246"/>
  <c r="O13" i="15"/>
  <c r="L199" i="209"/>
  <c r="O13" i="10"/>
  <c r="O13" i="11"/>
  <c r="O13" i="13"/>
  <c r="O13" i="7"/>
  <c r="O13" i="16"/>
  <c r="O13" i="14"/>
  <c r="O13" i="4"/>
  <c r="O13" i="6"/>
  <c r="O13" i="9"/>
  <c r="O13" i="125"/>
  <c r="O9" i="203"/>
  <c r="O9" i="349"/>
  <c r="O9" i="141"/>
  <c r="O9" i="178"/>
  <c r="O9" i="219"/>
  <c r="O9" i="362"/>
  <c r="O9" i="204"/>
  <c r="O9" i="160"/>
  <c r="O9" i="353"/>
  <c r="O9" i="187"/>
  <c r="O9" i="183"/>
  <c r="O9" i="189"/>
  <c r="O9" i="146"/>
  <c r="O9" i="194"/>
  <c r="O9" i="126"/>
  <c r="O9" i="151"/>
  <c r="O9" i="188"/>
  <c r="O9" i="270"/>
  <c r="O9" i="293"/>
  <c r="O9" i="195"/>
  <c r="O9" i="137"/>
  <c r="O10" i="14"/>
  <c r="O10" i="10"/>
  <c r="O10" i="15"/>
  <c r="O10" i="9"/>
  <c r="O10" i="16"/>
  <c r="O10" i="7"/>
  <c r="O10" i="4"/>
  <c r="O10" i="6"/>
  <c r="O10" i="11"/>
  <c r="O10" i="13"/>
  <c r="L19" i="209"/>
  <c r="O10" i="125"/>
  <c r="O14" i="137"/>
  <c r="O14" i="362"/>
  <c r="O14" i="146"/>
  <c r="O14" i="270"/>
  <c r="O14" i="183"/>
  <c r="O14" i="203"/>
  <c r="O14" i="219"/>
  <c r="O14" i="349"/>
  <c r="O14" i="178"/>
  <c r="O14" i="188"/>
  <c r="O14" i="195"/>
  <c r="O14" i="353"/>
  <c r="O14" i="189"/>
  <c r="O14" i="194"/>
  <c r="O14" i="126"/>
  <c r="O14" i="141"/>
  <c r="O14" i="293"/>
  <c r="O14" i="160"/>
  <c r="O14" i="151"/>
  <c r="O14" i="204"/>
  <c r="O14" i="187"/>
  <c r="N13" i="229"/>
  <c r="K252" i="246"/>
  <c r="N13" i="84"/>
  <c r="N13" i="171"/>
  <c r="N13" i="309"/>
  <c r="N13" i="172"/>
  <c r="N13" i="175"/>
  <c r="N13" i="184"/>
  <c r="N13" i="231"/>
  <c r="N13" i="361"/>
  <c r="G40" i="174"/>
  <c r="G42" i="174"/>
  <c r="G38" i="174"/>
  <c r="G39" i="174"/>
  <c r="L810" i="246"/>
  <c r="M810" i="246" s="1"/>
  <c r="G41" i="174"/>
  <c r="G37" i="174"/>
  <c r="H18" i="174"/>
  <c r="N12" i="174"/>
  <c r="N12" i="327"/>
  <c r="N12" i="326"/>
  <c r="N12" i="247"/>
  <c r="N12" i="228"/>
  <c r="N12" i="291"/>
  <c r="N12" i="18"/>
  <c r="N12" i="250"/>
  <c r="N12" i="328"/>
  <c r="K124" i="209"/>
  <c r="N12" i="330"/>
  <c r="N12" i="58"/>
  <c r="N12" i="44"/>
  <c r="N12" i="248"/>
  <c r="N10" i="171"/>
  <c r="N10" i="309"/>
  <c r="N10" i="184"/>
  <c r="N10" i="229"/>
  <c r="K66" i="246"/>
  <c r="N10" i="84"/>
  <c r="N10" i="231"/>
  <c r="N10" i="361"/>
  <c r="N10" i="172"/>
  <c r="N10" i="175"/>
  <c r="O13" i="170"/>
  <c r="O13" i="226"/>
  <c r="O13" i="104"/>
  <c r="L242" i="246"/>
  <c r="O13" i="186"/>
  <c r="N10" i="248"/>
  <c r="N10" i="327"/>
  <c r="N10" i="18"/>
  <c r="N10" i="44"/>
  <c r="N10" i="330"/>
  <c r="N10" i="174"/>
  <c r="N10" i="58"/>
  <c r="N10" i="291"/>
  <c r="N10" i="326"/>
  <c r="N10" i="228"/>
  <c r="K64" i="209"/>
  <c r="N10" i="247"/>
  <c r="N10" i="250"/>
  <c r="N10" i="328"/>
  <c r="O14" i="10"/>
  <c r="O14" i="7"/>
  <c r="O14" i="6"/>
  <c r="O14" i="125"/>
  <c r="O14" i="15"/>
  <c r="O14" i="14"/>
  <c r="O14" i="4"/>
  <c r="O14" i="11"/>
  <c r="L259" i="209"/>
  <c r="O14" i="16"/>
  <c r="O14" i="9"/>
  <c r="O14" i="13"/>
  <c r="H18" i="229"/>
  <c r="L784" i="209"/>
  <c r="M784" i="209" s="1"/>
  <c r="G41" i="229"/>
  <c r="G42" i="229"/>
  <c r="G37" i="229"/>
  <c r="G38" i="229"/>
  <c r="G39" i="229"/>
  <c r="G40" i="229"/>
  <c r="O9" i="226"/>
  <c r="R242" i="246"/>
  <c r="O9" i="186"/>
  <c r="O9" i="170"/>
  <c r="O9" i="104"/>
  <c r="N9" i="361"/>
  <c r="Q252" i="246"/>
  <c r="N9" i="84"/>
  <c r="N9" i="175"/>
  <c r="N9" i="171"/>
  <c r="N9" i="172"/>
  <c r="N9" i="229"/>
  <c r="N9" i="309"/>
  <c r="N9" i="231"/>
  <c r="N9" i="184"/>
  <c r="G42" i="330"/>
  <c r="G39" i="330"/>
  <c r="H18" i="330"/>
  <c r="G41" i="330"/>
  <c r="G38" i="330"/>
  <c r="G37" i="330"/>
  <c r="G40" i="330"/>
  <c r="R199" i="209"/>
  <c r="O9" i="9"/>
  <c r="O9" i="14"/>
  <c r="O9" i="13"/>
  <c r="O9" i="4"/>
  <c r="O9" i="15"/>
  <c r="O9" i="6"/>
  <c r="O9" i="125"/>
  <c r="O9" i="11"/>
  <c r="O9" i="10"/>
  <c r="O9" i="7"/>
  <c r="O9" i="16"/>
  <c r="O41" i="292"/>
  <c r="U24" i="292"/>
  <c r="R24" i="292"/>
  <c r="O12" i="349"/>
  <c r="O12" i="195"/>
  <c r="O12" i="204"/>
  <c r="O12" i="183"/>
  <c r="O12" i="353"/>
  <c r="O12" i="160"/>
  <c r="O12" i="219"/>
  <c r="O12" i="188"/>
  <c r="O12" i="189"/>
  <c r="O12" i="293"/>
  <c r="O12" i="137"/>
  <c r="O12" i="146"/>
  <c r="O12" i="194"/>
  <c r="O12" i="126"/>
  <c r="O12" i="141"/>
  <c r="O12" i="151"/>
  <c r="O12" i="203"/>
  <c r="O12" i="362"/>
  <c r="O12" i="270"/>
  <c r="O12" i="178"/>
  <c r="O12" i="187"/>
  <c r="R39" i="292"/>
  <c r="U39" i="292"/>
  <c r="O12" i="226"/>
  <c r="L118" i="246"/>
  <c r="O12" i="186"/>
  <c r="O12" i="170"/>
  <c r="O12" i="104"/>
  <c r="N14" i="248"/>
  <c r="N14" i="44"/>
  <c r="N14" i="330"/>
  <c r="N14" i="58"/>
  <c r="N14" i="291"/>
  <c r="K304" i="209"/>
  <c r="N14" i="247"/>
  <c r="N14" i="327"/>
  <c r="N14" i="18"/>
  <c r="N14" i="174"/>
  <c r="N14" i="326"/>
  <c r="N14" i="250"/>
  <c r="N14" i="328"/>
  <c r="N14" i="228"/>
  <c r="O11" i="126"/>
  <c r="O11" i="219"/>
  <c r="O11" i="187"/>
  <c r="O11" i="195"/>
  <c r="O11" i="189"/>
  <c r="O11" i="160"/>
  <c r="O11" i="293"/>
  <c r="O11" i="183"/>
  <c r="O11" i="178"/>
  <c r="O11" i="362"/>
  <c r="O11" i="188"/>
  <c r="O11" i="349"/>
  <c r="O11" i="137"/>
  <c r="O11" i="146"/>
  <c r="O11" i="151"/>
  <c r="O11" i="270"/>
  <c r="O11" i="203"/>
  <c r="O11" i="194"/>
  <c r="O11" i="141"/>
  <c r="O11" i="204"/>
  <c r="O11" i="353"/>
  <c r="N9" i="18"/>
  <c r="N9" i="326"/>
  <c r="Q244" i="209"/>
  <c r="N9" i="330"/>
  <c r="N9" i="328"/>
  <c r="N9" i="174"/>
  <c r="N9" i="327"/>
  <c r="N9" i="228"/>
  <c r="N9" i="58"/>
  <c r="N9" i="248"/>
  <c r="N9" i="44"/>
  <c r="N9" i="247"/>
  <c r="N9" i="250"/>
  <c r="N9" i="291"/>
  <c r="O12" i="11"/>
  <c r="O12" i="10"/>
  <c r="O12" i="7"/>
  <c r="O12" i="13"/>
  <c r="O12" i="9"/>
  <c r="O12" i="14"/>
  <c r="O12" i="16"/>
  <c r="O12" i="6"/>
  <c r="L79" i="209"/>
  <c r="O12" i="125"/>
  <c r="O12" i="4"/>
  <c r="O12" i="15"/>
  <c r="G39" i="175"/>
  <c r="O11" i="212" s="1"/>
  <c r="G40" i="175"/>
  <c r="O12" i="212" s="1"/>
  <c r="G38" i="175"/>
  <c r="O10" i="212" s="1"/>
  <c r="G37" i="175"/>
  <c r="O9" i="212" s="1"/>
  <c r="G42" i="175"/>
  <c r="O14" i="212" s="1"/>
  <c r="G41" i="175"/>
  <c r="O13" i="212" s="1"/>
  <c r="H18" i="175"/>
  <c r="N14" i="84"/>
  <c r="N14" i="172"/>
  <c r="N14" i="184"/>
  <c r="N14" i="171"/>
  <c r="K314" i="246"/>
  <c r="N14" i="309"/>
  <c r="N14" i="229"/>
  <c r="N14" i="361"/>
  <c r="N14" i="231"/>
  <c r="N14" i="175"/>
  <c r="D44" i="58" l="1"/>
  <c r="O120" i="209" s="1"/>
  <c r="D45" i="58"/>
  <c r="I180" i="209" s="1"/>
  <c r="D11" i="229"/>
  <c r="I720" i="209"/>
  <c r="M720" i="209" s="1"/>
  <c r="D46" i="58"/>
  <c r="O660" i="209"/>
  <c r="I660" i="209"/>
  <c r="D44" i="328"/>
  <c r="D45" i="328"/>
  <c r="D46" i="328"/>
  <c r="L18" i="79"/>
  <c r="L18" i="72"/>
  <c r="L18" i="338"/>
  <c r="L18" i="154"/>
  <c r="L18" i="196"/>
  <c r="L18" i="39"/>
  <c r="L18" i="337"/>
  <c r="L18" i="123"/>
  <c r="L17" i="196"/>
  <c r="W33" i="196" s="1"/>
  <c r="L17" i="39"/>
  <c r="W33" i="39" s="1"/>
  <c r="L17" i="72"/>
  <c r="W33" i="72" s="1"/>
  <c r="L17" i="337"/>
  <c r="W33" i="337" s="1"/>
  <c r="L17" i="338"/>
  <c r="W33" i="338" s="1"/>
  <c r="L17" i="154"/>
  <c r="W33" i="154" s="1"/>
  <c r="I162" i="209"/>
  <c r="L17" i="123"/>
  <c r="W33" i="123" s="1"/>
  <c r="L17" i="79"/>
  <c r="W33" i="79" s="1"/>
  <c r="D44" i="330"/>
  <c r="D46" i="330"/>
  <c r="D45" i="330"/>
  <c r="O720" i="209"/>
  <c r="S720" i="209" s="1"/>
  <c r="O480" i="209"/>
  <c r="S480" i="209" s="1"/>
  <c r="D12" i="229"/>
  <c r="L16" i="79"/>
  <c r="W32" i="79" s="1"/>
  <c r="L16" i="72"/>
  <c r="W32" i="72" s="1"/>
  <c r="L16" i="196"/>
  <c r="W32" i="196" s="1"/>
  <c r="L16" i="338"/>
  <c r="W32" i="338" s="1"/>
  <c r="L16" i="39"/>
  <c r="W32" i="39" s="1"/>
  <c r="L16" i="123"/>
  <c r="W32" i="123" s="1"/>
  <c r="O102" i="209"/>
  <c r="L16" i="154"/>
  <c r="W32" i="154" s="1"/>
  <c r="L16" i="337"/>
  <c r="W32" i="337" s="1"/>
  <c r="Y28" i="58"/>
  <c r="P244" i="209"/>
  <c r="M14" i="44"/>
  <c r="W29" i="44" s="1"/>
  <c r="M10" i="250"/>
  <c r="W25" i="250" s="1"/>
  <c r="X28" i="330"/>
  <c r="M10" i="328"/>
  <c r="W25" i="328" s="1"/>
  <c r="M10" i="58"/>
  <c r="Y25" i="58" s="1"/>
  <c r="J304" i="209"/>
  <c r="M10" i="326"/>
  <c r="W25" i="326" s="1"/>
  <c r="Y25" i="330"/>
  <c r="M12" i="326"/>
  <c r="W27" i="326" s="1"/>
  <c r="M12" i="248"/>
  <c r="W27" i="248" s="1"/>
  <c r="M12" i="250"/>
  <c r="W27" i="250" s="1"/>
  <c r="M12" i="328"/>
  <c r="W27" i="328" s="1"/>
  <c r="J124" i="209"/>
  <c r="W27" i="229"/>
  <c r="M12" i="44"/>
  <c r="W27" i="44" s="1"/>
  <c r="M12" i="247"/>
  <c r="W27" i="247" s="1"/>
  <c r="M12" i="228"/>
  <c r="W27" i="228" s="1"/>
  <c r="M12" i="330"/>
  <c r="X27" i="330" s="1"/>
  <c r="M12" i="174"/>
  <c r="W27" i="174" s="1"/>
  <c r="M12" i="291"/>
  <c r="W27" i="291" s="1"/>
  <c r="M12" i="327"/>
  <c r="W27" i="327" s="1"/>
  <c r="M12" i="58"/>
  <c r="X27" i="58" s="1"/>
  <c r="M14" i="291"/>
  <c r="W29" i="291" s="1"/>
  <c r="M14" i="18"/>
  <c r="W29" i="18" s="1"/>
  <c r="Y29" i="330"/>
  <c r="W26" i="229"/>
  <c r="M11" i="247"/>
  <c r="W26" i="247" s="1"/>
  <c r="M11" i="291"/>
  <c r="W26" i="291" s="1"/>
  <c r="M10" i="291"/>
  <c r="W25" i="291" s="1"/>
  <c r="M10" i="18"/>
  <c r="W25" i="18" s="1"/>
  <c r="M10" i="327"/>
  <c r="W25" i="327" s="1"/>
  <c r="M14" i="174"/>
  <c r="W29" i="174" s="1"/>
  <c r="M14" i="228"/>
  <c r="W29" i="228" s="1"/>
  <c r="W24" i="229"/>
  <c r="M14" i="247"/>
  <c r="W29" i="247" s="1"/>
  <c r="W29" i="229"/>
  <c r="M14" i="250"/>
  <c r="W29" i="250" s="1"/>
  <c r="M14" i="248"/>
  <c r="W29" i="248" s="1"/>
  <c r="M14" i="58"/>
  <c r="X29" i="58" s="1"/>
  <c r="M14" i="326"/>
  <c r="W29" i="326" s="1"/>
  <c r="M9" i="174"/>
  <c r="W24" i="174" s="1"/>
  <c r="M14" i="328"/>
  <c r="W29" i="328" s="1"/>
  <c r="M9" i="44"/>
  <c r="W24" i="44" s="1"/>
  <c r="M14" i="327"/>
  <c r="W29" i="327" s="1"/>
  <c r="M11" i="328"/>
  <c r="W26" i="328" s="1"/>
  <c r="M11" i="228"/>
  <c r="W26" i="228" s="1"/>
  <c r="P64" i="209"/>
  <c r="M9" i="327"/>
  <c r="W24" i="327" s="1"/>
  <c r="M9" i="291"/>
  <c r="W24" i="291" s="1"/>
  <c r="M11" i="174"/>
  <c r="W26" i="174" s="1"/>
  <c r="M11" i="327"/>
  <c r="W26" i="327" s="1"/>
  <c r="M9" i="228"/>
  <c r="W24" i="228" s="1"/>
  <c r="M9" i="18"/>
  <c r="W24" i="18" s="1"/>
  <c r="M11" i="330"/>
  <c r="X26" i="330" s="1"/>
  <c r="M11" i="58"/>
  <c r="X26" i="58" s="1"/>
  <c r="M9" i="326"/>
  <c r="W24" i="326" s="1"/>
  <c r="M9" i="247"/>
  <c r="W24" i="247" s="1"/>
  <c r="M9" i="58"/>
  <c r="X24" i="58" s="1"/>
  <c r="M9" i="330"/>
  <c r="X24" i="330" s="1"/>
  <c r="M9" i="328"/>
  <c r="W24" i="328" s="1"/>
  <c r="M11" i="44"/>
  <c r="W26" i="44" s="1"/>
  <c r="M11" i="248"/>
  <c r="W26" i="248" s="1"/>
  <c r="M9" i="248"/>
  <c r="W24" i="248" s="1"/>
  <c r="M10" i="228"/>
  <c r="W25" i="228" s="1"/>
  <c r="M10" i="174"/>
  <c r="W25" i="174" s="1"/>
  <c r="W25" i="229"/>
  <c r="M10" i="248"/>
  <c r="W25" i="248" s="1"/>
  <c r="M11" i="250"/>
  <c r="W26" i="250" s="1"/>
  <c r="J64" i="209"/>
  <c r="M10" i="247"/>
  <c r="W25" i="247" s="1"/>
  <c r="M10" i="44"/>
  <c r="W25" i="44" s="1"/>
  <c r="M11" i="326"/>
  <c r="W26" i="326" s="1"/>
  <c r="O14" i="184"/>
  <c r="O14" i="175"/>
  <c r="O14" i="172"/>
  <c r="O14" i="309"/>
  <c r="O14" i="231"/>
  <c r="O14" i="84"/>
  <c r="O14" i="171"/>
  <c r="L314" i="246"/>
  <c r="O14" i="361"/>
  <c r="O14" i="229"/>
  <c r="O12" i="58"/>
  <c r="O12" i="44"/>
  <c r="O12" i="250"/>
  <c r="O12" i="326"/>
  <c r="O12" i="327"/>
  <c r="O12" i="248"/>
  <c r="O12" i="174"/>
  <c r="O12" i="18"/>
  <c r="O12" i="328"/>
  <c r="O12" i="291"/>
  <c r="O12" i="228"/>
  <c r="O12" i="330"/>
  <c r="L124" i="209"/>
  <c r="O12" i="247"/>
  <c r="O12" i="184"/>
  <c r="L128" i="246"/>
  <c r="O12" i="361"/>
  <c r="O12" i="84"/>
  <c r="O12" i="231"/>
  <c r="O12" i="175"/>
  <c r="O12" i="309"/>
  <c r="O12" i="172"/>
  <c r="O12" i="171"/>
  <c r="O12" i="229"/>
  <c r="O11" i="250"/>
  <c r="O11" i="328"/>
  <c r="R64" i="209"/>
  <c r="O11" i="247"/>
  <c r="O11" i="174"/>
  <c r="O11" i="248"/>
  <c r="O11" i="58"/>
  <c r="O11" i="330"/>
  <c r="O11" i="18"/>
  <c r="O11" i="327"/>
  <c r="O11" i="326"/>
  <c r="O11" i="228"/>
  <c r="O11" i="44"/>
  <c r="O11" i="291"/>
  <c r="O10" i="228"/>
  <c r="O10" i="44"/>
  <c r="O10" i="247"/>
  <c r="O10" i="174"/>
  <c r="O10" i="250"/>
  <c r="O10" i="330"/>
  <c r="O10" i="326"/>
  <c r="O10" i="248"/>
  <c r="O10" i="18"/>
  <c r="O10" i="291"/>
  <c r="O10" i="328"/>
  <c r="O10" i="327"/>
  <c r="O10" i="58"/>
  <c r="L64" i="209"/>
  <c r="R252" i="246"/>
  <c r="O9" i="172"/>
  <c r="O9" i="309"/>
  <c r="O9" i="171"/>
  <c r="O9" i="229"/>
  <c r="O9" i="361"/>
  <c r="O9" i="84"/>
  <c r="O9" i="231"/>
  <c r="O9" i="184"/>
  <c r="O9" i="175"/>
  <c r="U41" i="292"/>
  <c r="R41" i="292"/>
  <c r="O9" i="291"/>
  <c r="O9" i="326"/>
  <c r="R244" i="209"/>
  <c r="O9" i="44"/>
  <c r="O9" i="248"/>
  <c r="O9" i="328"/>
  <c r="O9" i="18"/>
  <c r="O9" i="58"/>
  <c r="O9" i="327"/>
  <c r="O9" i="250"/>
  <c r="O9" i="174"/>
  <c r="O9" i="247"/>
  <c r="O9" i="330"/>
  <c r="O9" i="228"/>
  <c r="O13" i="175"/>
  <c r="O13" i="184"/>
  <c r="O13" i="361"/>
  <c r="O13" i="231"/>
  <c r="O13" i="309"/>
  <c r="O13" i="172"/>
  <c r="O13" i="171"/>
  <c r="L252" i="246"/>
  <c r="O13" i="229"/>
  <c r="O13" i="84"/>
  <c r="O14" i="328"/>
  <c r="O14" i="327"/>
  <c r="O14" i="228"/>
  <c r="O14" i="291"/>
  <c r="O14" i="250"/>
  <c r="O14" i="247"/>
  <c r="O14" i="174"/>
  <c r="O14" i="44"/>
  <c r="O14" i="248"/>
  <c r="O14" i="58"/>
  <c r="O14" i="326"/>
  <c r="O14" i="330"/>
  <c r="L304" i="209"/>
  <c r="O14" i="18"/>
  <c r="O10" i="361"/>
  <c r="O10" i="309"/>
  <c r="O10" i="229"/>
  <c r="O10" i="84"/>
  <c r="O10" i="172"/>
  <c r="O10" i="184"/>
  <c r="O10" i="175"/>
  <c r="L66" i="246"/>
  <c r="O10" i="171"/>
  <c r="O10" i="231"/>
  <c r="O13" i="250"/>
  <c r="O13" i="228"/>
  <c r="O13" i="58"/>
  <c r="O13" i="18"/>
  <c r="O13" i="174"/>
  <c r="O13" i="247"/>
  <c r="L244" i="209"/>
  <c r="O13" i="330"/>
  <c r="O13" i="291"/>
  <c r="O13" i="328"/>
  <c r="O13" i="44"/>
  <c r="O13" i="326"/>
  <c r="O13" i="327"/>
  <c r="O13" i="248"/>
  <c r="O11" i="184"/>
  <c r="O11" i="84"/>
  <c r="O11" i="175"/>
  <c r="O11" i="231"/>
  <c r="O11" i="361"/>
  <c r="O11" i="171"/>
  <c r="O11" i="229"/>
  <c r="O11" i="309"/>
  <c r="R66" i="246"/>
  <c r="O11" i="172"/>
  <c r="O724" i="209" l="1"/>
  <c r="S724" i="209" s="1"/>
  <c r="O484" i="209"/>
  <c r="S484" i="209" s="1"/>
  <c r="I724" i="209"/>
  <c r="M724" i="209" s="1"/>
  <c r="O664" i="209"/>
  <c r="D46" i="229"/>
  <c r="D45" i="229"/>
  <c r="I664" i="209"/>
  <c r="D44" i="229"/>
  <c r="X25" i="58"/>
  <c r="Y27" i="330"/>
  <c r="Y27" i="58"/>
  <c r="Y26" i="330"/>
  <c r="Y26" i="58"/>
  <c r="Y29" i="58"/>
  <c r="Y24" i="58"/>
  <c r="Y24" i="330"/>
  <c r="L18" i="174" l="1"/>
  <c r="L18" i="250"/>
  <c r="L18" i="248"/>
  <c r="L18" i="327"/>
  <c r="L18" i="18"/>
  <c r="L18" i="328"/>
  <c r="L18" i="291"/>
  <c r="L18" i="247"/>
  <c r="L18" i="58"/>
  <c r="L18" i="326"/>
  <c r="L18" i="44"/>
  <c r="L18" i="330"/>
  <c r="L18" i="228"/>
  <c r="L17" i="18"/>
  <c r="L17" i="250"/>
  <c r="L17" i="174"/>
  <c r="L17" i="326"/>
  <c r="L17" i="328"/>
  <c r="L17" i="330"/>
  <c r="L17" i="58"/>
  <c r="I184" i="209"/>
  <c r="L17" i="247"/>
  <c r="L17" i="291"/>
  <c r="L17" i="248"/>
  <c r="L17" i="327"/>
  <c r="L17" i="228"/>
  <c r="L17" i="44"/>
  <c r="L16" i="250"/>
  <c r="L16" i="247"/>
  <c r="L16" i="248"/>
  <c r="L16" i="328"/>
  <c r="L16" i="326"/>
  <c r="L16" i="18"/>
  <c r="L16" i="44"/>
  <c r="L16" i="330"/>
  <c r="O124" i="209"/>
  <c r="L16" i="58"/>
  <c r="L16" i="327"/>
  <c r="L16" i="228"/>
  <c r="L16" i="1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brickett</author>
  </authors>
  <commentList>
    <comment ref="A1" authorId="0" shapeId="0" xr:uid="{095D7256-0EAC-4E3C-9B9E-2B9B4C4F44C8}">
      <text>
        <r>
          <rPr>
            <b/>
            <sz val="9"/>
            <color indexed="81"/>
            <rFont val="Tahoma"/>
            <family val="2"/>
          </rPr>
          <t>&lt;?xml version="1.0" encoding="utf-8"?&gt;&lt;Schema xmlns:xsd="http://www.w3.org/2001/XMLSchema" xmlns:xsi="http://www.w3.org/2001/XMLSchema-instance" Version="2" Timestamp="1725627418"&gt;&lt;FQL&gt;&lt;Q&gt;NZDUSD^FG_PRICE&lt;/Q&gt;&lt;R&gt;1&lt;/R&gt;&lt;C&gt;1&lt;/C&gt;&lt;D xsi:type="xsd:double"&gt;0.6230078&lt;/D&gt;&lt;/FQL&gt;&lt;FQL&gt;&lt;Q&gt;USDQAR^FG_PRICE&lt;/Q&gt;&lt;R&gt;1&lt;/R&gt;&lt;C&gt;1&lt;/C&gt;&lt;D xsi:type="xsd:double"&gt;3.6409838&lt;/D&gt;&lt;/FQL&gt;&lt;FQL&gt;&lt;Q&gt;USDTWD^FG_PRICE&lt;/Q&gt;&lt;R&gt;1&lt;/R&gt;&lt;C&gt;1&lt;/C&gt;&lt;D xsi:type="xsd:double"&gt;31.934982&lt;/D&gt;&lt;/FQL&gt;&lt;FQL&gt;&lt;Q&gt;USDMXN^FG_PRICE&lt;/Q&gt;&lt;R&gt;1&lt;/R&gt;&lt;C&gt;1&lt;/C&gt;&lt;D xsi:type="xsd:double"&gt;19.88401&lt;/D&gt;&lt;/FQL&gt;&lt;FQL&gt;&lt;Q&gt;USDKES^FG_PRICE&lt;/Q&gt;&lt;R&gt;1&lt;/R&gt;&lt;C&gt;1&lt;/C&gt;&lt;D xsi:type="xsd:double"&gt;129.0001&lt;/D&gt;&lt;/FQL&gt;&lt;FQL&gt;&lt;Q&gt;USDLKR^FG_PRICE&lt;/Q&gt;&lt;R&gt;1&lt;/R&gt;&lt;C&gt;1&lt;/C&gt;&lt;D xsi:type="xsd:double"&gt;298.90002&lt;/D&gt;&lt;/FQL&gt;&lt;FQL&gt;&lt;Q&gt;USDBDT^FG_PRICE&lt;/Q&gt;&lt;R&gt;1&lt;/R&gt;&lt;C&gt;1&lt;/C&gt;&lt;D xsi:type="xsd:double"&gt;119.90006&lt;/D&gt;&lt;/FQL&gt;&lt;FQL&gt;&lt;Q&gt;USDPKR^FG_PRICE&lt;/Q&gt;&lt;R&gt;1&lt;/R&gt;&lt;C&gt;1&lt;/C&gt;&lt;D xsi:type="xsd:double"&gt;278.55&lt;/D&gt;&lt;/FQL&gt;&lt;FQL&gt;&lt;Q&gt;USDARS^FG_PRICE&lt;/Q&gt;&lt;R&gt;1&lt;/R&gt;&lt;C&gt;1&lt;/C&gt;&lt;D xsi:type="xsd:double"&gt;953.74585&lt;/D&gt;&lt;/FQL&gt;&lt;FQL&gt;&lt;Q&gt;USDPHP^FG_PRICE&lt;/Q&gt;&lt;R&gt;1&lt;/R&gt;&lt;C&gt;1&lt;/C&gt;&lt;D xsi:type="xsd:double"&gt;55.902493&lt;/D&gt;&lt;/FQL&gt;&lt;FQL&gt;&lt;Q&gt;USDSGD^FG_PRICE&lt;/Q&gt;&lt;R&gt;1&lt;/R&gt;&lt;C&gt;1&lt;/C&gt;&lt;D xsi:type="xsd:double"&gt;1.2984021&lt;/D&gt;&lt;/FQL&gt;&lt;FQL&gt;&lt;Q&gt;USDCNY^FG_PRICE&lt;/Q&gt;&lt;R&gt;1&lt;/R&gt;&lt;C&gt;1&lt;/C&gt;&lt;D xsi:type="xsd:double"&gt;7.0880933&lt;/D&gt;&lt;/FQL&gt;&lt;FQL&gt;&lt;Q&gt;USDRUB^FG_PRICE&lt;/Q&gt;&lt;R&gt;1&lt;/R&gt;&lt;C&gt;1&lt;/C&gt;&lt;D xsi:type="xsd:double"&gt;90.20006&lt;/D&gt;&lt;/FQL&gt;&lt;FQL&gt;&lt;Q&gt;USDKRW^FG_PRICE&lt;/Q&gt;&lt;R&gt;1&lt;/R&gt;&lt;C&gt;1&lt;/C&gt;&lt;D xsi:type="xsd:double"&gt;1327.45&lt;/D&gt;&lt;/FQL&gt;&lt;FQL&gt;&lt;Q&gt;USDIDR^FG_PRICE&lt;/Q&gt;&lt;R&gt;1&lt;/R&gt;&lt;C&gt;1&lt;/C&gt;&lt;D xsi:type="xsd:double"&gt;15365.001&lt;/D&gt;&lt;/FQL&gt;&lt;FQL&gt;&lt;Q&gt;USDEGP^FG_PRICE&lt;/Q&gt;&lt;R&gt;1&lt;/R&gt;&lt;C&gt;1&lt;/C&gt;&lt;D xsi:type="xsd:double"&gt;48.44001&lt;/D&gt;&lt;/FQL&gt;&lt;FQL&gt;&lt;Q&gt;USDZAR^FG_PRICE&lt;/Q&gt;&lt;R&gt;1&lt;/R&gt;&lt;C&gt;1&lt;/C&gt;&lt;D xsi:type="xsd:double"&gt;17.722511&lt;/D&gt;&lt;/FQL&gt;&lt;FQL&gt;&lt;Q&gt;USDMAD^FG_PRICE&lt;/Q&gt;&lt;R&gt;1&lt;/R&gt;&lt;C&gt;1&lt;/C&gt;&lt;D xsi:type="xsd:double"&gt;9.712301&lt;/D&gt;&lt;/FQL&gt;&lt;FQL&gt;&lt;Q&gt;USDAUD^FG_PRICE&lt;/Q&gt;&lt;R&gt;1&lt;/R&gt;&lt;C&gt;1&lt;/C&gt;&lt;D xsi:type="xsd:double"&gt;1.4836984&lt;/D&gt;&lt;/FQL&gt;&lt;FQL&gt;&lt;Q&gt;USDHKD^FG_PRICE&lt;/Q&gt;&lt;R&gt;1&lt;/R&gt;&lt;C&gt;1&lt;/C&gt;&lt;D xsi:type="xsd:double"&gt;7.7924995&lt;/D&gt;&lt;/FQL&gt;&lt;FQL&gt;&lt;Q&gt;USDLTL^FG_PRICE&lt;/Q&gt;&lt;R&gt;1&lt;/R&gt;&lt;C&gt;1&lt;/C&gt;&lt;D xsi:type="xsd:double"&gt;3.1069565&lt;/D&gt;&lt;/FQL&gt;&lt;FQL&gt;&lt;Q&gt;USDCLP^FG_PRICE&lt;/Q&gt;&lt;R&gt;1&lt;/R&gt;&lt;C&gt;1&lt;/C&gt;&lt;D xsi:type="xsd:double"&gt;942.32007&lt;/D&gt;&lt;/FQL&gt;&lt;FQL&gt;&lt;Q&gt;USDCAD^FG_PRICE&lt;/Q&gt;&lt;R&gt;1&lt;/R&gt;&lt;C&gt;1&lt;/C&gt;&lt;D xsi:type="xsd:double"&gt;1.3492997&lt;/D&gt;&lt;/FQL&gt;&lt;FQL&gt;&lt;Q&gt;USDTHB^FG_PRICE&lt;/Q&gt;&lt;R&gt;1&lt;/R&gt;&lt;C&gt;1&lt;/C&gt;&lt;D xsi:type="xsd:double"&gt;33.51501&lt;/D&gt;&lt;/FQL&gt;&lt;FQL&gt;&lt;Q&gt;USDPLN^FG_PRICE&lt;/Q&gt;&lt;R&gt;1&lt;/R&gt;&lt;C&gt;1&lt;/C&gt;&lt;D xsi:type="xsd:double"&gt;3.8506851&lt;/D&gt;&lt;/FQL&gt;&lt;FQL&gt;&lt;Q&gt;USDJPY^FG_PRICE&lt;/Q&gt;&lt;R&gt;1&lt;/R&gt;&lt;C&gt;1&lt;/C&gt;&lt;D xsi:type="xsd:double"&gt;142.76498&lt;/D&gt;&lt;/FQL&gt;&lt;FQL&gt;&lt;Q&gt;USDBRL^FG_PRICE&lt;/Q&gt;&lt;R&gt;1&lt;/R&gt;&lt;C&gt;1&lt;/C&gt;&lt;D xsi:type="xsd:double"&gt;5.5738792&lt;/D&gt;&lt;/FQL&gt;&lt;FQL&gt;&lt;Q&gt;USDMYR^FG_PRICE&lt;/Q&gt;&lt;R&gt;1&lt;/R&gt;&lt;C&gt;1&lt;/C&gt;&lt;D xsi:type="xsd:double"&gt;4.330512&lt;/D&gt;&lt;/FQL&gt;&lt;FQL&gt;&lt;Q&gt;USDSEK^FG_PRICE&lt;/Q&gt;&lt;R&gt;1&lt;/R&gt;&lt;C&gt;1&lt;/C&gt;&lt;D xsi:type="xsd:double"&gt;10.220025&lt;/D&gt;&lt;/FQL&gt;&lt;FQL&gt;&lt;Q&gt;USDNOK^FG_PRICE&lt;/Q&gt;&lt;R&gt;1&lt;/R&gt;&lt;C&gt;1&lt;/C&gt;&lt;D xsi:type="xsd:double"&gt;10.59392&lt;/D&gt;&lt;/FQL&gt;&lt;FQL&gt;&lt;Q&gt;USDHUF^FG_PRICE&lt;/Q&gt;&lt;R&gt;1&lt;/R&gt;&lt;C&gt;1&lt;/C&gt;&lt;D xsi:type="xsd:double"&gt;354.56226&lt;/D&gt;&lt;/FQL&gt;&lt;FQL&gt;&lt;Q&gt;EURUSD^FG_PRICE&lt;/Q&gt;&lt;R&gt;1&lt;/R&gt;&lt;C&gt;1&lt;/C&gt;&lt;D xsi:type="xsd:double"&gt;1.1113126&lt;/D&gt;&lt;/FQL&gt;&lt;FQL&gt;&lt;Q&gt;USDCZK^FG_PRICE&lt;/Q&gt;&lt;R&gt;1&lt;/R&gt;&lt;C&gt;1&lt;/C&gt;&lt;D xsi:type="xsd:double"&gt;22.53486&lt;/D&gt;&lt;/FQL&gt;&lt;FQL&gt;&lt;Q&gt;USDGBP^FG_PRICE&lt;/Q&gt;&lt;R&gt;1&lt;/R&gt;&lt;C&gt;1&lt;/C&gt;&lt;D xsi:type="xsd:double"&gt;0.75909966&lt;/D&gt;&lt;/FQL&gt;&lt;FQL&gt;&lt;Q&gt;USDINR^FG_PRICE&lt;/Q&gt;&lt;R&gt;1&lt;/R&gt;&lt;C&gt;1&lt;/C&gt;&lt;D xsi:type="xsd:double"&gt;83.94626&lt;/D&gt;&lt;/FQL&gt;&lt;FQL&gt;&lt;Q&gt;USDKWD^FG_PRICE&lt;/Q&gt;&lt;R&gt;1&lt;/R&gt;&lt;C&gt;1&lt;/C&gt;&lt;D xsi:type="xsd:double"&gt;0.3053099&lt;/D&gt;&lt;/FQL&gt;&lt;FQL&gt;&lt;Q&gt;USDTRY^FG_PRICE&lt;/Q&gt;&lt;R&gt;1&lt;/R&gt;&lt;C&gt;1&lt;/C&gt;&lt;D xsi:type="xsd:double"&gt;33.993736&lt;/D&gt;&lt;/FQL&gt;&lt;FQL&gt;&lt;Q&gt;USDDKK^FG_PRICE&lt;/Q&gt;&lt;R&gt;1&lt;/R&gt;&lt;C&gt;1&lt;/C&gt;&lt;D xsi:type="xsd:double"&gt;6.7145405&lt;/D&gt;&lt;/FQL&gt;&lt;FQL&gt;&lt;Q&gt;USDCHF^FG_PRICE&lt;/Q&gt;&lt;R&gt;1&lt;/R&gt;&lt;C&gt;1&lt;/C&gt;&lt;D xsi:type="xsd:double"&gt;0.84191746&lt;/D&gt;&lt;/FQL&gt;&lt;FQL&gt;&lt;Q&gt;IAM-FR^FG_PRICE&lt;/Q&gt;&lt;R&gt;1&lt;/R&gt;&lt;C&gt;1&lt;/C&gt;&lt;D xsi:type="xsd:double"&gt;8.15&lt;/D&gt;&lt;/FQL&gt;&lt;FQL&gt;&lt;Q&gt;BBVA-ES^FG_PRICE&lt;/Q&gt;&lt;R&gt;1&lt;/R&gt;&lt;C&gt;1&lt;/C&gt;&lt;D xsi:type="xsd:double"&gt;9.036&lt;/D&gt;&lt;/FQL&gt;&lt;FQL&gt;&lt;Q&gt;SITES1A.1-MX^FG_PRICE&lt;/Q&gt;&lt;R&gt;1&lt;/R&gt;&lt;C&gt;1&lt;/C&gt;&lt;D xsi:type="xsd:double"&gt;16.63&lt;/D&gt;&lt;/FQL&gt;&lt;FQL&gt;&lt;Q&gt;LILAK-US^FG_PRICE&lt;/Q&gt;&lt;R&gt;1&lt;/R&gt;&lt;C&gt;1&lt;/C&gt;&lt;D xsi:type="xsd:double"&gt;9.48&lt;/D&gt;&lt;/FQL&gt;&lt;FQL&gt;&lt;Q&gt;LILAB-US^FG_PRICE&lt;/Q&gt;&lt;R&gt;1&lt;/R&gt;&lt;C&gt;1&lt;/C&gt;&lt;D xsi:type="xsd:double"&gt;8.26&lt;/D&gt;&lt;/FQL&gt;&lt;FQL&gt;&lt;Q&gt;LILA-US^FG_PRICE&lt;/Q&gt;&lt;R&gt;1&lt;/R&gt;&lt;C&gt;1&lt;/C&gt;&lt;D xsi:type="xsd:double"&gt;9.48&lt;/D&gt;&lt;/FQL&gt;&lt;FQL&gt;&lt;Q&gt;MEGACPO-MX^FG_PRICE&lt;/Q&gt;&lt;R&gt;1&lt;/R&gt;&lt;C&gt;1&lt;/C&gt;&lt;D xsi:type="xsd:double"&gt;42.67&lt;/D&gt;&lt;/FQL&gt;&lt;FQL&gt;&lt;Q&gt;TIMS3-BR^FG_PRICE&lt;/Q&gt;&lt;R&gt;1&lt;/R&gt;&lt;C&gt;1&lt;/C&gt;&lt;D xsi:type="xsd:double"&gt;18.63&lt;/D&gt;&lt;/FQL&gt;&lt;FQL&gt;&lt;Q&gt;TIGO-US^FG_PRICE&lt;/Q&gt;&lt;R&gt;1&lt;/R&gt;&lt;C&gt;1&lt;/C&gt;&lt;D xsi:type="xsd:double"&gt;26.63&lt;/D&gt;&lt;/FQL&gt;&lt;FQL&gt;&lt;Q&gt;ENTEL-CL^FG_PRICE&lt;/Q&gt;&lt;R&gt;1&lt;/R&gt;&lt;C&gt;1&lt;/C&gt;&lt;D xsi:type="xsd:double"&gt;2900&lt;/D&gt;&lt;/FQL&gt;&lt;FQL&gt;&lt;Q&gt;OIBR4-BR^FG_PRICE&lt;/Q&gt;&lt;R&gt;1&lt;/R&gt;&lt;C&gt;1&lt;/C&gt;&lt;D xsi:type="xsd:double"&gt;12.1&lt;/D&gt;&lt;/FQL&gt;&lt;FQL&gt;&lt;Q&gt;OIBR3-BR^FG_PRICE&lt;/Q&gt;&lt;R&gt;1&lt;/R&gt;&lt;C&gt;1&lt;/C&gt;&lt;D xsi:type="xsd:double"&gt;5.16&lt;/D&gt;&lt;/FQL&gt;&lt;FQL&gt;&lt;Q&gt;VIVT3-BR^FG_PRICE&lt;/Q&gt;&lt;R&gt;1&lt;/R&gt;&lt;C&gt;1&lt;/C&gt;&lt;D xsi:type="xsd:double"&gt;55.12&lt;/D&gt;&lt;/FQL&gt;&lt;FQL&gt;&lt;Q&gt;TV-US^FG_PRICE&lt;/Q&gt;&lt;R&gt;1&lt;/R&gt;&lt;C&gt;1&lt;/C&gt;&lt;D xsi:type="xsd:double"&gt;1.77&lt;/D&gt;&lt;/FQL&gt;&lt;FQL&gt;&lt;Q&gt;AMXB-MX^FG_PRICE&lt;/Q&gt;&lt;R&gt;1&lt;/R&gt;&lt;C&gt;1&lt;/C&gt;&lt;D xsi:type="xsd:double"&gt;16.31&lt;/D&gt;&lt;/FQL&gt;&lt;FQL&gt;&lt;Q&gt;IHS-USA^FG_PRICE&lt;/Q&gt;&lt;R&gt;1&lt;/R&gt;&lt;C&gt;1&lt;/C&gt;&lt;D xsi:type="xsd:double"&gt;3.19&lt;/D&gt;&lt;/FQL&gt;&lt;FQL&gt;&lt;Q&gt;MCG-ZA^FG_PRICE&lt;/Q&gt;&lt;R&gt;1&lt;/R&gt;&lt;C&gt;1&lt;/C&gt;&lt;D xsi:type="xsd:double"&gt;108.2&lt;/D&gt;&lt;/FQL&gt;&lt;FQL&gt;&lt;Q&gt;VOD-ZA^FG_PRICE&lt;/Q&gt;&lt;R&gt;1&lt;/R&gt;&lt;C&gt;1&lt;/C&gt;&lt;D xsi:type="xsd:double"&gt;111.12&lt;/D&gt;&lt;/FQL&gt;&lt;FQL&gt;&lt;Q&gt;VEON-US^FG_PRICE&lt;/Q&gt;&lt;R&gt;1&lt;/R&gt;&lt;C&gt;1&lt;/C&gt;&lt;D xsi:type="xsd:double"&gt;27.2&lt;/D&gt;&lt;/FQL&gt;&lt;FQL&gt;&lt;Q&gt;TCELL.E-TR^FG_PRICE&lt;/Q&gt;&lt;R&gt;1&lt;/R&gt;&lt;C&gt;1&lt;/C&gt;&lt;D xsi:type="xsd:double"&gt;99.65&lt;/D&gt;&lt;/FQL&gt;&lt;FQL&gt;&lt;Q&gt;SCOM-KE^FG_PRICE&lt;/Q&gt;&lt;R&gt;1&lt;/R&gt;&lt;C&gt;1&lt;/C&gt;&lt;D xsi:type="xsd:double"&gt;14.8&lt;/D&gt;&lt;/FQL&gt;&lt;FQL&gt;&lt;Q&gt;MTN-ZA^FG_PRICE&lt;/Q&gt;&lt;R&gt;1&lt;/R&gt;&lt;C&gt;1&lt;/C&gt;&lt;D xsi:type="xsd:double"&gt;92&lt;/D&gt;&lt;/FQL&gt;&lt;FQL&gt;&lt;Q&gt;AAF-GB^FG_PRICE&lt;/Q&gt;&lt;R&gt;1&lt;/R&gt;&lt;C&gt;1&lt;/C&gt;&lt;D xsi:type="xsd:double"&gt;1.126&lt;/D&gt;&lt;/FQL&gt;&lt;FQL&gt;&lt;Q&gt;TTKOM.E-TR^FG_PRICE&lt;/Q&gt;&lt;R&gt;1&lt;/R&gt;&lt;C&gt;1&lt;/C&gt;&lt;D xsi:type="xsd:double"&gt;52.35&lt;/D&gt;&lt;/FQL&gt;&lt;FQL&gt;&lt;Q&gt;TKG-ZA^FG_PRICE&lt;/Q&gt;&lt;R&gt;1&lt;/R&gt;&lt;C&gt;1&lt;/C&gt;&lt;D xsi:type="xsd:double"&gt;27.55&lt;/D&gt;&lt;/FQL&gt;&lt;FQL&gt;&lt;Q&gt;MTEL-ID^FG_PRICE&lt;/Q&gt;&lt;R&gt;1&lt;/R&gt;&lt;C&gt;1&lt;/C&gt;&lt;D xsi:type="xsd:double"&gt;660&lt;/D&gt;&lt;/FQL&gt;&lt;FQL&gt;&lt;Q&gt;TBIG-ID^FG_PRICE&lt;/Q&gt;&lt;R&gt;1&lt;/R&gt;&lt;C&gt;1&lt;/C&gt;&lt;D xsi:type="xsd:double"&gt;1920&lt;/D&gt;&lt;/FQL&gt;&lt;FQL&gt;&lt;Q&gt;TOWR-ID^FG_PRICE&lt;/Q&gt;&lt;R&gt;1&lt;/R&gt;&lt;C&gt;1&lt;/C&gt;&lt;D xsi:type="xsd:double"&gt;840&lt;/D&gt;&lt;/FQL&gt;&lt;FQL&gt;&lt;Q&gt;788-HK^FG_PRICE&lt;/Q&gt;&lt;R&gt;1&lt;/R&gt;&lt;C&gt;1&lt;/C&gt;&lt;D xsi:type="xsd:double"&gt;0.99&lt;/D&gt;&lt;/FQL&gt;&lt;FQL&gt;&lt;Q&gt;534816-IN^FG_PRICE&lt;/Q&gt;&lt;R&gt;1&lt;/R&gt;&lt;C&gt;1&lt;/C&gt;&lt;D xsi:type="xsd:double"&gt;423.15&lt;/D&gt;&lt;/FQL&gt;&lt;FQL&gt;&lt;Q&gt;EXCL-ID^FG_PRICE&lt;/Q&gt;&lt;R&gt;1&lt;/R&gt;&lt;C&gt;1&lt;/C&gt;&lt;D xsi:type="xsd:double"&gt;2330&lt;/D&gt;&lt;/FQL&gt;&lt;FQL&gt;&lt;Q&gt;TRUE-TH^FG_PRICE&lt;/Q&gt;&lt;R&gt;1&lt;/R&gt;&lt;C&gt;1&lt;/C&gt;&lt;D xsi:type="xsd:double"&gt;10.7&lt;/D&gt;&lt;/FQL&gt;&lt;FQL&gt;&lt;Q&gt;3045-TW^FG_PRICE&lt;/Q&gt;&lt;R&gt;1&lt;/R&gt;&lt;C&gt;1&lt;/C&gt;&lt;D xsi:type="xsd:double"&gt;115&lt;/D&gt;&lt;/FQL&gt;&lt;FQL&gt;&lt;Q&gt;017670-KR^FG_PRICE&lt;/Q&gt;&lt;R&gt;1&lt;/R&gt;&lt;C&gt;1&lt;/C&gt;&lt;D xsi:type="xsd:double"&gt;57800&lt;/D&gt;&lt;/FQL&gt;&lt;FQL&gt;&lt;Q&gt;6012-MY^FG_PRICE&lt;/Q&gt;&lt;R&gt;1&lt;/R&gt;&lt;C&gt;1&lt;/C&gt;&lt;D xsi:type="xsd:double"&gt;3.82&lt;/D&gt;&lt;/FQL&gt;&lt;FQL&gt;&lt;Q&gt;032640-KR^FG_PRICE&lt;/Q&gt;&lt;R&gt;1&lt;/R&gt;&lt;C&gt;1&lt;/C&gt;&lt;D xsi:type="xsd:double"&gt;9890&lt;/D&gt;&lt;/FQL&gt;&lt;FQL&gt;&lt;Q&gt;030200-KR^FG_PRICE&lt;/Q&gt;&lt;R&gt;1&lt;/R&gt;&lt;C&gt;1&lt;/C&gt;&lt;D xsi:type="xsd:double"&gt;41200&lt;/D&gt;&lt;/FQL&gt;&lt;FQL&gt;&lt;Q&gt;ISAT-ID^FG_PRICE&lt;/Q&gt;&lt;R&gt;1&lt;/R&gt;&lt;C&gt;1&lt;/C&gt;&lt;D xsi:type="xsd:double"&gt;10900&lt;/D&gt;&lt;/FQL&gt;&lt;FQL&gt;&lt;Q&gt;532822-IN^FG_PRICE&lt;/Q&gt;&lt;R&gt;1&lt;/R&gt;&lt;C&gt;1&lt;/C&gt;&lt;D xsi:type="xsd:double"&gt;13.36&lt;/D&gt;&lt;/FQL&gt;&lt;FQL&gt;&lt;Q&gt;4904-TW^FG_PRICE&lt;/Q&gt;&lt;R&gt;1&lt;/R&gt;&lt;C&gt;1&lt;/C&gt;&lt;D xsi:type="xsd:double"&gt;91.9&lt;/D&gt;&lt;/FQL&gt;&lt;FQL&gt;&lt;Q&gt;6947-MY^FG_PRICE&lt;/Q&gt;&lt;R&gt;1&lt;/R&gt;&lt;C&gt;1&lt;/C&gt;&lt;D xsi:type="xsd:double"&gt;3.66&lt;/D&gt;&lt;/FQL&gt;&lt;FQL&gt;&lt;Q&gt;941-HK^FG_PRICE&lt;/Q&gt;&lt;R&gt;1&lt;/R&gt;&lt;C&gt;1&lt;/C&gt;&lt;D xsi:type="xsd:double"&gt;72&lt;/D&gt;&lt;/FQL&gt;&lt;FQL&gt;&lt;Q&gt;532454-IN^FG_PRICE&lt;/Q&gt;&lt;R&gt;1&lt;/R&gt;&lt;C&gt;1&lt;/C&gt;&lt;D xsi:type="xsd:double"&gt;1539.1&lt;/D&gt;&lt;/FQL&gt;&lt;FQL&gt;&lt;Q&gt;6888-MY^FG_PRICE&lt;/Q&gt;&lt;R&gt;1&lt;/R&gt;&lt;C&gt;1&lt;/C&gt;&lt;D xsi:type="xsd:double"&gt;2.44&lt;/D&gt;&lt;/FQL&gt;&lt;FQL&gt;&lt;Q&gt;ADVANC-TH^FG_PRICE&lt;/Q&gt;&lt;R&gt;1&lt;/R&gt;&lt;C&gt;1&lt;/C&gt;&lt;D xsi:type="xsd:double"&gt;269&lt;/D&gt;&lt;/FQL&gt;&lt;FQL&gt;&lt;Q&gt;TLKM-ID^FG_PRICE&lt;/Q&gt;&lt;R&gt;1&lt;/R&gt;&lt;C&gt;1&lt;/C&gt;&lt;D xsi:type="xsd:double"&gt;3040&lt;/D&gt;&lt;/FQL&gt;&lt;FQL&gt;&lt;Q&gt;2412-TW^FG_PRICE&lt;/Q&gt;&lt;R&gt;1&lt;/R&gt;&lt;C&gt;1&lt;/C&gt;&lt;D xsi:type="xsd:double"&gt;124&lt;/D&gt;&lt;/FQL&gt;&lt;FQL&gt;&lt;Q&gt;762-HK^FG_PRICE&lt;/Q&gt;&lt;R&gt;1&lt;/R&gt;&lt;C&gt;1&lt;/C&gt;&lt;D xsi:type="xsd:double"&gt;6.32&lt;/D&gt;&lt;/FQL&gt;&lt;FQL&gt;&lt;Q&gt;728-HK^FG_PRICE&lt;/Q&gt;&lt;R&gt;1&lt;/R&gt;&lt;C&gt;1&lt;/C&gt;&lt;D xsi:type="xsd:double"&gt;4.48&lt;/D&gt;&lt;/FQL&gt;&lt;FQL&gt;&lt;Q&gt;MAQ-AU^FG_PRICE&lt;/Q&gt;&lt;R&gt;1&lt;/R&gt;&lt;C&gt;1&lt;/C&gt;&lt;D xsi:type="xsd:double"&gt;76.51&lt;/D&gt;&lt;/FQL&gt;&lt;FQL&gt;&lt;Q&gt;TPG-AU^FG_PRICE&lt;/Q&gt;&lt;R&gt;1&lt;/R&gt;&lt;C&gt;1&lt;/C&gt;&lt;D xsi:type="xsd:double"&gt;4.99&lt;/D&gt;&lt;/FQL&gt;&lt;FQL&gt;&lt;Q&gt;ST1-AU^FG_PRICE&lt;/Q&gt;&lt;R&gt;1&lt;/R&gt;&lt;C&gt;1&lt;/C&gt;&lt;D xsi:type="xsd:double"&gt;0.06&lt;/D&gt;&lt;/FQL&gt;&lt;FQL&gt;&lt;Q&gt;1310-HK^FG_PRICE&lt;/Q&gt;&lt;R&gt;1&lt;/R&gt;&lt;C&gt;1&lt;/C&gt;&lt;D xsi:type="xsd:double"&gt;2.67&lt;/D&gt;&lt;/FQL&gt;&lt;FQL&gt;&lt;Q&gt;9434-JP^FG_PRICE&lt;/Q&gt;&lt;R&gt;1&lt;/R&gt;&lt;C&gt;1&lt;/C&gt;&lt;D xsi:type="xsd:double"&gt;1996&lt;/D&gt;&lt;/FQL&gt;&lt;FQL&gt;&lt;Q&gt;4755-JP^FG_PRICE&lt;/Q&gt;&lt;R&gt;1&lt;/R&gt;&lt;C&gt;1&lt;/C&gt;&lt;D xsi:type="xsd:double"&gt;946.4&lt;/D&gt;&lt;/FQL&gt;&lt;FQL&gt;&lt;Q&gt;9433-JP^FG_PRICE&lt;/Q&gt;&lt;R&gt;1&lt;/R&gt;&lt;C&gt;1&lt;/C&gt;&lt;D xsi:type="xsd:double"&gt;4851&lt;/D&gt;&lt;/FQL&gt;&lt;FQL&gt;&lt;Q&gt;CNU-NZ^FG_PRICE&lt;/Q&gt;&lt;R&gt;1&lt;/R&gt;&lt;C&gt;1&lt;/C&gt;&lt;D xsi:type="xsd:double"&gt;8.81&lt;/D&gt;&lt;/FQL&gt;&lt;FQL&gt;&lt;Q&gt;TLS-AU^FG_PRICE&lt;/Q&gt;&lt;R&gt;1&lt;/R&gt;&lt;C&gt;1&lt;/C&gt;&lt;D xsi:type="xsd:double"&gt;3.93&lt;/D&gt;&lt;/FQL&gt;&lt;FQL&gt;&lt;Q&gt;Z74-SG^FG_PRICE&lt;/Q&gt;&lt;R&gt;1&lt;/R&gt;&lt;C&gt;1&lt;/C&gt;&lt;D xsi:type="xsd:double"&gt;3.13&lt;/D&gt;&lt;/FQL&gt;&lt;FQL&gt;&lt;Q&gt;SPK-NZ^FG_PRICE&lt;/Q&gt;&lt;R&gt;1&lt;/R&gt;&lt;C&gt;1&lt;/C&gt;&lt;D xsi:type="xsd:double"&gt;3.52&lt;/D&gt;&lt;/FQL&gt;&lt;FQL&gt;&lt;Q&gt;9432-JP^FG_PRICE&lt;/Q&gt;&lt;R&gt;1&lt;/R&gt;&lt;C&gt;1&lt;/C&gt;&lt;D xsi:type="xsd:double"&gt;155.5&lt;/D&gt;&lt;/FQL&gt;&lt;FQL&gt;&lt;Q&gt;SBAC-US^FG_PRICE&lt;/Q&gt;&lt;R&gt;1&lt;/R&gt;&lt;C&gt;1&lt;/C&gt;&lt;D xsi:type="xsd:double"&gt;233.37&lt;/D&gt;&lt;/FQL&gt;&lt;FQL&gt;&lt;Q&gt;CCI-US^FG_PRICE&lt;/Q&gt;&lt;R&gt;1&lt;/R&gt;&lt;C&gt;1&lt;/C&gt;&lt;D xsi:type="xsd:double"&gt;113.87&lt;/D&gt;&lt;/FQL&gt;&lt;FQL&gt;&lt;Q&gt;AMT-US^FG_PRICE&lt;/Q&gt;&lt;R&gt;1&lt;/R&gt;&lt;C&gt;1&lt;/C&gt;&lt;D xsi:type="xsd:double"&gt;233.64&lt;/D&gt;&lt;/FQL&gt;&lt;FQL&gt;&lt;Q&gt;SATS-US^FG_PRICE&lt;/Q&gt;&lt;R&gt;1&lt;/R&gt;&lt;C&gt;1&lt;/C&gt;&lt;D xsi:type="xsd:double"&gt;22.28&lt;/D&gt;&lt;/FQL&gt;&lt;FQL&gt;&lt;Q&gt;FYBR-US^FG_PRICE&lt;/Q&gt;&lt;R&gt;1&lt;/R&gt;&lt;C&gt;1&lt;/C&gt;&lt;D xsi:type="xsd:double"&gt;35&lt;/D&gt;&lt;/FQL&gt;&lt;FQL&gt;&lt;Q&gt;CMCSA-US^FG_PRICE&lt;/Q&gt;&lt;R&gt;1&lt;/R&gt;&lt;C&gt;1&lt;/C&gt;&lt;D xsi:type="xsd:double"&gt;39.8&lt;/D&gt;&lt;/FQL&gt;&lt;FQL&gt;&lt;Q&gt;CHTR-US^FG_PRICE&lt;/Q&gt;&lt;R&gt;1&lt;/R&gt;&lt;C&gt;1&lt;/C&gt;&lt;D xsi:type="xsd:double"&gt;330.78&lt;/D&gt;&lt;/FQL&gt;&lt;FQL&gt;&lt;Q&gt;ATUS-US^FG_PRICE&lt;/Q&gt;&lt;R&gt;1&lt;/R&gt;&lt;C&gt;1&lt;/C&gt;&lt;D xsi:type="xsd:double"&gt;2.14&lt;/D&gt;&lt;/FQL&gt;&lt;FQL&gt;&lt;Q&gt;TMUS-US^FG_PRICE&lt;/Q&gt;&lt;R&gt;1&lt;/R&gt;&lt;C&gt;1&lt;/C&gt;&lt;D xsi:type="xsd:double"&gt;197.18&lt;/D&gt;&lt;/FQL&gt;&lt;FQL&gt;&lt;Q&gt;T-US^FG_PRICE&lt;/Q&gt;&lt;R&gt;1&lt;/R&gt;&lt;C&gt;1&lt;/C&gt;&lt;D xsi:type="xsd:double"&gt;20.65&lt;/D&gt;&lt;/FQL&gt;&lt;FQL&gt;&lt;Q&gt;VZ-US^FG_PRICE&lt;/Q&gt;&lt;R&gt;1&lt;/R&gt;&lt;C&gt;1&lt;/C&gt;&lt;D xsi:type="xsd:double"&gt;41.31&lt;/D&gt;&lt;/FQL&gt;&lt;FQL&gt;&lt;Q&gt;INW-IT^FG_PRICE&lt;/Q&gt;&lt;R&gt;1&lt;/R&gt;&lt;C&gt;1&lt;/C&gt;&lt;D xsi:type="xsd:double"&gt;11.06&lt;/D&gt;&lt;/FQL&gt;&lt;FQL&gt;&lt;Q&gt;CLNX-ES^FG_PRICE&lt;/Q&gt;&lt;R&gt;1&lt;/R&gt;&lt;C&gt;1&lt;/C&gt;&lt;D xsi:type="xsd:double"&gt;35.7&lt;/D&gt;&lt;/FQL&gt;&lt;FQL&gt;&lt;Q&gt;VOD-GB^FG_PRICE&lt;/Q&gt;&lt;R&gt;1&lt;/R&gt;&lt;C&gt;1&lt;/C&gt;&lt;D xsi:type="xsd:double"&gt;0.7744&lt;/D&gt;&lt;/FQL&gt;&lt;FQL&gt;&lt;Q&gt;UTDI-DE^FG_PRICE&lt;/Q&gt;&lt;R&gt;1&lt;/R&gt;&lt;C&gt;1&lt;/C&gt;&lt;D xsi:type="xsd:double"&gt;19.06&lt;/D&gt;&lt;/FQL&gt;&lt;FQL&gt;&lt;Q&gt;TEL2.B-SE^FG_PRICE&lt;/Q&gt;&lt;R&gt;1&lt;/R&gt;&lt;C&gt;1&lt;/C&gt;&lt;D xsi:type="xsd:double"&gt;117.65&lt;/D&gt;&lt;/FQL&gt;&lt;FQL&gt;&lt;Q&gt;TEL2.A-SE^FG_PRICE&lt;/Q&gt;&lt;R&gt;1&lt;/R&gt;&lt;C&gt;1&lt;/C&gt;&lt;D xsi:type="xsd:double"&gt;118&lt;/D&gt;&lt;/FQL&gt;&lt;FQL&gt;&lt;Q&gt;OBEL-BE^FG_PRICE&lt;/Q&gt;&lt;R&gt;1&lt;/R&gt;&lt;C&gt;1&lt;/C&gt;&lt;D xsi:type="xsd:double"&gt;14.8&lt;/D&gt;&lt;/FQL&gt;&lt;FQL&gt;&lt;Q&gt;NOS-PT^FG_PRICE&lt;/Q&gt;&lt;R&gt;1&lt;/R&gt;&lt;C&gt;1&lt;/C&gt;&lt;D xsi:type="xsd:double"&gt;3.575&lt;/D&gt;&lt;/FQL&gt;&lt;FQL&gt;&lt;Q&gt;LBTYK-US^FG_PRICE&lt;/Q&gt;&lt;R&gt;1&lt;/R&gt;&lt;C&gt;1&lt;/C&gt;&lt;D xsi:type="xsd:double"&gt;20.66&lt;/D&gt;&lt;/FQL&gt;&lt;FQL&gt;&lt;Q&gt;LBTYB-US^FG_PRICE&lt;/Q&gt;&lt;R&gt;1&lt;/R&gt;&lt;C&gt;1&lt;/C&gt;&lt;D xsi:type="xsd:double"&gt;20.695&lt;/D&gt;&lt;/FQL&gt;&lt;FQL&gt;&lt;Q&gt;LBTYA-US^FG_PRICE&lt;/Q&gt;&lt;R&gt;1&lt;/R&gt;&lt;C&gt;1&lt;/C&gt;&lt;D xsi:type="xsd:double"&gt;20.29&lt;/D&gt;&lt;/FQL&gt;&lt;FQL&gt;&lt;Q&gt;ELISA-FI^FG_PRICE&lt;/Q&gt;&lt;R&gt;1&lt;/R&gt;&lt;C&gt;1&lt;/C&gt;&lt;D xsi:type="xsd:double"&gt;46.56&lt;/D&gt;&lt;/FQL&gt;&lt;FQL&gt;&lt;Q&gt;1U1-DE^FG_PRICE&lt;/Q&gt;&lt;R&gt;1&lt;/R&gt;&lt;C&gt;1&lt;/C&gt;&lt;D xsi:type="xsd:double"&gt;14.02&lt;/D&gt;&lt;/FQL&gt;&lt;FQL&gt;&lt;Q&gt;TELIA-SE^FG_PRICE&lt;/Q&gt;&lt;R&gt;1&lt;/R&gt;&lt;C&gt;1&lt;/C&gt;&lt;D xsi:type="xsd:double"&gt;33.42&lt;/D&gt;&lt;/FQL&gt;&lt;FQL&gt;&lt;Q&gt;TEL-NO^FG_PRICE&lt;/Q&gt;&lt;R&gt;1&lt;/R&gt;&lt;C&gt;1&lt;/C&gt;&lt;D xsi:type="xsd:double"&gt;134.8&lt;/D&gt;&lt;/FQL&gt;&lt;FQL&gt;&lt;Q&gt;TEF-ES^FG_PRICE&lt;/Q&gt;&lt;R&gt;1&lt;/R&gt;&lt;C&gt;1&lt;/C&gt;&lt;D xsi:type="xsd:double"&gt;4.213&lt;/D&gt;&lt;/FQL&gt;&lt;FQL&gt;&lt;Q&gt;TITR-IT^FG_PRICE&lt;/Q&gt;&lt;R&gt;1&lt;/R&gt;&lt;C&gt;1&lt;/C&gt;&lt;D xsi:type="xsd:double"&gt;0.2625&lt;/D&gt;&lt;/FQL&gt;&lt;FQL&gt;&lt;Q&gt;TIT-IT^FG_PRICE&lt;/Q&gt;&lt;R&gt;1&lt;/R&gt;&lt;C&gt;1&lt;/C&gt;&lt;D xsi:type="xsd:double"&gt;0.2361&lt;/D&gt;&lt;/FQL&gt;&lt;FQL&gt;&lt;Q&gt;SCMN-CH^FG_PRICE&lt;/Q&gt;&lt;R&gt;1&lt;/R&gt;&lt;C&gt;1&lt;/C&gt;&lt;D xsi:type="xsd:double"&gt;549&lt;/D&gt;&lt;/FQL&gt;&lt;FQL&gt;&lt;Q&gt;PROX-BE^FG_PRICE&lt;/Q&gt;&lt;R&gt;1&lt;/R&gt;&lt;C&gt;1&lt;/C&gt;&lt;D xsi:type="xsd:double"&gt;6.82&lt;/D&gt;&lt;/FQL&gt;&lt;FQL&gt;&lt;Q&gt;HTO-GR^FG_PRICE&lt;/Q&gt;&lt;R&gt;1&lt;/R&gt;&lt;C&gt;1&lt;/C&gt;&lt;D xsi:type="xsd:double"&gt;15.08&lt;/D&gt;&lt;/FQL&gt;&lt;FQL&gt;&lt;Q&gt;ORA-FR^FG_PRICE&lt;/Q&gt;&lt;R&gt;1&lt;/R&gt;&lt;C&gt;1&lt;/C&gt;&lt;D xsi:type="xsd:double"&gt;10.72&lt;/D&gt;&lt;/FQL&gt;&lt;FQL&gt;&lt;Q&gt;KPN-NL^FG_PRICE&lt;/Q&gt;&lt;R&gt;1&lt;/R&gt;&lt;C&gt;1&lt;/C&gt;&lt;D xsi:type="xsd:double"&gt;3.746&lt;/D&gt;&lt;/FQL&gt;&lt;FQL&gt;&lt;Q&gt;DTE-DE^FG_PRICE&lt;/Q&gt;&lt;R&gt;1&lt;/R&gt;&lt;C&gt;1&lt;/C&gt;&lt;D xsi:type="xsd:double"&gt;26.13&lt;/D&gt;&lt;/FQL&gt;&lt;FQL&gt;&lt;Q&gt;BT.A-GB^FG_PRICE&lt;/Q&gt;&lt;R&gt;1&lt;/R&gt;&lt;C&gt;1&lt;/C&gt;&lt;D xsi:type="xsd:double"&gt;1.4395&lt;/D&gt;&lt;/FQL&gt;&lt;/Schema&gt;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rwaller</author>
  </authors>
  <commentList>
    <comment ref="D14" authorId="0" shapeId="0" xr:uid="{00000000-0006-0000-6800-000001000000}">
      <text>
        <r>
          <rPr>
            <b/>
            <sz val="8"/>
            <color indexed="81"/>
            <rFont val="Tahoma"/>
            <family val="2"/>
          </rPr>
          <t>rwaller:</t>
        </r>
        <r>
          <rPr>
            <sz val="8"/>
            <color indexed="81"/>
            <rFont val="Tahoma"/>
            <family val="2"/>
          </rPr>
          <t xml:space="preserve">
Treasury shares excluded above therefore not subtracted here</t>
        </r>
      </text>
    </comment>
    <comment ref="D15" authorId="0" shapeId="0" xr:uid="{00000000-0006-0000-6800-000002000000}">
      <text>
        <r>
          <rPr>
            <b/>
            <sz val="10"/>
            <color indexed="81"/>
            <rFont val="Tahoma"/>
            <family val="2"/>
          </rPr>
          <t>rwaller:
Vodacom is proportionally consolidated, therefore no minorities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rwaller</author>
  </authors>
  <commentList>
    <comment ref="T13" authorId="0" shapeId="0" xr:uid="{00000000-0006-0000-A800-000001000000}">
      <text>
        <r>
          <rPr>
            <b/>
            <sz val="8"/>
            <color indexed="81"/>
            <rFont val="Tahoma"/>
            <family val="2"/>
          </rPr>
          <t>rwaller:</t>
        </r>
        <r>
          <rPr>
            <sz val="8"/>
            <color indexed="81"/>
            <rFont val="Tahoma"/>
            <family val="2"/>
          </rPr>
          <t xml:space="preserve">
Indus proportionately consolidated therefore no minority in EV calculation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John OMara</author>
  </authors>
  <commentList>
    <comment ref="J14" authorId="0" shapeId="0" xr:uid="{00000000-0006-0000-B000-000001000000}">
      <text>
        <r>
          <rPr>
            <b/>
            <sz val="9"/>
            <color indexed="81"/>
            <rFont val="Tahoma"/>
            <family val="2"/>
          </rPr>
          <t>John OMara:</t>
        </r>
        <r>
          <rPr>
            <sz val="9"/>
            <color indexed="81"/>
            <rFont val="Tahoma"/>
            <family val="2"/>
          </rPr>
          <t xml:space="preserve">
impaired by 50%</t>
        </r>
      </text>
    </comment>
    <comment ref="J15" authorId="0" shapeId="0" xr:uid="{00000000-0006-0000-B000-000002000000}">
      <text>
        <r>
          <rPr>
            <b/>
            <sz val="9"/>
            <color indexed="81"/>
            <rFont val="Tahoma"/>
            <family val="2"/>
          </rPr>
          <t>John OMara:</t>
        </r>
        <r>
          <rPr>
            <sz val="9"/>
            <color indexed="81"/>
            <rFont val="Tahoma"/>
            <family val="2"/>
          </rPr>
          <t xml:space="preserve">
impaired by 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rwaller</author>
  </authors>
  <commentList>
    <comment ref="B36" authorId="0" shapeId="0" xr:uid="{00000000-0006-0000-A700-000003000000}">
      <text>
        <r>
          <rPr>
            <b/>
            <sz val="12"/>
            <color indexed="81"/>
            <rFont val="Tahoma"/>
            <family val="2"/>
          </rPr>
          <t xml:space="preserve">rwaller:
Mauritius
Equatorial Guinea
Vanuatu
Tunisia
Morocco
Iraq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Russell</author>
  </authors>
  <commentList>
    <comment ref="J24" authorId="0" shapeId="0" xr:uid="{F25D2D47-D957-455F-A7DF-63582FE0F822}">
      <text>
        <r>
          <rPr>
            <b/>
            <sz val="9"/>
            <color indexed="81"/>
            <rFont val="Tahoma"/>
            <family val="2"/>
          </rPr>
          <t>Russell:</t>
        </r>
        <r>
          <rPr>
            <sz val="9"/>
            <color indexed="81"/>
            <rFont val="Tahoma"/>
            <family val="2"/>
          </rPr>
          <t xml:space="preserve">
May 20 - Sunrise CHF350m calim and other claims following the CHF186m fine from Como (paid in 2016)
B/S proviison is CHF243 - assume 75% chance of payment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<sst xmlns="http://schemas.openxmlformats.org/spreadsheetml/2006/main" count="11767" uniqueCount="1626">
  <si>
    <t>Finnish mobile</t>
  </si>
  <si>
    <t>Estonia mobile</t>
  </si>
  <si>
    <t>Wireline</t>
  </si>
  <si>
    <t xml:space="preserve">% upside/downside to current ord price </t>
  </si>
  <si>
    <t xml:space="preserve">% upside/downside to current saver price </t>
  </si>
  <si>
    <t>Net interest</t>
  </si>
  <si>
    <t>Less: NPV YE tax credit</t>
  </si>
  <si>
    <t>ords</t>
  </si>
  <si>
    <t>savers</t>
  </si>
  <si>
    <t>EFCF MKT CAP</t>
  </si>
  <si>
    <t>Adjustment</t>
  </si>
  <si>
    <t>Adjusted mkt cap</t>
  </si>
  <si>
    <t>Tele2 equity</t>
  </si>
  <si>
    <t>TM INTERNATIONAL</t>
  </si>
  <si>
    <t>Share price, MYR</t>
  </si>
  <si>
    <t>Share price, US$</t>
  </si>
  <si>
    <t>The Netherlands</t>
  </si>
  <si>
    <t>Mkt. Cap. (EUR for Europe, US$ RoW)</t>
  </si>
  <si>
    <t>EV (EUR for Europe, US$ RoW)</t>
  </si>
  <si>
    <t>Net debt (cash) (EUR for Europe, US$ RoW)</t>
  </si>
  <si>
    <t>KT</t>
  </si>
  <si>
    <t>KT CORP</t>
  </si>
  <si>
    <t>Treasury shares</t>
  </si>
  <si>
    <t>Belg equity</t>
  </si>
  <si>
    <t>Plus: Net debt (net cash)</t>
  </si>
  <si>
    <t>Share price, NOK</t>
  </si>
  <si>
    <t>EM sector</t>
  </si>
  <si>
    <t>AGGREGATE EMEA MULTIPLES</t>
  </si>
  <si>
    <t>AGGREGATE EMEA CELLULAR</t>
  </si>
  <si>
    <t>EM CELLULAR MULTIPLES</t>
  </si>
  <si>
    <t>Dividends, ords</t>
  </si>
  <si>
    <t>KPN equity</t>
  </si>
  <si>
    <t>TELSTRA</t>
  </si>
  <si>
    <t>Verizon</t>
  </si>
  <si>
    <t>W. EUR. CELLULAR SECTOR MULTIPLES</t>
  </si>
  <si>
    <t>W. EUR. INCUMBENT SECTOR MULTIPLES</t>
  </si>
  <si>
    <t>Dividends plus buybacks</t>
  </si>
  <si>
    <t>True Corp</t>
  </si>
  <si>
    <t xml:space="preserve">Plus: Net debt (net cash) </t>
  </si>
  <si>
    <t xml:space="preserve">Plus: Other financial liabilities </t>
  </si>
  <si>
    <t>TRUE CORP</t>
  </si>
  <si>
    <t>TRUE MULTIPLES</t>
  </si>
  <si>
    <t>Asia cellular</t>
  </si>
  <si>
    <t>TRUE TB Equity</t>
  </si>
  <si>
    <t>ADVANC TB Equity</t>
  </si>
  <si>
    <t>Infratel</t>
  </si>
  <si>
    <t>Other RoW</t>
  </si>
  <si>
    <t>EUR/EGP</t>
  </si>
  <si>
    <t>Entreprise / ICSS</t>
  </si>
  <si>
    <t>TURKCELL</t>
  </si>
  <si>
    <t>CMCSA</t>
  </si>
  <si>
    <t>SWISSCOM GROUP</t>
  </si>
  <si>
    <t>Swiss equity</t>
  </si>
  <si>
    <t>Belgacom</t>
  </si>
  <si>
    <t>Other Europe</t>
  </si>
  <si>
    <t>Rating</t>
  </si>
  <si>
    <t>Target</t>
  </si>
  <si>
    <t>Buy</t>
  </si>
  <si>
    <t>Upside</t>
  </si>
  <si>
    <t>Reduce</t>
  </si>
  <si>
    <t>Neutral</t>
  </si>
  <si>
    <t xml:space="preserve">Target price per share </t>
  </si>
  <si>
    <t>Mobistar</t>
  </si>
  <si>
    <t>TLKM IJ Equity</t>
  </si>
  <si>
    <t>TKG SJ Equity</t>
  </si>
  <si>
    <t>BHARTI IN Equity</t>
  </si>
  <si>
    <t>IDEA IN Equity</t>
  </si>
  <si>
    <t>US - Telecoms</t>
  </si>
  <si>
    <t>IDEA CELLULAR</t>
  </si>
  <si>
    <t>INDOSAT</t>
  </si>
  <si>
    <t>INDO MULTIPLES</t>
  </si>
  <si>
    <t>AMX MULTIPLES</t>
  </si>
  <si>
    <t>ASIACELLULAR SECTOR MULTIPLES</t>
  </si>
  <si>
    <t>ASIA CELLULAR SECTOR MULTIPLES</t>
  </si>
  <si>
    <t>ASIA INCUMBENT SECTOR MULTIPLES</t>
  </si>
  <si>
    <t>Liberty</t>
  </si>
  <si>
    <t>Agg. US Satellite</t>
  </si>
  <si>
    <t>AGG. W. EUR. INCUMBENT MULTIPLES</t>
  </si>
  <si>
    <t>AGG. W. EUR. CELLULAR MULTIPLES</t>
  </si>
  <si>
    <t>Mobile TeleSystems</t>
  </si>
  <si>
    <t>Method</t>
  </si>
  <si>
    <t>Driver</t>
  </si>
  <si>
    <t>Multiple</t>
  </si>
  <si>
    <t>100% EV</t>
  </si>
  <si>
    <t>Net debt</t>
  </si>
  <si>
    <t>BHARTI AIRTEL</t>
  </si>
  <si>
    <t>Share price, INR</t>
  </si>
  <si>
    <t>TKC</t>
  </si>
  <si>
    <t>Enterprise Value, USD m</t>
  </si>
  <si>
    <t>AGGREGATE DEVELOPED ASIA CELLULAR MULTIPLES</t>
  </si>
  <si>
    <t>DW SECTOR MULTIPLES</t>
  </si>
  <si>
    <t>DEVELOPED ASIA MULTIPLES</t>
  </si>
  <si>
    <t>Agg. Developed Asia Cellular</t>
  </si>
  <si>
    <t>Agg. W Europe</t>
  </si>
  <si>
    <t>Agg. EMEA Incumbent</t>
  </si>
  <si>
    <t>Bangladesh</t>
  </si>
  <si>
    <t xml:space="preserve">% upside/downside to current price </t>
  </si>
  <si>
    <t>TELECOM ITALIA GROUP</t>
  </si>
  <si>
    <t xml:space="preserve">Number of ord shares </t>
  </si>
  <si>
    <t xml:space="preserve">Number of saver shares </t>
  </si>
  <si>
    <t>Wholesale &amp; Op. (inc Other)</t>
  </si>
  <si>
    <t>4904 TT Equity</t>
  </si>
  <si>
    <t>Sweden mobile</t>
  </si>
  <si>
    <t>KPN GROUP</t>
  </si>
  <si>
    <t>CHINA MOBILE</t>
  </si>
  <si>
    <t>941 HK Equity</t>
  </si>
  <si>
    <t>Denmark fixed</t>
  </si>
  <si>
    <t>Europe</t>
  </si>
  <si>
    <t>032640 KS Equity</t>
  </si>
  <si>
    <t xml:space="preserve">INR </t>
  </si>
  <si>
    <t>TIM Participacoes</t>
  </si>
  <si>
    <t>Sri Lanka</t>
  </si>
  <si>
    <t>ISAT IJ Equity</t>
  </si>
  <si>
    <t>EMEA - Incumbents</t>
  </si>
  <si>
    <t>Market price</t>
  </si>
  <si>
    <t>na</t>
  </si>
  <si>
    <t>Share price, USD</t>
  </si>
  <si>
    <t>Tele2 A</t>
  </si>
  <si>
    <t>Tele2 B</t>
  </si>
  <si>
    <t>Lattelekom (Latvia - fixed)</t>
  </si>
  <si>
    <t>Per share</t>
  </si>
  <si>
    <t>Enterprise Value US$</t>
  </si>
  <si>
    <t>Mkt price</t>
  </si>
  <si>
    <t>Belgium</t>
  </si>
  <si>
    <t>Elisa equity</t>
  </si>
  <si>
    <t xml:space="preserve">MYR </t>
  </si>
  <si>
    <t>Add: Dividend per share</t>
  </si>
  <si>
    <t>100% equity</t>
  </si>
  <si>
    <t>Ownership</t>
  </si>
  <si>
    <t>Minority</t>
  </si>
  <si>
    <t>% of equity</t>
  </si>
  <si>
    <t>per share</t>
  </si>
  <si>
    <t>Domestic wireline</t>
  </si>
  <si>
    <t>x</t>
  </si>
  <si>
    <t>=</t>
  </si>
  <si>
    <t>-</t>
  </si>
  <si>
    <t>Mkt value</t>
  </si>
  <si>
    <t>Total</t>
  </si>
  <si>
    <t>Associates</t>
  </si>
  <si>
    <t>Mobile</t>
  </si>
  <si>
    <t>Other</t>
  </si>
  <si>
    <t xml:space="preserve">Total EV </t>
  </si>
  <si>
    <t xml:space="preserve">BRL </t>
  </si>
  <si>
    <t>P/EFCF (2012)</t>
  </si>
  <si>
    <t>EFCF yield (2012)</t>
  </si>
  <si>
    <t>Common</t>
  </si>
  <si>
    <t>Share price, IDR</t>
  </si>
  <si>
    <t>PT TELEKOMUNIKASI</t>
  </si>
  <si>
    <t>PTT</t>
  </si>
  <si>
    <t>French fixed (Home)</t>
  </si>
  <si>
    <t>French Mobile (Personal)</t>
  </si>
  <si>
    <t>Total France</t>
  </si>
  <si>
    <t>ICSS</t>
  </si>
  <si>
    <t>Total France inc Enterprice/ICSS</t>
  </si>
  <si>
    <t>N. AMERICAN CATV SECTOR MULTIPLES</t>
  </si>
  <si>
    <t>AGGREGATE W. EUROPE INCUMBENTS</t>
  </si>
  <si>
    <t>FORECASTS, EUR m</t>
  </si>
  <si>
    <t>Share price, CHF</t>
  </si>
  <si>
    <t>Incumbents</t>
  </si>
  <si>
    <t>Cellular</t>
  </si>
  <si>
    <t>CHINA TELECOM</t>
  </si>
  <si>
    <t>LBTYA US Equity</t>
  </si>
  <si>
    <t>TIM PARTICIPACOES</t>
  </si>
  <si>
    <t>DIGI.COM</t>
  </si>
  <si>
    <t>MAXIS</t>
  </si>
  <si>
    <t>AGGREGATE LATAM CELLULAR</t>
  </si>
  <si>
    <t>LatAm cellular</t>
  </si>
  <si>
    <t>AGGREGATE LATAM SECTOR</t>
  </si>
  <si>
    <t>LatAm sector</t>
  </si>
  <si>
    <t>AGGREGATE LATAM INCUMBENTS</t>
  </si>
  <si>
    <t>LatAm incumbents</t>
  </si>
  <si>
    <t>DIGI MULTIPLES</t>
  </si>
  <si>
    <t>KT MULTIPLES</t>
  </si>
  <si>
    <t>MAXIS MULTIPLES</t>
  </si>
  <si>
    <t>TIM Part</t>
  </si>
  <si>
    <t>TIM MULTIPLES</t>
  </si>
  <si>
    <t>Pref</t>
  </si>
  <si>
    <t>N. AMERICAN TELECOMS SECTOR MULTIPLES</t>
  </si>
  <si>
    <t>N. AMERICAN SATELLITE SECTOR MULTIPLES</t>
  </si>
  <si>
    <t>OpFCF</t>
  </si>
  <si>
    <t>EV/EBITDA</t>
  </si>
  <si>
    <t>EV/OpFCF</t>
  </si>
  <si>
    <t>British Telecom</t>
  </si>
  <si>
    <t>Deutsche Telekom</t>
  </si>
  <si>
    <t>NOK</t>
  </si>
  <si>
    <t>Syria</t>
  </si>
  <si>
    <t>Ghana</t>
  </si>
  <si>
    <t>Market cap. (less treasury shares)</t>
  </si>
  <si>
    <t>Vimpelcom</t>
  </si>
  <si>
    <t>Indus</t>
  </si>
  <si>
    <t>VOD LN Equity</t>
  </si>
  <si>
    <t>TEL2A SS Equity</t>
  </si>
  <si>
    <t>LG</t>
  </si>
  <si>
    <t>Share price, BRL</t>
  </si>
  <si>
    <t>Mobb equity</t>
  </si>
  <si>
    <t>EMERGING MARKET MULTIPLES</t>
  </si>
  <si>
    <t>DEVELOPED MARKET MULTIPLES</t>
  </si>
  <si>
    <t>MTN SJ Equity</t>
  </si>
  <si>
    <t>SINGTEL</t>
  </si>
  <si>
    <t>Share price, S$</t>
  </si>
  <si>
    <t>Enterprise Value, S$</t>
  </si>
  <si>
    <t>Share price, THB</t>
  </si>
  <si>
    <t xml:space="preserve">THB </t>
  </si>
  <si>
    <t>Cost of running pension</t>
  </si>
  <si>
    <t>VOD SJ Equity</t>
  </si>
  <si>
    <t>EXCL IJ Equity</t>
  </si>
  <si>
    <t>017670 KS Equity</t>
  </si>
  <si>
    <t>IDEA</t>
  </si>
  <si>
    <t xml:space="preserve">Target price per ord share </t>
  </si>
  <si>
    <t xml:space="preserve">Target price per saver share </t>
  </si>
  <si>
    <t>Overhead</t>
  </si>
  <si>
    <t>SingTel</t>
  </si>
  <si>
    <t>TELENOR GROUP</t>
  </si>
  <si>
    <t>Tnor equity</t>
  </si>
  <si>
    <t>Norway fixed</t>
  </si>
  <si>
    <t>Sweden fixed</t>
  </si>
  <si>
    <t>Norway mobile</t>
  </si>
  <si>
    <t>AXIATA MK Equity</t>
  </si>
  <si>
    <t>BT/A LN Equity</t>
  </si>
  <si>
    <t>DTE GR Equity</t>
  </si>
  <si>
    <t>LG Uplus</t>
  </si>
  <si>
    <t>LG UPLUS</t>
  </si>
  <si>
    <t>Poland</t>
  </si>
  <si>
    <t>Sweden</t>
  </si>
  <si>
    <t>LMT (Latvia)</t>
  </si>
  <si>
    <t>Plus: Net debt</t>
  </si>
  <si>
    <t xml:space="preserve">ZAR </t>
  </si>
  <si>
    <t>XL AXIATA</t>
  </si>
  <si>
    <t>XL AXIATA MULTIPLES</t>
  </si>
  <si>
    <t>IDEA Cellular</t>
  </si>
  <si>
    <t>IDEA MULTIPLES</t>
  </si>
  <si>
    <t>BHART MULTIPLES</t>
  </si>
  <si>
    <t>PTT MULTIPLES</t>
  </si>
  <si>
    <t>Share price, KRW</t>
  </si>
  <si>
    <t>SK TELECOM</t>
  </si>
  <si>
    <t>China Unicom</t>
  </si>
  <si>
    <t>MTS</t>
  </si>
  <si>
    <t xml:space="preserve">Fair value per ord share </t>
  </si>
  <si>
    <t xml:space="preserve">Fair value per saver share </t>
  </si>
  <si>
    <t>Savers/ords</t>
  </si>
  <si>
    <t xml:space="preserve">Current ord price </t>
  </si>
  <si>
    <t xml:space="preserve">Current saver price </t>
  </si>
  <si>
    <t>Taiwan Mobile</t>
  </si>
  <si>
    <t xml:space="preserve">TWD </t>
  </si>
  <si>
    <t>Singtel PROPORTIONATE MULTIPLES</t>
  </si>
  <si>
    <t>Agg. W. Eur Incumbent</t>
  </si>
  <si>
    <t>Agg. W. Eur. Incumbent</t>
  </si>
  <si>
    <t>Chungwha</t>
  </si>
  <si>
    <t>Agg. W. Eur Cellular</t>
  </si>
  <si>
    <t>Agg. W. Eur. CATV</t>
  </si>
  <si>
    <t>Agg. W Eur. Incumbent</t>
  </si>
  <si>
    <t>Agg. W. Eur. Altnet</t>
  </si>
  <si>
    <t>Agg. Asia Cellular</t>
  </si>
  <si>
    <t>Agg. W. Eur. Cellular</t>
  </si>
  <si>
    <t>Agg. Asia Incumbent</t>
  </si>
  <si>
    <t>Agg. Asia Incumbents</t>
  </si>
  <si>
    <t>Singtel</t>
  </si>
  <si>
    <t>Agg. US Telecoms</t>
  </si>
  <si>
    <t>Agg. LatAm incumbent</t>
  </si>
  <si>
    <t>Agg. US CATV</t>
  </si>
  <si>
    <t>Lease payments</t>
  </si>
  <si>
    <t>EFCF yield (08)</t>
  </si>
  <si>
    <t>LIBERTY GLOBAL</t>
  </si>
  <si>
    <t>LIBERTY GLOBAL MULTIPLES</t>
  </si>
  <si>
    <t>Liberty Global</t>
  </si>
  <si>
    <t>Telecom Italia</t>
  </si>
  <si>
    <t>EV CALCULATION</t>
  </si>
  <si>
    <t>Share price, EUR</t>
  </si>
  <si>
    <t>EV/Revenue</t>
  </si>
  <si>
    <t>Number of shares</t>
  </si>
  <si>
    <t>Market cap.</t>
  </si>
  <si>
    <t>DiGi</t>
  </si>
  <si>
    <t>DISH</t>
  </si>
  <si>
    <t>AGGREGATE EM CELLULAR MULTIPLES</t>
  </si>
  <si>
    <t>AGGREGATE ASIA CELLULAR MULTIPLES</t>
  </si>
  <si>
    <t>AGGREGATE EMEA CELLULAR MULTIPLES</t>
  </si>
  <si>
    <t>Vodafone</t>
  </si>
  <si>
    <t>TELENOR MULTIPLES</t>
  </si>
  <si>
    <t>BT</t>
  </si>
  <si>
    <t>DT</t>
  </si>
  <si>
    <t>AGGREGATE MULTIPLES</t>
  </si>
  <si>
    <t>Telecom Italia Ords</t>
  </si>
  <si>
    <t>Telecom Italia Savers</t>
  </si>
  <si>
    <t>Revenue growth</t>
  </si>
  <si>
    <t>Net debt/EBITDA</t>
  </si>
  <si>
    <t>OpFCF/net interest</t>
  </si>
  <si>
    <t>ADR</t>
  </si>
  <si>
    <t>MobileTeleSystems</t>
  </si>
  <si>
    <t>CT MULTIPLES</t>
  </si>
  <si>
    <t>CT</t>
  </si>
  <si>
    <t>CHINA UNICOM</t>
  </si>
  <si>
    <t>CU</t>
  </si>
  <si>
    <t>China Telecom</t>
  </si>
  <si>
    <t>TSON equity</t>
  </si>
  <si>
    <t>CM MULTIPLES</t>
  </si>
  <si>
    <t>AGGREGATE ASIA CELLULAR</t>
  </si>
  <si>
    <t>AGGREGATE ASIA MULTIPLES</t>
  </si>
  <si>
    <t>KDDI</t>
  </si>
  <si>
    <t>T US Equity</t>
  </si>
  <si>
    <t>COMCAST</t>
  </si>
  <si>
    <t>CHARTER</t>
  </si>
  <si>
    <t>Telstra</t>
  </si>
  <si>
    <t>TLS AU Equity</t>
  </si>
  <si>
    <t>FORECASTS, USD m</t>
  </si>
  <si>
    <t>Comcast</t>
  </si>
  <si>
    <t>CMCSA US Equity</t>
  </si>
  <si>
    <t>Charter</t>
  </si>
  <si>
    <t>CHTR US Equity</t>
  </si>
  <si>
    <t>Net Income</t>
  </si>
  <si>
    <t xml:space="preserve">Market cap. </t>
  </si>
  <si>
    <t>AGGREGATE EM CELLULAR</t>
  </si>
  <si>
    <t>AGGREGATE EM INCUMBENTS</t>
  </si>
  <si>
    <t>AGGREGATE EM SECTOR</t>
  </si>
  <si>
    <t>MTS MULTIPLES</t>
  </si>
  <si>
    <t>AGGREGATE DEVELOPING ASIA</t>
  </si>
  <si>
    <t xml:space="preserve">AGGREGATE DEVELOPED WORLD </t>
  </si>
  <si>
    <t>AGGREGATE DEVELOPED ASIA (EX. ICT &amp; INTERNET COMPANIES)</t>
  </si>
  <si>
    <t>Agg. W.Europe Incumbent</t>
  </si>
  <si>
    <t>Malaysia</t>
  </si>
  <si>
    <t>Cambodia</t>
  </si>
  <si>
    <t>MYR/US$</t>
  </si>
  <si>
    <t>MYR/INR</t>
  </si>
  <si>
    <t>Turk Telekom</t>
  </si>
  <si>
    <t>AXI</t>
  </si>
  <si>
    <t>Axiata</t>
  </si>
  <si>
    <t>AXIATA</t>
  </si>
  <si>
    <t>TELKOM SA</t>
  </si>
  <si>
    <t>TKG</t>
  </si>
  <si>
    <t>Share price, ZAR</t>
  </si>
  <si>
    <t>Asia incumbents</t>
  </si>
  <si>
    <t>AGGREGATE ASIA INCUMBENT MULTIPLES</t>
  </si>
  <si>
    <t>AGGREGATE EM INCUMBENT MULTIPLES</t>
  </si>
  <si>
    <t>AGGREGATE EMEA SECTOR</t>
  </si>
  <si>
    <t>AGGREGATE ASIA SECTOR</t>
  </si>
  <si>
    <t>Asia sector</t>
  </si>
  <si>
    <t>CHUNGHWA TELECOM</t>
  </si>
  <si>
    <t>FAR EASTONE</t>
  </si>
  <si>
    <t>TAIWAN MOBILE</t>
  </si>
  <si>
    <t>Bharti Airtel</t>
  </si>
  <si>
    <t>America Movil</t>
  </si>
  <si>
    <t>Share price, TWD</t>
  </si>
  <si>
    <t>FAR MULTIPLES</t>
  </si>
  <si>
    <t>Far</t>
  </si>
  <si>
    <t>TAIWAN MULTIPLES</t>
  </si>
  <si>
    <t>CHUNGHWA MULTIPLES</t>
  </si>
  <si>
    <t>AGGREGATE ASIA INCUMBENTS</t>
  </si>
  <si>
    <t>TI equity</t>
  </si>
  <si>
    <t>TELEFONICA GROUP</t>
  </si>
  <si>
    <t>ELISA</t>
  </si>
  <si>
    <t>Elisa</t>
  </si>
  <si>
    <t>ELISA MULTIPLES</t>
  </si>
  <si>
    <t>TURKCELL MULTIPLES</t>
  </si>
  <si>
    <t>W. Eur - Incumbents</t>
  </si>
  <si>
    <t>XL Axiata</t>
  </si>
  <si>
    <t>Market cap. US$ m</t>
  </si>
  <si>
    <t>Enterprise Value, US$ m</t>
  </si>
  <si>
    <t>EMEA sector</t>
  </si>
  <si>
    <t>Maxis</t>
  </si>
  <si>
    <t>DiGi.com</t>
  </si>
  <si>
    <t>KT Corp</t>
  </si>
  <si>
    <t>LatAm - Incumbents</t>
  </si>
  <si>
    <t>EMEA - Cellular</t>
  </si>
  <si>
    <t>LatAm - Cellular</t>
  </si>
  <si>
    <t>Emerging Asia - Incumbents</t>
  </si>
  <si>
    <t>Emerging Asia - Cellular</t>
  </si>
  <si>
    <t>Share price, US$ (ADR)</t>
  </si>
  <si>
    <t>ST SP Equity</t>
  </si>
  <si>
    <t>728 HK Equity</t>
  </si>
  <si>
    <t>762 HK Equity</t>
  </si>
  <si>
    <t>2412 TT Equity</t>
  </si>
  <si>
    <t xml:space="preserve">Less: minorities </t>
  </si>
  <si>
    <t>EUR/US$</t>
  </si>
  <si>
    <t xml:space="preserve">Plus: associates </t>
  </si>
  <si>
    <t>Less: NPV Youth Account reserve/Other liabilities</t>
  </si>
  <si>
    <t>EMEA INCUMBENT SECTOR MULTIPLES</t>
  </si>
  <si>
    <t>EMEA CELLULAR SECTOR MULTIPLES</t>
  </si>
  <si>
    <t>Vodacom</t>
  </si>
  <si>
    <t>Aggregate Asia Cellular</t>
  </si>
  <si>
    <t>SKT MULTIPLES</t>
  </si>
  <si>
    <t>P/EFCF (08)</t>
  </si>
  <si>
    <t xml:space="preserve">IDR </t>
  </si>
  <si>
    <t>TEF SM Equity</t>
  </si>
  <si>
    <t>TEL NO Equity</t>
  </si>
  <si>
    <t>SEK</t>
  </si>
  <si>
    <t>P/E</t>
  </si>
  <si>
    <t>OTE GROUP</t>
  </si>
  <si>
    <t>OTE equity</t>
  </si>
  <si>
    <t>Turkcell</t>
  </si>
  <si>
    <t>TELE2</t>
  </si>
  <si>
    <t>Tele2</t>
  </si>
  <si>
    <t>A shares</t>
  </si>
  <si>
    <t>B shares</t>
  </si>
  <si>
    <t>TELE2 MULTIPLES</t>
  </si>
  <si>
    <t>Share price, SEK</t>
  </si>
  <si>
    <t>TELE2 GROUP</t>
  </si>
  <si>
    <t xml:space="preserve">SEK </t>
  </si>
  <si>
    <t>Liberty Global A</t>
  </si>
  <si>
    <t>Liberty Global B</t>
  </si>
  <si>
    <t>Millicom</t>
  </si>
  <si>
    <t>MTN</t>
  </si>
  <si>
    <t>Telkom SA</t>
  </si>
  <si>
    <t>Maroc Telecom (EUR)</t>
  </si>
  <si>
    <t>Vimpel Com</t>
  </si>
  <si>
    <t>VERIZON COMMUNICATIONS</t>
  </si>
  <si>
    <t>VZ US Equity</t>
  </si>
  <si>
    <t>AT&amp;T</t>
  </si>
  <si>
    <t>USD</t>
  </si>
  <si>
    <t>NTT</t>
  </si>
  <si>
    <t>Add: NPV tax benefit of licence amortisation in Belgium</t>
  </si>
  <si>
    <t>Safaricom</t>
  </si>
  <si>
    <t>OpFCF (adjusted)</t>
  </si>
  <si>
    <t>FCF (adjusted)</t>
  </si>
  <si>
    <t>EV/EBITDA (adjusted)</t>
  </si>
  <si>
    <t>EV/OpFCF (adjusted)</t>
  </si>
  <si>
    <t>EV/FCF (adjusted)</t>
  </si>
  <si>
    <t>Chunghwa Telecom</t>
  </si>
  <si>
    <t>Far EasTone</t>
  </si>
  <si>
    <t>MOBISTAR MULTIPLES</t>
  </si>
  <si>
    <t>MOBISTAR</t>
  </si>
  <si>
    <t>MILLICOM</t>
  </si>
  <si>
    <t>MILLI MULTIPLES</t>
  </si>
  <si>
    <t>TKG MULTIPLES</t>
  </si>
  <si>
    <t>MOBILE TELESYSTEMS</t>
  </si>
  <si>
    <t>Liberty Global C</t>
  </si>
  <si>
    <t>Dividend yield, Ords</t>
  </si>
  <si>
    <t>Africa</t>
  </si>
  <si>
    <t>MTN equity</t>
  </si>
  <si>
    <t>Nigeria</t>
  </si>
  <si>
    <t>PROPORTIONATE FORECASTS, £ m</t>
  </si>
  <si>
    <t>VOD PROPORTIONATE MULTIPLES</t>
  </si>
  <si>
    <t>Market cap. (RMB)</t>
  </si>
  <si>
    <t>Austria</t>
  </si>
  <si>
    <t>CLP</t>
  </si>
  <si>
    <t>3045 TT Equity</t>
  </si>
  <si>
    <t>SWISSCOM MULTIPLES</t>
  </si>
  <si>
    <t>TI MULTIPLES</t>
  </si>
  <si>
    <t>SK Telecom</t>
  </si>
  <si>
    <t>Market cap. US$</t>
  </si>
  <si>
    <t>Less: minorities (Aditya Birla Telecom)</t>
  </si>
  <si>
    <t>PT Telekomunikasi</t>
  </si>
  <si>
    <t>LATAM CELLULAR SECTOR MULTIPLES</t>
  </si>
  <si>
    <t>VOD MULTIPLES</t>
  </si>
  <si>
    <t>VODAFONE GROUP</t>
  </si>
  <si>
    <t>UK</t>
  </si>
  <si>
    <t>Germany</t>
  </si>
  <si>
    <t>Italy</t>
  </si>
  <si>
    <t>Spain</t>
  </si>
  <si>
    <t>Vod equity</t>
  </si>
  <si>
    <t>Hungary</t>
  </si>
  <si>
    <t>South Africa</t>
  </si>
  <si>
    <t>Irancell</t>
  </si>
  <si>
    <t>Enterprise Value, EUR m</t>
  </si>
  <si>
    <t>Market cap. EUR m</t>
  </si>
  <si>
    <t>KPN</t>
  </si>
  <si>
    <t>OTE</t>
  </si>
  <si>
    <t>TeliaSonera</t>
  </si>
  <si>
    <t>Telefonica</t>
  </si>
  <si>
    <t>Telenor</t>
  </si>
  <si>
    <t>Swisscom</t>
  </si>
  <si>
    <t>Price</t>
  </si>
  <si>
    <t>CAGR</t>
  </si>
  <si>
    <t>EV/FCF</t>
  </si>
  <si>
    <t>P/Adj E</t>
  </si>
  <si>
    <t>EBITDA margin</t>
  </si>
  <si>
    <t>OpFCF margin</t>
  </si>
  <si>
    <t>EBITDA growth</t>
  </si>
  <si>
    <t>OpFCF growth</t>
  </si>
  <si>
    <t>Adj net income margin</t>
  </si>
  <si>
    <t>BELG MULTIPLES</t>
  </si>
  <si>
    <t>Capex/sales</t>
  </si>
  <si>
    <t>P/EFCF</t>
  </si>
  <si>
    <t>LATAM INCUMBENT SECTOR MULTIPLES</t>
  </si>
  <si>
    <t>Market cap. (RMB bn)</t>
  </si>
  <si>
    <t>China Mobile</t>
  </si>
  <si>
    <t>CM</t>
  </si>
  <si>
    <t>EUR/PLN</t>
  </si>
  <si>
    <t>EUR/CLP</t>
  </si>
  <si>
    <t>FORECASTS, US$ m</t>
  </si>
  <si>
    <t>EBITDA</t>
  </si>
  <si>
    <t>Consumer</t>
  </si>
  <si>
    <t>Business</t>
  </si>
  <si>
    <t>EBITDA (adjusted)</t>
  </si>
  <si>
    <t>MAXIS MK Equity</t>
  </si>
  <si>
    <t>EUR/ARS</t>
  </si>
  <si>
    <t>N.AM telecoms</t>
  </si>
  <si>
    <t>N.AM Cable</t>
  </si>
  <si>
    <t xml:space="preserve">AT&amp;T </t>
  </si>
  <si>
    <t>CELLULAR SECTOR MULTIPLES</t>
  </si>
  <si>
    <t>VODACOM</t>
  </si>
  <si>
    <t>Fair value per share</t>
  </si>
  <si>
    <t xml:space="preserve">Group equity value </t>
  </si>
  <si>
    <t xml:space="preserve">Number of shares </t>
  </si>
  <si>
    <t xml:space="preserve">Fair value per share </t>
  </si>
  <si>
    <t xml:space="preserve">Current price </t>
  </si>
  <si>
    <t xml:space="preserve">Telenor </t>
  </si>
  <si>
    <t>Share price</t>
  </si>
  <si>
    <t>VIMP MULTIPLES</t>
  </si>
  <si>
    <t>KPN NA Equity</t>
  </si>
  <si>
    <t>HTO GA Equity</t>
  </si>
  <si>
    <t>CHF</t>
  </si>
  <si>
    <t>TIT IM Equity</t>
  </si>
  <si>
    <t>INCUMBENTS</t>
  </si>
  <si>
    <t>CELLULAR</t>
  </si>
  <si>
    <t>ALTNETS</t>
  </si>
  <si>
    <t>AGGREGATE EMEA INCUMBENTS</t>
  </si>
  <si>
    <t>EM INCUMBENT MULTIPLES</t>
  </si>
  <si>
    <t>AGGREGATE EMEA INCUMBENT MULTIPLES</t>
  </si>
  <si>
    <t>Agg. LatAm Incumbent</t>
  </si>
  <si>
    <t>Agg. EMEA Cellular</t>
  </si>
  <si>
    <t>Agg. LatAm Cellular</t>
  </si>
  <si>
    <t>Agg. EMEA sector</t>
  </si>
  <si>
    <t>Agg. LatAm sector</t>
  </si>
  <si>
    <t>Agg. Global EM sector (ex-consensus)</t>
  </si>
  <si>
    <t>Enterprise Value, US$</t>
  </si>
  <si>
    <t>US$</t>
  </si>
  <si>
    <t>TTKOM TI Equity</t>
  </si>
  <si>
    <t>Slovakia</t>
  </si>
  <si>
    <t>TEF MULTIPLES</t>
  </si>
  <si>
    <t>Market cap. USD m</t>
  </si>
  <si>
    <t>AXIATA MULTIPLES</t>
  </si>
  <si>
    <t>CU MULTIPLES</t>
  </si>
  <si>
    <t>VODACOM MULTIPLES</t>
  </si>
  <si>
    <t xml:space="preserve">US$ </t>
  </si>
  <si>
    <t>BBVA</t>
  </si>
  <si>
    <t>Plus: Other financial liabilities</t>
  </si>
  <si>
    <t>EV/Invested capital</t>
  </si>
  <si>
    <t>Plus: Minorities</t>
  </si>
  <si>
    <t>Less: Associates</t>
  </si>
  <si>
    <t>Adjusted P/E</t>
  </si>
  <si>
    <t>Less: Cumulative dividends</t>
  </si>
  <si>
    <t>DEVELOPED ASIA INCUMBENT SECTOR MULTIPLES</t>
  </si>
  <si>
    <t>DEVELOPED ASIA CELLULAR SECTOR MULTIPLES</t>
  </si>
  <si>
    <t>Less: minorities</t>
  </si>
  <si>
    <t>Plus: Associates</t>
  </si>
  <si>
    <t>Czech Republic</t>
  </si>
  <si>
    <t>Croatia</t>
  </si>
  <si>
    <t>Pakistan</t>
  </si>
  <si>
    <t>W.European telecoms sector</t>
  </si>
  <si>
    <t>EMEA incumbents</t>
  </si>
  <si>
    <t>Associates and minorities</t>
  </si>
  <si>
    <t>Developed Asia</t>
  </si>
  <si>
    <t>DEVELOPED ASIA INCUMBENTS (EX-CONSENSUS)</t>
  </si>
  <si>
    <t>DEVELOPING ASIA INCUMBENT MULTIPLES</t>
  </si>
  <si>
    <t>Share price, HK$</t>
  </si>
  <si>
    <t>BREAKDOWN OF VALUE</t>
  </si>
  <si>
    <t>EM SECTOR MULTIPLES</t>
  </si>
  <si>
    <t>DEUTSCHE TELEKOM GROUP</t>
  </si>
  <si>
    <t>DT equity</t>
  </si>
  <si>
    <t>SINGAPORE TELECOMMUNICATIONS</t>
  </si>
  <si>
    <t>SINGTEL MULTIPLES</t>
  </si>
  <si>
    <t>Domestic mobile</t>
  </si>
  <si>
    <t>HKD</t>
  </si>
  <si>
    <t>PT Telkom</t>
  </si>
  <si>
    <t>Indosat</t>
  </si>
  <si>
    <t>ADVANCED INFO SERVICES</t>
  </si>
  <si>
    <t>AIS</t>
  </si>
  <si>
    <t>EM incumbents</t>
  </si>
  <si>
    <t>EMEA cellular</t>
  </si>
  <si>
    <t>EM cellular</t>
  </si>
  <si>
    <t>ASIA cellular</t>
  </si>
  <si>
    <t>W.Europe Incumbent</t>
  </si>
  <si>
    <t>W. Europe Cellular</t>
  </si>
  <si>
    <t>W. Europe Altnet</t>
  </si>
  <si>
    <t>MTN MULTIPLES</t>
  </si>
  <si>
    <t>Enterprise</t>
  </si>
  <si>
    <t>Bharti</t>
  </si>
  <si>
    <t>AMX</t>
  </si>
  <si>
    <t>Brazil</t>
  </si>
  <si>
    <t>DISCLAIMER</t>
  </si>
  <si>
    <t>AMERICA MOVIL</t>
  </si>
  <si>
    <t>PROPORTIONATE FORECASTS, S$ m</t>
  </si>
  <si>
    <t>SingTel (prop.)</t>
  </si>
  <si>
    <t>SKT</t>
  </si>
  <si>
    <t xml:space="preserve">KRW </t>
  </si>
  <si>
    <t>AMX US Equity</t>
  </si>
  <si>
    <t>Dividend yield</t>
  </si>
  <si>
    <t>EFCF yield</t>
  </si>
  <si>
    <t>MXN</t>
  </si>
  <si>
    <t>Enterprise Value</t>
  </si>
  <si>
    <t>Revenue</t>
  </si>
  <si>
    <t>Sector</t>
  </si>
  <si>
    <t>FCF</t>
  </si>
  <si>
    <t>Invested Capital</t>
  </si>
  <si>
    <t>EFCF</t>
  </si>
  <si>
    <t>Adjusted net income</t>
  </si>
  <si>
    <t>Dividends</t>
  </si>
  <si>
    <t>PRICES</t>
  </si>
  <si>
    <t>Net fixed assets</t>
  </si>
  <si>
    <t>EV/NFA</t>
  </si>
  <si>
    <t>BRITISH TELECOM</t>
  </si>
  <si>
    <t>DEUTSCHE TELEKOM</t>
  </si>
  <si>
    <t>SWISSCOM</t>
  </si>
  <si>
    <t>TELECOM ITALIA</t>
  </si>
  <si>
    <t>TELEFONICA</t>
  </si>
  <si>
    <t>TELENOR</t>
  </si>
  <si>
    <t>BT MULTIPLES</t>
  </si>
  <si>
    <t>DT MULTIPLES</t>
  </si>
  <si>
    <t>KPN MULTIPLES</t>
  </si>
  <si>
    <t>OTE MULTIPLES</t>
  </si>
  <si>
    <t>Payout ratio (% of EFCF)</t>
  </si>
  <si>
    <t>Dividend plus buyback yield</t>
  </si>
  <si>
    <t>Buyback</t>
  </si>
  <si>
    <t>nm</t>
  </si>
  <si>
    <t>DM sector</t>
  </si>
  <si>
    <t>AGGREGATE W.EUROPEAN TELECOMS SECTOR</t>
  </si>
  <si>
    <t>DM Aggregate</t>
  </si>
  <si>
    <t>AGGREGATE LATAM INCUMBENT MULTIPLES</t>
  </si>
  <si>
    <t>AGGREGATE LATAM CELLULAR MULTIPLES</t>
  </si>
  <si>
    <t>EM Asia incumbents</t>
  </si>
  <si>
    <t>DM Asia incumbents</t>
  </si>
  <si>
    <t>Asia Aggregate</t>
  </si>
  <si>
    <t>DM cellular</t>
  </si>
  <si>
    <t>DM Asia cellular</t>
  </si>
  <si>
    <t>Payout ratio (as % of EFCF)</t>
  </si>
  <si>
    <t>Telefonica Brasil</t>
  </si>
  <si>
    <t>TELEFONICA BRASIL</t>
  </si>
  <si>
    <t>TELEFONICA BRASIL MULTIPLES</t>
  </si>
  <si>
    <t>SAFARICOM</t>
  </si>
  <si>
    <t>Share price, KES</t>
  </si>
  <si>
    <t>SAFCOM KN Equity</t>
  </si>
  <si>
    <t>DPS / EPS</t>
  </si>
  <si>
    <t>Share Buyback as % of Market Cap</t>
  </si>
  <si>
    <t>Dividend plus buyback yield (%)</t>
  </si>
  <si>
    <t>Dividend plus Buyback Yield %</t>
  </si>
  <si>
    <t>Agg. Emerging Asia Incumbent</t>
  </si>
  <si>
    <t>Agg. Emerging Asia Cellular</t>
  </si>
  <si>
    <t>Agg. Emerging Asia sector</t>
  </si>
  <si>
    <t>Vodafone (prop.)</t>
  </si>
  <si>
    <t>Dividends as % of normalised EFCF</t>
  </si>
  <si>
    <t>Entel Chile</t>
  </si>
  <si>
    <t>ENTEL</t>
  </si>
  <si>
    <t>ENTEL MULTIPLES</t>
  </si>
  <si>
    <t>Entel</t>
  </si>
  <si>
    <t>ENTEL CI Equity</t>
  </si>
  <si>
    <t>Share price, CLP</t>
  </si>
  <si>
    <t>KDDI MULTIPLES</t>
  </si>
  <si>
    <t>DISH MULTIPLES</t>
  </si>
  <si>
    <t>CMCSA MULTIPLES</t>
  </si>
  <si>
    <t>CHARTER MULTIPLES</t>
  </si>
  <si>
    <t>ATT MULTIPLES</t>
  </si>
  <si>
    <t>AIS MULTIPLES</t>
  </si>
  <si>
    <t>LG MULTIPLES</t>
  </si>
  <si>
    <t>NTT MULTIPLES</t>
  </si>
  <si>
    <t>SAFARICOM MULTIPLES</t>
  </si>
  <si>
    <t>TELSTRA MULTIPLES</t>
  </si>
  <si>
    <t>VZ MULTIPLES</t>
  </si>
  <si>
    <t>EUR/BRL</t>
  </si>
  <si>
    <t>TEF equity</t>
  </si>
  <si>
    <t>Latam</t>
  </si>
  <si>
    <t>Switzerland</t>
  </si>
  <si>
    <t>SEK/LTL</t>
  </si>
  <si>
    <t>Less: Future licence spend (net of tax)</t>
  </si>
  <si>
    <t>Plus: Tax credit from licences</t>
  </si>
  <si>
    <t>Less: NPV France seniors plan</t>
  </si>
  <si>
    <t>Plus: minority debt adjustment</t>
  </si>
  <si>
    <t>Digital TV</t>
  </si>
  <si>
    <t>Oi</t>
  </si>
  <si>
    <t>OIBR4 BZ Equity</t>
  </si>
  <si>
    <t>VIVT3 BZ Equity</t>
  </si>
  <si>
    <t>Less; Spectrum / license renewals</t>
  </si>
  <si>
    <t>Plus: Treasury shares</t>
  </si>
  <si>
    <t>OI</t>
  </si>
  <si>
    <t>OI MULTIPLES</t>
  </si>
  <si>
    <t>Iran</t>
  </si>
  <si>
    <t>Other Large Opco</t>
  </si>
  <si>
    <t>Small Opco</t>
  </si>
  <si>
    <t>USD/EUR</t>
  </si>
  <si>
    <t>Televisa</t>
  </si>
  <si>
    <t>TELEVISA</t>
  </si>
  <si>
    <t>EV CALCULATION (US$m)</t>
  </si>
  <si>
    <t>TV MULTIPLES</t>
  </si>
  <si>
    <t>TV US Equity</t>
  </si>
  <si>
    <t>TITR IM Equity</t>
  </si>
  <si>
    <t>TEL2B SS Equity</t>
  </si>
  <si>
    <t>LBTYB US Equity</t>
  </si>
  <si>
    <t>MBT US Equity</t>
  </si>
  <si>
    <t>OIBR3 BZ Equity</t>
  </si>
  <si>
    <t>9432 JP Equity</t>
  </si>
  <si>
    <t>9433 JP Equity</t>
  </si>
  <si>
    <t>Crown Castle</t>
  </si>
  <si>
    <t>US - Towers</t>
  </si>
  <si>
    <t>AMT US equity</t>
  </si>
  <si>
    <t>CCI US Equity</t>
  </si>
  <si>
    <t>SBAC US Equity</t>
  </si>
  <si>
    <t>American Tower</t>
  </si>
  <si>
    <t>Telefonica Brasil 3 (ord)</t>
  </si>
  <si>
    <t>Domestic Mobile</t>
  </si>
  <si>
    <t>TMUS</t>
  </si>
  <si>
    <t xml:space="preserve"> </t>
  </si>
  <si>
    <t>Axiata equity</t>
  </si>
  <si>
    <t>Bharti equity</t>
  </si>
  <si>
    <t>Add: dividend per share</t>
  </si>
  <si>
    <t>Plus: dividend per share</t>
  </si>
  <si>
    <t>T-MOBILE USA</t>
  </si>
  <si>
    <t>Agg. US Telco</t>
  </si>
  <si>
    <t>TMUS MULTIPLES</t>
  </si>
  <si>
    <t>N. AMERICAN TOWERS SECTOR MULTIPLES</t>
  </si>
  <si>
    <t>AMT</t>
  </si>
  <si>
    <t>Agg. US Towers</t>
  </si>
  <si>
    <t>AMT MULTIPLES</t>
  </si>
  <si>
    <t>Crown Castle International</t>
  </si>
  <si>
    <t>CCI MULTIPLES</t>
  </si>
  <si>
    <t>CCI</t>
  </si>
  <si>
    <t>SBA Communications</t>
  </si>
  <si>
    <t>SBAC MULTIPLES</t>
  </si>
  <si>
    <t>SBAC</t>
  </si>
  <si>
    <t>AGGREGATE US TOWERS</t>
  </si>
  <si>
    <t>AGG. US SECTOR MULTIPLES</t>
  </si>
  <si>
    <t>AGGREGATE US SECTOR</t>
  </si>
  <si>
    <t>AGGREGATE US TELECOMS</t>
  </si>
  <si>
    <t>AGG. US TELECOMS MULTIPLES</t>
  </si>
  <si>
    <t>AGGREGATE US CABLE MULTIPLES</t>
  </si>
  <si>
    <t>AGG. US TOWER MULTIPLES</t>
  </si>
  <si>
    <t>US Towers</t>
  </si>
  <si>
    <t>US Aggregate</t>
  </si>
  <si>
    <t>Adjusted P/AFFO</t>
  </si>
  <si>
    <t>TMUS US Equity</t>
  </si>
  <si>
    <t>ORANGE (FRANCE TELECOM GROUP)</t>
  </si>
  <si>
    <t>ORA equity</t>
  </si>
  <si>
    <t>ORANGE</t>
  </si>
  <si>
    <t>ORA MULTIPLES</t>
  </si>
  <si>
    <t>ORA</t>
  </si>
  <si>
    <t>Orange</t>
  </si>
  <si>
    <t>Current share price</t>
  </si>
  <si>
    <t>Excess property</t>
  </si>
  <si>
    <t>NPV of disposals</t>
  </si>
  <si>
    <t>US$bn</t>
  </si>
  <si>
    <t>Revenues</t>
  </si>
  <si>
    <t>Market cap</t>
  </si>
  <si>
    <t>EV</t>
  </si>
  <si>
    <t>Net debt/ EBITDA</t>
  </si>
  <si>
    <t>Towers</t>
  </si>
  <si>
    <t>US</t>
  </si>
  <si>
    <t>Developed Markets</t>
  </si>
  <si>
    <t>Incumbent</t>
  </si>
  <si>
    <t>EMEA</t>
  </si>
  <si>
    <t>Global EM</t>
  </si>
  <si>
    <t>LatAm</t>
  </si>
  <si>
    <t>Emerging Asia</t>
  </si>
  <si>
    <t>Global telcos</t>
  </si>
  <si>
    <t>(used in PEG calculation)</t>
  </si>
  <si>
    <t>GLOBAL TELECOMS SECTOR - SUMMARY</t>
  </si>
  <si>
    <t>Add: dividend</t>
  </si>
  <si>
    <t>Add: NPV tax benefit of eplus sale book loss</t>
  </si>
  <si>
    <t>Indian Mobile</t>
  </si>
  <si>
    <t>South Asian Mobile</t>
  </si>
  <si>
    <t>Tef De stake</t>
  </si>
  <si>
    <t>RELATIVE VALUATION (2014E)</t>
  </si>
  <si>
    <t>Mar 15E net debt</t>
  </si>
  <si>
    <t>Net Inc.</t>
  </si>
  <si>
    <t>Indus Towers</t>
  </si>
  <si>
    <t>Plus: Proportionate Net debt (net cash)</t>
  </si>
  <si>
    <t>MYR/NOK</t>
  </si>
  <si>
    <t>EUR/NOK</t>
  </si>
  <si>
    <t>THB/NOK</t>
  </si>
  <si>
    <t>CAD/NOK</t>
  </si>
  <si>
    <t>USD/NOK</t>
  </si>
  <si>
    <t>Bharti Infratel</t>
  </si>
  <si>
    <t>BHIN MULTIPLES</t>
  </si>
  <si>
    <t>NOS PL Equity</t>
  </si>
  <si>
    <t>Nos</t>
  </si>
  <si>
    <t>NOS MULTIPLES</t>
  </si>
  <si>
    <t>NOS</t>
  </si>
  <si>
    <t xml:space="preserve">SBA </t>
  </si>
  <si>
    <t>Tower Bersama</t>
  </si>
  <si>
    <t>Sarana Menara</t>
  </si>
  <si>
    <t>Emerging Asia - Towers</t>
  </si>
  <si>
    <t>EV/Sales</t>
  </si>
  <si>
    <t>TOWR MULTIPLES</t>
  </si>
  <si>
    <t>TOWER BERSAMA</t>
  </si>
  <si>
    <t>SARANA MENARA (PROTELINDO)</t>
  </si>
  <si>
    <t>EM TOWER SECTOR MULTIPLES</t>
  </si>
  <si>
    <t>TOWR</t>
  </si>
  <si>
    <t>Agg. EM Tower</t>
  </si>
  <si>
    <t>TBIG</t>
  </si>
  <si>
    <t>TBIG MULTIPLES</t>
  </si>
  <si>
    <t>Dividend Yield %</t>
  </si>
  <si>
    <t>EV/Invested Capital</t>
  </si>
  <si>
    <t>Net debt / EBITDA</t>
  </si>
  <si>
    <t>Capex / Sales</t>
  </si>
  <si>
    <t>EV/Tower (US$000)</t>
  </si>
  <si>
    <t>EV/Tenant (US$000)</t>
  </si>
  <si>
    <t>EFCF Yield %</t>
  </si>
  <si>
    <t>OpFCF/Net Interest</t>
  </si>
  <si>
    <t>EBITDA growth y/y</t>
  </si>
  <si>
    <t>OpFCF growth y/y</t>
  </si>
  <si>
    <t>Revenue growth y/y</t>
  </si>
  <si>
    <t>Market Cap (US$bn)</t>
  </si>
  <si>
    <t>Entreprise Value (US$bn)</t>
  </si>
  <si>
    <t>TOWR IJ Equity</t>
  </si>
  <si>
    <t>TBIG IJ Equity</t>
  </si>
  <si>
    <t>Plus: Tower assets</t>
  </si>
  <si>
    <t>IDEA equity</t>
  </si>
  <si>
    <t>BDT/NOK</t>
  </si>
  <si>
    <t>Lithuania</t>
  </si>
  <si>
    <t>Estonia</t>
  </si>
  <si>
    <t>Latvia</t>
  </si>
  <si>
    <t>LiLAC</t>
  </si>
  <si>
    <t>SEK/USD</t>
  </si>
  <si>
    <t>EUR/GBP</t>
  </si>
  <si>
    <t xml:space="preserve">Agg. Developed Asia </t>
  </si>
  <si>
    <t>Agg. Global Developed</t>
  </si>
  <si>
    <t xml:space="preserve">Agg. Global Developed </t>
  </si>
  <si>
    <t>n.a.</t>
  </si>
  <si>
    <t>M&amp;A upside in France</t>
  </si>
  <si>
    <t xml:space="preserve">EU mobile </t>
  </si>
  <si>
    <t>Other Mobile</t>
  </si>
  <si>
    <t>EU-like mobile</t>
  </si>
  <si>
    <t>PROX BB Equity</t>
  </si>
  <si>
    <t>Proximus</t>
  </si>
  <si>
    <t>MEGACABLE</t>
  </si>
  <si>
    <t>Megacable</t>
  </si>
  <si>
    <t>AGGREGATE EMERGING ASIA INCUMBENTS</t>
  </si>
  <si>
    <t>AGGREGATE EMERGING ASIA CELLULAR</t>
  </si>
  <si>
    <t>Agg. Emerging LatAm Altnets &amp; Cable</t>
  </si>
  <si>
    <t>MEGACPO MM Equity</t>
  </si>
  <si>
    <t>MEGA MULTIPLES</t>
  </si>
  <si>
    <t>Magya</t>
  </si>
  <si>
    <t>AGGREGATE LATAM ALTNET &amp; CABLE</t>
  </si>
  <si>
    <t>AGGREGATE EM ALTNET &amp; CABLE</t>
  </si>
  <si>
    <t>LATAM ALTNET &amp; CABLE SECTOR MULTIPLES</t>
  </si>
  <si>
    <t>EM ALTNET &amp; CABLE MULTIPLES</t>
  </si>
  <si>
    <t>AGGREGATE LATAM ALTNET &amp; CABLE MULTIPLES</t>
  </si>
  <si>
    <t>AGGREGATE EM ALTNET &amp; CABLE MULTIPLES</t>
  </si>
  <si>
    <t>LiLAC A</t>
  </si>
  <si>
    <t>LiLAC B</t>
  </si>
  <si>
    <t>LiLAC C</t>
  </si>
  <si>
    <t>LILA US Equity</t>
  </si>
  <si>
    <t>HKBN</t>
  </si>
  <si>
    <t>HKBN MULTIPLES</t>
  </si>
  <si>
    <t>ASIA ALTNET SECTOR MULTIPLES</t>
  </si>
  <si>
    <t>LILAB US Equity</t>
  </si>
  <si>
    <t>LILAK US Equity</t>
  </si>
  <si>
    <t>1310 HK Equity</t>
  </si>
  <si>
    <t>Share price, MXN</t>
  </si>
  <si>
    <t>Share price, HkD</t>
  </si>
  <si>
    <t>Market cap. MXN</t>
  </si>
  <si>
    <t>LiLAC MULTIPLES</t>
  </si>
  <si>
    <t>Prop. EV/EBITDA</t>
  </si>
  <si>
    <t>Prop. EV/OpFCF</t>
  </si>
  <si>
    <t>Prop. EV/FCF</t>
  </si>
  <si>
    <t>Inwit</t>
  </si>
  <si>
    <t>2018E</t>
  </si>
  <si>
    <t>Cellnex</t>
  </si>
  <si>
    <t>Share price, Euro</t>
  </si>
  <si>
    <t>CELLNEX MULTIPLES</t>
  </si>
  <si>
    <t>INWIT MULTIPLES</t>
  </si>
  <si>
    <t>INWIT</t>
  </si>
  <si>
    <t>W. Eur - Towers</t>
  </si>
  <si>
    <t>CLNX SM Equity</t>
  </si>
  <si>
    <t>INW IM Equity</t>
  </si>
  <si>
    <t>RELATIVE VALUATION (2016E)</t>
  </si>
  <si>
    <t>Agg. West Europ TOWER</t>
  </si>
  <si>
    <t>Agg. W.Euro TOWER</t>
  </si>
  <si>
    <t>W.EURO TOWER SECTOR MULTIPLES</t>
  </si>
  <si>
    <t>AGGREGATE DM INCUMB MULTIPLES</t>
  </si>
  <si>
    <t>AGGREGATE DEVELOPED WORLD  INCUMBENT</t>
  </si>
  <si>
    <t>Agg. DM Incumbent total</t>
  </si>
  <si>
    <t>DM AGGREGATE MULTIPLES</t>
  </si>
  <si>
    <t>DM Incumbent sector</t>
  </si>
  <si>
    <t>AGGREGATE DEVELOPED WORLD CELLULAR</t>
  </si>
  <si>
    <t>Agg. Emerging Incumbent</t>
  </si>
  <si>
    <t>Agg. Emerging  Cellular</t>
  </si>
  <si>
    <t>EV/invested capital</t>
  </si>
  <si>
    <t xml:space="preserve">Less: Minorities </t>
  </si>
  <si>
    <t>2019E</t>
  </si>
  <si>
    <t>Less Associates</t>
  </si>
  <si>
    <t>Market cap.(bn)</t>
  </si>
  <si>
    <t>Market cap. (bn)</t>
  </si>
  <si>
    <t>Share price, IDR (bn)</t>
  </si>
  <si>
    <t>Market cap. (Bn)</t>
  </si>
  <si>
    <t>Telesites</t>
  </si>
  <si>
    <t>EV CALCULATION (MXN m)</t>
  </si>
  <si>
    <t>Telesites MULTIPLES</t>
  </si>
  <si>
    <t xml:space="preserve">LatAm </t>
  </si>
  <si>
    <t>Share price,MXN</t>
  </si>
  <si>
    <t>Market cap.(m)</t>
  </si>
  <si>
    <t>Oi (Ords)</t>
  </si>
  <si>
    <t>Oi (Perf)</t>
  </si>
  <si>
    <t>Share price, A$</t>
  </si>
  <si>
    <t>Market cap. (m)</t>
  </si>
  <si>
    <t xml:space="preserve">Telstra </t>
  </si>
  <si>
    <t>Agg. Developed Asia Incumbent</t>
  </si>
  <si>
    <t xml:space="preserve">Agg. Developed Asia Incumbent </t>
  </si>
  <si>
    <t>Spark NZ</t>
  </si>
  <si>
    <t>SPK NZ Equity</t>
  </si>
  <si>
    <t>Chorus NZ</t>
  </si>
  <si>
    <t>Share price, NZ$</t>
  </si>
  <si>
    <t>Bangladesh (ROBI)</t>
  </si>
  <si>
    <t>Drillisch</t>
  </si>
  <si>
    <t>United Internet</t>
  </si>
  <si>
    <t>UTDI GR Equity</t>
  </si>
  <si>
    <t>Share price, Eur</t>
  </si>
  <si>
    <t>DRI GR Equity</t>
  </si>
  <si>
    <t xml:space="preserve">P/EFCF </t>
  </si>
  <si>
    <t>UTDI MULTIPLES</t>
  </si>
  <si>
    <t>Agg.W.Eur.Altnet</t>
  </si>
  <si>
    <t>DRI MULTIPLES</t>
  </si>
  <si>
    <t>SPK MULTIPLES</t>
  </si>
  <si>
    <t>TCELL TI Equity</t>
  </si>
  <si>
    <t xml:space="preserve">Share price, Euro </t>
  </si>
  <si>
    <t>Network</t>
  </si>
  <si>
    <t>`</t>
  </si>
  <si>
    <t>Less: Nigerian fine liability</t>
  </si>
  <si>
    <t>OBEL BB Equity</t>
  </si>
  <si>
    <t>ORA FP Equity</t>
  </si>
  <si>
    <t>ELISA FH Equity</t>
  </si>
  <si>
    <t>Market cap. TRY</t>
  </si>
  <si>
    <t>Orange Belgium</t>
  </si>
  <si>
    <t>Of which: fixed</t>
  </si>
  <si>
    <t>Of which: mobile</t>
  </si>
  <si>
    <t>CNU MULTIPLES</t>
  </si>
  <si>
    <t>Share price,TRY</t>
  </si>
  <si>
    <t>Enterprise Value, TRY</t>
  </si>
  <si>
    <t>SITESB1 MM Equity</t>
  </si>
  <si>
    <t>Forecasts, THB m</t>
  </si>
  <si>
    <t>Forecasts, US$</t>
  </si>
  <si>
    <t>Forecasts, US$ m</t>
  </si>
  <si>
    <t>Forecasts, EUR m</t>
  </si>
  <si>
    <t>Forecasts, USD m</t>
  </si>
  <si>
    <t>Forecasts, MYR m</t>
  </si>
  <si>
    <t>Forecasts, INR m</t>
  </si>
  <si>
    <t>Forecasts, £ m</t>
  </si>
  <si>
    <t>Forecasts, Euro m</t>
  </si>
  <si>
    <t>Forecasts, TWD m</t>
  </si>
  <si>
    <t>Forecasts, NZ$m</t>
  </si>
  <si>
    <t>Forecasts, RMB bn</t>
  </si>
  <si>
    <t>Forecasts, RMB m</t>
  </si>
  <si>
    <t>Forecasts, Eur m</t>
  </si>
  <si>
    <t>Forecasts, CLPm</t>
  </si>
  <si>
    <t>Forecasts, HKD</t>
  </si>
  <si>
    <t>Forecasts, IDR m</t>
  </si>
  <si>
    <t>Forecasts, US$m</t>
  </si>
  <si>
    <t>Forecasts, IDR bn</t>
  </si>
  <si>
    <t>Forecasts, ¥bn</t>
  </si>
  <si>
    <t>Forecasts, KRW m</t>
  </si>
  <si>
    <t>Forecasts, MXN m</t>
  </si>
  <si>
    <t>Forecasts, ZAR m</t>
  </si>
  <si>
    <t>Forecasts, S$ m</t>
  </si>
  <si>
    <t>Forecasts, BRL m</t>
  </si>
  <si>
    <t>Forecasts, IDRbn</t>
  </si>
  <si>
    <t>Forecasts, KES m</t>
  </si>
  <si>
    <t>Forecasts,MXN m</t>
  </si>
  <si>
    <t>Forecasts, CHF m</t>
  </si>
  <si>
    <t>Forecasts, IDR</t>
  </si>
  <si>
    <t>Forecasts, SEK m</t>
  </si>
  <si>
    <t>Forecasts, TRY m</t>
  </si>
  <si>
    <t>Forecasts, A$m</t>
  </si>
  <si>
    <t>Forecasts, NOK m</t>
  </si>
  <si>
    <t>Forecasts, SKK m</t>
  </si>
  <si>
    <t>Nepal</t>
  </si>
  <si>
    <t>Mobileone (Singapore)</t>
  </si>
  <si>
    <t>Plus: NPV of tax benefit from License Amortisation</t>
  </si>
  <si>
    <t>LBTYK US Equity</t>
  </si>
  <si>
    <t>Plus: Iran cash received (75% probability)</t>
  </si>
  <si>
    <t>Add: NPV tax benefit of licence amortisation</t>
  </si>
  <si>
    <t>Denmark mobile</t>
  </si>
  <si>
    <t>Less: NPV licence renewal</t>
  </si>
  <si>
    <t>Plus: Licence amortisation tax shield</t>
  </si>
  <si>
    <t>Less/Plus: Pension Obligation/Surplus</t>
  </si>
  <si>
    <t>Fair value, ZAR</t>
  </si>
  <si>
    <t xml:space="preserve">Add: Capital repayment </t>
  </si>
  <si>
    <t>TPG</t>
  </si>
  <si>
    <t>TPG Telecom</t>
  </si>
  <si>
    <t>Share price, ¥</t>
  </si>
  <si>
    <t xml:space="preserve">Forecasts, ¥bn </t>
  </si>
  <si>
    <t>Less: Pension post tax</t>
  </si>
  <si>
    <t>Less: NPV Restructuring charge</t>
  </si>
  <si>
    <t>Estonia fixed</t>
  </si>
  <si>
    <t>Finland fixed</t>
  </si>
  <si>
    <t>Spirit Telecom</t>
  </si>
  <si>
    <t>Share price, p</t>
  </si>
  <si>
    <t>Market cap. (£)</t>
  </si>
  <si>
    <t>Enterprise Value (£)</t>
  </si>
  <si>
    <t>ST1 AU Equity</t>
  </si>
  <si>
    <t>VEON US Equity</t>
  </si>
  <si>
    <t>2020E</t>
  </si>
  <si>
    <t>Plus: MEIH</t>
  </si>
  <si>
    <t>Veon</t>
  </si>
  <si>
    <t>VEON</t>
  </si>
  <si>
    <t>Plus: NPV tax credits</t>
  </si>
  <si>
    <t>Corporate Development</t>
  </si>
  <si>
    <t>Altice US</t>
  </si>
  <si>
    <t>ATUS US Equity</t>
  </si>
  <si>
    <t>UR</t>
  </si>
  <si>
    <t>Forecasts, USDm</t>
  </si>
  <si>
    <t>KT US Equity</t>
  </si>
  <si>
    <t>Plus: Tax Assets/(Liabilities)</t>
  </si>
  <si>
    <t>Plus: NPV of License Amortisation</t>
  </si>
  <si>
    <t>UTDI equity</t>
  </si>
  <si>
    <t>SCMN SW Equity</t>
  </si>
  <si>
    <t>Add: Synergies</t>
  </si>
  <si>
    <t xml:space="preserve">Underlying Fair value per share </t>
  </si>
  <si>
    <t>Synergies (Vod IDEA)</t>
  </si>
  <si>
    <t>TELIA SS Equity</t>
  </si>
  <si>
    <t>Target price</t>
  </si>
  <si>
    <t>Plus: associates (DT Netherlands 25% equity stake)</t>
  </si>
  <si>
    <t>Less: NPV restructuring payments</t>
  </si>
  <si>
    <t>Plus: NPV CEE deferred sales proceeds</t>
  </si>
  <si>
    <t>Less: Mar 2019E (net debt)/cash</t>
  </si>
  <si>
    <t>2021E</t>
  </si>
  <si>
    <t>18E-21E</t>
  </si>
  <si>
    <t>RELATIVE VALUATION (2018E)</t>
  </si>
  <si>
    <t>12 month historical recommendation changes are available on request</t>
  </si>
  <si>
    <t>New Street Research LLP is authorised and regulated in the UK by the Financial Conduct Authority and is registered in the United States with the Securities and Exchange Commission as an investment adviser.  It may be distributed in the United States by New Street Research LLC which is a partner of New Street Research LLP.</t>
  </si>
  <si>
    <t>Regulatory Disclosures: This research is directed only at persons classified as Professional Clients under the rules of the Financial Conduct Authority (‘FCA’), and must not be re-distributed to Retail Clients as defined in the rules of the FCA.</t>
  </si>
  <si>
    <t>This research is for our clients only. It is based on current public information which we consider reliable, but we do not represent that it is accurate or complete, and it should not be relied on as such. We seek to update our research as appropriate, but various regulations may prevent us from doing so. Most of our reports are published at irregular intervals as appropriate in the analyst's judgment.</t>
  </si>
  <si>
    <t>This research is not an offer to sell or the solicitation of an offer to buy any security in any jurisdiction where such an offer or solicitation would be illegal. It does not constitute a personal recommendation or take into account the particular investment objectives, financial situations, or needs of individual clients. </t>
  </si>
  <si>
    <t>All our research reports are disseminated and available to all clients simultaneously through electronic publication to our website. </t>
  </si>
  <si>
    <t>No part of this material may be copied, photocopied or duplicated in any form by any means or redistributed without the prior written consent of New Street Research LLP.</t>
  </si>
  <si>
    <t>Orange Poland</t>
  </si>
  <si>
    <t>Rest of Europe</t>
  </si>
  <si>
    <t>AME</t>
  </si>
  <si>
    <t>Bank</t>
  </si>
  <si>
    <t>Vox group (Luxembourg)</t>
  </si>
  <si>
    <t>Target price (EUR)</t>
  </si>
  <si>
    <t>Telxius</t>
  </si>
  <si>
    <t>Less: Hybrids</t>
  </si>
  <si>
    <t>ASIA ALTNET &amp; CABLE SECTOR MULTIPLES</t>
  </si>
  <si>
    <t>China Tower</t>
  </si>
  <si>
    <t>788 HK Equity</t>
  </si>
  <si>
    <t>CHINA TOWER</t>
  </si>
  <si>
    <t>China Tower MULTIPLES</t>
  </si>
  <si>
    <t>Plus: NPV tax credit</t>
  </si>
  <si>
    <t>Less: Minorities</t>
  </si>
  <si>
    <t>Digi (Malaysia)</t>
  </si>
  <si>
    <t>Grameen (Bangla)</t>
  </si>
  <si>
    <t>Sweden Mobile</t>
  </si>
  <si>
    <t>Telia GROUP</t>
  </si>
  <si>
    <t>Other/Fin stores</t>
  </si>
  <si>
    <t>Telia</t>
  </si>
  <si>
    <t>Telia MULTIPLES</t>
  </si>
  <si>
    <t>Mar 20E net debt</t>
  </si>
  <si>
    <t xml:space="preserve">Plus: Associates </t>
  </si>
  <si>
    <t>Add: 2019 dividend</t>
  </si>
  <si>
    <t>End 20E net debt</t>
  </si>
  <si>
    <t>SoftBank KK (Corp)</t>
  </si>
  <si>
    <t>9434 JP Equity</t>
  </si>
  <si>
    <t>SOFTBANK KK (CORP)</t>
  </si>
  <si>
    <t>SOFTBANK KK (CORP) MULTIPLES</t>
  </si>
  <si>
    <t>Developed Asia Pac. - Incumbents</t>
  </si>
  <si>
    <t>Developed Asia Pac.- Cellular</t>
  </si>
  <si>
    <t>Developed Asia Pac. - Altnet &amp; Cable</t>
  </si>
  <si>
    <t>Rakuten</t>
  </si>
  <si>
    <t>MultiChoice</t>
  </si>
  <si>
    <t>4755 JP Equity</t>
  </si>
  <si>
    <t>MCG SJ Equity</t>
  </si>
  <si>
    <t>RAKUTEN</t>
  </si>
  <si>
    <t>Enterprise Value (bn)</t>
  </si>
  <si>
    <t>RAKUTEN MULTIPLES</t>
  </si>
  <si>
    <t>EMEA - DTH</t>
  </si>
  <si>
    <t>MCG</t>
  </si>
  <si>
    <t>CNU NZ Equity</t>
  </si>
  <si>
    <t>MAQ AT Equity</t>
  </si>
  <si>
    <t>Macquarie Telecom</t>
  </si>
  <si>
    <t>MACQUARIE TELECOM MULTIPLES</t>
  </si>
  <si>
    <t>Plus: associates</t>
  </si>
  <si>
    <t>Total Nordic</t>
  </si>
  <si>
    <t>Total Europe</t>
  </si>
  <si>
    <t>Total Asia</t>
  </si>
  <si>
    <t>Total Group</t>
  </si>
  <si>
    <t>NPV: licences not in net debt</t>
  </si>
  <si>
    <t>Business Applications</t>
  </si>
  <si>
    <t>Associates Total</t>
  </si>
  <si>
    <t>TIGO US Equity</t>
  </si>
  <si>
    <t>Greece Mobile</t>
  </si>
  <si>
    <t>Romania Mobile</t>
  </si>
  <si>
    <t>Greece Fixed</t>
  </si>
  <si>
    <t>Other (Insurance, OTEGlobe etc)</t>
  </si>
  <si>
    <t>Vodafone IDEA</t>
  </si>
  <si>
    <t>Synergies w/ TNOR</t>
  </si>
  <si>
    <t>Home services</t>
  </si>
  <si>
    <t>Less: Mar 2020E (net debt)/cash</t>
  </si>
  <si>
    <t>Africa net debt</t>
  </si>
  <si>
    <t>Add: 2020E dividend</t>
  </si>
  <si>
    <t>Airtel Africa</t>
  </si>
  <si>
    <t>West Europe</t>
  </si>
  <si>
    <t>Rest of World</t>
  </si>
  <si>
    <t xml:space="preserve">This report was produced by New Street Research LLP. 52 Cornhill, London, EC3V 3PD Tel: +44 20 7375 9111. </t>
  </si>
  <si>
    <t>Consumer Applications</t>
  </si>
  <si>
    <t>Business Access (Versatel)</t>
  </si>
  <si>
    <t>Consumer Access (Drillisch)</t>
  </si>
  <si>
    <t>DCF</t>
  </si>
  <si>
    <t>Total EV</t>
  </si>
  <si>
    <t>Add: Ord dividend</t>
  </si>
  <si>
    <t>Add: Savers dividend</t>
  </si>
  <si>
    <t>Total associatess</t>
  </si>
  <si>
    <t>Total Sweden</t>
  </si>
  <si>
    <t>Total Finland</t>
  </si>
  <si>
    <t>Total Noray</t>
  </si>
  <si>
    <t>Total Denmark</t>
  </si>
  <si>
    <t>Finland mobile</t>
  </si>
  <si>
    <t>Total Estonia</t>
  </si>
  <si>
    <t>Total Lithuania</t>
  </si>
  <si>
    <t>Bonnier</t>
  </si>
  <si>
    <t>Less: licence renewal (NPV)</t>
  </si>
  <si>
    <t>Lithuania mobile</t>
  </si>
  <si>
    <t>Lithuania fixed</t>
  </si>
  <si>
    <t>Fixed</t>
  </si>
  <si>
    <t>Total Norway</t>
  </si>
  <si>
    <t>DNA (Finland)</t>
  </si>
  <si>
    <t>NENT JV (Viasat &amp; Canal Digital)</t>
  </si>
  <si>
    <t>NPV: lease payments not in net debt</t>
  </si>
  <si>
    <t>Less: Pension</t>
  </si>
  <si>
    <t>Less: NPV of lease expense not in net debt</t>
  </si>
  <si>
    <t>Less: Future spectrum renewals, 2020</t>
  </si>
  <si>
    <t>Less: 100% of hybrid</t>
  </si>
  <si>
    <t>Less: NPV 2020 France auction</t>
  </si>
  <si>
    <t>Plus: Tax credits (inc licence amortisation)</t>
  </si>
  <si>
    <t>Total Greece</t>
  </si>
  <si>
    <t>Total Romania</t>
  </si>
  <si>
    <t>Total value</t>
  </si>
  <si>
    <t>Now in greece</t>
  </si>
  <si>
    <t>Less: NPV of spectrum license renewal</t>
  </si>
  <si>
    <t>Add: 2020 dividend</t>
  </si>
  <si>
    <t>T Mobile NL</t>
  </si>
  <si>
    <t>Less: NPV of spectrum renewal</t>
  </si>
  <si>
    <t>Less: NPV Lease payments not in Net Debt</t>
  </si>
  <si>
    <t>Less: NPV spectrum cost post 2020</t>
  </si>
  <si>
    <t>Less: NPV future spectrum costs (end 2020)</t>
  </si>
  <si>
    <t>Less: NPV of 2020 spectrum auction</t>
  </si>
  <si>
    <t>Altnet and cable</t>
  </si>
  <si>
    <t>AGGREGATE W.EUROPE TOWERS</t>
  </si>
  <si>
    <t>AGGREGATE W.EUROPEAN TELECOMS SECTOR (EX. TOWERS)</t>
  </si>
  <si>
    <t>TPG AU Equity</t>
  </si>
  <si>
    <t>EFCF Mkt Cap (EUR for Europe, US$ RoW)</t>
  </si>
  <si>
    <t>Italy (ex. FiberCop)</t>
  </si>
  <si>
    <t>FiberCop</t>
  </si>
  <si>
    <t>ND AL, FY21</t>
  </si>
  <si>
    <t>Inwit stake</t>
  </si>
  <si>
    <t>Spectrum renewals</t>
  </si>
  <si>
    <t>Dividend + buyback yield, Ords</t>
  </si>
  <si>
    <t>Adj. net income (Cons.)</t>
  </si>
  <si>
    <t>EFCF (Prop.)</t>
  </si>
  <si>
    <t>GHS</t>
  </si>
  <si>
    <t>NSR Target</t>
  </si>
  <si>
    <t>Less: NPV licence renewals (net of tax)</t>
  </si>
  <si>
    <t>Less: NPV Restructuring, content, PPE sales</t>
  </si>
  <si>
    <t>Book value</t>
  </si>
  <si>
    <t>Less: NPV spectrum not yet paid</t>
  </si>
  <si>
    <t>Plus: New VRS (now in forecats)</t>
  </si>
  <si>
    <t>Further cost-cutting upside (included in forecats)</t>
  </si>
  <si>
    <t>TIMS3 BZ Equity</t>
  </si>
  <si>
    <t>INDUSTOW IN Equity</t>
  </si>
  <si>
    <t>CHF/USD</t>
  </si>
  <si>
    <t>DKK/USD</t>
  </si>
  <si>
    <t>TRY/USD</t>
  </si>
  <si>
    <t>KWD/USD</t>
  </si>
  <si>
    <t>INR/USD</t>
  </si>
  <si>
    <t>GBP/USD</t>
  </si>
  <si>
    <t>CZK/USD</t>
  </si>
  <si>
    <t>HUF/USD</t>
  </si>
  <si>
    <t>NOK/USD</t>
  </si>
  <si>
    <t>MYR/USD</t>
  </si>
  <si>
    <t>BRL/USD</t>
  </si>
  <si>
    <t>JPY/USD</t>
  </si>
  <si>
    <t>PLN/USD</t>
  </si>
  <si>
    <t>THB/USD</t>
  </si>
  <si>
    <t>CAD/USD</t>
  </si>
  <si>
    <t>CLP/USD</t>
  </si>
  <si>
    <t>LTL/USD</t>
  </si>
  <si>
    <t>MAD/USD</t>
  </si>
  <si>
    <t>ZAR/USD</t>
  </si>
  <si>
    <t>EGP/USD</t>
  </si>
  <si>
    <t>IDR/USD</t>
  </si>
  <si>
    <t>KRW/USD</t>
  </si>
  <si>
    <t>RUB/USD</t>
  </si>
  <si>
    <t>CNY/USD</t>
  </si>
  <si>
    <t>SGD/USD</t>
  </si>
  <si>
    <t>PHP/USD</t>
  </si>
  <si>
    <t>LKR/USD</t>
  </si>
  <si>
    <t>KES/USD</t>
  </si>
  <si>
    <t>MXN/USD</t>
  </si>
  <si>
    <t>TWD/USD</t>
  </si>
  <si>
    <t>ARS/USD</t>
  </si>
  <si>
    <t>PKR/USD</t>
  </si>
  <si>
    <t>BDT/USD</t>
  </si>
  <si>
    <t>QAR/USD</t>
  </si>
  <si>
    <t>CHF Curncy</t>
  </si>
  <si>
    <t>DKK Curncy</t>
  </si>
  <si>
    <t>TRY Curncy</t>
  </si>
  <si>
    <t>KWD Curncy</t>
  </si>
  <si>
    <t>INR Curncy</t>
  </si>
  <si>
    <t>GBP Curncy</t>
  </si>
  <si>
    <t>CZK Curncy</t>
  </si>
  <si>
    <t>EUR Curncy</t>
  </si>
  <si>
    <t>HUF Curncy</t>
  </si>
  <si>
    <t>NOK Curncy</t>
  </si>
  <si>
    <t>SEK Curncy</t>
  </si>
  <si>
    <t>MYR Curncy</t>
  </si>
  <si>
    <t>BRL Curncy</t>
  </si>
  <si>
    <t>JPY Curncy</t>
  </si>
  <si>
    <t>PLN Curncy</t>
  </si>
  <si>
    <t>THB Curncy</t>
  </si>
  <si>
    <t>CAD Curncy</t>
  </si>
  <si>
    <t>CLP Curncy</t>
  </si>
  <si>
    <t>LTL Curncy</t>
  </si>
  <si>
    <t>HKD Curncy</t>
  </si>
  <si>
    <t>AUD Curncy</t>
  </si>
  <si>
    <t>MAD Curncy</t>
  </si>
  <si>
    <t>ZAR Curncy</t>
  </si>
  <si>
    <t>EGP Curncy</t>
  </si>
  <si>
    <t>IDR Curncy</t>
  </si>
  <si>
    <t>KRW Curncy</t>
  </si>
  <si>
    <t>RUB Curncy</t>
  </si>
  <si>
    <t>CNY Curncy</t>
  </si>
  <si>
    <t>SGD Curncy</t>
  </si>
  <si>
    <t>PHP Curncy</t>
  </si>
  <si>
    <t>LKR Curncy</t>
  </si>
  <si>
    <t>KES Curncy</t>
  </si>
  <si>
    <t>MXN Curncy</t>
  </si>
  <si>
    <t>TWD Curncy</t>
  </si>
  <si>
    <t>ARS Curncy</t>
  </si>
  <si>
    <t>PKR Curncy</t>
  </si>
  <si>
    <t>BDT Curncy</t>
  </si>
  <si>
    <t>QAR Curncy</t>
  </si>
  <si>
    <t>NZD Curncy</t>
  </si>
  <si>
    <t>BBVA SM Equity</t>
  </si>
  <si>
    <t>IAM FP Equity</t>
  </si>
  <si>
    <t>BT.A-GB</t>
  </si>
  <si>
    <t>DTE-DE</t>
  </si>
  <si>
    <t>KPN-NL</t>
  </si>
  <si>
    <t>ORA-FR</t>
  </si>
  <si>
    <t>SCMN-CH</t>
  </si>
  <si>
    <t>TIT-IT</t>
  </si>
  <si>
    <t>TITR-IT</t>
  </si>
  <si>
    <t>TEF-ES</t>
  </si>
  <si>
    <t>TEL-NO</t>
  </si>
  <si>
    <t>TELIA-SE</t>
  </si>
  <si>
    <t>HTO-GR</t>
  </si>
  <si>
    <t>ELISA-FI</t>
  </si>
  <si>
    <t>TEL2.B-SE</t>
  </si>
  <si>
    <t>TEL2.A-SE</t>
  </si>
  <si>
    <t>OBEL-BE</t>
  </si>
  <si>
    <t>VOD-GB</t>
  </si>
  <si>
    <t>UTDI-DE</t>
  </si>
  <si>
    <t>LBTYA-US</t>
  </si>
  <si>
    <t>LBTYB-US</t>
  </si>
  <si>
    <t>LBTYK-US</t>
  </si>
  <si>
    <t>NOS-PT</t>
  </si>
  <si>
    <t>CLNX-ES</t>
  </si>
  <si>
    <t>INW-IT</t>
  </si>
  <si>
    <t>TMUS-US</t>
  </si>
  <si>
    <t>CHTR-US</t>
  </si>
  <si>
    <t>CMCSA-US</t>
  </si>
  <si>
    <t>ATUS-US</t>
  </si>
  <si>
    <t>AMT-US</t>
  </si>
  <si>
    <t>CCI-US</t>
  </si>
  <si>
    <t>9432-JP</t>
  </si>
  <si>
    <t>TLS-AU</t>
  </si>
  <si>
    <t>CNU-NZ</t>
  </si>
  <si>
    <t>9433-JP</t>
  </si>
  <si>
    <t>4755-JP</t>
  </si>
  <si>
    <t>9434-JP</t>
  </si>
  <si>
    <t>1310-HK</t>
  </si>
  <si>
    <t>ST1-AU</t>
  </si>
  <si>
    <t>TPG-AU</t>
  </si>
  <si>
    <t>SPK-NZ</t>
  </si>
  <si>
    <t>Z74-SG</t>
  </si>
  <si>
    <t>SBAC-US</t>
  </si>
  <si>
    <t>728-HK</t>
  </si>
  <si>
    <t>762-HK</t>
  </si>
  <si>
    <t>2412-TW</t>
  </si>
  <si>
    <t>TLKM-ID</t>
  </si>
  <si>
    <t>This sheet contains FactSet XML data for use with this workbook's =FDS codes.  Modifying the worksheet's contents may damage the workbook's =FDS functionality.</t>
  </si>
  <si>
    <t>ADVANC-TH</t>
  </si>
  <si>
    <t>941-HK</t>
  </si>
  <si>
    <t>6888-MY</t>
  </si>
  <si>
    <t>532454-IN</t>
  </si>
  <si>
    <t>6947-MY</t>
  </si>
  <si>
    <t>4904-TW</t>
  </si>
  <si>
    <t>Vodafone Idea</t>
  </si>
  <si>
    <t>532822-IN</t>
  </si>
  <si>
    <t>ISAT-ID</t>
  </si>
  <si>
    <t>032640-KR</t>
  </si>
  <si>
    <t>6012-MY</t>
  </si>
  <si>
    <t>017670-KR</t>
  </si>
  <si>
    <t>3045-TW</t>
  </si>
  <si>
    <t>TRUE-TH</t>
  </si>
  <si>
    <t>EXCL-ID</t>
  </si>
  <si>
    <t>534816-IN</t>
  </si>
  <si>
    <t>788-HK</t>
  </si>
  <si>
    <t>TOWR-ID</t>
  </si>
  <si>
    <t>TBIG-ID</t>
  </si>
  <si>
    <t>TKG-ZA</t>
  </si>
  <si>
    <t>MTN-ZA</t>
  </si>
  <si>
    <t>SCOM-KE</t>
  </si>
  <si>
    <t>VOD-ZA</t>
  </si>
  <si>
    <t>MCG-ZA</t>
  </si>
  <si>
    <t>TV-US</t>
  </si>
  <si>
    <t>OIBR4-BR</t>
  </si>
  <si>
    <t>OIBR3-BR</t>
  </si>
  <si>
    <t>ENTEL-CL</t>
  </si>
  <si>
    <t>TIMS3-BR</t>
  </si>
  <si>
    <t>MEGACPO-MX</t>
  </si>
  <si>
    <t>LILAB-US</t>
  </si>
  <si>
    <t>LILAK-US</t>
  </si>
  <si>
    <t>VIVT3-BR</t>
  </si>
  <si>
    <t>LILA-US</t>
  </si>
  <si>
    <t>BBVA-ES</t>
  </si>
  <si>
    <t>USDCHF</t>
  </si>
  <si>
    <t>USDDKK</t>
  </si>
  <si>
    <t>USDTRY</t>
  </si>
  <si>
    <t>USDKWD</t>
  </si>
  <si>
    <t>USDINR</t>
  </si>
  <si>
    <t>USDGBP</t>
  </si>
  <si>
    <t>USDCZK</t>
  </si>
  <si>
    <t>USDHUF</t>
  </si>
  <si>
    <t>USDNOK</t>
  </si>
  <si>
    <t>USDSEK</t>
  </si>
  <si>
    <t>USDMYR</t>
  </si>
  <si>
    <t>USDBRL</t>
  </si>
  <si>
    <t>USDJPY</t>
  </si>
  <si>
    <t>USDPLN</t>
  </si>
  <si>
    <t>USDTHB</t>
  </si>
  <si>
    <t>USDCAD</t>
  </si>
  <si>
    <t>USDCLP</t>
  </si>
  <si>
    <t>USDLTL</t>
  </si>
  <si>
    <t>USDHKD</t>
  </si>
  <si>
    <t>USDAUD</t>
  </si>
  <si>
    <t>USDMAD</t>
  </si>
  <si>
    <t>USDZAR</t>
  </si>
  <si>
    <t>USDEGP</t>
  </si>
  <si>
    <t>USDIDR</t>
  </si>
  <si>
    <t>USDKRW</t>
  </si>
  <si>
    <t>USDRUB</t>
  </si>
  <si>
    <t>USDCNY</t>
  </si>
  <si>
    <t>USDSGD</t>
  </si>
  <si>
    <t>USDPHP</t>
  </si>
  <si>
    <t>USDLKR</t>
  </si>
  <si>
    <t>USDKES</t>
  </si>
  <si>
    <t>USDMXN</t>
  </si>
  <si>
    <t>USDTWD</t>
  </si>
  <si>
    <t>USDARS</t>
  </si>
  <si>
    <t>USDPKR</t>
  </si>
  <si>
    <t>USDBDT</t>
  </si>
  <si>
    <t>USDQAR</t>
  </si>
  <si>
    <t>T-US</t>
  </si>
  <si>
    <t>VZ-US</t>
  </si>
  <si>
    <t>MAQ-AU</t>
  </si>
  <si>
    <t>MBT-US</t>
  </si>
  <si>
    <t>TIGO-US</t>
  </si>
  <si>
    <t>IAM-FR</t>
  </si>
  <si>
    <t>EURUSD</t>
  </si>
  <si>
    <t>NZDUSD</t>
  </si>
  <si>
    <t>USD/NZD</t>
  </si>
  <si>
    <t>AUD/USD</t>
  </si>
  <si>
    <t>HKD/USD</t>
  </si>
  <si>
    <t>FX rates (USD)</t>
  </si>
  <si>
    <t>VEON-US</t>
  </si>
  <si>
    <t>LatAm - Altnets &amp; Cable</t>
  </si>
  <si>
    <t>Tenants</t>
  </si>
  <si>
    <t>RELATIVE VALUATION</t>
  </si>
  <si>
    <t>Tower KPIs</t>
  </si>
  <si>
    <t>Plus: NPV APG cash</t>
  </si>
  <si>
    <t>Less: KPN buys APG stake</t>
  </si>
  <si>
    <t>Add: NPV of R&amp;D deductions in Belgium</t>
  </si>
  <si>
    <t>Less: 50% of hybrid not included in net debt</t>
  </si>
  <si>
    <t>Less: lease liability not in net debt</t>
  </si>
  <si>
    <t>Fibre JVs</t>
  </si>
  <si>
    <t>TOWER MULTIPLES</t>
  </si>
  <si>
    <t>Value in accounts</t>
  </si>
  <si>
    <t>AAF LN Equity</t>
  </si>
  <si>
    <t>AAF-GB</t>
  </si>
  <si>
    <t>AAF MULTIPLES</t>
  </si>
  <si>
    <t>Indus Tower</t>
  </si>
  <si>
    <t>INDUS TOWERS</t>
  </si>
  <si>
    <t>Less: (net debt)/cash</t>
  </si>
  <si>
    <t>Less: Future claims (75% chance)</t>
  </si>
  <si>
    <t>1&amp;1</t>
  </si>
  <si>
    <t>1U1-DE</t>
  </si>
  <si>
    <t>TTKOM.E-TR</t>
  </si>
  <si>
    <t>TCELL.E-TR</t>
  </si>
  <si>
    <t>Agg. W. Europe Other</t>
  </si>
  <si>
    <t>OTHER</t>
  </si>
  <si>
    <t>AGGREGATE W. EUROPE OTHER</t>
  </si>
  <si>
    <t>W. EUR OTHER SECTOR MULTIPLES</t>
  </si>
  <si>
    <t>W. EUR. OTHER SECTOR MULTIPLES</t>
  </si>
  <si>
    <t>W.EUR OTHER SECTOR MULTIPLES</t>
  </si>
  <si>
    <t>Agg.W.Eur Other</t>
  </si>
  <si>
    <t>AGGREGATE DEVELOPED ASIA OTHER</t>
  </si>
  <si>
    <t>Agg. Developed Asia Other</t>
  </si>
  <si>
    <t>DM ASIA OTHER SECTOR MULTIPLES</t>
  </si>
  <si>
    <t>W. Eur - Other</t>
  </si>
  <si>
    <t>LatAm - Towers</t>
  </si>
  <si>
    <t>EMEA - Towers</t>
  </si>
  <si>
    <t>IHS Towers</t>
  </si>
  <si>
    <t>IHS US Equity</t>
  </si>
  <si>
    <t>Share price, $</t>
  </si>
  <si>
    <t>Forecasts, $ m</t>
  </si>
  <si>
    <t>AGGREGATE EM TOWERS</t>
  </si>
  <si>
    <t>Market cap. $ m</t>
  </si>
  <si>
    <t>EM Aggregate</t>
  </si>
  <si>
    <t>EM Towers</t>
  </si>
  <si>
    <t>RELATIVE VALUATION (2022E)</t>
  </si>
  <si>
    <t>IHS</t>
  </si>
  <si>
    <t>IHS-USA</t>
  </si>
  <si>
    <t>Mitratel</t>
  </si>
  <si>
    <t>MITRATEL</t>
  </si>
  <si>
    <t>MTEL IJ Equity</t>
  </si>
  <si>
    <t>MTEL-ID</t>
  </si>
  <si>
    <t>PROX-BE</t>
  </si>
  <si>
    <t>Asia</t>
  </si>
  <si>
    <t>Add dividend</t>
  </si>
  <si>
    <t>Sale price</t>
  </si>
  <si>
    <t xml:space="preserve">USD </t>
  </si>
  <si>
    <t xml:space="preserve">EUR </t>
  </si>
  <si>
    <t xml:space="preserve">HKD </t>
  </si>
  <si>
    <t xml:space="preserve">MXN </t>
  </si>
  <si>
    <t xml:space="preserve">GBP </t>
  </si>
  <si>
    <t>GBP</t>
  </si>
  <si>
    <t xml:space="preserve">AUD </t>
  </si>
  <si>
    <t xml:space="preserve">NZD </t>
  </si>
  <si>
    <t xml:space="preserve">JPY </t>
  </si>
  <si>
    <t xml:space="preserve">SGD </t>
  </si>
  <si>
    <t xml:space="preserve">KES </t>
  </si>
  <si>
    <t>© Copyright 2022 New Street Research LLP</t>
  </si>
  <si>
    <t>Plus: Poland FTTH cash still to come</t>
  </si>
  <si>
    <t>Less: Poland FTTH JV bought back</t>
  </si>
  <si>
    <t>Less: Orange Concessions FTTH JV bought back</t>
  </si>
  <si>
    <t>Assume 51% stake bought back, and so no minority adjustment</t>
  </si>
  <si>
    <t>GlasfaserPlus (DT-IFM JV)</t>
  </si>
  <si>
    <t>Liberty Global (prop.)</t>
  </si>
  <si>
    <t>SITES1A.1-MX</t>
  </si>
  <si>
    <t>VOO</t>
  </si>
  <si>
    <t>Sub-total</t>
  </si>
  <si>
    <t>Chile Infra</t>
  </si>
  <si>
    <t>Brazil Infra</t>
  </si>
  <si>
    <t>Colombia Infra</t>
  </si>
  <si>
    <t>Deal multiple</t>
  </si>
  <si>
    <t xml:space="preserve">Less: Restructuring </t>
  </si>
  <si>
    <t>Less: German 2018 auction</t>
  </si>
  <si>
    <t>Less: Lease costs</t>
  </si>
  <si>
    <t>Less: NPV equity injections</t>
  </si>
  <si>
    <t>TOTEM</t>
  </si>
  <si>
    <t>Africa only (5x Revenue)</t>
  </si>
  <si>
    <t>2022 EV/EBITDA (Inwit/Vantage mult)</t>
  </si>
  <si>
    <t>2023E</t>
  </si>
  <si>
    <t>2024E</t>
  </si>
  <si>
    <t>2025E</t>
  </si>
  <si>
    <t>PROPORTIONATES</t>
  </si>
  <si>
    <t>UNITED INTERNET GROUP</t>
  </si>
  <si>
    <t>Share price (A), US$</t>
  </si>
  <si>
    <t>Share price (C), US$</t>
  </si>
  <si>
    <t>Global Telecoms Multiples</t>
  </si>
  <si>
    <t>AXIATA SOP</t>
  </si>
  <si>
    <t>BHARTI SOP</t>
  </si>
  <si>
    <t>DEUTSCHE TELEKOM SOP</t>
  </si>
  <si>
    <t>ELISA SOP</t>
  </si>
  <si>
    <t>IDEA CELLULAR SOP</t>
  </si>
  <si>
    <t>KPN SOP</t>
  </si>
  <si>
    <t>MTN SOP</t>
  </si>
  <si>
    <t>Orange Belgium SOP</t>
  </si>
  <si>
    <t>ORANGE SOP</t>
  </si>
  <si>
    <t>OTE SOP</t>
  </si>
  <si>
    <t>Proximus SOP</t>
  </si>
  <si>
    <t>SWISSCOM SOP</t>
  </si>
  <si>
    <t>TELEFONICA SOP</t>
  </si>
  <si>
    <t>TELE2 SOP</t>
  </si>
  <si>
    <t>TELECOM ITALIA SOP</t>
  </si>
  <si>
    <t>TELENOR SOP</t>
  </si>
  <si>
    <t>Telia SOP</t>
  </si>
  <si>
    <t>United Internet SOP</t>
  </si>
  <si>
    <t>VODAFONE SOP</t>
  </si>
  <si>
    <t>ATCUS</t>
  </si>
  <si>
    <t>James Ratzer</t>
  </si>
  <si>
    <t>james@newstreetresearch.com</t>
  </si>
  <si>
    <t>Russell Waller</t>
  </si>
  <si>
    <t>russell@newstreetresearch.com</t>
  </si>
  <si>
    <t>USA</t>
  </si>
  <si>
    <t>Jonathan Chaplin</t>
  </si>
  <si>
    <t>jonathan.chaplin@newstreetresearch.com</t>
  </si>
  <si>
    <t>Emerging Markets</t>
  </si>
  <si>
    <t>chris@newstreetresearch.com</t>
  </si>
  <si>
    <t>Chris Hoare</t>
  </si>
  <si>
    <t>Soomit Datta</t>
  </si>
  <si>
    <t>soomit@newstreetresearch.com</t>
  </si>
  <si>
    <t>+44 20 7375 9125</t>
  </si>
  <si>
    <t>+44 20 7375 9127</t>
  </si>
  <si>
    <t>+1 212 921 9876</t>
  </si>
  <si>
    <t>+44 20 7375 9130</t>
  </si>
  <si>
    <t>+44 20 7375 9128</t>
  </si>
  <si>
    <t>Prisa</t>
  </si>
  <si>
    <t>Plus: ERF upside (included in forecasts)</t>
  </si>
  <si>
    <t>Telia Towers (Finland and Norway)</t>
  </si>
  <si>
    <t>Telia Towers (Sweden)</t>
  </si>
  <si>
    <t>FibreCo</t>
  </si>
  <si>
    <t>FibreCo value uplift vs Norway fixed valuation</t>
  </si>
  <si>
    <t>Orange Concessions FTTH JV</t>
  </si>
  <si>
    <t>New entrant risk- 30% loss of value to 20% of domestic business</t>
  </si>
  <si>
    <t>Spain rural FTTH</t>
  </si>
  <si>
    <t>Less: end (net debt)/cash</t>
  </si>
  <si>
    <t>Less:  (net debt)/cash</t>
  </si>
  <si>
    <t>New entrant risk, 30%impact to 20% of domestic business</t>
  </si>
  <si>
    <t>Less: Net (debt)/cash</t>
  </si>
  <si>
    <t>Book value + spectrum</t>
  </si>
  <si>
    <t>Total Domestic</t>
  </si>
  <si>
    <t>Fiberklaar</t>
  </si>
  <si>
    <t>Unifiber</t>
  </si>
  <si>
    <t>GOFiber</t>
  </si>
  <si>
    <t>Consortium</t>
  </si>
  <si>
    <t>Fibre JVs (Equity value) 2023</t>
  </si>
  <si>
    <t>Less: Spectrum renewal (NPV of renewal cost after 2019)</t>
  </si>
  <si>
    <t>Less: NPV of spectrum auctions</t>
  </si>
  <si>
    <t>Less: Court case loss, €1.8bn, 10% probability</t>
  </si>
  <si>
    <t>Less: NPV equity injections to fibre JV</t>
  </si>
  <si>
    <t>Less: NPV restructuring costs</t>
  </si>
  <si>
    <t>Add: 2023 JVs net debt</t>
  </si>
  <si>
    <t>Debt and equity funding captued in capex below in the DCF</t>
  </si>
  <si>
    <t>SOP assumes JVs bought in, therefore include debt at JVs</t>
  </si>
  <si>
    <t>Domestic</t>
  </si>
  <si>
    <t>BICS/Telesign</t>
  </si>
  <si>
    <t>n/r</t>
  </si>
  <si>
    <t>Adj. EBITDA</t>
  </si>
  <si>
    <t>Systems Solutions</t>
  </si>
  <si>
    <t>DMFG</t>
  </si>
  <si>
    <t>Net debt AL</t>
  </si>
  <si>
    <t>Hispam</t>
  </si>
  <si>
    <t>Other and eliminations (excl. Telxius)</t>
  </si>
  <si>
    <t>Target price (BRL)</t>
  </si>
  <si>
    <t>VMO2</t>
  </si>
  <si>
    <t>Less: NPV future licences (excl. DE/ BR)</t>
  </si>
  <si>
    <t>Add: Tax credits/ other</t>
  </si>
  <si>
    <t>Net debt AL, FY23</t>
  </si>
  <si>
    <t>Minorities</t>
  </si>
  <si>
    <t>Provision for employee benefits</t>
  </si>
  <si>
    <t>Provision for legal disputes</t>
  </si>
  <si>
    <t>Provision for DAZN contract losses</t>
  </si>
  <si>
    <t>NRRP rebate</t>
  </si>
  <si>
    <t>Synergies with Open Fiber (50% probability)</t>
  </si>
  <si>
    <t>Consumer Access (1&amp;1)</t>
  </si>
  <si>
    <t>Liabiltiies</t>
  </si>
  <si>
    <t>Business Applications (IONOS)</t>
  </si>
  <si>
    <t>Less: Net debt</t>
  </si>
  <si>
    <t>Other investments</t>
  </si>
  <si>
    <t>Kublai GmbH (Tele Columbus)</t>
  </si>
  <si>
    <t>Spectrum liability</t>
  </si>
  <si>
    <t>Other Markets (=Turkey)</t>
  </si>
  <si>
    <t>Common Functions</t>
  </si>
  <si>
    <t>Spectrum liabilities</t>
  </si>
  <si>
    <t>Vodafone Ziggo loan</t>
  </si>
  <si>
    <t>Restructuring costs</t>
  </si>
  <si>
    <t>Tax benefits</t>
  </si>
  <si>
    <t>Working capital benefit</t>
  </si>
  <si>
    <t>Add: Dividends</t>
  </si>
  <si>
    <t>Add: UK deal uplift</t>
  </si>
  <si>
    <t>GBP/ EUR</t>
  </si>
  <si>
    <t>Target price per share (GBP)</t>
  </si>
  <si>
    <t>Target price per share (EUR)</t>
  </si>
  <si>
    <t>2026E</t>
  </si>
  <si>
    <t>23E-26E</t>
  </si>
  <si>
    <t>EV/ EBITDA</t>
  </si>
  <si>
    <t>PEG*</t>
  </si>
  <si>
    <t>FCF Yield</t>
  </si>
  <si>
    <t>Div. Yield</t>
  </si>
  <si>
    <t>030200-KR</t>
  </si>
  <si>
    <t>CDB MK Equity</t>
  </si>
  <si>
    <t>AMXB-MX</t>
  </si>
  <si>
    <t>Amp</t>
  </si>
  <si>
    <t>Infra</t>
  </si>
  <si>
    <t>Other Units</t>
  </si>
  <si>
    <t>CelcomDigi</t>
  </si>
  <si>
    <t>FX rates (EUR)</t>
  </si>
  <si>
    <t>CHF/EUR</t>
  </si>
  <si>
    <t>DKK/EUR</t>
  </si>
  <si>
    <t>TRY/EUR</t>
  </si>
  <si>
    <t>KWD/EUR</t>
  </si>
  <si>
    <t>INR/EUR</t>
  </si>
  <si>
    <t>GBP/EUR</t>
  </si>
  <si>
    <t>CZK/EUR</t>
  </si>
  <si>
    <t>EUR/USD</t>
  </si>
  <si>
    <t>HUF/EUR</t>
  </si>
  <si>
    <t>NOK/EUR</t>
  </si>
  <si>
    <t>SEK/EUR</t>
  </si>
  <si>
    <t>MYR/EUR</t>
  </si>
  <si>
    <t>BRL/EUR</t>
  </si>
  <si>
    <t>JPY/EUR</t>
  </si>
  <si>
    <t>PLN/EUR</t>
  </si>
  <si>
    <t>THB/EUR</t>
  </si>
  <si>
    <t>CAD/EUR</t>
  </si>
  <si>
    <t>CLP/EUR</t>
  </si>
  <si>
    <t>LTL/EUR</t>
  </si>
  <si>
    <t>HKD/EUR</t>
  </si>
  <si>
    <t>AUD/EUR</t>
  </si>
  <si>
    <t>MAD/EUR</t>
  </si>
  <si>
    <t>ZAR/EUR</t>
  </si>
  <si>
    <t>EGP/EUR</t>
  </si>
  <si>
    <t>IDR/EUR</t>
  </si>
  <si>
    <t>KRW/EUR</t>
  </si>
  <si>
    <t>RUB/EUR</t>
  </si>
  <si>
    <t>CNY/EUR</t>
  </si>
  <si>
    <t>SGD/EUR</t>
  </si>
  <si>
    <t>PHP/EUR</t>
  </si>
  <si>
    <t>LKR/EUR</t>
  </si>
  <si>
    <t>KES/EUR</t>
  </si>
  <si>
    <t>MXN/EUR</t>
  </si>
  <si>
    <t>TWD/EUR</t>
  </si>
  <si>
    <t>ARS/EUR</t>
  </si>
  <si>
    <t>PKR/EUR</t>
  </si>
  <si>
    <t>BDT/EUR</t>
  </si>
  <si>
    <t>QAR/EUR</t>
  </si>
  <si>
    <t>NZD/EUR</t>
  </si>
  <si>
    <t>Frontier</t>
  </si>
  <si>
    <t>EchoStar</t>
  </si>
  <si>
    <t xml:space="preserve">Comcast </t>
  </si>
  <si>
    <t>SATS-US</t>
  </si>
  <si>
    <t>FYBR-US</t>
  </si>
  <si>
    <t>US - Other</t>
  </si>
  <si>
    <t>Agg. US</t>
  </si>
  <si>
    <t>Agg. US Other</t>
  </si>
  <si>
    <t>EchoStar Corporation</t>
  </si>
  <si>
    <t>AGGREGATE US OTHER</t>
  </si>
  <si>
    <t>Share price (B+C), US$</t>
  </si>
  <si>
    <t>Telco</t>
  </si>
  <si>
    <t>nexfibre</t>
  </si>
  <si>
    <t>BICS</t>
  </si>
  <si>
    <t>RouteMobile</t>
  </si>
  <si>
    <t>Telesign</t>
  </si>
  <si>
    <t>Total International</t>
  </si>
  <si>
    <t>Fastweb</t>
  </si>
  <si>
    <t>Vod Italy (inc spectrum renewal)</t>
  </si>
  <si>
    <t>Synergies</t>
  </si>
  <si>
    <t>True (Thailand)</t>
  </si>
  <si>
    <t>Associate discount</t>
  </si>
  <si>
    <t>Less: Vendor financing</t>
  </si>
  <si>
    <t>* Calculated as P/E vs. 2023-2026 earnings CAGR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</si>
</sst>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2">
    <numFmt numFmtId="41" formatCode="_-* #,##0_-;\-* #,##0_-;_-* &quot;-&quot;_-;_-@_-"/>
    <numFmt numFmtId="43" formatCode="_-* #,##0.00_-;\-* #,##0.00_-;_-* &quot;-&quot;??_-;_-@_-"/>
    <numFmt numFmtId="164" formatCode="&quot;$&quot;#,##0_);[Red]\(&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quot;$&quot;#,##0;[Red]\-&quot;$&quot;#,##0"/>
    <numFmt numFmtId="172" formatCode="&quot;$&quot;#,##0.00;\-&quot;$&quot;#,##0.00"/>
    <numFmt numFmtId="173" formatCode="&quot;$&quot;#,##0.00;[Red]\-&quot;$&quot;#,##0.00"/>
    <numFmt numFmtId="174" formatCode="_-* #,##0.0_-;\-* #,##0.0_-;_-* &quot;-&quot;??_-;_-@_-"/>
    <numFmt numFmtId="175" formatCode="_-* #,##0_-;\-* #,##0_-;_-* &quot;-&quot;??_-;_-@_-"/>
    <numFmt numFmtId="176" formatCode="0.0%"/>
    <numFmt numFmtId="177" formatCode="0.0"/>
    <numFmt numFmtId="178" formatCode="#,##0.0"/>
    <numFmt numFmtId="179" formatCode="0.00_);\(0.00\);0.00"/>
    <numFmt numFmtId="180" formatCode="0.00_);\(0.00\);0.00_)"/>
    <numFmt numFmtId="181" formatCode="0.00\%;\-0.00\%;0.00\%"/>
    <numFmt numFmtId="182" formatCode="0.00\x;\-0.00\x;0.00\x"/>
    <numFmt numFmtId="183" formatCode="#,##0_);[Red]\-#,##0_);0_);@_)"/>
    <numFmt numFmtId="184" formatCode="#,##0.00_);[Red]\-#,##0.00_);0.00_);@_)"/>
    <numFmt numFmtId="185" formatCode="#,##0%;[Red]\-#,##0%;0%;@_)"/>
    <numFmt numFmtId="186" formatCode="#,##0.00%;[Red]\-#,##0.00%;0.00%;@_)"/>
    <numFmt numFmtId="187" formatCode="* _(#,##0.00_);[Red]* \(#,##0.00\);* _(&quot;-&quot;?_);@_)"/>
    <numFmt numFmtId="188" formatCode="\€\ * _(#,##0_);[Red]\€\ * \(#,##0\);\€\ * _(&quot;-&quot;?_);@_)"/>
    <numFmt numFmtId="189" formatCode="\€\ * _(#,##0.00_);[Red]\€\ * \(#,##0.00\);\€\ * _(&quot;-&quot;?_);@_)"/>
    <numFmt numFmtId="190" formatCode="[$EUR]\ * _(#,##0_);[Red][$EUR]\ * \(#,##0\);[$EUR]\ * _(&quot;-&quot;?_);@_)"/>
    <numFmt numFmtId="191" formatCode="[$EUR]\ * _(#,##0.00_);[Red][$EUR]\ * \(#,##0.00\);[$EUR]\ * _(&quot;-&quot;?_);@_)"/>
    <numFmt numFmtId="192" formatCode="\$\ * _(#,##0_);[Red]\$\ * \(#,##0\);\$\ * _(&quot;-&quot;?_);@_)"/>
    <numFmt numFmtId="193" formatCode="\$\ * _(#,##0.00_);[Red]\$\ * \(#,##0.00\);\$\ * _(&quot;-&quot;?_);@_)"/>
    <numFmt numFmtId="194" formatCode="[$USD]\ * _(#,##0_);[Red][$USD]\ * \(#,##0\);[$USD]\ * _(&quot;-&quot;?_);@_)"/>
    <numFmt numFmtId="195" formatCode="[$USD]\ * _(#,##0.00_);[Red][$USD]\ * \(#,##0.00\);[$USD]\ * _(&quot;-&quot;?_);@_)"/>
    <numFmt numFmtId="196" formatCode="\£\ * _(#,##0_);[Red]\£\ * \(#,##0\);\£\ * _(&quot;-&quot;?_);@_)"/>
    <numFmt numFmtId="197" formatCode="\£\ * _(#,##0.00_);[Red]\£\ * \(#,##0.00\);\£\ * _(&quot;-&quot;?_);@_)"/>
    <numFmt numFmtId="198" formatCode="[$GBP]\ * _(#,##0_);[Red][$GBP]\ * \(#,##0\);[$GBP]\ * _(&quot;-&quot;?_);@_)"/>
    <numFmt numFmtId="199" formatCode="[$GBP]\ * _(#,##0.00_);[Red][$GBP]\ * \(#,##0.00\);[$GBP]\ * _(&quot;-&quot;?_);@_)"/>
    <numFmt numFmtId="200" formatCode="mmm\ yy_)"/>
    <numFmt numFmtId="201" formatCode="yyyy_)"/>
    <numFmt numFmtId="202" formatCode="_-* #,##0.0_-;\-* #,##0.0_-;_-* &quot;-&quot;?_-;_-@_-"/>
    <numFmt numFmtId="203" formatCode="0.0000"/>
    <numFmt numFmtId="204" formatCode="#,##0.0_);\(#,##0.0\)"/>
    <numFmt numFmtId="205" formatCode="&quot;$&quot;_(#,##0.00_);&quot;$&quot;\(#,##0.00\)"/>
    <numFmt numFmtId="206" formatCode="#,##0.0_)\x;\(#,##0.0\)\x"/>
    <numFmt numFmtId="207" formatCode="#,##0.0_)_x;\(#,##0.0\)_x"/>
    <numFmt numFmtId="208" formatCode="0.0_)\%;\(0.0\)\%"/>
    <numFmt numFmtId="209" formatCode="#,##0.0_)_%;\(#,##0.0\)_%"/>
    <numFmt numFmtId="210" formatCode="0.000%"/>
    <numFmt numFmtId="211" formatCode="#,##0.00\ &quot;Kč&quot;;[Red]\-#,##0.00\ &quot;Kč&quot;"/>
    <numFmt numFmtId="212" formatCode="0_);\(0\)"/>
    <numFmt numFmtId="213" formatCode="0&quot;E&quot;;\(0\)&quot;E&quot;"/>
    <numFmt numFmtId="214" formatCode="#,##0;\(#,##0\)"/>
    <numFmt numFmtId="215" formatCode="#,##0,;\-#,##0,"/>
    <numFmt numFmtId="216" formatCode="#,##0.000_);[Red]\(#,##0.000\)"/>
    <numFmt numFmtId="217" formatCode="_-\€* #,##0.00_-;\-\€* #,##0.00_-;_-\€* &quot;-&quot;??_-;_-@_-"/>
    <numFmt numFmtId="218" formatCode="_-\€* #,##0_-;\-\€* #,##0_-;_-\€* &quot;-&quot;_-;_-@_-"/>
    <numFmt numFmtId="219" formatCode="0.0%_);\(0.0%\)_)"/>
    <numFmt numFmtId="220" formatCode="&quot;$&quot;#,##0.00000000000000000000000000_);[Red]\(&quot;$&quot;#,##0.00000000000000000000000000\)"/>
    <numFmt numFmtId="221" formatCode="#,##0.000;\(#,##0.000\)"/>
    <numFmt numFmtId="222" formatCode="#,##0.00;\(#,##0.00\)"/>
    <numFmt numFmtId="223" formatCode="yyyy"/>
    <numFmt numFmtId="224" formatCode="#,##0_);\(#,##0\);0_)"/>
    <numFmt numFmtId="225" formatCode="#,##0.0000_);[Red]\(#,##0.0000\);0.0000_)"/>
    <numFmt numFmtId="226" formatCode="00000"/>
    <numFmt numFmtId="227" formatCode="&quot;$&quot;#,##0.00&quot;A&quot;;[Red]\(&quot;$&quot;#,##0.00\)&quot;A&quot;"/>
    <numFmt numFmtId="228" formatCode="&quot;$&quot;#,##0.00&quot;E&quot;;[Red]\(&quot;$&quot;#,##0.00\)&quot;E&quot;"/>
    <numFmt numFmtId="229" formatCode="_-[$€]* #,##0.00_-;\-[$€]* #,##0.00_-;_-[$€]* &quot;-&quot;??_-;_-@_-"/>
    <numFmt numFmtId="230" formatCode="#\ ##0.0"/>
    <numFmt numFmtId="231" formatCode="#,##0.0_);[Red]\(#,##0.0\)"/>
    <numFmt numFmtId="232" formatCode="0.0%_);[Red]\(0.0%\)"/>
    <numFmt numFmtId="233" formatCode="#,##0.0;\(#,##0.0\)"/>
    <numFmt numFmtId="234" formatCode="0.00%;\(0.00%\)"/>
    <numFmt numFmtId="235" formatCode="###0"/>
    <numFmt numFmtId="236" formatCode="General_)"/>
    <numFmt numFmtId="237" formatCode="0.0%_);\(0.0%\)"/>
    <numFmt numFmtId="238" formatCode="_-* #,##0_ _F_-;\-* #,##0_ _F_-;_-* &quot;-&quot;_ _F_-;_-@_-"/>
    <numFmt numFmtId="239" formatCode="#,##0.00_);[Red]\(#,##0.00\);0.00_)"/>
    <numFmt numFmtId="240" formatCode="_-* #,##0.00_ _F_-;\-* #,##0.00_ _F_-;_-* &quot;-&quot;??_ _F_-;_-@_-"/>
    <numFmt numFmtId="241" formatCode="_-* #,##0&quot; F&quot;_-;\-* #,##0&quot; F&quot;_-;_-* &quot;-&quot;&quot; F&quot;_-;_-@_-"/>
    <numFmt numFmtId="242" formatCode="#,##0.00_)&quot; F&quot;;[Red]\(#,##0.00\)&quot; F&quot;;0.00_)&quot; F&quot;"/>
    <numFmt numFmtId="243" formatCode="_-* #,##0.00&quot; F&quot;_-;\-* #,##0.00&quot; F&quot;_-;_-* &quot;-&quot;??&quot; F&quot;_-;_-@_-"/>
    <numFmt numFmtId="244" formatCode="_ * #,##0.00_ ;_ * \-#,##0.00_ ;_ * &quot;-&quot;??_ ;_ @_ "/>
    <numFmt numFmtId="245" formatCode="_-* #,##0.00\ _K_č_-;\-* #,##0.00\ _K_č_-;_-* &quot;-&quot;??\ _K_č_-;_-@_-"/>
    <numFmt numFmtId="246" formatCode="#,##0_);\(#,##0\);;"/>
    <numFmt numFmtId="247" formatCode="#,##0.0000;\(#,##0.0000\)"/>
    <numFmt numFmtId="248" formatCode="0%;[Red]\-0%"/>
    <numFmt numFmtId="249" formatCode="0.00%_);\(0.00%\)"/>
    <numFmt numFmtId="250" formatCode="#.0"/>
    <numFmt numFmtId="251" formatCode="&quot;kr&quot;\ #,##0_);[Red]\(&quot;kr&quot;\ #,##0\)"/>
    <numFmt numFmtId="252" formatCode="0\.00%;[Red]\-0\.00%"/>
    <numFmt numFmtId="253" formatCode="0.0000%"/>
    <numFmt numFmtId="254" formatCode="#,##0.00_)\ \x;\(#,##0.00\)\ \x"/>
    <numFmt numFmtId="255" formatCode="&quot;kr&quot;\ #,##0.00_);[Red]\(&quot;kr&quot;\ #,##0.00\)"/>
    <numFmt numFmtId="256" formatCode="#,##0.0\ ;\(#,##0.0\)"/>
    <numFmt numFmtId="257" formatCode="#,##0.00\ ;\(#,##0.00\)"/>
    <numFmt numFmtId="258" formatCode="#,##0.0000_);[Red]\(#,##0.0000\)"/>
    <numFmt numFmtId="259" formatCode="&quot;$&quot;#,##0.0_);[Red]\(&quot;$&quot;#,##0.0\)"/>
    <numFmt numFmtId="260" formatCode="0.000"/>
    <numFmt numFmtId="261" formatCode="0.0%;\(0.0%\)"/>
    <numFmt numFmtId="262" formatCode="mmm"/>
    <numFmt numFmtId="263" formatCode="mmm\ dd\,\ yyyy"/>
    <numFmt numFmtId="264" formatCode="#,##0\ ;\(#,##0\);\-\ "/>
    <numFmt numFmtId="265" formatCode="_([$€-2]* #,##0.00_);_([$€-2]* \(#,##0.00\);_([$€-2]* &quot;-&quot;??_)"/>
    <numFmt numFmtId="266" formatCode="0.00%_);[Red]\(0.00%\)"/>
    <numFmt numFmtId="267" formatCode="#,##0.00\ ;\ \(#,##0.00\);\ &quot;- &quot;"/>
    <numFmt numFmtId="268" formatCode="#,##0.00\x_);[Red]\(#,##0.00\x\)"/>
    <numFmt numFmtId="269" formatCode="0%;\-0%"/>
    <numFmt numFmtId="270" formatCode="#,##0.00\p;[Red]\-&quot;£&quot;#,##0.00\p"/>
    <numFmt numFmtId="271" formatCode="#,##0.00\p;[Red]\-#,##0.00\p"/>
    <numFmt numFmtId="272" formatCode="&quot;DK&quot;#,##0_);\(&quot;$&quot;#,##0\)"/>
    <numFmt numFmtId="273" formatCode="&quot;FL&quot;#,##0_);\(&quot;$&quot;#,##0\)"/>
    <numFmt numFmtId="274" formatCode="&quot;FL&quot;#,##0.0_);\(&quot;$&quot;#,##0.0\)"/>
    <numFmt numFmtId="275" formatCode="&quot;FL&quot;#,##0.00_);\(&quot;$&quot;#,##0.00\)"/>
    <numFmt numFmtId="276" formatCode="&quot;EP&quot;#,##0_);\(&quot;$&quot;#,##0\)"/>
    <numFmt numFmtId="277" formatCode="&quot;£&quot;#,##0.0;[Red]\-&quot;£&quot;#,##0.0"/>
    <numFmt numFmtId="278" formatCode="0.000000"/>
    <numFmt numFmtId="279" formatCode="#,##0.0\ \x"/>
    <numFmt numFmtId="280" formatCode="#,##0;&quot;£&quot;#,##0"/>
    <numFmt numFmtId="281" formatCode="&quot;£&quot;\ #,##0_);[Red]\(&quot;£&quot;\ #,##0\)"/>
    <numFmt numFmtId="282" formatCode="&quot;¥&quot;\ #,##0_);[Red]\(&quot;¥&quot;\ #,##0\)"/>
    <numFmt numFmtId="283" formatCode="0_)"/>
    <numFmt numFmtId="284" formatCode="0\A"/>
    <numFmt numFmtId="285" formatCode="0.00000"/>
    <numFmt numFmtId="286" formatCode="0.000_]"/>
    <numFmt numFmtId="287" formatCode="#,##0.0\ _]"/>
    <numFmt numFmtId="288" formatCode="&quot;•&quot;\ \ @"/>
    <numFmt numFmtId="289" formatCode="_-* #,###_-;\(#,###\);_-* &quot;–&quot;_-;_-@_-"/>
    <numFmt numFmtId="290" formatCode="0.00000000000"/>
    <numFmt numFmtId="291" formatCode="0.000000000000"/>
    <numFmt numFmtId="292" formatCode="0.0%;\(0.0\)%"/>
    <numFmt numFmtId="293" formatCode="dd\-mm"/>
    <numFmt numFmtId="294" formatCode="dd/m/yy"/>
    <numFmt numFmtId="295" formatCode="#,##0_%_);\(#,##0\)_%;#,##0_%_);@_%_)"/>
    <numFmt numFmtId="296" formatCode="#,##0.0\x_);\(#,##0.0\x\)"/>
    <numFmt numFmtId="297" formatCode="0.0_)"/>
    <numFmt numFmtId="298" formatCode="\ \ _•&quot;–&quot;\ \ \ \ @"/>
    <numFmt numFmtId="299" formatCode="#,##0.00;\(#,##0.00\);&quot;-&quot;"/>
    <numFmt numFmtId="300" formatCode="#,##0.0000\ ;\(#,##0.0000\)"/>
    <numFmt numFmtId="301" formatCode=";;;"/>
    <numFmt numFmtId="302" formatCode="mmyy"/>
    <numFmt numFmtId="303" formatCode="\$#,##0.0;\-\$#,##0.0"/>
    <numFmt numFmtId="304" formatCode="0.0\x;\-0.0\x;"/>
    <numFmt numFmtId="305" formatCode="[Red]0.###,,&quot; mm&quot;"/>
    <numFmt numFmtId="306" formatCode="##0.00000"/>
    <numFmt numFmtId="307" formatCode="#,##0;\(#,##0\);&quot;–&quot;;@"/>
    <numFmt numFmtId="308" formatCode="#,##0.000\ ;\(#,##0.000\)"/>
    <numFmt numFmtId="309" formatCode="0.000000000"/>
    <numFmt numFmtId="310" formatCode="0."/>
    <numFmt numFmtId="311" formatCode="&quot;£&quot;0&quot;m&quot;"/>
    <numFmt numFmtId="312" formatCode="0.0_)\%;\(0.0\)\%;0.0_)\%;@_)_%"/>
    <numFmt numFmtId="313" formatCode="#,##0.0_)_%;\(#,##0.0\)_%;0.0_)_%;@_)_%"/>
    <numFmt numFmtId="314" formatCode="#,##0.0_);\(#,##0.0\);#,##0.0_);@_)"/>
    <numFmt numFmtId="315" formatCode="&quot;£&quot;_(#,##0.00_);&quot;£&quot;\(#,##0.00\);&quot;£&quot;_(0.00_);@_)"/>
    <numFmt numFmtId="316" formatCode="#,##0.00_);\(#,##0.00\);0.00_);@_)"/>
    <numFmt numFmtId="317" formatCode="\€_(#,##0.00_);\€\(#,##0.00\);\€_(0.00_);@_)"/>
    <numFmt numFmtId="318" formatCode="#,##0_)\x;\(#,##0\)\x;0_)\x;@_)_x"/>
    <numFmt numFmtId="319" formatCode="#,##0_)_x;\(#,##0\)_x;0_)_x;@_)_x"/>
    <numFmt numFmtId="320" formatCode="0.00\e"/>
    <numFmt numFmtId="321" formatCode="_-* #,##0.00\ [$€]_-;\-* #,##0.00\ [$€]_-;_-* &quot;-&quot;??\ [$€]_-;_-@_-"/>
    <numFmt numFmtId="322" formatCode="#,#00"/>
    <numFmt numFmtId="323" formatCode="0.0_ ;[Red]\-0.0\ "/>
    <numFmt numFmtId="324" formatCode="#,##0;[Red]&quot;-&quot;#,##0"/>
    <numFmt numFmtId="325" formatCode="_ * #,##0_ ;_ * \-#,##0_ ;_ * &quot;-&quot;_ ;_ @_ "/>
    <numFmt numFmtId="326" formatCode="_ &quot;S/&quot;* #,##0_ ;_ &quot;S/&quot;* \-#,##0_ ;_ &quot;S/&quot;* &quot;-&quot;_ ;_ @_ "/>
    <numFmt numFmtId="327" formatCode="_ &quot;S/&quot;* #,##0.00_ ;_ &quot;S/&quot;* \-#,##0.00_ ;_ &quot;S/&quot;* &quot;-&quot;??_ ;_ @_ "/>
    <numFmt numFmtId="328" formatCode="d\.mmm\.yy"/>
    <numFmt numFmtId="329" formatCode="_-* #,##0\ _F_-;\-* #,##0\ _F_-;_-* &quot;-&quot;\ _F_-;_-@_-"/>
    <numFmt numFmtId="330" formatCode="d\.mmm"/>
    <numFmt numFmtId="331" formatCode="_-* #,##0.00\ &quot;F&quot;_-;\-* #,##0.00\ &quot;F&quot;_-;_-* &quot;-&quot;??\ &quot;F&quot;_-;_-@_-"/>
    <numFmt numFmtId="332" formatCode="0.00_)"/>
    <numFmt numFmtId="333" formatCode="%#,#00"/>
    <numFmt numFmtId="334" formatCode="#.##000"/>
    <numFmt numFmtId="335" formatCode="_-* #,##0.00\ _D_M_-;\-* #,##0.00\ _D_M_-;_-* &quot;-&quot;??\ _D_M_-;_-@_-"/>
    <numFmt numFmtId="336" formatCode="_(* #,##0_);_(* \(#,##0\);_(* &quot;-&quot;??_);_(@_)"/>
    <numFmt numFmtId="337" formatCode="#,"/>
    <numFmt numFmtId="338" formatCode="#,##0;\(#,##0\);\-"/>
    <numFmt numFmtId="339" formatCode="\Z\A\R0"/>
    <numFmt numFmtId="340" formatCode="\$#,##0.0;\(\$#,##0.0\);\-"/>
    <numFmt numFmtId="341" formatCode="\€#,##0.0;\(\€#,##0.0\);\-"/>
    <numFmt numFmtId="342" formatCode="#,##0.0;\(#,##0.0\);\-"/>
    <numFmt numFmtId="343" formatCode="0.0%;\(0.0%\);\-"/>
  </numFmts>
  <fonts count="312">
    <font>
      <sz val="10"/>
      <name val="Trebuchet M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rebuchet MS"/>
      <family val="2"/>
    </font>
    <font>
      <sz val="8"/>
      <name val="Trebuchet MS"/>
      <family val="2"/>
    </font>
    <font>
      <sz val="10"/>
      <name val="Arial"/>
      <family val="2"/>
    </font>
    <font>
      <sz val="10"/>
      <name val="MS Sans Serif"/>
      <family val="2"/>
    </font>
    <font>
      <sz val="8"/>
      <name val="Helvetica"/>
      <family val="2"/>
    </font>
    <font>
      <sz val="10"/>
      <name val="Frutiger 45 Light"/>
      <family val="2"/>
    </font>
    <font>
      <sz val="24"/>
      <name val="MS Sans Serif"/>
      <family val="2"/>
    </font>
    <font>
      <sz val="9"/>
      <color indexed="18"/>
      <name val="Arial"/>
      <family val="2"/>
    </font>
    <font>
      <sz val="10"/>
      <name val="Times New Roman"/>
      <family val="1"/>
    </font>
    <font>
      <sz val="10"/>
      <color indexed="12"/>
      <name val="Times New Roman"/>
      <family val="1"/>
    </font>
    <font>
      <sz val="10"/>
      <color indexed="12"/>
      <name val="Arial"/>
      <family val="2"/>
    </font>
    <font>
      <b/>
      <sz val="10"/>
      <name val="MS Sans Serif"/>
      <family val="2"/>
    </font>
    <font>
      <sz val="10"/>
      <name val="Geneva"/>
    </font>
    <font>
      <sz val="10"/>
      <color indexed="23"/>
      <name val="MS Sans Serif"/>
      <family val="2"/>
    </font>
    <font>
      <b/>
      <sz val="12"/>
      <name val="MS Sans Serif"/>
      <family val="2"/>
    </font>
    <font>
      <sz val="10"/>
      <name val="Arial Narrow"/>
      <family val="2"/>
    </font>
    <font>
      <b/>
      <sz val="10"/>
      <name val="Times New Roman"/>
      <family val="1"/>
    </font>
    <font>
      <sz val="10"/>
      <name val="Trebuchet MS"/>
      <family val="2"/>
    </font>
    <font>
      <b/>
      <sz val="22"/>
      <name val="Arial"/>
      <family val="2"/>
    </font>
    <font>
      <i/>
      <sz val="9"/>
      <color indexed="16"/>
      <name val="Arial"/>
      <family val="2"/>
    </font>
    <font>
      <sz val="8"/>
      <name val="Arial"/>
      <family val="2"/>
    </font>
    <font>
      <sz val="9"/>
      <name val="Arial"/>
      <family val="2"/>
    </font>
    <font>
      <b/>
      <sz val="10"/>
      <color indexed="81"/>
      <name val="Tahoma"/>
      <family val="2"/>
    </font>
    <font>
      <b/>
      <sz val="10"/>
      <name val="Arial"/>
      <family val="2"/>
    </font>
    <font>
      <b/>
      <sz val="8"/>
      <color indexed="81"/>
      <name val="Tahoma"/>
      <family val="2"/>
    </font>
    <font>
      <sz val="8"/>
      <color indexed="81"/>
      <name val="Tahoma"/>
      <family val="2"/>
    </font>
    <font>
      <sz val="9"/>
      <name val="Arial"/>
      <family val="2"/>
    </font>
    <font>
      <i/>
      <sz val="9"/>
      <color indexed="55"/>
      <name val="Arial"/>
      <family val="2"/>
    </font>
    <font>
      <b/>
      <sz val="9"/>
      <name val="Arial"/>
      <family val="2"/>
    </font>
    <font>
      <b/>
      <sz val="18"/>
      <name val="Arial"/>
      <family val="2"/>
    </font>
    <font>
      <b/>
      <sz val="14"/>
      <name val="Arial"/>
      <family val="2"/>
    </font>
    <font>
      <b/>
      <sz val="12"/>
      <name val="Arial"/>
      <family val="2"/>
    </font>
    <font>
      <sz val="8"/>
      <name val="Arial"/>
      <family val="2"/>
    </font>
    <font>
      <b/>
      <sz val="12"/>
      <color indexed="81"/>
      <name val="Tahoma"/>
      <family val="2"/>
    </font>
    <font>
      <sz val="10"/>
      <color indexed="10"/>
      <name val="Arial"/>
      <family val="2"/>
    </font>
    <font>
      <sz val="8"/>
      <color indexed="10"/>
      <name val="Arial"/>
      <family val="2"/>
    </font>
    <font>
      <sz val="8"/>
      <color indexed="9"/>
      <name val="Arial"/>
      <family val="2"/>
    </font>
    <font>
      <sz val="10"/>
      <name val="Trebuchet MS"/>
      <family val="2"/>
    </font>
    <font>
      <sz val="10"/>
      <name val="Trebuchet MS"/>
      <family val="2"/>
    </font>
    <font>
      <sz val="10"/>
      <color indexed="8"/>
      <name val="MS Sans Serif"/>
      <family val="2"/>
    </font>
    <font>
      <sz val="12"/>
      <name val="·s²Ó©úÅé"/>
      <charset val="136"/>
    </font>
    <font>
      <sz val="10"/>
      <name val="Helv"/>
    </font>
    <font>
      <sz val="8"/>
      <color indexed="8"/>
      <name val="MS Sans Serif"/>
      <family val="2"/>
    </font>
    <font>
      <b/>
      <sz val="12"/>
      <name val="Helv"/>
    </font>
    <font>
      <sz val="8"/>
      <name val="Times New Roman"/>
      <family val="1"/>
    </font>
    <font>
      <sz val="12"/>
      <name val="Arial"/>
      <family val="2"/>
    </font>
    <font>
      <sz val="10"/>
      <color indexed="10"/>
      <name val="Times New Roman"/>
      <family val="1"/>
    </font>
    <font>
      <b/>
      <sz val="11"/>
      <color indexed="10"/>
      <name val="Times New Roman"/>
      <family val="1"/>
    </font>
    <font>
      <b/>
      <i/>
      <sz val="11"/>
      <color indexed="9"/>
      <name val="Times New Roman"/>
      <family val="1"/>
    </font>
    <font>
      <b/>
      <sz val="9"/>
      <color indexed="9"/>
      <name val="Arial"/>
      <family val="2"/>
    </font>
    <font>
      <sz val="8"/>
      <color indexed="12"/>
      <name val="Times"/>
      <family val="1"/>
    </font>
    <font>
      <u val="singleAccounting"/>
      <sz val="10"/>
      <name val="Arial"/>
      <family val="2"/>
    </font>
    <font>
      <sz val="12"/>
      <color indexed="10"/>
      <name val="Times New Roman"/>
      <family val="1"/>
    </font>
    <font>
      <b/>
      <sz val="10"/>
      <name val="Helv"/>
    </font>
    <font>
      <sz val="10"/>
      <color indexed="18"/>
      <name val="Times New Roman"/>
      <family val="1"/>
    </font>
    <font>
      <sz val="10"/>
      <color indexed="22"/>
      <name val="Arial"/>
      <family val="2"/>
    </font>
    <font>
      <sz val="12"/>
      <name val="Times New Roman"/>
      <family val="1"/>
    </font>
    <font>
      <b/>
      <sz val="8"/>
      <name val="Arial"/>
      <family val="2"/>
    </font>
    <font>
      <b/>
      <sz val="8"/>
      <name val="Times New Roman"/>
      <family val="1"/>
    </font>
    <font>
      <sz val="12"/>
      <color indexed="14"/>
      <name val="Times New Roman"/>
      <family val="1"/>
    </font>
    <font>
      <u val="doubleAccounting"/>
      <sz val="10"/>
      <name val="Arial"/>
      <family val="2"/>
    </font>
    <font>
      <b/>
      <i/>
      <sz val="8"/>
      <color indexed="12"/>
      <name val="HelveticaNeue Condensed"/>
    </font>
    <font>
      <b/>
      <u/>
      <sz val="12"/>
      <name val="Arial Narrow"/>
      <family val="2"/>
    </font>
    <font>
      <sz val="10"/>
      <color indexed="2"/>
      <name val="Tahoma"/>
      <family val="2"/>
    </font>
    <font>
      <b/>
      <sz val="7"/>
      <color indexed="12"/>
      <name val="Arial"/>
      <family val="2"/>
    </font>
    <font>
      <b/>
      <sz val="10"/>
      <color indexed="0"/>
      <name val="Tahoma"/>
      <family val="2"/>
    </font>
    <font>
      <u/>
      <sz val="10"/>
      <color indexed="36"/>
      <name val="Arial"/>
      <family val="2"/>
    </font>
    <font>
      <i/>
      <sz val="8"/>
      <color indexed="17"/>
      <name val="Times New Roman"/>
      <family val="1"/>
    </font>
    <font>
      <sz val="8"/>
      <color indexed="21"/>
      <name val="Arial"/>
      <family val="2"/>
    </font>
    <font>
      <sz val="8"/>
      <color indexed="12"/>
      <name val="Times New Roman"/>
      <family val="1"/>
    </font>
    <font>
      <b/>
      <sz val="12"/>
      <color indexed="10"/>
      <name val="Arial"/>
      <family val="2"/>
    </font>
    <font>
      <b/>
      <sz val="10"/>
      <color indexed="18"/>
      <name val="Times New Roman"/>
      <family val="1"/>
    </font>
    <font>
      <sz val="10"/>
      <name val="Tahoma"/>
      <family val="2"/>
    </font>
    <font>
      <sz val="8"/>
      <color indexed="8"/>
      <name val="Helvetica"/>
      <family val="2"/>
    </font>
    <font>
      <u/>
      <sz val="6"/>
      <color indexed="12"/>
      <name val="Arial"/>
      <family val="2"/>
    </font>
    <font>
      <sz val="12"/>
      <name val="Helv"/>
    </font>
    <font>
      <sz val="8"/>
      <color indexed="39"/>
      <name val="Arial"/>
      <family val="2"/>
    </font>
    <font>
      <sz val="8"/>
      <color indexed="10"/>
      <name val="Helv"/>
    </font>
    <font>
      <sz val="10"/>
      <color indexed="16"/>
      <name val="MS Sans Serif"/>
      <family val="2"/>
    </font>
    <font>
      <b/>
      <sz val="12"/>
      <color indexed="17"/>
      <name val="Wingdings"/>
      <charset val="2"/>
    </font>
    <font>
      <b/>
      <sz val="18"/>
      <name val="Times New Roman"/>
      <family val="1"/>
    </font>
    <font>
      <b/>
      <sz val="8"/>
      <color indexed="14"/>
      <name val="MS Sans Serif"/>
      <family val="2"/>
    </font>
    <font>
      <sz val="8"/>
      <color indexed="18"/>
      <name val="Times New Roman"/>
      <family val="1"/>
    </font>
    <font>
      <b/>
      <i/>
      <sz val="10"/>
      <color indexed="4"/>
      <name val="Tahoma"/>
      <family val="2"/>
    </font>
    <font>
      <sz val="10"/>
      <color indexed="4"/>
      <name val="Tahoma"/>
      <family val="2"/>
    </font>
    <font>
      <sz val="7"/>
      <name val="Small Fonts"/>
      <family val="2"/>
    </font>
    <font>
      <b/>
      <u/>
      <sz val="12"/>
      <name val="L Serifa Light"/>
    </font>
    <font>
      <sz val="7"/>
      <color indexed="12"/>
      <name val="Arial"/>
      <family val="2"/>
    </font>
    <font>
      <i/>
      <sz val="10"/>
      <name val="Helv"/>
    </font>
    <font>
      <i/>
      <sz val="12"/>
      <color indexed="10"/>
      <name val="Times New Roman"/>
      <family val="1"/>
    </font>
    <font>
      <sz val="8"/>
      <color indexed="8"/>
      <name val="Arial"/>
      <family val="2"/>
    </font>
    <font>
      <i/>
      <sz val="10"/>
      <name val="Helvetica"/>
      <family val="2"/>
    </font>
    <font>
      <b/>
      <sz val="8"/>
      <color indexed="18"/>
      <name val="Times New Roman"/>
      <family val="1"/>
    </font>
    <font>
      <sz val="8"/>
      <name val="Univers"/>
      <family val="2"/>
    </font>
    <font>
      <sz val="10"/>
      <name val="GillSans Light"/>
    </font>
    <font>
      <sz val="8"/>
      <name val="COUR"/>
    </font>
    <font>
      <sz val="10"/>
      <name val="COUR"/>
    </font>
    <font>
      <sz val="12"/>
      <color indexed="12"/>
      <name val="Times New Roman"/>
      <family val="1"/>
    </font>
    <font>
      <b/>
      <sz val="14"/>
      <name val="Times New Roman"/>
      <family val="1"/>
    </font>
    <font>
      <b/>
      <sz val="10"/>
      <name val="GillSans"/>
    </font>
    <font>
      <b/>
      <sz val="16"/>
      <name val="Times New Roman"/>
      <family val="1"/>
    </font>
    <font>
      <b/>
      <sz val="10"/>
      <color indexed="16"/>
      <name val="Times New Roman"/>
      <family val="1"/>
    </font>
    <font>
      <sz val="8"/>
      <name val="MS Sans Serif"/>
      <family val="2"/>
    </font>
    <font>
      <i/>
      <sz val="9"/>
      <name val="Times New Roman"/>
      <family val="1"/>
    </font>
    <font>
      <b/>
      <i/>
      <sz val="10"/>
      <name val="Arial"/>
      <family val="2"/>
    </font>
    <font>
      <sz val="14"/>
      <name val="뼻뮝"/>
      <family val="3"/>
      <charset val="129"/>
    </font>
    <font>
      <sz val="12"/>
      <name val="뼻뮝"/>
      <family val="1"/>
      <charset val="129"/>
    </font>
    <font>
      <sz val="11"/>
      <name val="돋움"/>
      <family val="3"/>
      <charset val="129"/>
    </font>
    <font>
      <sz val="11"/>
      <name val="돋움체"/>
      <family val="3"/>
      <charset val="129"/>
    </font>
    <font>
      <b/>
      <sz val="9"/>
      <color indexed="81"/>
      <name val="Tahoma"/>
      <family val="2"/>
    </font>
    <font>
      <sz val="9"/>
      <color indexed="81"/>
      <name val="Tahoma"/>
      <family val="2"/>
    </font>
    <font>
      <sz val="11"/>
      <color indexed="8"/>
      <name val="Calibri"/>
      <family val="2"/>
    </font>
    <font>
      <i/>
      <sz val="8"/>
      <name val="Arial"/>
      <family val="2"/>
    </font>
    <font>
      <b/>
      <i/>
      <sz val="8"/>
      <color indexed="12"/>
      <name val="HelveticaNeue Condensed"/>
      <family val="2"/>
    </font>
    <font>
      <i/>
      <sz val="10"/>
      <name val="Arial"/>
      <family val="2"/>
    </font>
    <font>
      <b/>
      <sz val="7"/>
      <name val="Helvetica-Narrow"/>
      <family val="2"/>
    </font>
    <font>
      <b/>
      <sz val="7"/>
      <name val="GillSans"/>
      <family val="2"/>
    </font>
    <font>
      <sz val="9"/>
      <name val="GillSans Light"/>
      <family val="2"/>
    </font>
    <font>
      <sz val="8"/>
      <color indexed="17"/>
      <name val="Times New Roman"/>
      <family val="1"/>
    </font>
    <font>
      <b/>
      <sz val="10"/>
      <color indexed="9"/>
      <name val="GillSans"/>
      <family val="2"/>
    </font>
    <font>
      <b/>
      <sz val="10"/>
      <color indexed="8"/>
      <name val="GillSans"/>
      <family val="2"/>
    </font>
    <font>
      <sz val="10"/>
      <name val="GillSans Light"/>
      <family val="2"/>
    </font>
    <font>
      <b/>
      <sz val="10"/>
      <name val="GillSans"/>
      <family val="2"/>
    </font>
    <font>
      <b/>
      <sz val="16"/>
      <color indexed="62"/>
      <name val="Arial"/>
      <family val="2"/>
    </font>
    <font>
      <b/>
      <sz val="10"/>
      <name val="Helvetica 65"/>
      <family val="2"/>
    </font>
    <font>
      <b/>
      <sz val="10"/>
      <color indexed="16"/>
      <name val="GillSans"/>
      <family val="2"/>
    </font>
    <font>
      <sz val="11"/>
      <color indexed="10"/>
      <name val="Calibri"/>
      <family val="2"/>
    </font>
    <font>
      <b/>
      <sz val="11"/>
      <color indexed="8"/>
      <name val="Calibri"/>
      <family val="2"/>
    </font>
    <font>
      <b/>
      <sz val="9.5"/>
      <color indexed="10"/>
      <name val="MS Sans Serif"/>
      <family val="2"/>
    </font>
    <font>
      <sz val="10"/>
      <color indexed="8"/>
      <name val="Times New Roman"/>
      <family val="1"/>
    </font>
    <font>
      <sz val="10"/>
      <name val="Courier"/>
      <family val="3"/>
    </font>
    <font>
      <sz val="12"/>
      <name val="‚l‚r ‚oƒSƒVƒbƒN"/>
      <family val="2"/>
      <charset val="128"/>
    </font>
    <font>
      <sz val="10"/>
      <name val="Univers 55"/>
      <family val="2"/>
    </font>
    <font>
      <sz val="12"/>
      <name val="Arial MT"/>
      <family val="2"/>
    </font>
    <font>
      <b/>
      <sz val="8"/>
      <name val="Tms Rmn"/>
      <family val="1"/>
    </font>
    <font>
      <sz val="9"/>
      <color indexed="8"/>
      <name val="Times New Roman"/>
      <family val="1"/>
    </font>
    <font>
      <b/>
      <sz val="10"/>
      <color indexed="8"/>
      <name val="Times New Roman"/>
      <family val="1"/>
    </font>
    <font>
      <sz val="7"/>
      <color indexed="14"/>
      <name val="Small Fonts"/>
      <family val="2"/>
    </font>
    <font>
      <b/>
      <sz val="6"/>
      <name val="Arial"/>
      <family val="2"/>
    </font>
    <font>
      <sz val="8"/>
      <color indexed="12"/>
      <name val="Helv"/>
      <family val="2"/>
    </font>
    <font>
      <sz val="10"/>
      <name val="Geneva"/>
      <family val="2"/>
    </font>
    <font>
      <sz val="9"/>
      <color indexed="18"/>
      <name val="Helvetica"/>
      <family val="2"/>
    </font>
    <font>
      <b/>
      <sz val="12"/>
      <name val="Times New Roman"/>
      <family val="1"/>
    </font>
    <font>
      <b/>
      <sz val="8"/>
      <name val="GillSans"/>
      <family val="2"/>
    </font>
    <font>
      <sz val="12"/>
      <name val="Helvetica"/>
      <family val="2"/>
    </font>
    <font>
      <sz val="8"/>
      <name val="Palatino"/>
      <family val="1"/>
    </font>
    <font>
      <sz val="24"/>
      <name val="Arial"/>
      <family val="2"/>
    </font>
    <font>
      <b/>
      <sz val="24"/>
      <name val="Times New Roman"/>
      <family val="1"/>
    </font>
    <font>
      <sz val="8"/>
      <color indexed="12"/>
      <name val="Tms Rmn"/>
      <family val="1"/>
    </font>
    <font>
      <sz val="10"/>
      <name val="Tms Rmn"/>
      <family val="1"/>
    </font>
    <font>
      <sz val="9"/>
      <color indexed="12"/>
      <name val="Times New Roman"/>
      <family val="1"/>
    </font>
    <font>
      <sz val="10"/>
      <color indexed="12"/>
      <name val="Helvetica"/>
      <family val="2"/>
    </font>
    <font>
      <sz val="10"/>
      <name val="Helv"/>
      <family val="2"/>
    </font>
    <font>
      <b/>
      <sz val="10"/>
      <color indexed="17"/>
      <name val="Helvetica"/>
      <family val="2"/>
    </font>
    <font>
      <b/>
      <sz val="16"/>
      <color indexed="10"/>
      <name val="FrankfurtGothicHeavy"/>
      <family val="2"/>
    </font>
    <font>
      <sz val="8"/>
      <color indexed="8"/>
      <name val="Helv"/>
      <family val="2"/>
    </font>
    <font>
      <sz val="10"/>
      <color indexed="20"/>
      <name val="Times New Roman"/>
      <family val="1"/>
    </font>
    <font>
      <sz val="9"/>
      <name val="Times New Roman"/>
      <family val="1"/>
    </font>
    <font>
      <sz val="10"/>
      <name val="Palatino"/>
      <family val="1"/>
    </font>
    <font>
      <sz val="8"/>
      <color indexed="17"/>
      <name val="Tms Rmn"/>
      <family val="1"/>
    </font>
    <font>
      <b/>
      <sz val="13.5"/>
      <name val="MS Sans Serif"/>
      <family val="2"/>
    </font>
    <font>
      <sz val="10"/>
      <color indexed="16"/>
      <name val="Helvetica-Black"/>
      <family val="2"/>
    </font>
    <font>
      <sz val="8"/>
      <color indexed="14"/>
      <name val="Tms Rmn"/>
      <family val="1"/>
    </font>
    <font>
      <sz val="8"/>
      <name val="Helv"/>
      <family val="2"/>
    </font>
    <font>
      <sz val="10"/>
      <color indexed="10"/>
      <name val="MS Sans Serif"/>
      <family val="2"/>
    </font>
    <font>
      <sz val="10"/>
      <color indexed="55"/>
      <name val="Times New Roman"/>
      <family val="1"/>
    </font>
    <font>
      <sz val="8"/>
      <color indexed="12"/>
      <name val="Helvetica"/>
      <family val="2"/>
    </font>
    <font>
      <i/>
      <sz val="10"/>
      <name val="Times New Roman"/>
      <family val="1"/>
    </font>
    <font>
      <b/>
      <sz val="8"/>
      <name val="HelveticaNeue Condensed"/>
      <family val="2"/>
    </font>
    <font>
      <sz val="8"/>
      <name val="HelveticaNeue LightCond"/>
      <family val="2"/>
    </font>
    <font>
      <sz val="7"/>
      <name val="HelveticaNeue LightCond"/>
      <family val="2"/>
    </font>
    <font>
      <b/>
      <sz val="9"/>
      <name val="Times New Roman"/>
      <family val="1"/>
    </font>
    <font>
      <i/>
      <sz val="12"/>
      <color indexed="12"/>
      <name val="Times New Roman"/>
      <family val="1"/>
    </font>
    <font>
      <b/>
      <sz val="10"/>
      <color indexed="18"/>
      <name val="Symbol"/>
      <family val="1"/>
      <charset val="2"/>
    </font>
    <font>
      <b/>
      <sz val="11"/>
      <name val="Times New Roman"/>
      <family val="1"/>
    </font>
    <font>
      <sz val="9"/>
      <color indexed="21"/>
      <name val="Helvetica-Black"/>
      <family val="2"/>
    </font>
    <font>
      <sz val="9"/>
      <name val="Helvetica-Black"/>
      <family val="2"/>
    </font>
    <font>
      <sz val="7"/>
      <name val="Palatino"/>
      <family val="1"/>
    </font>
    <font>
      <sz val="8"/>
      <name val="Helvetica-Narrow"/>
      <family val="2"/>
    </font>
    <font>
      <u/>
      <sz val="10"/>
      <name val="Helv"/>
      <family val="2"/>
    </font>
    <font>
      <sz val="8"/>
      <color indexed="10"/>
      <name val="Arial Narrow"/>
      <family val="2"/>
    </font>
    <font>
      <sz val="8"/>
      <color indexed="16"/>
      <name val="Helv"/>
      <family val="2"/>
    </font>
    <font>
      <b/>
      <sz val="8"/>
      <color indexed="8"/>
      <name val="Wingdings"/>
      <charset val="2"/>
    </font>
    <font>
      <b/>
      <sz val="8"/>
      <color indexed="10"/>
      <name val="Wingdings"/>
      <charset val="2"/>
    </font>
    <font>
      <b/>
      <sz val="8"/>
      <color indexed="9"/>
      <name val="Wingdings"/>
      <charset val="2"/>
    </font>
    <font>
      <b/>
      <i/>
      <sz val="12"/>
      <name val="Times New Roman"/>
      <family val="1"/>
    </font>
    <font>
      <b/>
      <u/>
      <sz val="10"/>
      <name val="Tms Rmn"/>
      <family val="1"/>
    </font>
    <font>
      <sz val="8"/>
      <name val="HelveticaNeue Condensed"/>
      <family val="2"/>
    </font>
    <font>
      <u/>
      <sz val="11"/>
      <color theme="10"/>
      <name val="Calibri"/>
      <family val="2"/>
    </font>
    <font>
      <sz val="10"/>
      <color theme="1"/>
      <name val="Calibri"/>
      <family val="2"/>
    </font>
    <font>
      <b/>
      <sz val="15"/>
      <color theme="3"/>
      <name val="Calibri"/>
      <family val="2"/>
    </font>
    <font>
      <b/>
      <sz val="13"/>
      <color theme="3"/>
      <name val="Calibri"/>
      <family val="2"/>
    </font>
    <font>
      <b/>
      <sz val="11"/>
      <color theme="3"/>
      <name val="Calibri"/>
      <family val="2"/>
    </font>
    <font>
      <sz val="11"/>
      <color indexed="9"/>
      <name val="Calibri"/>
      <family val="2"/>
    </font>
    <font>
      <sz val="11"/>
      <color rgb="FF9C0006"/>
      <name val="Calibri"/>
      <family val="2"/>
    </font>
    <font>
      <b/>
      <sz val="11"/>
      <color rgb="FFFA7D00"/>
      <name val="Calibri"/>
      <family val="2"/>
    </font>
    <font>
      <b/>
      <sz val="11"/>
      <color indexed="9"/>
      <name val="Calibri"/>
      <family val="2"/>
    </font>
    <font>
      <sz val="9"/>
      <color indexed="8"/>
      <name val="Times New Roman"/>
      <family val="2"/>
    </font>
    <font>
      <i/>
      <sz val="11"/>
      <color rgb="FF7F7F7F"/>
      <name val="Calibri"/>
      <family val="2"/>
    </font>
    <font>
      <sz val="11"/>
      <color rgb="FF006100"/>
      <name val="Calibri"/>
      <family val="2"/>
    </font>
    <font>
      <sz val="11"/>
      <color rgb="FF3F3F76"/>
      <name val="Calibri"/>
      <family val="2"/>
    </font>
    <font>
      <sz val="11"/>
      <color rgb="FFFA7D00"/>
      <name val="Calibri"/>
      <family val="2"/>
    </font>
    <font>
      <sz val="10"/>
      <color rgb="FF9C6500"/>
      <name val="Times New Roman"/>
      <family val="2"/>
    </font>
    <font>
      <sz val="11"/>
      <color rgb="FF9C6500"/>
      <name val="Calibri"/>
      <family val="2"/>
    </font>
    <font>
      <b/>
      <sz val="11"/>
      <color rgb="FF3F3F3F"/>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8"/>
      <color theme="3"/>
      <name val="Cambria"/>
      <family val="2"/>
    </font>
    <font>
      <sz val="11"/>
      <color indexed="20"/>
      <name val="Calibri"/>
      <family val="2"/>
    </font>
    <font>
      <b/>
      <sz val="11"/>
      <color indexed="52"/>
      <name val="Calibri"/>
      <family val="2"/>
    </font>
    <font>
      <i/>
      <sz val="11"/>
      <color indexed="23"/>
      <name val="Calibri"/>
      <family val="2"/>
    </font>
    <font>
      <sz val="11"/>
      <color indexed="17"/>
      <name val="Calibri"/>
      <family val="2"/>
    </font>
    <font>
      <sz val="14"/>
      <color indexed="16"/>
      <name val="Times New Roman"/>
      <family val="1"/>
    </font>
    <font>
      <sz val="12"/>
      <color indexed="16"/>
      <name val="Times New Roman"/>
      <family val="1"/>
    </font>
    <font>
      <sz val="10"/>
      <name val="Book Antiqua"/>
      <family val="1"/>
    </font>
    <font>
      <sz val="11"/>
      <color indexed="52"/>
      <name val="Calibri"/>
      <family val="2"/>
    </font>
    <font>
      <sz val="11"/>
      <color indexed="60"/>
      <name val="Calibri"/>
      <family val="2"/>
    </font>
    <font>
      <b/>
      <sz val="11"/>
      <color indexed="63"/>
      <name val="Calibri"/>
      <family val="2"/>
    </font>
    <font>
      <sz val="11"/>
      <color indexed="62"/>
      <name val="Calibri"/>
      <family val="2"/>
    </font>
    <font>
      <u/>
      <sz val="10"/>
      <color indexed="12"/>
      <name val="Arial"/>
      <family val="2"/>
    </font>
    <font>
      <b/>
      <sz val="10"/>
      <color indexed="9"/>
      <name val="Arial"/>
      <family val="2"/>
    </font>
    <font>
      <sz val="8"/>
      <color indexed="49"/>
      <name val="Times New Roman"/>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Times New Roman"/>
      <family val="1"/>
    </font>
    <font>
      <sz val="8"/>
      <name val="Times"/>
      <family val="1"/>
    </font>
    <font>
      <sz val="11"/>
      <color indexed="14"/>
      <name val="Calibri"/>
      <family val="2"/>
    </font>
    <font>
      <sz val="6"/>
      <color indexed="12"/>
      <name val="Times New Roman"/>
      <family val="1"/>
    </font>
    <font>
      <sz val="10"/>
      <name val="BERNHARD"/>
    </font>
    <font>
      <sz val="1"/>
      <color indexed="8"/>
      <name val="Courier"/>
      <family val="3"/>
    </font>
    <font>
      <b/>
      <sz val="1"/>
      <color indexed="8"/>
      <name val="Courier"/>
      <family val="3"/>
    </font>
    <font>
      <sz val="8"/>
      <name val="Tahoma"/>
      <family val="2"/>
    </font>
    <font>
      <b/>
      <sz val="7"/>
      <color indexed="48"/>
      <name val="Tahoma"/>
      <family val="2"/>
    </font>
    <font>
      <sz val="6"/>
      <color indexed="16"/>
      <name val="Palatino"/>
      <family val="1"/>
    </font>
    <font>
      <sz val="18"/>
      <name val="Helvetica-Black"/>
    </font>
    <font>
      <i/>
      <sz val="14"/>
      <name val="Palatino"/>
      <family val="1"/>
    </font>
    <font>
      <b/>
      <sz val="11"/>
      <color indexed="34"/>
      <name val="Calibri"/>
      <family val="2"/>
    </font>
    <font>
      <b/>
      <sz val="11"/>
      <color indexed="56"/>
      <name val="Calibri"/>
      <family val="2"/>
    </font>
    <font>
      <b/>
      <sz val="11"/>
      <color indexed="62"/>
      <name val="Calibri"/>
      <family val="2"/>
    </font>
    <font>
      <u/>
      <sz val="8"/>
      <color indexed="12"/>
      <name val="Trebuchet MS"/>
      <family val="2"/>
    </font>
    <font>
      <u/>
      <sz val="10"/>
      <color indexed="12"/>
      <name val="Trebuchet MS"/>
      <family val="2"/>
    </font>
    <font>
      <u/>
      <sz val="8"/>
      <color indexed="53"/>
      <name val="Arial"/>
      <family val="2"/>
    </font>
    <font>
      <u/>
      <sz val="10"/>
      <color indexed="20"/>
      <name val="Arial"/>
      <family val="2"/>
    </font>
    <font>
      <sz val="8"/>
      <color indexed="10"/>
      <name val="Times New Roman"/>
      <family val="1"/>
    </font>
    <font>
      <sz val="10.5"/>
      <name val="Arial"/>
      <family val="2"/>
    </font>
    <font>
      <sz val="9"/>
      <color indexed="12"/>
      <name val="Arial"/>
      <family val="2"/>
    </font>
    <font>
      <sz val="10"/>
      <name val="N Helvetica Narrow"/>
      <family val="1"/>
    </font>
    <font>
      <sz val="18"/>
      <name val="Times New Roman"/>
      <family val="1"/>
    </font>
    <font>
      <b/>
      <sz val="13"/>
      <name val="Times New Roman"/>
      <family val="1"/>
    </font>
    <font>
      <i/>
      <sz val="12"/>
      <name val="Times New Roman"/>
      <family val="1"/>
    </font>
    <font>
      <b/>
      <i/>
      <sz val="16"/>
      <name val="Helv"/>
    </font>
    <font>
      <sz val="10"/>
      <color indexed="16"/>
      <name val="Helvetica-Black"/>
    </font>
    <font>
      <sz val="8"/>
      <name val="Helv"/>
    </font>
    <font>
      <sz val="10"/>
      <color indexed="12"/>
      <name val="Geneva"/>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56"/>
      <name val="Arial"/>
      <family val="2"/>
    </font>
    <font>
      <b/>
      <u/>
      <sz val="11"/>
      <name val="Helv"/>
      <family val="2"/>
    </font>
    <font>
      <b/>
      <sz val="8"/>
      <name val="Verdana"/>
      <family val="2"/>
    </font>
    <font>
      <sz val="8"/>
      <name val="Verdana"/>
      <family val="2"/>
    </font>
    <font>
      <b/>
      <sz val="18"/>
      <color indexed="56"/>
      <name val="Cambria"/>
      <family val="2"/>
    </font>
    <font>
      <b/>
      <sz val="18"/>
      <color indexed="62"/>
      <name val="Cambria"/>
      <family val="2"/>
    </font>
    <font>
      <b/>
      <sz val="14"/>
      <name val="Helv"/>
    </font>
    <font>
      <sz val="11"/>
      <name val="ＭＳ Ｐゴシック"/>
      <family val="3"/>
      <charset val="128"/>
    </font>
    <font>
      <u/>
      <sz val="10"/>
      <color theme="10"/>
      <name val="Trebuchet MS"/>
      <family val="2"/>
    </font>
    <font>
      <sz val="9"/>
      <color theme="0"/>
      <name val="Calibri"/>
      <family val="2"/>
      <scheme val="major"/>
    </font>
    <font>
      <sz val="9"/>
      <name val="Calibri"/>
      <family val="2"/>
      <scheme val="major"/>
    </font>
    <font>
      <u/>
      <sz val="9"/>
      <color theme="0"/>
      <name val="Calibri"/>
      <family val="2"/>
      <scheme val="major"/>
    </font>
    <font>
      <i/>
      <sz val="9"/>
      <name val="Calibri"/>
      <family val="2"/>
      <scheme val="major"/>
    </font>
    <font>
      <b/>
      <sz val="9"/>
      <name val="Calibri"/>
      <family val="2"/>
      <scheme val="major"/>
    </font>
    <font>
      <sz val="9"/>
      <color theme="0" tint="-0.14999847407452621"/>
      <name val="Calibri"/>
      <family val="2"/>
      <scheme val="major"/>
    </font>
    <font>
      <i/>
      <sz val="9"/>
      <color theme="0" tint="-0.14999847407452621"/>
      <name val="Calibri"/>
      <family val="2"/>
      <scheme val="major"/>
    </font>
    <font>
      <b/>
      <sz val="16"/>
      <color theme="0"/>
      <name val="Calibri"/>
      <family val="2"/>
      <scheme val="major"/>
    </font>
    <font>
      <b/>
      <sz val="9"/>
      <color theme="0"/>
      <name val="Calibri"/>
      <family val="2"/>
      <scheme val="major"/>
    </font>
    <font>
      <sz val="16"/>
      <color theme="0"/>
      <name val="Calibri"/>
      <family val="2"/>
      <scheme val="major"/>
    </font>
    <font>
      <sz val="16"/>
      <color theme="0" tint="-0.14999847407452621"/>
      <name val="Calibri"/>
      <family val="2"/>
      <scheme val="major"/>
    </font>
    <font>
      <b/>
      <sz val="9"/>
      <color theme="0" tint="-0.14999847407452621"/>
      <name val="Calibri"/>
      <family val="2"/>
      <scheme val="major"/>
    </font>
    <font>
      <sz val="9"/>
      <color indexed="9"/>
      <name val="Calibri"/>
      <family val="2"/>
      <scheme val="major"/>
    </font>
    <font>
      <b/>
      <sz val="9"/>
      <color indexed="9"/>
      <name val="Calibri"/>
      <family val="2"/>
      <scheme val="major"/>
    </font>
    <font>
      <b/>
      <sz val="9"/>
      <color indexed="48"/>
      <name val="Calibri"/>
      <family val="2"/>
      <scheme val="major"/>
    </font>
    <font>
      <sz val="9"/>
      <color indexed="48"/>
      <name val="Calibri"/>
      <family val="2"/>
      <scheme val="major"/>
    </font>
    <font>
      <sz val="16"/>
      <name val="Calibri"/>
      <family val="2"/>
      <scheme val="major"/>
    </font>
    <font>
      <b/>
      <sz val="16"/>
      <color theme="0" tint="-0.14999847407452621"/>
      <name val="Calibri"/>
      <family val="2"/>
      <scheme val="major"/>
    </font>
    <font>
      <b/>
      <u/>
      <sz val="9"/>
      <color theme="0"/>
      <name val="Calibri"/>
      <family val="2"/>
      <scheme val="major"/>
    </font>
    <font>
      <b/>
      <u/>
      <sz val="9"/>
      <name val="Calibri"/>
      <family val="2"/>
      <scheme val="major"/>
    </font>
    <font>
      <sz val="9"/>
      <color indexed="59"/>
      <name val="Calibri"/>
      <family val="2"/>
      <scheme val="major"/>
    </font>
    <font>
      <sz val="9"/>
      <color indexed="52"/>
      <name val="Calibri"/>
      <family val="2"/>
      <scheme val="major"/>
    </font>
    <font>
      <b/>
      <sz val="9"/>
      <color rgb="FF000000"/>
      <name val="Calibri"/>
      <family val="2"/>
      <scheme val="major"/>
    </font>
    <font>
      <sz val="9"/>
      <color rgb="FF000000"/>
      <name val="Calibri"/>
      <family val="2"/>
      <scheme val="major"/>
    </font>
    <font>
      <b/>
      <sz val="16"/>
      <color indexed="9"/>
      <name val="Calibri"/>
      <family val="2"/>
      <scheme val="major"/>
    </font>
    <font>
      <sz val="16"/>
      <color indexed="9"/>
      <name val="Calibri"/>
      <family val="2"/>
      <scheme val="major"/>
    </font>
    <font>
      <sz val="16"/>
      <color indexed="59"/>
      <name val="Calibri"/>
      <family val="2"/>
      <scheme val="major"/>
    </font>
    <font>
      <i/>
      <sz val="9"/>
      <color theme="0"/>
      <name val="Calibri"/>
      <family val="2"/>
      <scheme val="major"/>
    </font>
    <font>
      <b/>
      <sz val="16"/>
      <name val="Calibri"/>
      <family val="2"/>
      <scheme val="major"/>
    </font>
    <font>
      <sz val="11"/>
      <name val="Calibri"/>
      <family val="2"/>
      <scheme val="major"/>
    </font>
    <font>
      <b/>
      <i/>
      <sz val="9"/>
      <name val="Calibri"/>
      <family val="2"/>
      <scheme val="major"/>
    </font>
    <font>
      <u/>
      <sz val="9"/>
      <color theme="10"/>
      <name val="Calibri"/>
      <family val="2"/>
      <scheme val="major"/>
    </font>
    <font>
      <b/>
      <i/>
      <sz val="9"/>
      <color theme="0"/>
      <name val="Calibri"/>
      <family val="2"/>
      <scheme val="major"/>
    </font>
  </fonts>
  <fills count="110">
    <fill>
      <patternFill patternType="none"/>
    </fill>
    <fill>
      <patternFill patternType="gray125"/>
    </fill>
    <fill>
      <patternFill patternType="solid">
        <fgColor indexed="9"/>
      </patternFill>
    </fill>
    <fill>
      <patternFill patternType="solid">
        <fgColor indexed="22"/>
      </patternFill>
    </fill>
    <fill>
      <patternFill patternType="solid">
        <fgColor indexed="26"/>
        <bgColor indexed="64"/>
      </patternFill>
    </fill>
    <fill>
      <patternFill patternType="solid">
        <fgColor indexed="9"/>
        <bgColor indexed="64"/>
      </patternFill>
    </fill>
    <fill>
      <patternFill patternType="solid">
        <fgColor indexed="8"/>
        <bgColor indexed="64"/>
      </patternFill>
    </fill>
    <fill>
      <patternFill patternType="solid">
        <fgColor indexed="18"/>
        <bgColor indexed="64"/>
      </patternFill>
    </fill>
    <fill>
      <patternFill patternType="gray0625">
        <fgColor indexed="15"/>
      </patternFill>
    </fill>
    <fill>
      <patternFill patternType="solid">
        <fgColor indexed="41"/>
        <bgColor indexed="64"/>
      </patternFill>
    </fill>
    <fill>
      <patternFill patternType="lightGray">
        <fgColor indexed="12"/>
      </patternFill>
    </fill>
    <fill>
      <patternFill patternType="solid">
        <fgColor indexed="43"/>
        <bgColor indexed="64"/>
      </patternFill>
    </fill>
    <fill>
      <patternFill patternType="solid">
        <fgColor indexed="48"/>
      </patternFill>
    </fill>
    <fill>
      <patternFill patternType="solid">
        <fgColor indexed="22"/>
        <bgColor indexed="64"/>
      </patternFill>
    </fill>
    <fill>
      <patternFill patternType="solid">
        <fgColor indexed="42"/>
        <bgColor indexed="64"/>
      </patternFill>
    </fill>
    <fill>
      <patternFill patternType="gray0625"/>
    </fill>
    <fill>
      <patternFill patternType="solid">
        <fgColor indexed="15"/>
        <bgColor indexed="64"/>
      </patternFill>
    </fill>
    <fill>
      <patternFill patternType="solid">
        <fgColor indexed="13"/>
        <bgColor indexed="64"/>
      </patternFill>
    </fill>
    <fill>
      <patternFill patternType="solid">
        <fgColor indexed="15"/>
      </patternFill>
    </fill>
    <fill>
      <patternFill patternType="solid">
        <fgColor indexed="13"/>
        <bgColor indexed="15"/>
      </patternFill>
    </fill>
    <fill>
      <patternFill patternType="solid">
        <fgColor indexed="11"/>
        <bgColor indexed="64"/>
      </patternFill>
    </fill>
    <fill>
      <patternFill patternType="gray0625">
        <fgColor indexed="22"/>
      </patternFill>
    </fill>
    <fill>
      <patternFill patternType="solid">
        <fgColor indexed="13"/>
      </patternFill>
    </fill>
    <fill>
      <patternFill patternType="solid">
        <fgColor indexed="12"/>
      </patternFill>
    </fill>
    <fill>
      <patternFill patternType="lightGray"/>
    </fill>
    <fill>
      <patternFill patternType="solid">
        <fgColor indexed="44"/>
        <bgColor indexed="64"/>
      </patternFill>
    </fill>
    <fill>
      <patternFill patternType="solid">
        <fgColor indexed="16"/>
        <bgColor indexed="64"/>
      </patternFill>
    </fill>
    <fill>
      <patternFill patternType="solid">
        <fgColor indexed="54"/>
        <bgColor indexed="64"/>
      </patternFill>
    </fill>
    <fill>
      <patternFill patternType="solid">
        <fgColor rgb="FF99CCFF"/>
        <bgColor indexed="64"/>
      </patternFill>
    </fill>
    <fill>
      <patternFill patternType="solid">
        <fgColor theme="0"/>
        <bgColor indexed="64"/>
      </patternFill>
    </fill>
    <fill>
      <patternFill patternType="solid">
        <fgColor theme="5" tint="0.39997558519241921"/>
        <bgColor indexed="64"/>
      </patternFill>
    </fill>
    <fill>
      <patternFill patternType="solid">
        <fgColor rgb="FFFFEB9C"/>
      </patternFill>
    </fill>
    <fill>
      <patternFill patternType="gray0625">
        <fgColor indexed="10"/>
        <bgColor indexed="9"/>
      </patternFill>
    </fill>
    <fill>
      <patternFill patternType="solid">
        <fgColor indexed="40"/>
        <bgColor indexed="64"/>
      </patternFill>
    </fill>
    <fill>
      <patternFill patternType="gray0625">
        <fgColor indexed="13"/>
        <bgColor indexed="9"/>
      </patternFill>
    </fill>
    <fill>
      <patternFill patternType="mediumGray"/>
    </fill>
    <fill>
      <patternFill patternType="lightGray">
        <fgColor indexed="22"/>
        <bgColor indexed="9"/>
      </patternFill>
    </fill>
    <fill>
      <patternFill patternType="solid">
        <fgColor indexed="58"/>
        <bgColor indexed="64"/>
      </patternFill>
    </fill>
    <fill>
      <patternFill patternType="solid">
        <fgColor indexed="2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19"/>
      </patternFill>
    </fill>
    <fill>
      <patternFill patternType="solid">
        <fgColor indexed="54"/>
      </patternFill>
    </fill>
    <fill>
      <patternFill patternType="solid">
        <fgColor indexed="51"/>
        <bgColor indexed="64"/>
      </patternFill>
    </fill>
    <fill>
      <patternFill patternType="solid">
        <fgColor rgb="FF4F81BD"/>
        <bgColor indexed="64"/>
      </patternFill>
    </fill>
    <fill>
      <patternFill patternType="solid">
        <fgColor indexed="45"/>
        <bgColor indexed="1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rgb="FFFFFFFF"/>
        <bgColor indexed="64"/>
      </patternFill>
    </fill>
    <fill>
      <patternFill patternType="solid">
        <fgColor theme="2"/>
        <bgColor indexed="64"/>
      </patternFill>
    </fill>
    <fill>
      <patternFill patternType="solid">
        <fgColor theme="2" tint="0.89999084444715716"/>
        <bgColor indexed="64"/>
      </patternFill>
    </fill>
    <fill>
      <patternFill patternType="solid">
        <fgColor theme="2" tint="0.749992370372631"/>
        <bgColor indexed="64"/>
      </patternFill>
    </fill>
  </fills>
  <borders count="87">
    <border>
      <left/>
      <right/>
      <top/>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right style="thin">
        <color indexed="64"/>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right/>
      <top style="medium">
        <color indexed="23"/>
      </top>
      <bottom style="medium">
        <color indexed="23"/>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right/>
      <top style="thin">
        <color indexed="64"/>
      </top>
      <bottom style="thin">
        <color indexed="64"/>
      </bottom>
      <diagonal/>
    </border>
    <border>
      <left/>
      <right/>
      <top style="thick">
        <color indexed="64"/>
      </top>
      <bottom/>
      <diagonal/>
    </border>
    <border>
      <left/>
      <right/>
      <top/>
      <bottom style="thick">
        <color indexed="18"/>
      </bottom>
      <diagonal/>
    </border>
    <border>
      <left/>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indexed="64"/>
      </left>
      <right/>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bottom style="thick">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9"/>
      </left>
      <right style="thin">
        <color indexed="9"/>
      </right>
      <top style="thin">
        <color indexed="9"/>
      </top>
      <bottom style="thin">
        <color indexed="9"/>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bottom style="thick">
        <color indexed="64"/>
      </bottom>
      <diagonal/>
    </border>
    <border>
      <left/>
      <right/>
      <top style="dotted">
        <color indexed="64"/>
      </top>
      <bottom style="medium">
        <color indexed="64"/>
      </bottom>
      <diagonal/>
    </border>
    <border>
      <left style="medium">
        <color indexed="9"/>
      </left>
      <right style="medium">
        <color indexed="49"/>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6795556505020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style="medium">
        <color indexed="9"/>
      </right>
      <top/>
      <bottom style="medium">
        <color indexed="9"/>
      </bottom>
      <diagonal/>
    </border>
    <border>
      <left style="thin">
        <color indexed="63"/>
      </left>
      <right style="thin">
        <color indexed="63"/>
      </right>
      <top style="thin">
        <color indexed="64"/>
      </top>
      <bottom style="thin">
        <color indexed="63"/>
      </bottom>
      <diagonal/>
    </border>
    <border>
      <left/>
      <right/>
      <top style="thin">
        <color indexed="45"/>
      </top>
      <bottom style="thin">
        <color indexed="47"/>
      </bottom>
      <diagonal/>
    </border>
    <border>
      <left/>
      <right/>
      <top/>
      <bottom style="thin">
        <color indexed="47"/>
      </bottom>
      <diagonal/>
    </border>
    <border>
      <left/>
      <right/>
      <top style="thin">
        <color indexed="47"/>
      </top>
      <bottom style="thin">
        <color indexed="43"/>
      </bottom>
      <diagonal/>
    </border>
    <border>
      <left/>
      <right/>
      <top/>
      <bottom style="thin">
        <color auto="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s>
  <cellStyleXfs count="2372">
    <xf numFmtId="0" fontId="0" fillId="0" borderId="0"/>
    <xf numFmtId="0" fontId="17" fillId="0" borderId="0" applyNumberFormat="0" applyFill="0" applyBorder="0" applyAlignment="0" applyProtection="0"/>
    <xf numFmtId="0" fontId="43" fillId="0" borderId="0"/>
    <xf numFmtId="0" fontId="6" fillId="0" borderId="0"/>
    <xf numFmtId="0" fontId="6" fillId="0" borderId="0"/>
    <xf numFmtId="0" fontId="6" fillId="0" borderId="0"/>
    <xf numFmtId="0" fontId="23" fillId="0" borderId="0"/>
    <xf numFmtId="0" fontId="6" fillId="0" borderId="0"/>
    <xf numFmtId="0" fontId="6" fillId="0" borderId="0"/>
    <xf numFmtId="0" fontId="45" fillId="0" borderId="0" applyNumberFormat="0" applyFont="0" applyFill="0" applyBorder="0" applyAlignment="0" applyProtection="0"/>
    <xf numFmtId="0" fontId="8" fillId="0" borderId="0"/>
    <xf numFmtId="204" fontId="8" fillId="0" borderId="0" applyFont="0" applyFill="0" applyBorder="0" applyAlignment="0" applyProtection="0"/>
    <xf numFmtId="205"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0" fontId="45" fillId="0" borderId="0" applyNumberFormat="0" applyFill="0" applyBorder="0" applyAlignment="0" applyProtection="0"/>
    <xf numFmtId="0"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8" fontId="8" fillId="0" borderId="0" applyFont="0" applyFill="0" applyBorder="0" applyAlignment="0" applyProtection="0"/>
    <xf numFmtId="209" fontId="8" fillId="0" borderId="0" applyFont="0" applyFill="0" applyBorder="0" applyAlignment="0" applyProtection="0"/>
    <xf numFmtId="0" fontId="8" fillId="0" borderId="0"/>
    <xf numFmtId="0" fontId="46" fillId="0" borderId="0"/>
    <xf numFmtId="0" fontId="8" fillId="0" borderId="0"/>
    <xf numFmtId="0" fontId="8" fillId="0" borderId="0"/>
    <xf numFmtId="0" fontId="8" fillId="0" borderId="0" applyFont="0" applyFill="0" applyBorder="0" applyAlignment="0" applyProtection="0"/>
    <xf numFmtId="210" fontId="8" fillId="0" borderId="0" applyFont="0" applyFill="0" applyBorder="0" applyAlignment="0" applyProtection="0"/>
    <xf numFmtId="0" fontId="47" fillId="0" borderId="0">
      <protection locked="0"/>
    </xf>
    <xf numFmtId="177" fontId="8" fillId="0" borderId="0" applyNumberFormat="0" applyFill="0" applyBorder="0" applyAlignment="0"/>
    <xf numFmtId="211" fontId="8" fillId="0" borderId="0" applyFill="0" applyBorder="0" applyProtection="0">
      <alignment horizontal="right"/>
    </xf>
    <xf numFmtId="0" fontId="8" fillId="0" borderId="0" applyFont="0" applyFill="0" applyBorder="0" applyAlignment="0" applyProtection="0"/>
    <xf numFmtId="0" fontId="8" fillId="0" borderId="0" applyFont="0" applyFill="0" applyBorder="0" applyAlignment="0" applyProtection="0"/>
    <xf numFmtId="178" fontId="48" fillId="4" borderId="0">
      <alignment horizontal="left"/>
    </xf>
    <xf numFmtId="212" fontId="14" fillId="0" borderId="0" applyFont="0" applyFill="0" applyBorder="0" applyAlignment="0" applyProtection="0"/>
    <xf numFmtId="213" fontId="49" fillId="0" borderId="0" applyFont="0" applyFill="0" applyBorder="0" applyAlignment="0" applyProtection="0"/>
    <xf numFmtId="0" fontId="50" fillId="0" borderId="0">
      <alignment horizontal="center" wrapText="1"/>
      <protection locked="0"/>
    </xf>
    <xf numFmtId="0" fontId="8" fillId="0" borderId="0" applyNumberFormat="0" applyFill="0" applyBorder="0" applyAlignment="0" applyProtection="0"/>
    <xf numFmtId="0" fontId="51" fillId="0" borderId="0" applyNumberFormat="0" applyFill="0" applyBorder="0" applyAlignment="0" applyProtection="0"/>
    <xf numFmtId="0" fontId="52" fillId="0" borderId="1" applyNumberFormat="0" applyFill="0" applyAlignment="0" applyProtection="0"/>
    <xf numFmtId="214" fontId="53" fillId="5" borderId="0" applyNumberFormat="0" applyFill="0" applyBorder="0" applyAlignment="0" applyProtection="0">
      <alignment horizontal="right"/>
    </xf>
    <xf numFmtId="0" fontId="8" fillId="0" borderId="0" applyFont="0" applyFill="0" applyBorder="0" applyAlignment="0" applyProtection="0"/>
    <xf numFmtId="170" fontId="8" fillId="0" borderId="0" applyFont="0" applyFill="0" applyBorder="0" applyAlignment="0" applyProtection="0"/>
    <xf numFmtId="215" fontId="8" fillId="0" borderId="0" applyFont="0" applyFill="0" applyBorder="0" applyAlignment="0" applyProtection="0"/>
    <xf numFmtId="0" fontId="8" fillId="0" borderId="0"/>
    <xf numFmtId="216" fontId="50" fillId="0" borderId="0" applyFill="0" applyBorder="0" applyAlignment="0" applyProtection="0">
      <protection locked="0"/>
    </xf>
    <xf numFmtId="0" fontId="54" fillId="6" borderId="0"/>
    <xf numFmtId="204" fontId="14" fillId="0" borderId="0" applyNumberFormat="0" applyFont="0" applyAlignment="0" applyProtection="0"/>
    <xf numFmtId="0" fontId="55" fillId="7" borderId="0" applyNumberFormat="0" applyBorder="0">
      <alignment horizontal="center" vertical="center"/>
    </xf>
    <xf numFmtId="0" fontId="56" fillId="0" borderId="0" applyNumberFormat="0" applyFill="0" applyBorder="0" applyAlignment="0" applyProtection="0"/>
    <xf numFmtId="0" fontId="57" fillId="0" borderId="0" applyFont="0" applyFill="0" applyBorder="0" applyAlignment="0" applyProtection="0"/>
    <xf numFmtId="0" fontId="8" fillId="0" borderId="0"/>
    <xf numFmtId="39" fontId="58" fillId="0" borderId="2" applyNumberFormat="0" applyFill="0" applyBorder="0"/>
    <xf numFmtId="0" fontId="32" fillId="0" borderId="0" applyNumberFormat="0" applyAlignment="0">
      <alignment vertical="center"/>
    </xf>
    <xf numFmtId="216" fontId="50" fillId="0" borderId="0" applyFont="0" applyFill="0" applyBorder="0" applyAlignment="0" applyProtection="0">
      <protection locked="0"/>
    </xf>
    <xf numFmtId="0" fontId="59" fillId="0" borderId="0"/>
    <xf numFmtId="1" fontId="60" fillId="0" borderId="0"/>
    <xf numFmtId="184" fontId="33" fillId="0" borderId="0" applyNumberFormat="0" applyAlignment="0">
      <alignment vertical="center"/>
    </xf>
    <xf numFmtId="0" fontId="9" fillId="0" borderId="0">
      <alignment horizontal="center" wrapText="1"/>
      <protection hidden="1"/>
    </xf>
    <xf numFmtId="0" fontId="22" fillId="8" borderId="3" applyNumberFormat="0" applyProtection="0">
      <alignment horizontal="center" vertical="center" wrapText="1"/>
    </xf>
    <xf numFmtId="0" fontId="22" fillId="8" borderId="0" applyNumberFormat="0" applyBorder="0" applyProtection="0">
      <alignment horizontal="centerContinuous" vertical="center"/>
    </xf>
    <xf numFmtId="0" fontId="22" fillId="8" borderId="4" applyNumberFormat="0" applyBorder="0" applyProtection="0">
      <alignment horizontal="center" vertical="center" wrapText="1"/>
    </xf>
    <xf numFmtId="0" fontId="34" fillId="9" borderId="0" applyNumberFormat="0">
      <alignment horizontal="center" vertical="top" wrapText="1"/>
    </xf>
    <xf numFmtId="0" fontId="34" fillId="9" borderId="0" applyNumberFormat="0">
      <alignment horizontal="left" vertical="top" wrapText="1"/>
    </xf>
    <xf numFmtId="0" fontId="34" fillId="9" borderId="0" applyNumberFormat="0">
      <alignment horizontal="centerContinuous" vertical="top"/>
    </xf>
    <xf numFmtId="0" fontId="32" fillId="9" borderId="0" applyNumberFormat="0">
      <alignment horizontal="center" vertical="top" wrapText="1"/>
    </xf>
    <xf numFmtId="0" fontId="34" fillId="9" borderId="0" applyNumberFormat="0">
      <alignment horizontal="center" vertical="top" wrapText="1"/>
    </xf>
    <xf numFmtId="0" fontId="14" fillId="0" borderId="5" applyNumberFormat="0" applyFont="0" applyFill="0" applyAlignment="0" applyProtection="0">
      <alignment horizontal="left"/>
    </xf>
    <xf numFmtId="43" fontId="6" fillId="0" borderId="0" applyFont="0" applyFill="0" applyBorder="0" applyAlignment="0" applyProtection="0"/>
    <xf numFmtId="178" fontId="1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alignment horizontal="right"/>
    </xf>
    <xf numFmtId="0" fontId="11" fillId="0" borderId="0" applyFont="0" applyFill="0" applyBorder="0" applyAlignment="0" applyProtection="0">
      <alignment horizontal="right"/>
    </xf>
    <xf numFmtId="43" fontId="6" fillId="0" borderId="0" applyFont="0" applyFill="0" applyBorder="0" applyAlignment="0" applyProtection="0"/>
    <xf numFmtId="43" fontId="44" fillId="0" borderId="0" applyFont="0" applyFill="0" applyBorder="0" applyAlignment="0" applyProtection="0"/>
    <xf numFmtId="0" fontId="18" fillId="0" borderId="0" applyFont="0" applyFill="0" applyBorder="0" applyAlignment="0" applyProtection="0"/>
    <xf numFmtId="204" fontId="26" fillId="0" borderId="0"/>
    <xf numFmtId="3" fontId="61" fillId="0" borderId="0" applyFont="0" applyFill="0" applyBorder="0" applyAlignment="0" applyProtection="0"/>
    <xf numFmtId="0" fontId="12" fillId="10" borderId="0">
      <alignment horizontal="center" vertical="center" wrapText="1"/>
    </xf>
    <xf numFmtId="0" fontId="8" fillId="0" borderId="0">
      <alignment horizontal="left"/>
    </xf>
    <xf numFmtId="0" fontId="8" fillId="0" borderId="0"/>
    <xf numFmtId="0" fontId="8" fillId="0" borderId="0">
      <alignment horizontal="left"/>
    </xf>
    <xf numFmtId="179" fontId="9" fillId="0" borderId="0" applyFill="0" applyBorder="0">
      <alignment horizontal="right"/>
      <protection locked="0"/>
    </xf>
    <xf numFmtId="217" fontId="62" fillId="0" borderId="0" applyFont="0"/>
    <xf numFmtId="187" fontId="32" fillId="0" borderId="0" applyFont="0" applyFill="0" applyBorder="0" applyAlignment="0" applyProtection="0">
      <alignment vertical="center"/>
    </xf>
    <xf numFmtId="218" fontId="62" fillId="0" borderId="0" applyFont="0"/>
    <xf numFmtId="219" fontId="8" fillId="0" borderId="0"/>
    <xf numFmtId="166" fontId="8" fillId="0" borderId="0" applyFont="0" applyFill="0" applyBorder="0" applyAlignment="0"/>
    <xf numFmtId="0" fontId="11" fillId="0" borderId="0" applyFont="0" applyFill="0" applyBorder="0" applyAlignment="0" applyProtection="0">
      <alignment horizontal="right"/>
    </xf>
    <xf numFmtId="0" fontId="11" fillId="0" borderId="0" applyFont="0" applyFill="0" applyBorder="0" applyAlignment="0" applyProtection="0">
      <alignment horizontal="right"/>
    </xf>
    <xf numFmtId="192" fontId="32" fillId="0" borderId="0" applyFont="0" applyFill="0" applyBorder="0" applyAlignment="0" applyProtection="0">
      <alignment vertical="center"/>
    </xf>
    <xf numFmtId="193" fontId="32" fillId="0" borderId="0" applyFont="0" applyFill="0" applyBorder="0" applyAlignment="0" applyProtection="0">
      <alignment vertical="center"/>
    </xf>
    <xf numFmtId="190" fontId="32" fillId="0" borderId="0" applyFont="0" applyFill="0" applyBorder="0" applyAlignment="0" applyProtection="0">
      <alignment vertical="center"/>
    </xf>
    <xf numFmtId="191" fontId="32" fillId="0" borderId="0" applyFont="0" applyFill="0" applyBorder="0" applyAlignment="0" applyProtection="0">
      <alignment vertical="center"/>
    </xf>
    <xf numFmtId="188" fontId="32" fillId="0" borderId="0" applyFont="0" applyFill="0" applyBorder="0" applyAlignment="0" applyProtection="0">
      <alignment vertical="center"/>
    </xf>
    <xf numFmtId="189" fontId="32" fillId="0" borderId="0" applyFont="0" applyFill="0" applyBorder="0" applyAlignment="0" applyProtection="0">
      <alignment vertical="center"/>
    </xf>
    <xf numFmtId="198" fontId="32" fillId="0" borderId="0" applyFont="0" applyFill="0" applyBorder="0" applyAlignment="0" applyProtection="0">
      <alignment vertical="center"/>
    </xf>
    <xf numFmtId="199" fontId="32" fillId="0" borderId="0" applyFont="0" applyFill="0" applyBorder="0" applyAlignment="0" applyProtection="0">
      <alignment vertical="center"/>
    </xf>
    <xf numFmtId="196" fontId="32" fillId="0" borderId="0" applyFont="0" applyFill="0" applyBorder="0" applyAlignment="0" applyProtection="0">
      <alignment vertical="center"/>
    </xf>
    <xf numFmtId="197" fontId="32" fillId="0" borderId="0" applyFont="0" applyFill="0" applyBorder="0" applyAlignment="0" applyProtection="0">
      <alignment vertical="center"/>
    </xf>
    <xf numFmtId="194" fontId="32" fillId="0" borderId="0" applyFont="0" applyFill="0" applyBorder="0" applyAlignment="0" applyProtection="0">
      <alignment vertical="center"/>
    </xf>
    <xf numFmtId="195" fontId="32" fillId="0" borderId="0" applyFont="0" applyFill="0" applyBorder="0" applyAlignment="0" applyProtection="0">
      <alignment vertical="center"/>
    </xf>
    <xf numFmtId="220" fontId="8" fillId="0" borderId="0" applyFont="0" applyFill="0" applyBorder="0" applyAlignment="0" applyProtection="0"/>
    <xf numFmtId="0" fontId="8" fillId="0" borderId="0">
      <alignment horizontal="right"/>
      <protection locked="0"/>
    </xf>
    <xf numFmtId="200" fontId="32" fillId="0" borderId="0" applyFont="0" applyFill="0" applyBorder="0" applyAlignment="0" applyProtection="0">
      <alignment vertical="center"/>
    </xf>
    <xf numFmtId="201" fontId="32" fillId="0" borderId="0" applyFont="0" applyFill="0" applyBorder="0" applyAlignment="0" applyProtection="0">
      <alignment vertical="center"/>
    </xf>
    <xf numFmtId="15" fontId="63" fillId="0" borderId="0" applyFill="0" applyBorder="0" applyAlignment="0"/>
    <xf numFmtId="0" fontId="63" fillId="4" borderId="0" applyFont="0" applyFill="0" applyBorder="0" applyAlignment="0" applyProtection="0"/>
    <xf numFmtId="221" fontId="8" fillId="4" borderId="6" applyFont="0" applyFill="0" applyBorder="0" applyAlignment="0" applyProtection="0"/>
    <xf numFmtId="222" fontId="8" fillId="4" borderId="0" applyFont="0" applyFill="0" applyBorder="0" applyAlignment="0" applyProtection="0"/>
    <xf numFmtId="17" fontId="63" fillId="0" borderId="0" applyFill="0" applyBorder="0">
      <alignment horizontal="right"/>
    </xf>
    <xf numFmtId="175" fontId="8" fillId="0" borderId="7" applyFont="0" applyFill="0" applyBorder="0" applyAlignment="0" applyProtection="0"/>
    <xf numFmtId="0" fontId="11" fillId="0" borderId="0" applyFont="0" applyFill="0" applyBorder="0" applyAlignment="0" applyProtection="0"/>
    <xf numFmtId="222" fontId="8" fillId="0" borderId="0" applyFill="0" applyBorder="0">
      <alignment horizontal="right"/>
    </xf>
    <xf numFmtId="14" fontId="64" fillId="0" borderId="0" applyFont="0" applyFill="0" applyBorder="0" applyAlignment="0" applyProtection="0">
      <alignment horizontal="center"/>
    </xf>
    <xf numFmtId="223" fontId="64" fillId="0" borderId="0" applyFont="0" applyFill="0" applyBorder="0" applyAlignment="0" applyProtection="0">
      <alignment horizontal="center"/>
    </xf>
    <xf numFmtId="224" fontId="65" fillId="0" borderId="2" applyNumberFormat="0" applyFill="0" applyBorder="0" applyAlignment="0">
      <alignment horizontal="left"/>
      <protection locked="0"/>
    </xf>
    <xf numFmtId="225" fontId="14" fillId="0" borderId="0" applyFont="0" applyFill="0" applyBorder="0" applyAlignment="0" applyProtection="0"/>
    <xf numFmtId="0" fontId="13" fillId="0" borderId="0">
      <protection locked="0"/>
    </xf>
    <xf numFmtId="166" fontId="50" fillId="0" borderId="0" applyFont="0" applyFill="0" applyBorder="0" applyAlignment="0" applyProtection="0"/>
    <xf numFmtId="0" fontId="26" fillId="0" borderId="0"/>
    <xf numFmtId="164" fontId="50" fillId="0" borderId="0" applyFont="0" applyFill="0" applyBorder="0" applyAlignment="0" applyProtection="0"/>
    <xf numFmtId="0" fontId="11" fillId="0" borderId="8" applyNumberFormat="0" applyFont="0" applyFill="0" applyAlignment="0" applyProtection="0"/>
    <xf numFmtId="0" fontId="66" fillId="0" borderId="0" applyFill="0" applyBorder="0" applyAlignment="0" applyProtection="0"/>
    <xf numFmtId="176" fontId="67" fillId="0" borderId="9" applyNumberFormat="0" applyAlignment="0" applyProtection="0">
      <alignment vertical="top"/>
    </xf>
    <xf numFmtId="0" fontId="26" fillId="11" borderId="0" applyNumberFormat="0" applyFont="0" applyBorder="0" applyAlignment="0" applyProtection="0"/>
    <xf numFmtId="176" fontId="16" fillId="0" borderId="0" applyNumberFormat="0"/>
    <xf numFmtId="226" fontId="14" fillId="0" borderId="0" applyFont="0" applyFill="0" applyBorder="0" applyAlignment="0"/>
    <xf numFmtId="166" fontId="50" fillId="0" borderId="0" applyFont="0" applyFill="0" applyBorder="0" applyAlignment="0" applyProtection="0">
      <alignment horizontal="right"/>
    </xf>
    <xf numFmtId="227" fontId="14" fillId="0" borderId="0" applyFont="0" applyFill="0" applyBorder="0" applyProtection="0">
      <alignment horizontal="left"/>
      <protection locked="0"/>
    </xf>
    <xf numFmtId="228" fontId="14" fillId="0" borderId="0" applyFont="0" applyFill="0" applyBorder="0" applyProtection="0">
      <alignment horizontal="left"/>
      <protection locked="0"/>
    </xf>
    <xf numFmtId="0" fontId="68" fillId="0" borderId="0"/>
    <xf numFmtId="0" fontId="68" fillId="0" borderId="0"/>
    <xf numFmtId="0" fontId="68" fillId="0" borderId="0"/>
    <xf numFmtId="229" fontId="8" fillId="0" borderId="0" applyFont="0" applyFill="0" applyBorder="0" applyAlignment="0" applyProtection="0"/>
    <xf numFmtId="230" fontId="14" fillId="5" borderId="0">
      <alignment horizontal="right"/>
    </xf>
    <xf numFmtId="0" fontId="69" fillId="0" borderId="0"/>
    <xf numFmtId="3" fontId="70" fillId="0" borderId="0" applyNumberFormat="0" applyFont="0" applyFill="0" applyBorder="0" applyAlignment="0" applyProtection="0">
      <alignment horizontal="left"/>
    </xf>
    <xf numFmtId="0" fontId="71" fillId="12" borderId="0"/>
    <xf numFmtId="2" fontId="61" fillId="0" borderId="0" applyFont="0" applyFill="0" applyBorder="0" applyAlignment="0" applyProtection="0"/>
    <xf numFmtId="0" fontId="8" fillId="4" borderId="0" applyFont="0" applyFill="0" applyBorder="0" applyAlignment="0"/>
    <xf numFmtId="0" fontId="26" fillId="0" borderId="0"/>
    <xf numFmtId="0" fontId="72" fillId="0" borderId="0" applyNumberFormat="0" applyFill="0" applyBorder="0" applyAlignment="0" applyProtection="0">
      <alignment vertical="top"/>
      <protection locked="0"/>
    </xf>
    <xf numFmtId="0" fontId="8" fillId="0" borderId="0">
      <alignment horizontal="left"/>
    </xf>
    <xf numFmtId="0" fontId="8" fillId="0" borderId="0">
      <alignment horizontal="left"/>
    </xf>
    <xf numFmtId="0" fontId="8" fillId="0" borderId="0" applyFill="0" applyBorder="0" applyProtection="0">
      <alignment horizontal="left"/>
    </xf>
    <xf numFmtId="0" fontId="8" fillId="0" borderId="0">
      <alignment horizontal="left"/>
    </xf>
    <xf numFmtId="0" fontId="8" fillId="0" borderId="0">
      <alignment horizontal="left"/>
    </xf>
    <xf numFmtId="0" fontId="26" fillId="0" borderId="0"/>
    <xf numFmtId="231" fontId="50" fillId="0" borderId="0" applyFill="0" applyBorder="0" applyAlignment="0" applyProtection="0">
      <protection locked="0"/>
    </xf>
    <xf numFmtId="38" fontId="26" fillId="13" borderId="0" applyNumberFormat="0" applyFont="0" applyBorder="0" applyAlignment="0">
      <protection hidden="1"/>
    </xf>
    <xf numFmtId="232" fontId="73" fillId="0" borderId="0" applyFill="0" applyBorder="0" applyAlignment="0" applyProtection="0"/>
    <xf numFmtId="232" fontId="74" fillId="0" borderId="0" applyAlignment="0">
      <alignment horizontal="left"/>
      <protection locked="0"/>
    </xf>
    <xf numFmtId="0" fontId="14" fillId="0" borderId="0"/>
    <xf numFmtId="0" fontId="14" fillId="0" borderId="0"/>
    <xf numFmtId="0" fontId="14" fillId="0" borderId="0"/>
    <xf numFmtId="0" fontId="14" fillId="0" borderId="0"/>
    <xf numFmtId="0" fontId="14" fillId="0" borderId="0"/>
    <xf numFmtId="0" fontId="24" fillId="14" borderId="0" applyNumberFormat="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horizontal="left" vertical="center"/>
    </xf>
    <xf numFmtId="0" fontId="34" fillId="0" borderId="0" applyNumberFormat="0" applyFill="0" applyBorder="0" applyAlignment="0" applyProtection="0">
      <alignment vertical="center"/>
    </xf>
    <xf numFmtId="0" fontId="14" fillId="0" borderId="0"/>
    <xf numFmtId="233" fontId="75" fillId="0" borderId="0" applyNumberFormat="0" applyFill="0" applyBorder="0" applyAlignment="0" applyProtection="0"/>
    <xf numFmtId="2" fontId="15" fillId="15" borderId="0"/>
    <xf numFmtId="234" fontId="63" fillId="4" borderId="4" applyNumberFormat="0" applyFont="0" applyAlignment="0"/>
    <xf numFmtId="0" fontId="11" fillId="0" borderId="0" applyFont="0" applyFill="0" applyBorder="0" applyAlignment="0" applyProtection="0">
      <alignment horizontal="right"/>
    </xf>
    <xf numFmtId="0" fontId="8" fillId="1" borderId="0" applyNumberFormat="0" applyBorder="0" applyProtection="0">
      <alignment horizontal="left" vertical="center"/>
    </xf>
    <xf numFmtId="0" fontId="8" fillId="0" borderId="0" applyProtection="0">
      <alignment horizontal="right"/>
    </xf>
    <xf numFmtId="0" fontId="8" fillId="0" borderId="0">
      <alignment horizontal="left"/>
    </xf>
    <xf numFmtId="0" fontId="76" fillId="16" borderId="0">
      <alignment horizontal="left"/>
    </xf>
    <xf numFmtId="0" fontId="8" fillId="3" borderId="0"/>
    <xf numFmtId="0" fontId="8" fillId="0" borderId="0">
      <alignment horizontal="left"/>
    </xf>
    <xf numFmtId="0" fontId="8" fillId="0" borderId="2">
      <alignment horizontal="left" vertical="top"/>
    </xf>
    <xf numFmtId="0" fontId="8" fillId="0" borderId="0" applyProtection="0">
      <alignment horizontal="left"/>
    </xf>
    <xf numFmtId="0" fontId="8" fillId="0" borderId="0">
      <alignment horizontal="left"/>
    </xf>
    <xf numFmtId="0" fontId="8" fillId="0" borderId="2">
      <alignment horizontal="left" vertical="top"/>
    </xf>
    <xf numFmtId="0" fontId="8" fillId="0" borderId="0" applyProtection="0">
      <alignment horizontal="left"/>
    </xf>
    <xf numFmtId="0" fontId="8" fillId="0" borderId="0">
      <alignment horizontal="left"/>
    </xf>
    <xf numFmtId="0" fontId="77" fillId="0" borderId="0"/>
    <xf numFmtId="0" fontId="78" fillId="0" borderId="0">
      <alignment wrapText="1"/>
    </xf>
    <xf numFmtId="0" fontId="32" fillId="17" borderId="0" applyNumberFormat="0" applyFont="0" applyBorder="0" applyAlignment="0" applyProtection="0">
      <alignment vertical="center"/>
    </xf>
    <xf numFmtId="235" fontId="79" fillId="0" borderId="0" applyNumberFormat="0" applyFill="0" applyBorder="0" applyAlignment="0"/>
    <xf numFmtId="0" fontId="80" fillId="0" borderId="0" applyNumberFormat="0" applyFill="0" applyBorder="0" applyAlignment="0" applyProtection="0">
      <alignment vertical="top"/>
      <protection locked="0"/>
    </xf>
    <xf numFmtId="231" fontId="50" fillId="0" borderId="0" applyFill="0" applyBorder="0" applyAlignment="0" applyProtection="0">
      <alignment horizontal="right"/>
      <protection locked="0"/>
    </xf>
    <xf numFmtId="0" fontId="11" fillId="0" borderId="0" applyNumberFormat="0" applyFill="0" applyBorder="0" applyAlignment="0" applyProtection="0"/>
    <xf numFmtId="16" fontId="8" fillId="0" borderId="0" applyNumberFormat="0" applyFill="0" applyBorder="0" applyAlignment="0" applyProtection="0">
      <alignment horizontal="right"/>
    </xf>
    <xf numFmtId="10" fontId="26" fillId="4" borderId="4" applyNumberFormat="0" applyBorder="0" applyAlignment="0" applyProtection="0"/>
    <xf numFmtId="0" fontId="32" fillId="0" borderId="10" applyNumberFormat="0" applyAlignment="0">
      <alignment vertical="center"/>
    </xf>
    <xf numFmtId="204" fontId="81" fillId="18" borderId="0"/>
    <xf numFmtId="166" fontId="26" fillId="0" borderId="0"/>
    <xf numFmtId="0" fontId="32" fillId="0" borderId="11" applyNumberFormat="0" applyAlignment="0">
      <alignment vertical="center"/>
      <protection locked="0"/>
    </xf>
    <xf numFmtId="222" fontId="8" fillId="4" borderId="0" applyFont="0" applyBorder="0" applyAlignment="0" applyProtection="0">
      <protection locked="0"/>
    </xf>
    <xf numFmtId="183" fontId="32" fillId="19" borderId="11" applyNumberFormat="0" applyAlignment="0">
      <alignment vertical="center"/>
      <protection locked="0"/>
    </xf>
    <xf numFmtId="0" fontId="26" fillId="4" borderId="0" applyFont="0" applyBorder="0" applyAlignment="0">
      <protection locked="0"/>
    </xf>
    <xf numFmtId="0" fontId="32" fillId="14" borderId="0" applyNumberFormat="0" applyAlignment="0">
      <alignment vertical="center"/>
    </xf>
    <xf numFmtId="0" fontId="32" fillId="20" borderId="0" applyNumberFormat="0" applyAlignment="0">
      <alignment vertical="center"/>
    </xf>
    <xf numFmtId="0" fontId="15" fillId="0" borderId="0" applyNumberFormat="0" applyFill="0" applyBorder="0" applyAlignment="0" applyProtection="0"/>
    <xf numFmtId="231" fontId="26" fillId="4" borderId="0">
      <protection locked="0"/>
    </xf>
    <xf numFmtId="0" fontId="32" fillId="0" borderId="12" applyNumberFormat="0" applyAlignment="0">
      <alignment vertical="center"/>
      <protection locked="0"/>
    </xf>
    <xf numFmtId="236" fontId="8" fillId="4" borderId="0" applyFont="0" applyBorder="0" applyAlignment="0">
      <protection locked="0"/>
    </xf>
    <xf numFmtId="10" fontId="26" fillId="4" borderId="0">
      <protection locked="0"/>
    </xf>
    <xf numFmtId="0" fontId="26" fillId="4" borderId="0" applyFont="0" applyBorder="0" applyAlignment="0">
      <protection locked="0"/>
    </xf>
    <xf numFmtId="231" fontId="82" fillId="4" borderId="0" applyNumberFormat="0" applyBorder="0" applyAlignment="0">
      <protection locked="0"/>
    </xf>
    <xf numFmtId="10" fontId="8" fillId="0" borderId="0">
      <protection locked="0"/>
    </xf>
    <xf numFmtId="0" fontId="8" fillId="4" borderId="4"/>
    <xf numFmtId="0" fontId="8" fillId="4" borderId="4"/>
    <xf numFmtId="0" fontId="16" fillId="0" borderId="0" applyNumberFormat="0" applyFill="0" applyBorder="0" applyAlignment="0">
      <protection locked="0"/>
    </xf>
    <xf numFmtId="15" fontId="8" fillId="0" borderId="0">
      <protection locked="0"/>
    </xf>
    <xf numFmtId="2" fontId="8" fillId="0" borderId="13">
      <protection locked="0"/>
    </xf>
    <xf numFmtId="0" fontId="8" fillId="0" borderId="0">
      <protection locked="0"/>
    </xf>
    <xf numFmtId="0" fontId="9" fillId="0" borderId="0" applyFill="0" applyBorder="0">
      <alignment horizontal="right"/>
      <protection locked="0"/>
    </xf>
    <xf numFmtId="180" fontId="9" fillId="0" borderId="0" applyFill="0" applyBorder="0">
      <alignment horizontal="right"/>
      <protection locked="0"/>
    </xf>
    <xf numFmtId="0" fontId="11" fillId="21" borderId="0" applyBorder="0"/>
    <xf numFmtId="0" fontId="17" fillId="22" borderId="14">
      <alignment horizontal="left" vertical="center" wrapText="1"/>
    </xf>
    <xf numFmtId="4" fontId="15" fillId="15" borderId="0"/>
    <xf numFmtId="1" fontId="83" fillId="1" borderId="15">
      <protection locked="0"/>
    </xf>
    <xf numFmtId="214" fontId="59" fillId="0" borderId="7" applyNumberFormat="0" applyFill="0">
      <alignment vertical="center"/>
    </xf>
    <xf numFmtId="1" fontId="84" fillId="0" borderId="0" applyNumberFormat="0" applyFill="0" applyBorder="0" applyAlignment="0" applyProtection="0">
      <alignment horizontal="right"/>
    </xf>
    <xf numFmtId="204" fontId="8" fillId="23" borderId="0"/>
    <xf numFmtId="204" fontId="85" fillId="0" borderId="0" applyNumberFormat="0" applyFont="0" applyFill="0" applyBorder="0" applyAlignment="0">
      <protection hidden="1"/>
    </xf>
    <xf numFmtId="0" fontId="86" fillId="0" borderId="0" applyNumberFormat="0" applyFill="0" applyBorder="0" applyProtection="0">
      <alignment horizontal="left" vertical="center"/>
    </xf>
    <xf numFmtId="0" fontId="87" fillId="0" borderId="0"/>
    <xf numFmtId="0" fontId="11" fillId="21" borderId="0" applyBorder="0" applyAlignment="0">
      <alignment horizontal="right"/>
    </xf>
    <xf numFmtId="237" fontId="88" fillId="0" borderId="0" applyFill="0" applyBorder="0" applyAlignment="0" applyProtection="0"/>
    <xf numFmtId="0" fontId="71" fillId="0" borderId="0"/>
    <xf numFmtId="0" fontId="89" fillId="0" borderId="0"/>
    <xf numFmtId="0" fontId="90" fillId="0" borderId="0"/>
    <xf numFmtId="40" fontId="9" fillId="0" borderId="0" applyFont="0" applyFill="0" applyBorder="0" applyAlignment="0" applyProtection="0"/>
    <xf numFmtId="238" fontId="18" fillId="0" borderId="0" applyFont="0" applyFill="0" applyBorder="0" applyAlignment="0" applyProtection="0"/>
    <xf numFmtId="239" fontId="14" fillId="0" borderId="0" applyFont="0" applyFill="0" applyBorder="0" applyAlignment="0" applyProtection="0"/>
    <xf numFmtId="240" fontId="18" fillId="0" borderId="0" applyFont="0" applyFill="0" applyBorder="0" applyAlignment="0" applyProtection="0"/>
    <xf numFmtId="176" fontId="8" fillId="0" borderId="0"/>
    <xf numFmtId="0" fontId="8" fillId="0" borderId="3"/>
    <xf numFmtId="241" fontId="18" fillId="0" borderId="0" applyFont="0" applyFill="0" applyBorder="0" applyAlignment="0" applyProtection="0"/>
    <xf numFmtId="242" fontId="8" fillId="0" borderId="0" applyFont="0" applyFill="0" applyBorder="0" applyAlignment="0"/>
    <xf numFmtId="243" fontId="18" fillId="0" borderId="0" applyFont="0" applyFill="0" applyBorder="0" applyAlignment="0" applyProtection="0"/>
    <xf numFmtId="0" fontId="11" fillId="0" borderId="0" applyFont="0" applyFill="0" applyBorder="0" applyAlignment="0" applyProtection="0">
      <alignment horizontal="right"/>
    </xf>
    <xf numFmtId="177" fontId="8" fillId="13" borderId="0" applyFont="0" applyBorder="0" applyAlignment="0" applyProtection="0">
      <alignment horizontal="right"/>
      <protection hidden="1"/>
    </xf>
    <xf numFmtId="0" fontId="25" fillId="0" borderId="0" applyNumberFormat="0" applyAlignment="0">
      <alignment vertical="center"/>
    </xf>
    <xf numFmtId="0" fontId="8" fillId="0" borderId="16" applyBorder="0" applyAlignment="0" applyProtection="0">
      <alignment horizontal="center"/>
    </xf>
    <xf numFmtId="37" fontId="91" fillId="0" borderId="0"/>
    <xf numFmtId="0" fontId="8" fillId="0" borderId="0"/>
    <xf numFmtId="1" fontId="92" fillId="0" borderId="0" applyFill="0" applyBorder="0"/>
    <xf numFmtId="38" fontId="26" fillId="0" borderId="0" applyFont="0" applyFill="0" applyBorder="0" applyAlignment="0"/>
    <xf numFmtId="231" fontId="8" fillId="0" borderId="0" applyFont="0" applyFill="0" applyBorder="0" applyAlignment="0"/>
    <xf numFmtId="40" fontId="26" fillId="0" borderId="0" applyFont="0" applyFill="0" applyBorder="0" applyAlignment="0"/>
    <xf numFmtId="244" fontId="8" fillId="0" borderId="0" applyFont="0" applyFill="0" applyBorder="0" applyAlignment="0"/>
    <xf numFmtId="0" fontId="8" fillId="0" borderId="0"/>
    <xf numFmtId="0" fontId="6" fillId="0" borderId="0"/>
    <xf numFmtId="231" fontId="63" fillId="0" borderId="0" applyNumberFormat="0" applyFill="0" applyBorder="0" applyAlignment="0" applyProtection="0"/>
    <xf numFmtId="0" fontId="26" fillId="0" borderId="0" applyFont="0" applyFill="0" applyBorder="0" applyAlignment="0" applyProtection="0"/>
    <xf numFmtId="0" fontId="8" fillId="0" borderId="0"/>
    <xf numFmtId="0" fontId="6" fillId="0" borderId="0"/>
    <xf numFmtId="233" fontId="14" fillId="0" borderId="0" applyFill="0" applyBorder="0" applyAlignment="0" applyProtection="0"/>
    <xf numFmtId="0" fontId="8" fillId="0" borderId="0"/>
    <xf numFmtId="174" fontId="8" fillId="0" borderId="0"/>
    <xf numFmtId="37" fontId="93" fillId="0" borderId="0" applyNumberFormat="0" applyFont="0" applyFill="0" applyBorder="0" applyAlignment="0" applyProtection="0"/>
    <xf numFmtId="0" fontId="38" fillId="0" borderId="0" applyNumberFormat="0" applyFill="0" applyBorder="0" applyAlignment="0" applyProtection="0">
      <alignment vertical="center"/>
    </xf>
    <xf numFmtId="0" fontId="94" fillId="0" borderId="13"/>
    <xf numFmtId="245" fontId="8" fillId="0" borderId="0" applyFont="0" applyFill="0" applyBorder="0" applyAlignment="0" applyProtection="0"/>
    <xf numFmtId="183" fontId="32" fillId="0" borderId="0" applyFont="0" applyFill="0" applyBorder="0" applyAlignment="0" applyProtection="0">
      <alignment vertical="center"/>
    </xf>
    <xf numFmtId="184" fontId="32" fillId="0" borderId="0" applyFont="0" applyFill="0" applyBorder="0" applyAlignment="0" applyProtection="0">
      <alignment vertical="center"/>
    </xf>
    <xf numFmtId="38" fontId="14" fillId="0" borderId="17" applyFont="0" applyFill="0" applyBorder="0" applyAlignment="0" applyProtection="0"/>
    <xf numFmtId="203" fontId="8"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246" fontId="95" fillId="24" borderId="2" applyFont="0" applyBorder="0"/>
    <xf numFmtId="177" fontId="96" fillId="0" borderId="0"/>
    <xf numFmtId="0" fontId="8" fillId="0" borderId="4">
      <alignment vertical="center" wrapText="1"/>
    </xf>
    <xf numFmtId="0" fontId="11" fillId="0" borderId="0" applyNumberFormat="0" applyFill="0" applyBorder="0" applyAlignment="0" applyProtection="0"/>
    <xf numFmtId="1" fontId="8" fillId="0" borderId="0" applyProtection="0">
      <alignment horizontal="right" vertical="center"/>
    </xf>
    <xf numFmtId="0" fontId="90" fillId="0" borderId="0"/>
    <xf numFmtId="0" fontId="22" fillId="0" borderId="18" applyNumberFormat="0" applyAlignment="0" applyProtection="0"/>
    <xf numFmtId="0" fontId="14" fillId="14" borderId="0" applyNumberFormat="0" applyFont="0" applyBorder="0" applyAlignment="0" applyProtection="0"/>
    <xf numFmtId="0" fontId="26" fillId="9" borderId="13" applyNumberFormat="0" applyFont="0" applyBorder="0" applyAlignment="0" applyProtection="0">
      <alignment horizontal="center"/>
    </xf>
    <xf numFmtId="0" fontId="26" fillId="25" borderId="13" applyNumberFormat="0" applyFont="0" applyBorder="0" applyAlignment="0" applyProtection="0">
      <alignment horizontal="center"/>
    </xf>
    <xf numFmtId="0" fontId="14" fillId="0" borderId="19" applyNumberFormat="0" applyAlignment="0" applyProtection="0"/>
    <xf numFmtId="0" fontId="14" fillId="0" borderId="20" applyNumberFormat="0" applyAlignment="0" applyProtection="0"/>
    <xf numFmtId="0" fontId="22" fillId="0" borderId="21" applyNumberFormat="0" applyAlignment="0" applyProtection="0"/>
    <xf numFmtId="0" fontId="8" fillId="0" borderId="7">
      <alignment vertical="center"/>
    </xf>
    <xf numFmtId="0" fontId="26" fillId="0" borderId="0"/>
    <xf numFmtId="176" fontId="97" fillId="0" borderId="0" applyFill="0" applyBorder="0" applyProtection="0">
      <alignment vertical="top"/>
    </xf>
    <xf numFmtId="14" fontId="50" fillId="0" borderId="0">
      <alignment horizontal="center" wrapText="1"/>
      <protection locked="0"/>
    </xf>
    <xf numFmtId="9" fontId="6" fillId="0" borderId="0" applyFont="0" applyFill="0" applyBorder="0" applyAlignment="0" applyProtection="0"/>
    <xf numFmtId="0" fontId="9" fillId="0" borderId="0" applyFont="0" applyFill="0" applyBorder="0" applyAlignment="0" applyProtection="0"/>
    <xf numFmtId="176" fontId="47" fillId="0" borderId="0" applyFont="0" applyFill="0" applyBorder="0" applyAlignment="0" applyProtection="0"/>
    <xf numFmtId="10" fontId="47" fillId="0" borderId="0" applyFont="0" applyFill="0" applyBorder="0" applyAlignment="0" applyProtection="0"/>
    <xf numFmtId="0" fontId="8" fillId="0" borderId="0" applyFont="0" applyFill="0" applyBorder="0" applyAlignment="0"/>
    <xf numFmtId="236" fontId="8" fillId="0" borderId="0" applyFont="0" applyFill="0" applyBorder="0" applyAlignment="0"/>
    <xf numFmtId="247" fontId="8" fillId="11" borderId="0" applyFont="0" applyFill="0" applyBorder="0" applyAlignment="0" applyProtection="0"/>
    <xf numFmtId="9" fontId="14" fillId="0" borderId="0"/>
    <xf numFmtId="10" fontId="14" fillId="0" borderId="0"/>
    <xf numFmtId="9" fontId="14" fillId="0" borderId="0"/>
    <xf numFmtId="9" fontId="6" fillId="0" borderId="0" applyFont="0" applyFill="0" applyBorder="0" applyAlignment="0" applyProtection="0"/>
    <xf numFmtId="9" fontId="44" fillId="0" borderId="0" applyFont="0" applyFill="0" applyBorder="0" applyAlignment="0" applyProtection="0"/>
    <xf numFmtId="185" fontId="32" fillId="0" borderId="0" applyFont="0" applyFill="0" applyBorder="0" applyAlignment="0" applyProtection="0">
      <alignment horizontal="right" vertical="center"/>
    </xf>
    <xf numFmtId="186" fontId="32" fillId="0" borderId="0" applyFont="0" applyFill="0" applyBorder="0" applyAlignment="0" applyProtection="0">
      <alignment vertical="center"/>
    </xf>
    <xf numFmtId="248" fontId="14" fillId="0" borderId="0" applyFont="0" applyFill="0" applyBorder="0" applyAlignment="0" applyProtection="0"/>
    <xf numFmtId="181" fontId="9" fillId="0" borderId="0" applyFill="0" applyBorder="0">
      <alignment horizontal="right"/>
      <protection locked="0"/>
    </xf>
    <xf numFmtId="232" fontId="50" fillId="0" borderId="0" applyFont="0" applyFill="0" applyBorder="0" applyAlignment="0" applyProtection="0"/>
    <xf numFmtId="210" fontId="8" fillId="0" borderId="0" applyFont="0" applyFill="0" applyBorder="0" applyAlignment="0" applyProtection="0"/>
    <xf numFmtId="166" fontId="50" fillId="0" borderId="0" applyFont="0" applyFill="0" applyBorder="0" applyAlignment="0" applyProtection="0"/>
    <xf numFmtId="231" fontId="50" fillId="0" borderId="0" applyFont="0" applyFill="0" applyBorder="0" applyAlignment="0" applyProtection="0">
      <protection locked="0"/>
    </xf>
    <xf numFmtId="237" fontId="94" fillId="0" borderId="0" applyFill="0" applyBorder="0" applyAlignment="0" applyProtection="0"/>
    <xf numFmtId="249" fontId="8" fillId="0" borderId="0" applyFont="0" applyFill="0" applyBorder="0" applyAlignment="0"/>
    <xf numFmtId="9" fontId="18" fillId="0" borderId="0" applyFont="0" applyFill="0" applyBorder="0" applyAlignment="0" applyProtection="0"/>
    <xf numFmtId="231" fontId="50" fillId="0" borderId="0" applyFill="0" applyBorder="0" applyAlignment="0" applyProtection="0"/>
    <xf numFmtId="38" fontId="50" fillId="0" borderId="0" applyFont="0" applyFill="0" applyBorder="0" applyAlignment="0" applyProtection="0"/>
    <xf numFmtId="166" fontId="98" fillId="0" borderId="22">
      <alignment horizontal="right"/>
    </xf>
    <xf numFmtId="0" fontId="8" fillId="0" borderId="0">
      <alignment horizontal="right"/>
    </xf>
    <xf numFmtId="0" fontId="8" fillId="0" borderId="0"/>
    <xf numFmtId="250" fontId="8" fillId="0" borderId="0"/>
    <xf numFmtId="251" fontId="99" fillId="0" borderId="0"/>
    <xf numFmtId="250" fontId="8" fillId="0" borderId="0"/>
    <xf numFmtId="251" fontId="99" fillId="0" borderId="0"/>
    <xf numFmtId="251" fontId="99" fillId="0" borderId="0"/>
    <xf numFmtId="250" fontId="8" fillId="0" borderId="0"/>
    <xf numFmtId="251" fontId="99" fillId="0" borderId="0"/>
    <xf numFmtId="251" fontId="99" fillId="0" borderId="0"/>
    <xf numFmtId="251" fontId="99" fillId="0" borderId="0"/>
    <xf numFmtId="250" fontId="8" fillId="0" borderId="0"/>
    <xf numFmtId="251" fontId="99" fillId="0" borderId="0"/>
    <xf numFmtId="251" fontId="99" fillId="0" borderId="0"/>
    <xf numFmtId="250" fontId="8" fillId="0" borderId="0"/>
    <xf numFmtId="251" fontId="99" fillId="0" borderId="0"/>
    <xf numFmtId="251" fontId="99" fillId="0" borderId="0"/>
    <xf numFmtId="0" fontId="8" fillId="0" borderId="0"/>
    <xf numFmtId="0" fontId="8" fillId="0" borderId="0"/>
    <xf numFmtId="0" fontId="8" fillId="0" borderId="0"/>
    <xf numFmtId="182" fontId="9" fillId="0" borderId="0">
      <alignment horizontal="right"/>
      <protection locked="0"/>
    </xf>
    <xf numFmtId="231" fontId="41" fillId="0" borderId="0" applyNumberFormat="0" applyFill="0" applyBorder="0" applyAlignment="0" applyProtection="0">
      <alignment horizontal="left"/>
    </xf>
    <xf numFmtId="231" fontId="64" fillId="0" borderId="0" applyFont="0" applyFill="0" applyBorder="0" applyAlignment="0" applyProtection="0"/>
    <xf numFmtId="0" fontId="100" fillId="0" borderId="0" applyNumberFormat="0" applyFill="0" applyBorder="0" applyProtection="0">
      <alignment horizontal="right" vertical="center"/>
    </xf>
    <xf numFmtId="0" fontId="8" fillId="0" borderId="0">
      <alignment horizontal="right"/>
    </xf>
    <xf numFmtId="0" fontId="8" fillId="0" borderId="0">
      <alignment horizontal="right"/>
    </xf>
    <xf numFmtId="0" fontId="8" fillId="0" borderId="0" applyFill="0" applyBorder="0" applyProtection="0">
      <alignment horizontal="right"/>
    </xf>
    <xf numFmtId="0" fontId="8" fillId="0" borderId="0">
      <alignment horizontal="right"/>
    </xf>
    <xf numFmtId="0" fontId="14" fillId="0" borderId="23" applyNumberFormat="0" applyFont="0" applyFill="0" applyAlignment="0" applyProtection="0"/>
    <xf numFmtId="0" fontId="22" fillId="8" borderId="24" applyNumberFormat="0" applyBorder="0" applyProtection="0">
      <alignment horizontal="left" wrapText="1"/>
    </xf>
    <xf numFmtId="0" fontId="22" fillId="8" borderId="0" applyNumberFormat="0" applyBorder="0" applyProtection="0">
      <alignment horizontal="left"/>
    </xf>
    <xf numFmtId="0" fontId="101" fillId="2" borderId="0" applyFont="0" applyFill="0" applyAlignment="0"/>
    <xf numFmtId="0" fontId="34" fillId="0" borderId="0" applyNumberFormat="0" applyFill="0" applyBorder="0">
      <alignment horizontal="left" vertical="center" wrapText="1"/>
    </xf>
    <xf numFmtId="0" fontId="32" fillId="0" borderId="0" applyNumberFormat="0" applyFill="0" applyBorder="0">
      <alignment horizontal="left" vertical="center" wrapText="1" indent="1"/>
    </xf>
    <xf numFmtId="0" fontId="26" fillId="0" borderId="0" applyNumberFormat="0" applyFont="0" applyFill="0" applyBorder="0" applyAlignment="0" applyProtection="0"/>
    <xf numFmtId="0" fontId="102" fillId="2" borderId="0" applyNumberFormat="0" applyFont="0" applyFill="0" applyBorder="0" applyAlignment="0" applyProtection="0"/>
    <xf numFmtId="0" fontId="102" fillId="2" borderId="0" applyNumberFormat="0" applyFont="0" applyFill="0" applyBorder="0" applyAlignment="0" applyProtection="0"/>
    <xf numFmtId="0" fontId="102" fillId="2" borderId="0" applyNumberFormat="0" applyFont="0" applyFill="0" applyBorder="0" applyAlignment="0" applyProtection="0"/>
    <xf numFmtId="0" fontId="14" fillId="0" borderId="25" applyNumberFormat="0" applyFont="0" applyFill="0" applyAlignment="0" applyProtection="0"/>
    <xf numFmtId="224" fontId="103" fillId="0" borderId="2" applyNumberFormat="0" applyFill="0" applyBorder="0">
      <protection locked="0"/>
    </xf>
    <xf numFmtId="0" fontId="8" fillId="0" borderId="26">
      <alignment vertical="center"/>
    </xf>
    <xf numFmtId="0" fontId="19" fillId="0" borderId="0" applyFill="0" applyBorder="0">
      <alignment horizontal="right"/>
      <protection hidden="1"/>
    </xf>
    <xf numFmtId="0" fontId="104" fillId="0" borderId="0" applyNumberFormat="0" applyFill="0" applyBorder="0" applyProtection="0">
      <alignment horizontal="left" vertical="center"/>
    </xf>
    <xf numFmtId="0" fontId="20" fillId="10" borderId="4">
      <alignment horizontal="center" vertical="center" wrapText="1"/>
      <protection hidden="1"/>
    </xf>
    <xf numFmtId="216" fontId="50" fillId="0" borderId="0" applyFill="0" applyBorder="0" applyAlignment="0" applyProtection="0">
      <protection locked="0"/>
    </xf>
    <xf numFmtId="0" fontId="57" fillId="0" borderId="0" applyFill="0" applyBorder="0" applyAlignment="0" applyProtection="0"/>
    <xf numFmtId="40" fontId="14" fillId="0" borderId="0" applyFont="0" applyFill="0" applyBorder="0" applyAlignment="0" applyProtection="0"/>
    <xf numFmtId="252" fontId="14" fillId="0" borderId="0" applyFont="0" applyFill="0" applyBorder="0" applyAlignment="0" applyProtection="0"/>
    <xf numFmtId="214" fontId="59" fillId="0" borderId="0" applyNumberFormat="0" applyFill="0" applyBorder="0" applyAlignment="0"/>
    <xf numFmtId="0" fontId="9" fillId="0" borderId="0"/>
    <xf numFmtId="0" fontId="14" fillId="0" borderId="0" applyFont="0" applyFill="0" applyBorder="0" applyAlignment="0" applyProtection="0"/>
    <xf numFmtId="0" fontId="26" fillId="14" borderId="0" applyNumberFormat="0" applyFont="0" applyBorder="0" applyAlignment="0">
      <protection hidden="1"/>
    </xf>
    <xf numFmtId="0" fontId="47" fillId="0" borderId="0"/>
    <xf numFmtId="0" fontId="8" fillId="0" borderId="0" applyFont="0" applyFill="0" applyBorder="0" applyAlignment="0" applyProtection="0"/>
    <xf numFmtId="0" fontId="105" fillId="0" borderId="0" applyNumberFormat="0" applyFill="0" applyBorder="0" applyProtection="0">
      <alignment horizontal="left" vertical="center"/>
    </xf>
    <xf numFmtId="183" fontId="34" fillId="0" borderId="27" applyNumberFormat="0" applyFill="0" applyAlignment="0" applyProtection="0">
      <alignment vertical="center"/>
    </xf>
    <xf numFmtId="0" fontId="50" fillId="0" borderId="0"/>
    <xf numFmtId="183" fontId="32" fillId="0" borderId="28" applyNumberFormat="0" applyFont="0" applyFill="0" applyAlignment="0" applyProtection="0">
      <alignment vertical="center"/>
    </xf>
    <xf numFmtId="0" fontId="8" fillId="0" borderId="0" applyBorder="0" applyProtection="0">
      <alignment vertical="center"/>
    </xf>
    <xf numFmtId="0" fontId="11" fillId="0" borderId="7" applyBorder="0" applyProtection="0">
      <alignment horizontal="right" vertical="center"/>
    </xf>
    <xf numFmtId="0" fontId="8" fillId="26" borderId="0" applyBorder="0" applyProtection="0">
      <alignment horizontal="centerContinuous" vertical="center"/>
    </xf>
    <xf numFmtId="0" fontId="8" fillId="6" borderId="7" applyBorder="0" applyProtection="0">
      <alignment horizontal="centerContinuous" vertical="center"/>
    </xf>
    <xf numFmtId="233" fontId="26" fillId="0" borderId="0">
      <alignment horizontal="right"/>
    </xf>
    <xf numFmtId="3" fontId="26" fillId="0" borderId="0">
      <alignment horizontal="right"/>
    </xf>
    <xf numFmtId="0" fontId="32" fillId="13" borderId="0" applyNumberFormat="0" applyFont="0" applyBorder="0" applyAlignment="0" applyProtection="0">
      <alignment vertical="center"/>
    </xf>
    <xf numFmtId="0" fontId="8" fillId="0" borderId="0">
      <alignment horizontal="left"/>
    </xf>
    <xf numFmtId="0" fontId="8" fillId="0" borderId="0"/>
    <xf numFmtId="0" fontId="8" fillId="0" borderId="0" applyFill="0" applyBorder="0" applyProtection="0">
      <alignment horizontal="left"/>
    </xf>
    <xf numFmtId="0" fontId="32" fillId="0" borderId="0" applyNumberFormat="0" applyFont="0" applyFill="0" applyAlignment="0" applyProtection="0">
      <alignment vertical="center"/>
    </xf>
    <xf numFmtId="0" fontId="8" fillId="0" borderId="2" applyFill="0" applyBorder="0" applyProtection="0">
      <alignment horizontal="left" vertical="top"/>
    </xf>
    <xf numFmtId="183" fontId="32" fillId="0" borderId="0" applyNumberFormat="0" applyFont="0" applyBorder="0" applyAlignment="0" applyProtection="0">
      <alignment vertical="center"/>
    </xf>
    <xf numFmtId="0" fontId="8" fillId="2" borderId="29" applyNumberFormat="0" applyAlignment="0" applyProtection="0">
      <alignment vertical="center"/>
    </xf>
    <xf numFmtId="0" fontId="50" fillId="0" borderId="0"/>
    <xf numFmtId="0" fontId="106" fillId="0" borderId="0">
      <alignment horizontal="centerContinuous"/>
    </xf>
    <xf numFmtId="0" fontId="8" fillId="20" borderId="0" applyNumberFormat="0" applyFont="0" applyBorder="0" applyAlignment="0" applyProtection="0"/>
    <xf numFmtId="49" fontId="11" fillId="0" borderId="7">
      <alignment vertical="center"/>
    </xf>
    <xf numFmtId="49" fontId="32" fillId="0" borderId="0" applyFont="0" applyFill="0" applyBorder="0" applyAlignment="0" applyProtection="0">
      <alignment horizontal="center" vertical="center"/>
    </xf>
    <xf numFmtId="0" fontId="8" fillId="0" borderId="0"/>
    <xf numFmtId="0" fontId="8" fillId="0" borderId="0"/>
    <xf numFmtId="0" fontId="8" fillId="0" borderId="0"/>
    <xf numFmtId="0" fontId="8" fillId="0" borderId="0"/>
    <xf numFmtId="0" fontId="8" fillId="0" borderId="0"/>
    <xf numFmtId="0" fontId="8" fillId="0" borderId="0"/>
    <xf numFmtId="253" fontId="8" fillId="0" borderId="0" applyFill="0" applyBorder="0" applyAlignment="0" applyProtection="0">
      <alignment horizontal="right"/>
    </xf>
    <xf numFmtId="1" fontId="64" fillId="0" borderId="30" applyFill="0" applyBorder="0" applyProtection="0">
      <alignment horizontal="right"/>
    </xf>
    <xf numFmtId="254" fontId="8" fillId="0" borderId="0"/>
    <xf numFmtId="0" fontId="14" fillId="0" borderId="0" applyNumberFormat="0" applyFill="0" applyBorder="0" applyAlignment="0" applyProtection="0"/>
    <xf numFmtId="0" fontId="62" fillId="0" borderId="0" applyNumberFormat="0" applyFill="0" applyBorder="0" applyAlignment="0" applyProtection="0"/>
    <xf numFmtId="255" fontId="99" fillId="0" borderId="0"/>
    <xf numFmtId="167" fontId="11" fillId="0" borderId="7" applyFill="0" applyAlignment="0" applyProtection="0"/>
    <xf numFmtId="0" fontId="22" fillId="8" borderId="3" applyNumberFormat="0" applyProtection="0">
      <alignment horizontal="left" vertical="center"/>
    </xf>
    <xf numFmtId="0" fontId="64" fillId="0" borderId="0" applyFill="0" applyBorder="0" applyProtection="0"/>
    <xf numFmtId="0" fontId="8" fillId="0" borderId="31"/>
    <xf numFmtId="231" fontId="107" fillId="0" borderId="32"/>
    <xf numFmtId="231" fontId="98" fillId="0" borderId="0" applyNumberFormat="0" applyFill="0" applyBorder="0" applyAlignment="0" applyProtection="0"/>
    <xf numFmtId="0" fontId="9" fillId="0" borderId="0" applyBorder="0"/>
    <xf numFmtId="224" fontId="49" fillId="0" borderId="0" applyNumberFormat="0" applyFill="0" applyBorder="0" applyAlignment="0"/>
    <xf numFmtId="0" fontId="8" fillId="0" borderId="0"/>
    <xf numFmtId="0" fontId="8" fillId="0" borderId="0"/>
    <xf numFmtId="0" fontId="8" fillId="0" borderId="0" applyNumberFormat="0" applyFont="0" applyFill="0" applyBorder="0" applyAlignment="0">
      <alignment horizontal="left" vertical="center"/>
    </xf>
    <xf numFmtId="204" fontId="8" fillId="0" borderId="33" applyNumberFormat="0" applyFont="0" applyFill="0" applyAlignment="0"/>
    <xf numFmtId="183" fontId="34" fillId="0" borderId="0" applyNumberFormat="0" applyFill="0" applyBorder="0" applyAlignment="0" applyProtection="0">
      <alignment vertical="center"/>
    </xf>
    <xf numFmtId="183" fontId="34" fillId="9" borderId="0" applyNumberFormat="0" applyAlignment="0" applyProtection="0">
      <alignment vertical="center"/>
    </xf>
    <xf numFmtId="244" fontId="8" fillId="0" borderId="0" applyFont="0" applyFill="0" applyBorder="0" applyAlignment="0" applyProtection="0"/>
    <xf numFmtId="168" fontId="8" fillId="0" borderId="0" applyFont="0" applyFill="0" applyBorder="0" applyAlignment="0" applyProtection="0"/>
    <xf numFmtId="170" fontId="8" fillId="0" borderId="0" applyFont="0" applyFill="0" applyBorder="0" applyAlignment="0" applyProtection="0"/>
    <xf numFmtId="178" fontId="108" fillId="0" borderId="7" applyAlignment="0">
      <alignment horizontal="left"/>
      <protection locked="0"/>
    </xf>
    <xf numFmtId="0" fontId="32" fillId="0" borderId="0" applyNumberFormat="0" applyFont="0" applyBorder="0" applyAlignment="0" applyProtection="0">
      <alignment vertical="center"/>
    </xf>
    <xf numFmtId="0" fontId="8" fillId="0" borderId="0"/>
    <xf numFmtId="0" fontId="109" fillId="0" borderId="0"/>
    <xf numFmtId="0" fontId="32" fillId="0" borderId="0" applyNumberFormat="0" applyFont="0" applyAlignment="0" applyProtection="0">
      <alignment vertical="center"/>
    </xf>
    <xf numFmtId="256" fontId="8" fillId="0" borderId="0" applyNumberFormat="0"/>
    <xf numFmtId="0" fontId="110" fillId="0" borderId="0" applyNumberFormat="0" applyFont="0" applyFill="0" applyBorder="0" applyAlignment="0" applyProtection="0">
      <alignment horizontal="left"/>
    </xf>
    <xf numFmtId="0" fontId="42" fillId="0" borderId="0" applyNumberFormat="0" applyFill="0" applyBorder="0" applyAlignment="0" applyProtection="0"/>
    <xf numFmtId="1" fontId="50" fillId="0" borderId="0" applyFont="0" applyFill="0" applyBorder="0" applyAlignment="0" applyProtection="0"/>
    <xf numFmtId="0" fontId="14" fillId="8" borderId="0" applyNumberFormat="0" applyBorder="0" applyProtection="0">
      <alignment horizontal="left"/>
    </xf>
    <xf numFmtId="0" fontId="22" fillId="0" borderId="7">
      <alignment horizontal="right"/>
    </xf>
    <xf numFmtId="0" fontId="57" fillId="0" borderId="0" applyFont="0" applyFill="0" applyBorder="0" applyAlignment="0" applyProtection="0"/>
    <xf numFmtId="40" fontId="111" fillId="0" borderId="0" applyFont="0" applyFill="0" applyBorder="0" applyAlignment="0" applyProtection="0"/>
    <xf numFmtId="38" fontId="111"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112" fillId="0" borderId="0"/>
    <xf numFmtId="0" fontId="113" fillId="0" borderId="0" applyFont="0" applyFill="0" applyBorder="0" applyAlignment="0" applyProtection="0"/>
    <xf numFmtId="0" fontId="113" fillId="0" borderId="0" applyFont="0" applyFill="0" applyBorder="0" applyAlignment="0" applyProtection="0"/>
    <xf numFmtId="257" fontId="8" fillId="0" borderId="0" applyFont="0" applyFill="0" applyBorder="0" applyAlignment="0" applyProtection="0"/>
    <xf numFmtId="0" fontId="113" fillId="0" borderId="0" applyFont="0" applyFill="0" applyBorder="0" applyAlignment="0" applyProtection="0"/>
    <xf numFmtId="0" fontId="114" fillId="0" borderId="0"/>
    <xf numFmtId="0" fontId="6" fillId="0" borderId="0"/>
    <xf numFmtId="0" fontId="5" fillId="0" borderId="0"/>
    <xf numFmtId="170" fontId="5" fillId="0" borderId="0" applyFont="0" applyFill="0" applyBorder="0" applyAlignment="0" applyProtection="0"/>
    <xf numFmtId="9" fontId="5"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3" fillId="0" borderId="0"/>
    <xf numFmtId="0" fontId="26" fillId="0" borderId="0" applyNumberFormat="0" applyFill="0" applyBorder="0" applyAlignment="0" applyProtection="0"/>
    <xf numFmtId="0" fontId="193" fillId="0" borderId="0" applyNumberFormat="0" applyFill="0" applyBorder="0" applyAlignment="0" applyProtection="0"/>
    <xf numFmtId="279" fontId="135" fillId="0" borderId="0">
      <alignment horizontal="right"/>
    </xf>
    <xf numFmtId="0" fontId="45" fillId="0" borderId="0" applyNumberFormat="0" applyFont="0" applyFill="0" applyBorder="0" applyAlignment="0" applyProtection="0"/>
    <xf numFmtId="0" fontId="8" fillId="0" borderId="0"/>
    <xf numFmtId="0" fontId="8"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 fillId="0" borderId="0"/>
    <xf numFmtId="0" fontId="45"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3" fontId="27" fillId="0" borderId="0"/>
    <xf numFmtId="278" fontId="8" fillId="0" borderId="0">
      <alignment horizontal="left" wrapText="1"/>
    </xf>
    <xf numFmtId="0" fontId="136" fillId="0" borderId="0">
      <alignment vertical="center"/>
    </xf>
    <xf numFmtId="280" fontId="137" fillId="4" borderId="0" applyNumberFormat="0" applyFont="0" applyBorder="0" applyAlignment="0">
      <protection locked="0"/>
    </xf>
    <xf numFmtId="278" fontId="8" fillId="0" borderId="0">
      <alignment horizontal="left" wrapText="1"/>
    </xf>
    <xf numFmtId="281" fontId="138" fillId="0" borderId="0" applyFont="0" applyFill="0" applyBorder="0" applyAlignment="0" applyProtection="0"/>
    <xf numFmtId="282" fontId="138" fillId="0" borderId="0" applyFont="0" applyFill="0" applyBorder="0" applyAlignment="0" applyProtection="0"/>
    <xf numFmtId="283" fontId="9" fillId="0" borderId="0"/>
    <xf numFmtId="9" fontId="8" fillId="0" borderId="0"/>
    <xf numFmtId="0" fontId="9" fillId="0" borderId="0"/>
    <xf numFmtId="176" fontId="9" fillId="0" borderId="0"/>
    <xf numFmtId="0" fontId="9" fillId="0" borderId="0"/>
    <xf numFmtId="2" fontId="9" fillId="0" borderId="0"/>
    <xf numFmtId="10" fontId="9" fillId="0" borderId="0"/>
    <xf numFmtId="2" fontId="9" fillId="0" borderId="0"/>
    <xf numFmtId="283" fontId="9" fillId="0" borderId="0"/>
    <xf numFmtId="283" fontId="8" fillId="0" borderId="0"/>
    <xf numFmtId="283" fontId="8" fillId="0" borderId="0"/>
    <xf numFmtId="283" fontId="8" fillId="0" borderId="0"/>
    <xf numFmtId="283" fontId="8" fillId="0" borderId="0"/>
    <xf numFmtId="283" fontId="8" fillId="0" borderId="0"/>
    <xf numFmtId="37" fontId="139" fillId="0" borderId="0">
      <alignment horizontal="center"/>
    </xf>
    <xf numFmtId="284" fontId="140" fillId="0" borderId="7">
      <alignment horizontal="centerContinuous"/>
    </xf>
    <xf numFmtId="0" fontId="141" fillId="32" borderId="0" applyNumberFormat="0" applyFont="0" applyBorder="0" applyAlignment="0">
      <alignment horizontal="right"/>
    </xf>
    <xf numFmtId="0" fontId="142" fillId="32" borderId="30" applyFont="0">
      <alignment horizontal="right"/>
    </xf>
    <xf numFmtId="286" fontId="15" fillId="0" borderId="17"/>
    <xf numFmtId="287" fontId="14" fillId="0" borderId="36" applyBorder="0"/>
    <xf numFmtId="0" fontId="143" fillId="0" borderId="0"/>
    <xf numFmtId="0" fontId="144" fillId="0" borderId="44" applyNumberFormat="0" applyFill="0" applyBorder="0" applyAlignment="0" applyProtection="0"/>
    <xf numFmtId="0" fontId="63" fillId="0" borderId="44" applyNumberFormat="0" applyFill="0" applyBorder="0" applyAlignment="0" applyProtection="0"/>
    <xf numFmtId="0" fontId="118" fillId="0" borderId="44" applyNumberFormat="0" applyFill="0" applyBorder="0" applyAlignment="0" applyProtection="0"/>
    <xf numFmtId="0" fontId="26" fillId="0" borderId="44" applyNumberFormat="0" applyFill="0" applyAlignment="0" applyProtection="0"/>
    <xf numFmtId="0" fontId="145" fillId="0" borderId="13">
      <protection hidden="1"/>
    </xf>
    <xf numFmtId="0" fontId="146" fillId="3" borderId="13" applyNumberFormat="0" applyFont="0" applyBorder="0" applyAlignment="0" applyProtection="0">
      <protection hidden="1"/>
    </xf>
    <xf numFmtId="0" fontId="14" fillId="0" borderId="0" applyNumberFormat="0" applyFill="0" applyBorder="0" applyAlignment="0" applyProtection="0"/>
    <xf numFmtId="231" fontId="50" fillId="0" borderId="0" applyFont="0" applyFill="0" applyBorder="0" applyAlignment="0" applyProtection="0"/>
    <xf numFmtId="0" fontId="147" fillId="0" borderId="0"/>
    <xf numFmtId="0" fontId="148" fillId="0" borderId="7" applyNumberFormat="0" applyFill="0" applyAlignment="0" applyProtection="0"/>
    <xf numFmtId="288" fontId="138" fillId="0" borderId="0" applyFont="0" applyFill="0" applyBorder="0" applyAlignment="0" applyProtection="0"/>
    <xf numFmtId="289" fontId="26" fillId="0" borderId="0">
      <alignment horizontal="right" vertical="center"/>
    </xf>
    <xf numFmtId="231" fontId="64" fillId="0" borderId="0" applyFont="0" applyFill="0" applyBorder="0" applyAlignment="0" applyProtection="0"/>
    <xf numFmtId="0" fontId="37" fillId="33" borderId="0" applyNumberFormat="0" applyBorder="0">
      <alignment horizontal="centerContinuous"/>
    </xf>
    <xf numFmtId="37" fontId="14" fillId="0" borderId="0"/>
    <xf numFmtId="290" fontId="8" fillId="0" borderId="0"/>
    <xf numFmtId="291" fontId="8" fillId="0" borderId="0"/>
    <xf numFmtId="0" fontId="149" fillId="0" borderId="7" applyNumberFormat="0" applyFill="0" applyProtection="0">
      <alignment horizontal="left" vertical="center"/>
    </xf>
    <xf numFmtId="0" fontId="8" fillId="0" borderId="0">
      <alignment horizontal="center" wrapText="1"/>
      <protection hidden="1"/>
    </xf>
    <xf numFmtId="0" fontId="121" fillId="0" borderId="45" applyNumberFormat="0" applyFill="0" applyProtection="0">
      <alignment horizontal="center" vertical="center"/>
    </xf>
    <xf numFmtId="0" fontId="122" fillId="0" borderId="7" applyNumberFormat="0" applyFill="0" applyBorder="0" applyProtection="0">
      <alignment horizontal="right" vertical="center"/>
    </xf>
    <xf numFmtId="170" fontId="117" fillId="0" borderId="0" applyFont="0" applyFill="0" applyBorder="0" applyAlignment="0" applyProtection="0"/>
    <xf numFmtId="292" fontId="150" fillId="0" borderId="0"/>
    <xf numFmtId="292" fontId="150" fillId="0" borderId="0"/>
    <xf numFmtId="292" fontId="150" fillId="0" borderId="0"/>
    <xf numFmtId="292" fontId="150" fillId="0" borderId="0"/>
    <xf numFmtId="292" fontId="150" fillId="0" borderId="0"/>
    <xf numFmtId="292" fontId="150" fillId="0" borderId="0"/>
    <xf numFmtId="292" fontId="150" fillId="0" borderId="0"/>
    <xf numFmtId="292" fontId="150" fillId="0" borderId="0"/>
    <xf numFmtId="0" fontId="14" fillId="0" borderId="0"/>
    <xf numFmtId="293" fontId="8" fillId="0" borderId="0" applyFont="0" applyFill="0" applyBorder="0" applyAlignment="0" applyProtection="0">
      <alignment horizontal="right"/>
    </xf>
    <xf numFmtId="294" fontId="8" fillId="0" borderId="0" applyFont="0" applyFill="0" applyBorder="0" applyAlignment="0" applyProtection="0"/>
    <xf numFmtId="295" fontId="151" fillId="0" borderId="0" applyFont="0" applyFill="0" applyBorder="0" applyAlignment="0" applyProtection="0">
      <alignment horizontal="right"/>
    </xf>
    <xf numFmtId="170" fontId="8" fillId="0" borderId="0" applyFont="0" applyFill="0" applyBorder="0" applyAlignment="0" applyProtection="0"/>
    <xf numFmtId="0" fontId="152" fillId="10" borderId="0">
      <alignment horizontal="center" vertical="center" wrapText="1"/>
    </xf>
    <xf numFmtId="0" fontId="153" fillId="0" borderId="0" applyNumberFormat="0" applyFill="0" applyBorder="0">
      <alignment horizontal="right"/>
    </xf>
    <xf numFmtId="0" fontId="152" fillId="10" borderId="0">
      <alignment horizontal="center" vertical="center" wrapText="1"/>
    </xf>
    <xf numFmtId="296" fontId="8" fillId="0" borderId="0" applyFont="0" applyFill="0" applyBorder="0" applyAlignment="0" applyProtection="0"/>
    <xf numFmtId="179" fontId="8" fillId="0" borderId="0" applyFill="0" applyBorder="0">
      <alignment horizontal="right"/>
      <protection locked="0"/>
    </xf>
    <xf numFmtId="169" fontId="117" fillId="0" borderId="0" applyFont="0" applyFill="0" applyBorder="0" applyAlignment="0" applyProtection="0"/>
    <xf numFmtId="164" fontId="154" fillId="0" borderId="39" applyBorder="0"/>
    <xf numFmtId="263" fontId="8" fillId="0" borderId="0" applyFont="0" applyFill="0" applyBorder="0" applyAlignment="0"/>
    <xf numFmtId="165" fontId="8" fillId="0" borderId="0" applyFont="0" applyFill="0" applyBorder="0" applyAlignment="0"/>
    <xf numFmtId="297" fontId="14" fillId="0" borderId="0" applyFont="0" applyFill="0" applyBorder="0" applyAlignment="0" applyProtection="0">
      <alignment horizontal="right"/>
    </xf>
    <xf numFmtId="169" fontId="8" fillId="0" borderId="0" applyFont="0" applyFill="0" applyBorder="0" applyAlignment="0" applyProtection="0"/>
    <xf numFmtId="298" fontId="138" fillId="0" borderId="0" applyFont="0" applyFill="0" applyBorder="0" applyAlignment="0" applyProtection="0"/>
    <xf numFmtId="14" fontId="29" fillId="0" borderId="30" applyFont="0">
      <alignment horizontal="right"/>
    </xf>
    <xf numFmtId="264" fontId="8" fillId="4" borderId="0" applyFont="0" applyFill="0" applyBorder="0" applyAlignment="0" applyProtection="0"/>
    <xf numFmtId="262" fontId="8" fillId="4" borderId="6" applyFont="0" applyFill="0" applyBorder="0" applyAlignment="0" applyProtection="0"/>
    <xf numFmtId="264" fontId="8" fillId="4" borderId="0" applyFont="0" applyFill="0" applyBorder="0" applyAlignment="0" applyProtection="0"/>
    <xf numFmtId="285" fontId="14" fillId="0" borderId="0" applyFont="0" applyFill="0" applyBorder="0" applyAlignment="0" applyProtection="0"/>
    <xf numFmtId="253" fontId="9" fillId="0" borderId="0"/>
    <xf numFmtId="1" fontId="14" fillId="0" borderId="0" applyFont="0" applyFill="0" applyBorder="0" applyAlignment="0" applyProtection="0">
      <alignment horizontal="right"/>
    </xf>
    <xf numFmtId="214" fontId="155" fillId="0" borderId="0"/>
    <xf numFmtId="165" fontId="26" fillId="0" borderId="0"/>
    <xf numFmtId="174" fontId="14" fillId="0" borderId="8" applyNumberFormat="0" applyFont="0" applyFill="0" applyAlignment="0" applyProtection="0"/>
    <xf numFmtId="256" fontId="156" fillId="0" borderId="33" applyNumberFormat="0" applyBorder="0"/>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9" fontId="134" fillId="0" borderId="4" applyNumberFormat="0" applyBorder="0" applyAlignment="0">
      <protection locked="0"/>
    </xf>
    <xf numFmtId="0" fontId="50" fillId="34" borderId="46" applyNumberFormat="0" applyFont="0" applyAlignment="0">
      <protection locked="0"/>
    </xf>
    <xf numFmtId="265" fontId="45" fillId="0" borderId="0" applyNumberFormat="0" applyFont="0" applyFill="0" applyBorder="0" applyAlignment="0" applyProtection="0"/>
    <xf numFmtId="260" fontId="14" fillId="0" borderId="0" applyFont="0" applyFill="0" applyBorder="0" applyAlignment="0" applyProtection="0"/>
    <xf numFmtId="299" fontId="8" fillId="0" borderId="0" applyFont="0" applyFill="0" applyBorder="0" applyAlignment="0" applyProtection="0"/>
    <xf numFmtId="204" fontId="14" fillId="0" borderId="0" applyFont="0" applyFill="0" applyBorder="0" applyAlignment="0" applyProtection="0">
      <alignment horizontal="right"/>
    </xf>
    <xf numFmtId="231" fontId="8" fillId="4" borderId="0" applyFont="0" applyFill="0" applyBorder="0" applyAlignment="0"/>
    <xf numFmtId="0" fontId="123" fillId="0" borderId="0" applyNumberFormat="0" applyFill="0" applyBorder="0" applyProtection="0">
      <alignment horizontal="left" vertical="center"/>
    </xf>
    <xf numFmtId="0" fontId="157" fillId="13" borderId="0"/>
    <xf numFmtId="37" fontId="15" fillId="13" borderId="0" applyNumberFormat="0" applyBorder="0" applyAlignment="0" applyProtection="0"/>
    <xf numFmtId="300" fontId="63" fillId="0" borderId="0" applyBorder="0" applyProtection="0"/>
    <xf numFmtId="258" fontId="158" fillId="0" borderId="0"/>
    <xf numFmtId="0" fontId="159" fillId="0" borderId="0"/>
    <xf numFmtId="266" fontId="124" fillId="0" borderId="0" applyFill="0" applyBorder="0" applyAlignment="0" applyProtection="0"/>
    <xf numFmtId="278" fontId="14" fillId="0" borderId="0" applyFont="0" applyFill="0" applyBorder="0" applyAlignment="0" applyProtection="0">
      <alignment horizontal="right"/>
    </xf>
    <xf numFmtId="0" fontId="125" fillId="35" borderId="0" applyNumberFormat="0" applyBorder="0" applyProtection="0">
      <alignment horizontal="left" vertical="center"/>
    </xf>
    <xf numFmtId="0" fontId="126" fillId="1" borderId="0" applyNumberFormat="0" applyBorder="0" applyProtection="0">
      <alignment horizontal="left" vertical="center"/>
    </xf>
    <xf numFmtId="0" fontId="160" fillId="0" borderId="0"/>
    <xf numFmtId="0" fontId="37" fillId="0" borderId="38" applyNumberFormat="0" applyAlignment="0" applyProtection="0">
      <alignment horizontal="left" vertical="center"/>
    </xf>
    <xf numFmtId="0" fontId="37" fillId="0" borderId="30">
      <alignment horizontal="left" vertical="center"/>
    </xf>
    <xf numFmtId="0" fontId="37" fillId="0" borderId="0"/>
    <xf numFmtId="301" fontId="14" fillId="0" borderId="0"/>
    <xf numFmtId="233" fontId="135" fillId="14" borderId="0" applyNumberFormat="0" applyFont="0" applyBorder="0" applyAlignment="0" applyProtection="0"/>
    <xf numFmtId="37" fontId="15" fillId="0" borderId="0" applyNumberFormat="0" applyBorder="0" applyAlignment="0" applyProtection="0"/>
    <xf numFmtId="0" fontId="194" fillId="0" borderId="0" applyNumberFormat="0" applyFill="0" applyBorder="0" applyAlignment="0" applyProtection="0">
      <alignment vertical="top"/>
      <protection locked="0"/>
    </xf>
    <xf numFmtId="231" fontId="50" fillId="0" borderId="0" applyFont="0" applyFill="0" applyBorder="0" applyAlignment="0" applyProtection="0"/>
    <xf numFmtId="302" fontId="14" fillId="0" borderId="0"/>
    <xf numFmtId="166" fontId="26" fillId="4" borderId="0" applyFont="0" applyBorder="0" applyAlignment="0" applyProtection="0">
      <protection locked="0"/>
    </xf>
    <xf numFmtId="262" fontId="8" fillId="4" borderId="0" applyFont="0" applyBorder="0" applyAlignment="0" applyProtection="0">
      <protection locked="0"/>
    </xf>
    <xf numFmtId="231" fontId="8" fillId="4" borderId="0" applyFont="0" applyBorder="0" applyAlignment="0">
      <protection locked="0"/>
    </xf>
    <xf numFmtId="267" fontId="8" fillId="4" borderId="0" applyFont="0" applyBorder="0" applyAlignment="0">
      <protection locked="0"/>
    </xf>
    <xf numFmtId="267" fontId="8" fillId="4" borderId="4"/>
    <xf numFmtId="38" fontId="118" fillId="4" borderId="4"/>
    <xf numFmtId="40" fontId="118" fillId="4" borderId="4"/>
    <xf numFmtId="0" fontId="8" fillId="0" borderId="0" applyFill="0" applyBorder="0">
      <alignment horizontal="right"/>
      <protection locked="0"/>
    </xf>
    <xf numFmtId="180" fontId="8" fillId="0" borderId="0" applyFill="0" applyBorder="0">
      <alignment horizontal="right"/>
      <protection locked="0"/>
    </xf>
    <xf numFmtId="0" fontId="29" fillId="17" borderId="14">
      <alignment horizontal="left" vertical="center" wrapText="1"/>
    </xf>
    <xf numFmtId="0" fontId="127" fillId="0" borderId="0" applyNumberFormat="0" applyFill="0" applyBorder="0" applyProtection="0">
      <alignment horizontal="left" vertical="center"/>
    </xf>
    <xf numFmtId="204" fontId="14" fillId="0" borderId="0" applyNumberFormat="0" applyAlignment="0">
      <alignment horizontal="left"/>
    </xf>
    <xf numFmtId="0" fontId="161" fillId="0" borderId="13">
      <alignment horizontal="left"/>
      <protection locked="0"/>
    </xf>
    <xf numFmtId="0" fontId="36" fillId="0" borderId="0"/>
    <xf numFmtId="266" fontId="88" fillId="0" borderId="0" applyFill="0" applyBorder="0" applyAlignment="0" applyProtection="0"/>
    <xf numFmtId="0" fontId="162" fillId="0" borderId="0" applyBorder="0"/>
    <xf numFmtId="204" fontId="29" fillId="0" borderId="30" applyFont="0" applyFill="0" applyBorder="0" applyAlignment="0" applyProtection="0">
      <alignment horizontal="center"/>
    </xf>
    <xf numFmtId="0" fontId="163" fillId="0" borderId="0" applyNumberFormat="0" applyFill="0" applyBorder="0" applyAlignment="0"/>
    <xf numFmtId="38" fontId="163" fillId="0" borderId="0" applyBorder="0"/>
    <xf numFmtId="268" fontId="50" fillId="0" borderId="0" applyFont="0" applyFill="0" applyBorder="0" applyAlignment="0" applyProtection="0"/>
    <xf numFmtId="204" fontId="14" fillId="0" borderId="0" applyFont="0" applyFill="0" applyBorder="0" applyAlignment="0" applyProtection="0">
      <alignment horizontal="right"/>
    </xf>
    <xf numFmtId="269" fontId="8" fillId="13" borderId="0" applyFont="0" applyBorder="0" applyAlignment="0" applyProtection="0">
      <alignment horizontal="right"/>
      <protection hidden="1"/>
    </xf>
    <xf numFmtId="178" fontId="14" fillId="0" borderId="0" applyFill="0" applyBorder="0" applyAlignment="0" applyProtection="0"/>
    <xf numFmtId="303" fontId="14" fillId="0" borderId="33" applyFont="0" applyFill="0" applyBorder="0" applyAlignment="0" applyProtection="0"/>
    <xf numFmtId="258" fontId="14" fillId="0" borderId="0"/>
    <xf numFmtId="302" fontId="14" fillId="0" borderId="0"/>
    <xf numFmtId="233" fontId="164" fillId="0" borderId="0"/>
    <xf numFmtId="37" fontId="154" fillId="0" borderId="0"/>
    <xf numFmtId="38" fontId="165" fillId="0" borderId="0"/>
    <xf numFmtId="222" fontId="164" fillId="0" borderId="0"/>
    <xf numFmtId="304" fontId="14" fillId="0" borderId="0">
      <alignment horizontal="right"/>
    </xf>
    <xf numFmtId="216" fontId="26" fillId="0" borderId="0" applyFont="0" applyFill="0" applyBorder="0" applyAlignment="0"/>
    <xf numFmtId="0" fontId="8" fillId="0" borderId="0" applyNumberFormat="0" applyFont="0" applyFill="0" applyBorder="0" applyAlignment="0" applyProtection="0"/>
    <xf numFmtId="0" fontId="193" fillId="0" borderId="0" applyNumberFormat="0" applyFill="0" applyBorder="0" applyAlignment="0" applyProtection="0"/>
    <xf numFmtId="270" fontId="8" fillId="0" borderId="0" applyFont="0" applyFill="0" applyBorder="0" applyAlignment="0" applyProtection="0"/>
    <xf numFmtId="271" fontId="8" fillId="0" borderId="0" applyFont="0" applyFill="0" applyBorder="0" applyAlignment="0" applyProtection="0"/>
    <xf numFmtId="178" fontId="27" fillId="0" borderId="33" applyBorder="0"/>
    <xf numFmtId="272" fontId="8" fillId="0" borderId="0" applyFont="0" applyFill="0" applyBorder="0" applyAlignment="0" applyProtection="0"/>
    <xf numFmtId="177" fontId="145" fillId="0" borderId="0"/>
    <xf numFmtId="0" fontId="166" fillId="0" borderId="0">
      <alignment horizontal="left"/>
    </xf>
    <xf numFmtId="0" fontId="104" fillId="0" borderId="0" applyNumberFormat="0" applyFill="0" applyBorder="0">
      <alignment horizontal="left"/>
    </xf>
    <xf numFmtId="1" fontId="167" fillId="0" borderId="0" applyProtection="0">
      <alignment horizontal="right" vertical="center"/>
    </xf>
    <xf numFmtId="273" fontId="8" fillId="0" borderId="0"/>
    <xf numFmtId="9" fontId="117" fillId="0" borderId="0" applyFont="0" applyFill="0" applyBorder="0" applyAlignment="0" applyProtection="0"/>
    <xf numFmtId="261" fontId="168" fillId="0" borderId="0"/>
    <xf numFmtId="274" fontId="8" fillId="0" borderId="0" applyFont="0" applyFill="0" applyBorder="0" applyAlignment="0"/>
    <xf numFmtId="267" fontId="8" fillId="0" borderId="0" applyFont="0" applyFill="0" applyBorder="0" applyAlignment="0"/>
    <xf numFmtId="275" fontId="8" fillId="0" borderId="0" applyFont="0" applyFill="0" applyBorder="0" applyAlignment="0"/>
    <xf numFmtId="9" fontId="8" fillId="0" borderId="0" applyFont="0" applyFill="0" applyBorder="0" applyAlignment="0" applyProtection="0"/>
    <xf numFmtId="9" fontId="14" fillId="0" borderId="0" applyFont="0" applyFill="0" applyBorder="0" applyAlignment="0" applyProtection="0"/>
    <xf numFmtId="176" fontId="169" fillId="0" borderId="0"/>
    <xf numFmtId="181" fontId="8" fillId="0" borderId="0" applyFill="0" applyBorder="0">
      <alignment horizontal="right"/>
      <protection locked="0"/>
    </xf>
    <xf numFmtId="276" fontId="8" fillId="0" borderId="0" applyFont="0" applyFill="0" applyBorder="0" applyAlignment="0" applyProtection="0"/>
    <xf numFmtId="0" fontId="104" fillId="0" borderId="0"/>
    <xf numFmtId="0" fontId="104" fillId="0" borderId="47">
      <alignment horizontal="right"/>
    </xf>
    <xf numFmtId="2" fontId="162" fillId="0" borderId="0" applyNumberFormat="0" applyFill="0" applyBorder="0" applyAlignment="0" applyProtection="0"/>
    <xf numFmtId="182" fontId="8" fillId="0" borderId="0">
      <alignment horizontal="right"/>
      <protection locked="0"/>
    </xf>
    <xf numFmtId="0" fontId="108" fillId="0" borderId="0"/>
    <xf numFmtId="0" fontId="170" fillId="0" borderId="13" applyNumberFormat="0" applyFill="0" applyBorder="0" applyAlignment="0" applyProtection="0">
      <protection hidden="1"/>
    </xf>
    <xf numFmtId="49" fontId="27" fillId="0" borderId="0">
      <alignment horizontal="right"/>
    </xf>
    <xf numFmtId="37" fontId="171" fillId="0" borderId="0" applyNumberFormat="0" applyFill="0" applyBorder="0" applyAlignment="0" applyProtection="0"/>
    <xf numFmtId="0" fontId="172" fillId="0" borderId="0"/>
    <xf numFmtId="0" fontId="45" fillId="0" borderId="17" applyNumberFormat="0" applyBorder="0" applyAlignment="0"/>
    <xf numFmtId="0" fontId="127" fillId="0" borderId="0" applyNumberFormat="0" applyFill="0" applyBorder="0" applyProtection="0">
      <alignment horizontal="right" vertical="center"/>
    </xf>
    <xf numFmtId="305" fontId="14" fillId="0" borderId="0" applyNumberFormat="0" applyFill="0" applyBorder="0" applyProtection="0">
      <alignment horizontal="left" vertical="center"/>
      <protection locked="0"/>
    </xf>
    <xf numFmtId="306" fontId="19" fillId="0" borderId="0" applyFill="0" applyBorder="0">
      <alignment horizontal="right"/>
      <protection hidden="1"/>
    </xf>
    <xf numFmtId="0" fontId="37" fillId="10" borderId="4">
      <alignment horizontal="center" vertical="center" wrapText="1"/>
      <protection hidden="1"/>
    </xf>
    <xf numFmtId="1" fontId="150" fillId="36" borderId="0" applyNumberFormat="0" applyFont="0" applyBorder="0" applyAlignment="0">
      <alignment horizontal="left"/>
    </xf>
    <xf numFmtId="178" fontId="14" fillId="0" borderId="7" applyFont="0" applyFill="0" applyBorder="0" applyAlignment="0" applyProtection="0">
      <alignment horizontal="right"/>
    </xf>
    <xf numFmtId="231" fontId="50" fillId="0" borderId="0" applyFont="0" applyFill="0" applyBorder="0" applyAlignment="0" applyProtection="0"/>
    <xf numFmtId="0" fontId="35" fillId="13" borderId="0" applyNumberFormat="0" applyBorder="0">
      <alignment horizontal="centerContinuous"/>
    </xf>
    <xf numFmtId="0" fontId="173" fillId="0" borderId="0" applyNumberFormat="0" applyFill="0" applyBorder="0" applyAlignment="0" applyProtection="0"/>
    <xf numFmtId="3" fontId="26" fillId="0" borderId="0"/>
    <xf numFmtId="204" fontId="136" fillId="0" borderId="0" applyFill="0" applyBorder="0" applyProtection="0">
      <alignment horizontal="right"/>
    </xf>
    <xf numFmtId="231" fontId="26" fillId="14" borderId="0" applyNumberFormat="0" applyFont="0" applyBorder="0" applyAlignment="0">
      <protection hidden="1"/>
    </xf>
    <xf numFmtId="3" fontId="27" fillId="0" borderId="0"/>
    <xf numFmtId="0" fontId="174" fillId="0" borderId="0" applyNumberFormat="0" applyFill="0" applyBorder="0" applyAlignment="0" applyProtection="0">
      <protection locked="0"/>
    </xf>
    <xf numFmtId="307" fontId="174" fillId="0" borderId="0" applyNumberFormat="0" applyFill="0" applyBorder="0" applyAlignment="0" applyProtection="0">
      <alignment horizontal="right" vertical="center" wrapText="1"/>
    </xf>
    <xf numFmtId="0" fontId="174" fillId="0" borderId="0" applyNumberFormat="0" applyFill="0" applyBorder="0" applyAlignment="0" applyProtection="0">
      <protection locked="0"/>
    </xf>
    <xf numFmtId="0" fontId="175" fillId="0" borderId="0" applyNumberFormat="0" applyFill="0" applyBorder="0" applyAlignment="0" applyProtection="0"/>
    <xf numFmtId="0" fontId="176" fillId="0" borderId="30" applyNumberFormat="0" applyFill="0" applyProtection="0">
      <alignment horizontal="right" vertical="center" wrapText="1"/>
    </xf>
    <xf numFmtId="0" fontId="29" fillId="33" borderId="0" applyNumberFormat="0" applyBorder="0">
      <alignment horizontal="centerContinuous"/>
    </xf>
    <xf numFmtId="0" fontId="177" fillId="0" borderId="33" applyNumberFormat="0" applyFill="0" applyProtection="0">
      <alignment horizontal="right"/>
    </xf>
    <xf numFmtId="0" fontId="128" fillId="0" borderId="0" applyNumberFormat="0" applyFill="0" applyBorder="0" applyProtection="0">
      <alignment horizontal="left" vertical="center"/>
    </xf>
    <xf numFmtId="0" fontId="178" fillId="0" borderId="0"/>
    <xf numFmtId="259" fontId="128" fillId="0" borderId="0" applyNumberFormat="0"/>
    <xf numFmtId="0" fontId="179" fillId="0" borderId="44" applyNumberFormat="0" applyFill="0" applyBorder="0" applyAlignment="0" applyProtection="0"/>
    <xf numFmtId="0" fontId="177" fillId="0" borderId="37" applyNumberFormat="0" applyProtection="0">
      <alignment horizontal="right"/>
    </xf>
    <xf numFmtId="0" fontId="180" fillId="0" borderId="7" applyNumberFormat="0" applyFill="0" applyProtection="0"/>
    <xf numFmtId="174" fontId="14" fillId="0" borderId="7" applyBorder="0" applyProtection="0">
      <alignment horizontal="right" vertical="center"/>
    </xf>
    <xf numFmtId="0" fontId="181" fillId="26" borderId="0" applyBorder="0" applyProtection="0">
      <alignment horizontal="centerContinuous" vertical="center"/>
    </xf>
    <xf numFmtId="0" fontId="181" fillId="6" borderId="7" applyBorder="0" applyProtection="0">
      <alignment horizontal="centerContinuous" vertical="center"/>
    </xf>
    <xf numFmtId="3" fontId="34" fillId="0" borderId="0" applyNumberFormat="0"/>
    <xf numFmtId="0" fontId="182" fillId="0" borderId="0" applyFill="0" applyBorder="0" applyProtection="0">
      <alignment horizontal="left"/>
    </xf>
    <xf numFmtId="0" fontId="183" fillId="0" borderId="2" applyFill="0" applyBorder="0" applyProtection="0">
      <alignment horizontal="left" vertical="top"/>
    </xf>
    <xf numFmtId="176" fontId="184" fillId="0" borderId="0" applyNumberFormat="0" applyFill="0" applyBorder="0">
      <alignment horizontal="left"/>
    </xf>
    <xf numFmtId="176" fontId="184" fillId="0" borderId="0" applyNumberFormat="0" applyFill="0" applyBorder="0">
      <alignment horizontal="right"/>
    </xf>
    <xf numFmtId="176" fontId="121" fillId="0" borderId="0" applyNumberFormat="0" applyFill="0" applyBorder="0">
      <alignment horizontal="right"/>
    </xf>
    <xf numFmtId="231" fontId="8" fillId="20" borderId="0" applyNumberFormat="0" applyFont="0" applyBorder="0" applyAlignment="0" applyProtection="0"/>
    <xf numFmtId="277" fontId="8" fillId="0" borderId="0" applyFill="0" applyBorder="0" applyAlignment="0" applyProtection="0">
      <alignment horizontal="right"/>
    </xf>
    <xf numFmtId="308" fontId="63" fillId="0" borderId="0" applyBorder="0" applyProtection="0">
      <alignment horizontal="right"/>
    </xf>
    <xf numFmtId="3" fontId="129" fillId="0" borderId="0"/>
    <xf numFmtId="0" fontId="130" fillId="0" borderId="31"/>
    <xf numFmtId="0" fontId="34" fillId="0" borderId="48"/>
    <xf numFmtId="0" fontId="8" fillId="0" borderId="0" applyBorder="0"/>
    <xf numFmtId="0" fontId="131" fillId="0" borderId="0" applyNumberFormat="0" applyFont="0" applyFill="0" applyBorder="0" applyAlignment="0">
      <alignment horizontal="left" vertical="center"/>
    </xf>
    <xf numFmtId="0" fontId="34" fillId="0" borderId="30">
      <alignment horizontal="right" wrapText="1"/>
    </xf>
    <xf numFmtId="0" fontId="169" fillId="3" borderId="13"/>
    <xf numFmtId="3" fontId="34" fillId="0" borderId="7" applyNumberFormat="0"/>
    <xf numFmtId="257" fontId="26" fillId="0" borderId="0" applyBorder="0" applyProtection="0">
      <alignment horizontal="right"/>
    </xf>
    <xf numFmtId="40" fontId="158" fillId="0" borderId="0"/>
    <xf numFmtId="37" fontId="14" fillId="37" borderId="4" applyNumberFormat="0" applyAlignment="0" applyProtection="0"/>
    <xf numFmtId="231" fontId="185" fillId="0" borderId="0"/>
    <xf numFmtId="0" fontId="186" fillId="0" borderId="0">
      <alignment vertical="top"/>
    </xf>
    <xf numFmtId="0" fontId="187" fillId="0" borderId="0" applyNumberFormat="0"/>
    <xf numFmtId="0" fontId="120" fillId="38" borderId="49">
      <alignment horizontal="left"/>
    </xf>
    <xf numFmtId="231" fontId="42" fillId="0" borderId="0" applyNumberFormat="0" applyFill="0" applyBorder="0" applyAlignment="0" applyProtection="0"/>
    <xf numFmtId="0" fontId="3" fillId="0" borderId="0"/>
    <xf numFmtId="0" fontId="188" fillId="0" borderId="44" applyNumberFormat="0" applyFill="0" applyBorder="0" applyAlignment="0" applyProtection="0"/>
    <xf numFmtId="0" fontId="189" fillId="0" borderId="44" applyNumberFormat="0" applyFill="0" applyBorder="0" applyAlignment="0" applyProtection="0"/>
    <xf numFmtId="0" fontId="190" fillId="0" borderId="44" applyNumberFormat="0" applyFill="0" applyBorder="0" applyAlignment="0" applyProtection="0"/>
    <xf numFmtId="1" fontId="191" fillId="0" borderId="0">
      <alignment horizontal="right"/>
    </xf>
    <xf numFmtId="279" fontId="14" fillId="0" borderId="0"/>
    <xf numFmtId="1" fontId="22" fillId="0" borderId="30" applyFill="0" applyProtection="0">
      <alignment horizontal="right"/>
    </xf>
    <xf numFmtId="0" fontId="192" fillId="0" borderId="0"/>
    <xf numFmtId="309" fontId="8" fillId="0" borderId="0"/>
    <xf numFmtId="0" fontId="8" fillId="0" borderId="0" applyNumberFormat="0" applyFill="0" applyBorder="0" applyAlignment="0" applyProtection="0"/>
    <xf numFmtId="0" fontId="8" fillId="0" borderId="0" applyNumberFormat="0" applyFont="0" applyFill="0" applyBorder="0" applyAlignment="0" applyProtection="0"/>
    <xf numFmtId="37" fontId="8" fillId="0" borderId="0" applyFont="0" applyFill="0" applyBorder="0" applyAlignment="0" applyProtection="0"/>
    <xf numFmtId="0" fontId="8" fillId="0" borderId="0" applyNumberFormat="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21" fillId="0" borderId="0" applyNumberForma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0" fontId="21" fillId="0" borderId="0" applyNumberFormat="0" applyFill="0" applyBorder="0" applyAlignment="0" applyProtection="0"/>
    <xf numFmtId="9" fontId="8" fillId="0" borderId="0" applyFont="0" applyFill="0" applyBorder="0" applyAlignment="0" applyProtection="0"/>
    <xf numFmtId="37" fontId="8" fillId="0" borderId="0" applyFont="0" applyFill="0" applyBorder="0" applyAlignment="0" applyProtection="0"/>
    <xf numFmtId="0" fontId="195" fillId="0" borderId="0"/>
    <xf numFmtId="0" fontId="117" fillId="39"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7" borderId="0" applyNumberFormat="0" applyBorder="0" applyAlignment="0" applyProtection="0"/>
    <xf numFmtId="0" fontId="117" fillId="48" borderId="0" applyNumberFormat="0" applyBorder="0" applyAlignment="0" applyProtection="0"/>
    <xf numFmtId="0" fontId="117" fillId="49" borderId="0" applyNumberFormat="0" applyBorder="0" applyAlignment="0" applyProtection="0"/>
    <xf numFmtId="0" fontId="117" fillId="50" borderId="0" applyNumberFormat="0" applyBorder="0" applyAlignment="0" applyProtection="0"/>
    <xf numFmtId="0" fontId="199" fillId="51" borderId="0" applyNumberFormat="0" applyBorder="0" applyAlignment="0" applyProtection="0"/>
    <xf numFmtId="0" fontId="199" fillId="30" borderId="0" applyNumberFormat="0" applyBorder="0" applyAlignment="0" applyProtection="0"/>
    <xf numFmtId="0" fontId="199" fillId="52" borderId="0" applyNumberFormat="0" applyBorder="0" applyAlignment="0" applyProtection="0"/>
    <xf numFmtId="0" fontId="199" fillId="53" borderId="0" applyNumberFormat="0" applyBorder="0" applyAlignment="0" applyProtection="0"/>
    <xf numFmtId="0" fontId="199" fillId="54" borderId="0" applyNumberFormat="0" applyBorder="0" applyAlignment="0" applyProtection="0"/>
    <xf numFmtId="0" fontId="199" fillId="55" borderId="0" applyNumberFormat="0" applyBorder="0" applyAlignment="0" applyProtection="0"/>
    <xf numFmtId="0" fontId="199" fillId="56" borderId="0" applyNumberFormat="0" applyBorder="0" applyAlignment="0" applyProtection="0"/>
    <xf numFmtId="0" fontId="199" fillId="57" borderId="0" applyNumberFormat="0" applyBorder="0" applyAlignment="0" applyProtection="0"/>
    <xf numFmtId="0" fontId="199" fillId="58" borderId="0" applyNumberFormat="0" applyBorder="0" applyAlignment="0" applyProtection="0"/>
    <xf numFmtId="0" fontId="199" fillId="59" borderId="0" applyNumberFormat="0" applyBorder="0" applyAlignment="0" applyProtection="0"/>
    <xf numFmtId="0" fontId="199" fillId="60" borderId="0" applyNumberFormat="0" applyBorder="0" applyAlignment="0" applyProtection="0"/>
    <xf numFmtId="0" fontId="199" fillId="61" borderId="0" applyNumberFormat="0" applyBorder="0" applyAlignment="0" applyProtection="0"/>
    <xf numFmtId="0" fontId="200" fillId="62" borderId="0" applyNumberFormat="0" applyBorder="0" applyAlignment="0" applyProtection="0"/>
    <xf numFmtId="0" fontId="201" fillId="63" borderId="51" applyNumberFormat="0" applyAlignment="0" applyProtection="0"/>
    <xf numFmtId="0" fontId="202" fillId="64" borderId="43" applyNumberFormat="0" applyAlignment="0" applyProtection="0"/>
    <xf numFmtId="170" fontId="20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204" fillId="0" borderId="0" applyNumberFormat="0" applyFill="0" applyBorder="0" applyAlignment="0" applyProtection="0"/>
    <xf numFmtId="0" fontId="205" fillId="65" borderId="0" applyNumberFormat="0" applyBorder="0" applyAlignment="0" applyProtection="0"/>
    <xf numFmtId="0" fontId="196" fillId="0" borderId="41" applyNumberFormat="0" applyFill="0" applyAlignment="0" applyProtection="0"/>
    <xf numFmtId="0" fontId="197" fillId="0" borderId="55" applyNumberFormat="0" applyFill="0" applyAlignment="0" applyProtection="0"/>
    <xf numFmtId="0" fontId="198" fillId="0" borderId="50" applyNumberFormat="0" applyFill="0" applyAlignment="0" applyProtection="0"/>
    <xf numFmtId="0" fontId="198" fillId="0" borderId="0" applyNumberFormat="0" applyFill="0" applyBorder="0" applyAlignment="0" applyProtection="0"/>
    <xf numFmtId="0" fontId="206" fillId="66" borderId="51" applyNumberFormat="0" applyAlignment="0" applyProtection="0"/>
    <xf numFmtId="0" fontId="207" fillId="0" borderId="42" applyNumberFormat="0" applyFill="0" applyAlignment="0" applyProtection="0"/>
    <xf numFmtId="0" fontId="208" fillId="31" borderId="0" applyNumberFormat="0" applyBorder="0" applyAlignment="0" applyProtection="0"/>
    <xf numFmtId="0" fontId="209" fillId="67" borderId="0" applyNumberFormat="0" applyBorder="0" applyAlignment="0" applyProtection="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7" fillId="4" borderId="53" applyNumberFormat="0" applyFont="0" applyAlignment="0" applyProtection="0"/>
    <xf numFmtId="0" fontId="210" fillId="63" borderId="52" applyNumberFormat="0" applyAlignment="0" applyProtection="0"/>
    <xf numFmtId="40" fontId="211" fillId="5" borderId="0">
      <alignment horizontal="right"/>
    </xf>
    <xf numFmtId="0" fontId="212" fillId="5" borderId="0">
      <alignment horizontal="right"/>
    </xf>
    <xf numFmtId="0" fontId="213" fillId="5" borderId="17"/>
    <xf numFmtId="0" fontId="213" fillId="0" borderId="0" applyBorder="0">
      <alignment horizontal="centerContinuous"/>
    </xf>
    <xf numFmtId="0" fontId="214" fillId="0" borderId="0" applyBorder="0">
      <alignment horizontal="centerContinuous"/>
    </xf>
    <xf numFmtId="0" fontId="215" fillId="0" borderId="0" applyNumberFormat="0" applyFill="0" applyBorder="0" applyAlignment="0" applyProtection="0"/>
    <xf numFmtId="0" fontId="133" fillId="0" borderId="54" applyNumberFormat="0" applyFill="0" applyAlignment="0" applyProtection="0"/>
    <xf numFmtId="0" fontId="132" fillId="0" borderId="0" applyNumberFormat="0" applyFill="0" applyBorder="0" applyAlignment="0" applyProtection="0"/>
    <xf numFmtId="170" fontId="117" fillId="0" borderId="0" applyFont="0" applyFill="0" applyBorder="0" applyAlignment="0" applyProtection="0"/>
    <xf numFmtId="169" fontId="117" fillId="0" borderId="0" applyFont="0" applyFill="0" applyBorder="0" applyAlignment="0" applyProtection="0"/>
    <xf numFmtId="14" fontId="29" fillId="0" borderId="30" applyFont="0">
      <alignment horizontal="right"/>
    </xf>
    <xf numFmtId="9" fontId="117" fillId="0" borderId="0" applyFont="0" applyFill="0" applyBorder="0" applyAlignment="0" applyProtection="0"/>
    <xf numFmtId="178" fontId="27" fillId="0" borderId="33" applyBorder="0"/>
    <xf numFmtId="267" fontId="8" fillId="4" borderId="0" applyFont="0" applyBorder="0" applyAlignment="0">
      <protection locked="0"/>
    </xf>
    <xf numFmtId="267" fontId="8" fillId="4" borderId="0" applyFont="0" applyBorder="0" applyAlignment="0">
      <protection locked="0"/>
    </xf>
    <xf numFmtId="178" fontId="27" fillId="0" borderId="33" applyBorder="0"/>
    <xf numFmtId="9" fontId="117" fillId="0" borderId="0" applyFont="0" applyFill="0" applyBorder="0" applyAlignment="0" applyProtection="0"/>
    <xf numFmtId="14" fontId="29" fillId="0" borderId="30" applyFont="0">
      <alignment horizontal="right"/>
    </xf>
    <xf numFmtId="169" fontId="117" fillId="0" borderId="0" applyFont="0" applyFill="0" applyBorder="0" applyAlignment="0" applyProtection="0"/>
    <xf numFmtId="170" fontId="117" fillId="0" borderId="0" applyFont="0" applyFill="0" applyBorder="0" applyAlignment="0" applyProtection="0"/>
    <xf numFmtId="0" fontId="3" fillId="0" borderId="0"/>
    <xf numFmtId="0" fontId="8" fillId="0" borderId="0" applyNumberFormat="0" applyFill="0" applyBorder="0" applyAlignment="0" applyProtection="0"/>
    <xf numFmtId="170" fontId="2" fillId="0" borderId="0" applyFont="0" applyFill="0" applyBorder="0" applyAlignment="0" applyProtection="0"/>
    <xf numFmtId="204" fontId="14" fillId="0" borderId="0" applyNumberFormat="0" applyFont="0" applyAlignment="0" applyProtection="0"/>
    <xf numFmtId="169" fontId="117" fillId="0" borderId="0" applyFont="0" applyFill="0" applyBorder="0" applyAlignment="0" applyProtection="0"/>
    <xf numFmtId="9" fontId="117" fillId="0" borderId="0" applyFont="0" applyFill="0" applyBorder="0" applyAlignment="0" applyProtection="0"/>
    <xf numFmtId="0" fontId="193" fillId="0" borderId="0" applyNumberFormat="0" applyFill="0" applyBorder="0" applyAlignment="0" applyProtection="0"/>
    <xf numFmtId="0" fontId="2" fillId="0" borderId="0"/>
    <xf numFmtId="38" fontId="14" fillId="0" borderId="0" applyFont="0" applyFill="0" applyBorder="0" applyAlignment="0" applyProtection="0"/>
    <xf numFmtId="178" fontId="27" fillId="0" borderId="33" applyBorder="0"/>
    <xf numFmtId="165" fontId="14" fillId="0" borderId="0" applyFont="0" applyFill="0" applyBorder="0" applyAlignment="0" applyProtection="0"/>
    <xf numFmtId="14" fontId="29" fillId="0" borderId="30" applyFont="0">
      <alignment horizontal="right"/>
    </xf>
    <xf numFmtId="0" fontId="117"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7" fillId="75" borderId="0" applyNumberFormat="0" applyBorder="0" applyAlignment="0" applyProtection="0"/>
    <xf numFmtId="0" fontId="117" fillId="76" borderId="0" applyNumberFormat="0" applyBorder="0" applyAlignment="0" applyProtection="0"/>
    <xf numFmtId="0" fontId="117" fillId="71" borderId="0" applyNumberFormat="0" applyBorder="0" applyAlignment="0" applyProtection="0"/>
    <xf numFmtId="0" fontId="117" fillId="74" borderId="0" applyNumberFormat="0" applyBorder="0" applyAlignment="0" applyProtection="0"/>
    <xf numFmtId="0" fontId="117" fillId="77" borderId="0" applyNumberFormat="0" applyBorder="0" applyAlignment="0" applyProtection="0"/>
    <xf numFmtId="0" fontId="199" fillId="78" borderId="0" applyNumberFormat="0" applyBorder="0" applyAlignment="0" applyProtection="0"/>
    <xf numFmtId="0" fontId="199" fillId="75" borderId="0" applyNumberFormat="0" applyBorder="0" applyAlignment="0" applyProtection="0"/>
    <xf numFmtId="0" fontId="199" fillId="76" borderId="0" applyNumberFormat="0" applyBorder="0" applyAlignment="0" applyProtection="0"/>
    <xf numFmtId="0" fontId="199" fillId="79" borderId="0" applyNumberFormat="0" applyBorder="0" applyAlignment="0" applyProtection="0"/>
    <xf numFmtId="0" fontId="199" fillId="80" borderId="0" applyNumberFormat="0" applyBorder="0" applyAlignment="0" applyProtection="0"/>
    <xf numFmtId="0" fontId="199" fillId="81" borderId="0" applyNumberFormat="0" applyBorder="0" applyAlignment="0" applyProtection="0"/>
    <xf numFmtId="0" fontId="199" fillId="82" borderId="0" applyNumberFormat="0" applyBorder="0" applyAlignment="0" applyProtection="0"/>
    <xf numFmtId="0" fontId="199" fillId="83" borderId="0" applyNumberFormat="0" applyBorder="0" applyAlignment="0" applyProtection="0"/>
    <xf numFmtId="0" fontId="199" fillId="84" borderId="0" applyNumberFormat="0" applyBorder="0" applyAlignment="0" applyProtection="0"/>
    <xf numFmtId="0" fontId="199" fillId="79" borderId="0" applyNumberFormat="0" applyBorder="0" applyAlignment="0" applyProtection="0"/>
    <xf numFmtId="0" fontId="199" fillId="80" borderId="0" applyNumberFormat="0" applyBorder="0" applyAlignment="0" applyProtection="0"/>
    <xf numFmtId="0" fontId="199" fillId="85" borderId="0" applyNumberFormat="0" applyBorder="0" applyAlignment="0" applyProtection="0"/>
    <xf numFmtId="170" fontId="8" fillId="0" borderId="0" applyFont="0" applyFill="0" applyBorder="0" applyAlignment="0" applyProtection="0"/>
    <xf numFmtId="284" fontId="140" fillId="0" borderId="7">
      <alignment horizontal="centerContinuous"/>
    </xf>
    <xf numFmtId="169" fontId="8" fillId="0" borderId="0" applyFont="0" applyFill="0" applyBorder="0" applyAlignment="0" applyProtection="0"/>
    <xf numFmtId="278" fontId="8" fillId="0" borderId="0">
      <alignment horizontal="left" wrapText="1"/>
    </xf>
    <xf numFmtId="9" fontId="8" fillId="0" borderId="0" applyFont="0" applyFill="0" applyBorder="0" applyAlignment="0" applyProtection="0"/>
    <xf numFmtId="170" fontId="8" fillId="0" borderId="0" applyFont="0" applyFill="0" applyBorder="0" applyAlignment="0" applyProtection="0"/>
    <xf numFmtId="0" fontId="145" fillId="0" borderId="13">
      <protection hidden="1"/>
    </xf>
    <xf numFmtId="0" fontId="216" fillId="69" borderId="0" applyNumberFormat="0" applyBorder="0" applyAlignment="0" applyProtection="0"/>
    <xf numFmtId="9" fontId="8" fillId="0" borderId="0" applyFont="0" applyFill="0" applyBorder="0" applyAlignment="0" applyProtection="0"/>
    <xf numFmtId="178" fontId="27" fillId="0" borderId="33" applyBorder="0"/>
    <xf numFmtId="38" fontId="14" fillId="0" borderId="0" applyFont="0" applyFill="0" applyBorder="0" applyAlignment="0" applyProtection="0"/>
    <xf numFmtId="170" fontId="8" fillId="0" borderId="0" applyFont="0" applyFill="0" applyBorder="0" applyAlignment="0" applyProtection="0"/>
    <xf numFmtId="0" fontId="217" fillId="3" borderId="56" applyNumberFormat="0" applyAlignment="0" applyProtection="0"/>
    <xf numFmtId="169" fontId="8" fillId="0" borderId="0" applyFont="0" applyFill="0" applyBorder="0" applyAlignment="0" applyProtection="0"/>
    <xf numFmtId="9" fontId="8" fillId="0" borderId="0" applyFont="0" applyFill="0" applyBorder="0" applyAlignment="0" applyProtection="0"/>
    <xf numFmtId="0" fontId="202" fillId="86" borderId="57" applyNumberFormat="0" applyAlignment="0" applyProtection="0"/>
    <xf numFmtId="0" fontId="2" fillId="0" borderId="0"/>
    <xf numFmtId="178" fontId="27" fillId="0" borderId="33" applyBorder="0"/>
    <xf numFmtId="170" fontId="8" fillId="0" borderId="0" applyFont="0" applyFill="0" applyBorder="0" applyAlignment="0" applyProtection="0"/>
    <xf numFmtId="14" fontId="29" fillId="0" borderId="30" applyFont="0">
      <alignment horizontal="right"/>
    </xf>
    <xf numFmtId="9" fontId="117" fillId="0" borderId="0" applyFont="0" applyFill="0" applyBorder="0" applyAlignment="0" applyProtection="0"/>
    <xf numFmtId="170" fontId="117" fillId="0" borderId="0" applyFont="0" applyFill="0" applyBorder="0" applyAlignment="0" applyProtection="0"/>
    <xf numFmtId="310" fontId="8" fillId="0" borderId="0" applyFont="0" applyFill="0" applyBorder="0" applyAlignment="0" applyProtection="0">
      <alignment horizontal="right"/>
    </xf>
    <xf numFmtId="169" fontId="8" fillId="0" borderId="0" applyFont="0" applyFill="0" applyBorder="0" applyAlignment="0" applyProtection="0"/>
    <xf numFmtId="311" fontId="14" fillId="0" borderId="0" applyFont="0" applyFill="0" applyBorder="0" applyAlignment="0" applyProtection="0">
      <alignment horizontal="right"/>
    </xf>
    <xf numFmtId="14" fontId="29" fillId="0" borderId="30" applyFont="0">
      <alignment horizontal="right"/>
    </xf>
    <xf numFmtId="14" fontId="29" fillId="0" borderId="30" applyFont="0">
      <alignment horizontal="right"/>
    </xf>
    <xf numFmtId="165" fontId="14" fillId="0" borderId="0" applyFont="0" applyFill="0" applyBorder="0" applyAlignment="0" applyProtection="0"/>
    <xf numFmtId="178" fontId="27" fillId="0" borderId="33" applyBorder="0"/>
    <xf numFmtId="14" fontId="29" fillId="0" borderId="30" applyFont="0">
      <alignment horizontal="right"/>
    </xf>
    <xf numFmtId="267" fontId="8" fillId="4" borderId="0" applyFont="0" applyBorder="0" applyAlignment="0">
      <protection locked="0"/>
    </xf>
    <xf numFmtId="267" fontId="8" fillId="4" borderId="0" applyFont="0" applyBorder="0" applyAlignment="0">
      <protection locked="0"/>
    </xf>
    <xf numFmtId="176" fontId="119" fillId="0" borderId="9" applyNumberFormat="0" applyAlignment="0" applyProtection="0">
      <alignment vertical="top"/>
    </xf>
    <xf numFmtId="267" fontId="8" fillId="4" borderId="0" applyFont="0" applyBorder="0" applyAlignment="0">
      <protection locked="0"/>
    </xf>
    <xf numFmtId="3" fontId="222" fillId="11" borderId="4"/>
    <xf numFmtId="3" fontId="222" fillId="11" borderId="4"/>
    <xf numFmtId="3" fontId="222" fillId="11" borderId="4"/>
    <xf numFmtId="0" fontId="220" fillId="0" borderId="7"/>
    <xf numFmtId="0" fontId="221" fillId="0" borderId="0"/>
    <xf numFmtId="0" fontId="220" fillId="0" borderId="7"/>
    <xf numFmtId="0" fontId="221" fillId="0" borderId="0"/>
    <xf numFmtId="0" fontId="220" fillId="0" borderId="7"/>
    <xf numFmtId="0" fontId="221" fillId="0" borderId="0"/>
    <xf numFmtId="0" fontId="221" fillId="0" borderId="0"/>
    <xf numFmtId="0" fontId="220" fillId="0" borderId="7"/>
    <xf numFmtId="0" fontId="221" fillId="0" borderId="0"/>
    <xf numFmtId="0" fontId="220" fillId="0" borderId="7"/>
    <xf numFmtId="0" fontId="221" fillId="0" borderId="0"/>
    <xf numFmtId="231" fontId="119" fillId="0" borderId="9" applyNumberFormat="0" applyAlignment="0" applyProtection="0">
      <alignment vertical="top"/>
    </xf>
    <xf numFmtId="0" fontId="220" fillId="0" borderId="7"/>
    <xf numFmtId="267" fontId="8" fillId="4" borderId="0" applyFont="0" applyBorder="0" applyAlignment="0">
      <protection locked="0"/>
    </xf>
    <xf numFmtId="0" fontId="218" fillId="0" borderId="0" applyNumberFormat="0" applyFill="0" applyBorder="0" applyAlignment="0" applyProtection="0"/>
    <xf numFmtId="3" fontId="222" fillId="11" borderId="4"/>
    <xf numFmtId="267" fontId="8" fillId="4" borderId="0" applyFont="0" applyBorder="0" applyAlignment="0">
      <protection locked="0"/>
    </xf>
    <xf numFmtId="3" fontId="222" fillId="11" borderId="4"/>
    <xf numFmtId="3" fontId="222" fillId="11" borderId="4"/>
    <xf numFmtId="0" fontId="219" fillId="70" borderId="0" applyNumberFormat="0" applyBorder="0" applyAlignment="0" applyProtection="0"/>
    <xf numFmtId="267" fontId="8" fillId="4" borderId="0" applyFont="0" applyBorder="0" applyAlignment="0">
      <protection locked="0"/>
    </xf>
    <xf numFmtId="38" fontId="26" fillId="13" borderId="0" applyNumberFormat="0" applyBorder="0" applyAlignment="0" applyProtection="0"/>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0" fontId="220" fillId="0" borderId="7"/>
    <xf numFmtId="0" fontId="221" fillId="0" borderId="0"/>
    <xf numFmtId="0" fontId="22" fillId="0" borderId="0"/>
    <xf numFmtId="0" fontId="107" fillId="0" borderId="0"/>
    <xf numFmtId="267" fontId="8" fillId="4" borderId="0" applyFont="0" applyBorder="0" applyAlignment="0">
      <protection locked="0"/>
    </xf>
    <xf numFmtId="267" fontId="8" fillId="4" borderId="0" applyFont="0" applyBorder="0" applyAlignment="0">
      <protection locked="0"/>
    </xf>
    <xf numFmtId="3" fontId="222" fillId="11" borderId="4"/>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0" fontId="220" fillId="0" borderId="7"/>
    <xf numFmtId="0" fontId="221" fillId="0" borderId="0"/>
    <xf numFmtId="0" fontId="226" fillId="73" borderId="56" applyNumberFormat="0" applyAlignment="0" applyProtection="0"/>
    <xf numFmtId="0" fontId="223" fillId="0" borderId="58" applyNumberFormat="0" applyFill="0" applyAlignment="0" applyProtection="0"/>
    <xf numFmtId="14" fontId="29" fillId="0" borderId="30" applyFont="0">
      <alignment horizontal="right"/>
    </xf>
    <xf numFmtId="169" fontId="117" fillId="0" borderId="0" applyFont="0" applyFill="0" applyBorder="0" applyAlignment="0" applyProtection="0"/>
    <xf numFmtId="0" fontId="193" fillId="0" borderId="0" applyNumberFormat="0" applyFill="0" applyBorder="0" applyAlignment="0" applyProtection="0"/>
    <xf numFmtId="0" fontId="224" fillId="87" borderId="0" applyNumberFormat="0" applyBorder="0" applyAlignment="0" applyProtection="0"/>
    <xf numFmtId="9" fontId="8" fillId="0" borderId="0"/>
    <xf numFmtId="9" fontId="8" fillId="0" borderId="0" applyFont="0" applyFill="0" applyBorder="0" applyAlignment="0" applyProtection="0"/>
    <xf numFmtId="176" fontId="9" fillId="0" borderId="0"/>
    <xf numFmtId="2" fontId="9" fillId="0" borderId="0"/>
    <xf numFmtId="283" fontId="8" fillId="0" borderId="0"/>
    <xf numFmtId="169" fontId="8" fillId="0" borderId="0" applyFont="0" applyFill="0" applyBorder="0" applyAlignment="0" applyProtection="0"/>
    <xf numFmtId="14" fontId="29" fillId="0" borderId="30" applyFont="0">
      <alignment horizontal="right"/>
    </xf>
    <xf numFmtId="287" fontId="14" fillId="0" borderId="36" applyBorder="0"/>
    <xf numFmtId="9" fontId="8" fillId="0" borderId="0" applyFont="0" applyFill="0" applyBorder="0" applyAlignment="0" applyProtection="0"/>
    <xf numFmtId="0" fontId="14" fillId="0" borderId="0" applyNumberFormat="0" applyFill="0" applyBorder="0" applyAlignment="0" applyProtection="0"/>
    <xf numFmtId="291" fontId="8" fillId="0" borderId="0"/>
    <xf numFmtId="296" fontId="8" fillId="0" borderId="0" applyFont="0" applyFill="0" applyBorder="0" applyAlignment="0" applyProtection="0"/>
    <xf numFmtId="169" fontId="8" fillId="0" borderId="0" applyFont="0" applyFill="0" applyBorder="0" applyAlignment="0" applyProtection="0"/>
    <xf numFmtId="0" fontId="2" fillId="0" borderId="0"/>
    <xf numFmtId="170" fontId="8" fillId="0" borderId="0" applyFont="0" applyFill="0" applyBorder="0" applyAlignment="0" applyProtection="0"/>
    <xf numFmtId="0" fontId="8" fillId="88" borderId="59" applyNumberFormat="0" applyFont="0" applyAlignment="0" applyProtection="0"/>
    <xf numFmtId="178" fontId="27" fillId="0" borderId="33" applyBorder="0"/>
    <xf numFmtId="0" fontId="225" fillId="3" borderId="60" applyNumberFormat="0" applyAlignment="0" applyProtection="0"/>
    <xf numFmtId="9" fontId="14" fillId="0" borderId="0" applyFont="0" applyFill="0" applyBorder="0" applyAlignment="0" applyProtection="0"/>
    <xf numFmtId="170" fontId="117"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10" fontId="8" fillId="0" borderId="0" applyFont="0" applyFill="0" applyBorder="0" applyAlignment="0" applyProtection="0"/>
    <xf numFmtId="9" fontId="14" fillId="0" borderId="0" applyFont="0" applyFill="0" applyBorder="0" applyAlignment="0" applyProtection="0"/>
    <xf numFmtId="0" fontId="2" fillId="0" borderId="0"/>
    <xf numFmtId="178" fontId="27" fillId="0" borderId="33" applyBorder="0"/>
    <xf numFmtId="0" fontId="8" fillId="0" borderId="0" applyNumberFormat="0" applyFill="0" applyBorder="0" applyAlignment="0" applyProtection="0"/>
    <xf numFmtId="169" fontId="8" fillId="0" borderId="0" applyFont="0" applyFill="0" applyBorder="0" applyAlignment="0" applyProtection="0"/>
    <xf numFmtId="0" fontId="180" fillId="0" borderId="7" applyNumberFormat="0" applyFill="0" applyProtection="0"/>
    <xf numFmtId="0" fontId="50" fillId="0" borderId="0"/>
    <xf numFmtId="0" fontId="2" fillId="0" borderId="0"/>
    <xf numFmtId="231" fontId="64" fillId="0" borderId="0" applyBorder="0"/>
    <xf numFmtId="170" fontId="117" fillId="0" borderId="0" applyFont="0" applyFill="0" applyBorder="0" applyAlignment="0" applyProtection="0"/>
    <xf numFmtId="0" fontId="8" fillId="0" borderId="0" applyNumberFormat="0" applyFill="0" applyBorder="0" applyAlignment="0" applyProtection="0"/>
    <xf numFmtId="0" fontId="133" fillId="0" borderId="61" applyNumberFormat="0" applyFill="0" applyAlignment="0" applyProtection="0"/>
    <xf numFmtId="178" fontId="27" fillId="0" borderId="33" applyBorder="0"/>
    <xf numFmtId="14" fontId="29" fillId="0" borderId="30" applyFont="0">
      <alignment horizontal="right"/>
    </xf>
    <xf numFmtId="169" fontId="117" fillId="0" borderId="0" applyFont="0" applyFill="0" applyBorder="0" applyAlignment="0" applyProtection="0"/>
    <xf numFmtId="0" fontId="8" fillId="0" borderId="0" applyNumberFormat="0" applyFill="0" applyBorder="0" applyAlignment="0" applyProtection="0"/>
    <xf numFmtId="178" fontId="27" fillId="0" borderId="33" applyBorder="0"/>
    <xf numFmtId="14" fontId="29" fillId="0" borderId="30" applyFont="0">
      <alignment horizontal="right"/>
    </xf>
    <xf numFmtId="283" fontId="9" fillId="0" borderId="0"/>
    <xf numFmtId="169" fontId="8" fillId="0" borderId="0" applyFont="0" applyFill="0" applyBorder="0" applyAlignment="0" applyProtection="0"/>
    <xf numFmtId="283" fontId="8" fillId="0" borderId="0"/>
    <xf numFmtId="0" fontId="8" fillId="0" borderId="0" applyNumberFormat="0" applyFill="0" applyBorder="0" applyAlignment="0" applyProtection="0"/>
    <xf numFmtId="169" fontId="117" fillId="0" borderId="0" applyFont="0" applyFill="0" applyBorder="0" applyAlignment="0" applyProtection="0"/>
    <xf numFmtId="0" fontId="2" fillId="0" borderId="0"/>
    <xf numFmtId="9" fontId="117" fillId="0" borderId="0" applyFont="0" applyFill="0" applyBorder="0" applyAlignment="0" applyProtection="0"/>
    <xf numFmtId="165" fontId="8" fillId="0" borderId="0" applyFont="0" applyFill="0" applyBorder="0" applyAlignment="0" applyProtection="0"/>
    <xf numFmtId="9" fontId="2"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178" fontId="27" fillId="0" borderId="33" applyBorder="0"/>
    <xf numFmtId="0" fontId="2" fillId="0" borderId="0"/>
    <xf numFmtId="3" fontId="222" fillId="11" borderId="4"/>
    <xf numFmtId="9" fontId="117" fillId="0" borderId="0" applyFont="0" applyFill="0" applyBorder="0" applyAlignment="0" applyProtection="0"/>
    <xf numFmtId="169" fontId="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8" fillId="0" borderId="0" applyNumberFormat="0" applyFill="0" applyBorder="0" applyAlignment="0" applyProtection="0"/>
    <xf numFmtId="283" fontId="8" fillId="0" borderId="0"/>
    <xf numFmtId="178" fontId="27" fillId="0" borderId="33" applyBorder="0"/>
    <xf numFmtId="290" fontId="8" fillId="0" borderId="0"/>
    <xf numFmtId="14" fontId="29" fillId="0" borderId="30" applyFont="0">
      <alignment horizontal="right"/>
    </xf>
    <xf numFmtId="38" fontId="14" fillId="0" borderId="0" applyFont="0" applyFill="0" applyBorder="0" applyAlignment="0" applyProtection="0"/>
    <xf numFmtId="170" fontId="117" fillId="0" borderId="0" applyFont="0" applyFill="0" applyBorder="0" applyAlignment="0" applyProtection="0"/>
    <xf numFmtId="0" fontId="8" fillId="0" borderId="0" applyNumberFormat="0" applyFill="0" applyBorder="0" applyAlignment="0" applyProtection="0"/>
    <xf numFmtId="178" fontId="27" fillId="0" borderId="33" applyBorder="0"/>
    <xf numFmtId="38" fontId="14" fillId="0" borderId="0" applyFont="0" applyFill="0" applyBorder="0" applyAlignment="0" applyProtection="0"/>
    <xf numFmtId="14" fontId="29" fillId="0" borderId="30" applyFont="0">
      <alignment horizontal="right"/>
    </xf>
    <xf numFmtId="0" fontId="9" fillId="0" borderId="0"/>
    <xf numFmtId="0" fontId="8" fillId="0" borderId="0" applyNumberFormat="0" applyFill="0" applyBorder="0" applyAlignment="0" applyProtection="0"/>
    <xf numFmtId="169" fontId="8" fillId="0" borderId="0" applyFont="0" applyFill="0" applyBorder="0" applyAlignment="0" applyProtection="0"/>
    <xf numFmtId="178" fontId="27" fillId="0" borderId="33" applyBorder="0"/>
    <xf numFmtId="14" fontId="29" fillId="0" borderId="30" applyFont="0">
      <alignment horizontal="right"/>
    </xf>
    <xf numFmtId="14" fontId="29" fillId="0" borderId="30" applyFont="0">
      <alignment horizontal="right"/>
    </xf>
    <xf numFmtId="169" fontId="8" fillId="0" borderId="0" applyFont="0" applyFill="0" applyBorder="0" applyAlignment="0" applyProtection="0"/>
    <xf numFmtId="169" fontId="8" fillId="0" borderId="0" applyFon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169" fontId="117" fillId="0" borderId="0" applyFont="0" applyFill="0" applyBorder="0" applyAlignment="0" applyProtection="0"/>
    <xf numFmtId="169" fontId="8" fillId="0" borderId="0" applyFont="0" applyFill="0" applyBorder="0" applyAlignment="0" applyProtection="0"/>
    <xf numFmtId="14" fontId="29" fillId="0" borderId="30" applyFont="0">
      <alignment horizontal="right"/>
    </xf>
    <xf numFmtId="9" fontId="117" fillId="0" borderId="0" applyFont="0" applyFill="0" applyBorder="0" applyAlignment="0" applyProtection="0"/>
    <xf numFmtId="165" fontId="14" fillId="0" borderId="0" applyFont="0" applyFill="0" applyBorder="0" applyAlignment="0" applyProtection="0"/>
    <xf numFmtId="169" fontId="117" fillId="0" borderId="0" applyFont="0" applyFill="0" applyBorder="0" applyAlignment="0" applyProtection="0"/>
    <xf numFmtId="311" fontId="14" fillId="0" borderId="0" applyFont="0" applyFill="0" applyBorder="0" applyAlignment="0" applyProtection="0">
      <alignment horizontal="right"/>
    </xf>
    <xf numFmtId="14" fontId="29" fillId="0" borderId="30" applyFont="0">
      <alignment horizontal="right"/>
    </xf>
    <xf numFmtId="170" fontId="8" fillId="0" borderId="0" applyFont="0" applyFill="0" applyBorder="0" applyAlignment="0" applyProtection="0"/>
    <xf numFmtId="3" fontId="222" fillId="11" borderId="4"/>
    <xf numFmtId="0" fontId="14" fillId="0" borderId="0"/>
    <xf numFmtId="310" fontId="8" fillId="0" borderId="0" applyFont="0" applyFill="0" applyBorder="0" applyAlignment="0" applyProtection="0">
      <alignment horizontal="right"/>
    </xf>
    <xf numFmtId="283" fontId="8" fillId="0" borderId="0"/>
    <xf numFmtId="170" fontId="117" fillId="0" borderId="0" applyFont="0" applyFill="0" applyBorder="0" applyAlignment="0" applyProtection="0"/>
    <xf numFmtId="14" fontId="29" fillId="0" borderId="30" applyFont="0">
      <alignment horizontal="right"/>
    </xf>
    <xf numFmtId="294" fontId="8" fillId="0" borderId="0" applyFont="0" applyFill="0" applyBorder="0" applyAlignment="0" applyProtection="0"/>
    <xf numFmtId="283" fontId="8" fillId="0" borderId="0"/>
    <xf numFmtId="170" fontId="2" fillId="0" borderId="0" applyFont="0" applyFill="0" applyBorder="0" applyAlignment="0" applyProtection="0"/>
    <xf numFmtId="178" fontId="27" fillId="0" borderId="33" applyBorder="0"/>
    <xf numFmtId="283" fontId="9" fillId="0" borderId="0"/>
    <xf numFmtId="9" fontId="117"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267" fontId="8" fillId="4" borderId="0" applyFont="0" applyBorder="0" applyAlignment="0">
      <protection locked="0"/>
    </xf>
    <xf numFmtId="3" fontId="222" fillId="11" borderId="4"/>
    <xf numFmtId="178" fontId="27" fillId="0" borderId="33" applyBorder="0"/>
    <xf numFmtId="0" fontId="2" fillId="0" borderId="0"/>
    <xf numFmtId="0" fontId="2" fillId="0" borderId="0"/>
    <xf numFmtId="0" fontId="2" fillId="0" borderId="0"/>
    <xf numFmtId="0" fontId="2" fillId="0" borderId="0"/>
    <xf numFmtId="0" fontId="2" fillId="0" borderId="0"/>
    <xf numFmtId="0" fontId="2" fillId="0" borderId="0"/>
    <xf numFmtId="169" fontId="8" fillId="0" borderId="0" applyFont="0" applyFill="0" applyBorder="0" applyAlignment="0" applyProtection="0"/>
    <xf numFmtId="178" fontId="27" fillId="0" borderId="33" applyBorder="0"/>
    <xf numFmtId="14" fontId="29" fillId="0" borderId="30" applyFont="0">
      <alignment horizontal="right"/>
    </xf>
    <xf numFmtId="165" fontId="14" fillId="0" borderId="0" applyFont="0" applyFill="0" applyBorder="0" applyAlignment="0" applyProtection="0"/>
    <xf numFmtId="9" fontId="14" fillId="0" borderId="0" applyFont="0" applyFill="0" applyBorder="0" applyAlignment="0" applyProtection="0"/>
    <xf numFmtId="178" fontId="27" fillId="0" borderId="33" applyBorder="0"/>
    <xf numFmtId="278" fontId="8" fillId="0" borderId="0">
      <alignment horizontal="left" wrapText="1"/>
    </xf>
    <xf numFmtId="10" fontId="9" fillId="0" borderId="0"/>
    <xf numFmtId="37" fontId="14" fillId="0" borderId="0"/>
    <xf numFmtId="0" fontId="50" fillId="34" borderId="46" applyNumberFormat="0" applyFont="0" applyAlignment="0">
      <protection locked="0"/>
    </xf>
    <xf numFmtId="260" fontId="14" fillId="0" borderId="0" applyFont="0" applyFill="0" applyBorder="0" applyAlignment="0" applyProtection="0"/>
    <xf numFmtId="299" fontId="8" fillId="0" borderId="0" applyFont="0" applyFill="0" applyBorder="0" applyAlignment="0" applyProtection="0"/>
    <xf numFmtId="204" fontId="14" fillId="0" borderId="0" applyFont="0" applyFill="0" applyBorder="0" applyAlignment="0" applyProtection="0">
      <alignment horizontal="right"/>
    </xf>
    <xf numFmtId="3" fontId="222" fillId="11" borderId="4"/>
    <xf numFmtId="302" fontId="14" fillId="0" borderId="0"/>
    <xf numFmtId="169" fontId="8" fillId="0" borderId="0" applyFont="0" applyFill="0" applyBorder="0" applyAlignment="0" applyProtection="0"/>
    <xf numFmtId="169" fontId="8" fillId="0" borderId="0" applyFont="0" applyFill="0" applyBorder="0" applyAlignment="0" applyProtection="0"/>
    <xf numFmtId="9"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4" fontId="14" fillId="0" borderId="0" applyNumberFormat="0" applyAlignment="0">
      <alignment horizontal="left"/>
    </xf>
    <xf numFmtId="9"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14" fillId="0" borderId="0" applyFont="0" applyFill="0" applyBorder="0" applyAlignment="0" applyProtection="0">
      <alignment horizontal="right"/>
    </xf>
    <xf numFmtId="9" fontId="8" fillId="0" borderId="0" applyFont="0" applyFill="0" applyBorder="0" applyAlignment="0" applyProtection="0"/>
    <xf numFmtId="9" fontId="8" fillId="0" borderId="0" applyFont="0" applyFill="0" applyBorder="0" applyAlignment="0" applyProtection="0"/>
    <xf numFmtId="178" fontId="14" fillId="0" borderId="0" applyFill="0" applyBorder="0" applyAlignment="0" applyProtection="0"/>
    <xf numFmtId="303" fontId="14" fillId="0" borderId="33" applyFont="0" applyFill="0" applyBorder="0" applyAlignment="0" applyProtection="0"/>
    <xf numFmtId="302" fontId="14" fillId="0" borderId="0"/>
    <xf numFmtId="37" fontId="14" fillId="0" borderId="0"/>
    <xf numFmtId="170" fontId="8" fillId="0" borderId="0" applyFont="0" applyFill="0" applyBorder="0" applyAlignment="0" applyProtection="0"/>
    <xf numFmtId="170" fontId="8" fillId="0" borderId="0" applyFont="0" applyFill="0" applyBorder="0" applyAlignment="0" applyProtection="0"/>
    <xf numFmtId="304" fontId="14" fillId="0" borderId="0">
      <alignment horizontal="right"/>
    </xf>
    <xf numFmtId="37" fontId="14" fillId="0" borderId="0"/>
    <xf numFmtId="9"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233" fontId="14" fillId="0" borderId="0" applyFill="0" applyBorder="0" applyAlignment="0" applyProtection="0"/>
    <xf numFmtId="170" fontId="8" fillId="0" borderId="0" applyFont="0" applyFill="0" applyBorder="0" applyAlignment="0" applyProtection="0"/>
    <xf numFmtId="37" fontId="14" fillId="0" borderId="0"/>
    <xf numFmtId="37" fontId="14" fillId="0" borderId="0"/>
    <xf numFmtId="9" fontId="8" fillId="0" borderId="0" applyFont="0" applyFill="0" applyBorder="0" applyAlignment="0" applyProtection="0"/>
    <xf numFmtId="170"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0" fontId="45" fillId="0" borderId="17" applyNumberFormat="0" applyBorder="0" applyAlignment="0"/>
    <xf numFmtId="178" fontId="14" fillId="0" borderId="7" applyFont="0" applyFill="0" applyBorder="0" applyAlignment="0" applyProtection="0">
      <alignment horizontal="right"/>
    </xf>
    <xf numFmtId="0" fontId="8" fillId="0" borderId="0" applyNumberFormat="0" applyFill="0" applyBorder="0" applyAlignment="0" applyProtection="0"/>
    <xf numFmtId="37" fontId="14" fillId="37" borderId="4" applyNumberFormat="0" applyAlignment="0" applyProtection="0"/>
    <xf numFmtId="279" fontId="14" fillId="0" borderId="0"/>
    <xf numFmtId="309"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9" fontId="8"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37" fontId="14" fillId="0" borderId="0"/>
    <xf numFmtId="170" fontId="8" fillId="0" borderId="0" applyFont="0" applyFill="0" applyBorder="0" applyAlignment="0" applyProtection="0"/>
    <xf numFmtId="37" fontId="14" fillId="0" borderId="0"/>
    <xf numFmtId="37" fontId="14" fillId="0" borderId="0"/>
    <xf numFmtId="37" fontId="14" fillId="0" borderId="0"/>
    <xf numFmtId="37" fontId="14"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9" fontId="117" fillId="0" borderId="0" applyFont="0" applyFill="0" applyBorder="0" applyAlignment="0" applyProtection="0"/>
    <xf numFmtId="0" fontId="2" fillId="0" borderId="0"/>
    <xf numFmtId="9" fontId="117" fillId="0" borderId="0" applyFont="0" applyFill="0" applyBorder="0" applyAlignment="0" applyProtection="0"/>
    <xf numFmtId="0" fontId="2" fillId="0" borderId="0"/>
    <xf numFmtId="9" fontId="117" fillId="0" borderId="0" applyFont="0" applyFill="0" applyBorder="0" applyAlignment="0" applyProtection="0"/>
    <xf numFmtId="38" fontId="14" fillId="0" borderId="0" applyFont="0" applyFill="0" applyBorder="0" applyAlignment="0" applyProtection="0"/>
    <xf numFmtId="0" fontId="26" fillId="0" borderId="0" applyNumberFormat="0" applyFill="0" applyBorder="0" applyAlignment="0" applyProtection="0"/>
    <xf numFmtId="0" fontId="8" fillId="0" borderId="0"/>
    <xf numFmtId="0" fontId="8" fillId="0" borderId="0"/>
    <xf numFmtId="0" fontId="8" fillId="0" borderId="0"/>
    <xf numFmtId="0" fontId="8" fillId="0" borderId="0"/>
    <xf numFmtId="0" fontId="227" fillId="0" borderId="0" applyNumberFormat="0" applyFill="0" applyBorder="0" applyAlignment="0" applyProtection="0">
      <alignment vertical="top"/>
      <protection locked="0"/>
    </xf>
    <xf numFmtId="3" fontId="222" fillId="11" borderId="4"/>
    <xf numFmtId="9" fontId="14" fillId="0" borderId="0" applyFont="0" applyFill="0" applyBorder="0" applyAlignment="0" applyProtection="0"/>
    <xf numFmtId="165" fontId="14" fillId="0" borderId="0" applyFont="0" applyFill="0" applyBorder="0" applyAlignment="0" applyProtection="0"/>
    <xf numFmtId="0" fontId="193" fillId="0" borderId="0" applyNumberFormat="0" applyFill="0" applyBorder="0" applyAlignment="0" applyProtection="0"/>
    <xf numFmtId="14" fontId="29" fillId="0" borderId="30" applyFont="0">
      <alignment horizontal="right"/>
    </xf>
    <xf numFmtId="38" fontId="14" fillId="0" borderId="0" applyFont="0" applyFill="0" applyBorder="0" applyAlignment="0" applyProtection="0"/>
    <xf numFmtId="178" fontId="27" fillId="0" borderId="33" applyBorder="0"/>
    <xf numFmtId="0" fontId="8" fillId="0" borderId="0"/>
    <xf numFmtId="0" fontId="6" fillId="0" borderId="0"/>
    <xf numFmtId="0" fontId="1" fillId="0" borderId="0"/>
    <xf numFmtId="0" fontId="6" fillId="0" borderId="0"/>
    <xf numFmtId="0" fontId="6" fillId="0" borderId="0"/>
    <xf numFmtId="0" fontId="27" fillId="0" borderId="0" applyNumberFormat="0" applyAlignment="0">
      <alignment vertical="center"/>
    </xf>
    <xf numFmtId="0" fontId="27" fillId="9" borderId="0" applyNumberFormat="0">
      <alignment horizontal="center" vertical="top" wrapText="1"/>
    </xf>
    <xf numFmtId="43" fontId="6" fillId="0" borderId="0" applyFont="0" applyFill="0" applyBorder="0" applyAlignment="0" applyProtection="0"/>
    <xf numFmtId="43" fontId="6" fillId="0" borderId="0" applyFont="0" applyFill="0" applyBorder="0" applyAlignment="0" applyProtection="0"/>
    <xf numFmtId="187" fontId="27" fillId="0" borderId="0" applyFont="0" applyFill="0" applyBorder="0" applyAlignment="0" applyProtection="0">
      <alignment vertical="center"/>
    </xf>
    <xf numFmtId="192" fontId="27" fillId="0" borderId="0" applyFont="0" applyFill="0" applyBorder="0" applyAlignment="0" applyProtection="0">
      <alignment vertical="center"/>
    </xf>
    <xf numFmtId="193" fontId="27" fillId="0" borderId="0" applyFont="0" applyFill="0" applyBorder="0" applyAlignment="0" applyProtection="0">
      <alignment vertical="center"/>
    </xf>
    <xf numFmtId="190" fontId="27" fillId="0" borderId="0" applyFont="0" applyFill="0" applyBorder="0" applyAlignment="0" applyProtection="0">
      <alignment vertical="center"/>
    </xf>
    <xf numFmtId="191" fontId="27" fillId="0" borderId="0" applyFont="0" applyFill="0" applyBorder="0" applyAlignment="0" applyProtection="0">
      <alignment vertical="center"/>
    </xf>
    <xf numFmtId="188" fontId="27" fillId="0" borderId="0" applyFont="0" applyFill="0" applyBorder="0" applyAlignment="0" applyProtection="0">
      <alignment vertical="center"/>
    </xf>
    <xf numFmtId="189" fontId="27" fillId="0" borderId="0" applyFont="0" applyFill="0" applyBorder="0" applyAlignment="0" applyProtection="0">
      <alignment vertical="center"/>
    </xf>
    <xf numFmtId="198" fontId="27" fillId="0" borderId="0" applyFont="0" applyFill="0" applyBorder="0" applyAlignment="0" applyProtection="0">
      <alignment vertical="center"/>
    </xf>
    <xf numFmtId="199" fontId="27" fillId="0" borderId="0" applyFont="0" applyFill="0" applyBorder="0" applyAlignment="0" applyProtection="0">
      <alignment vertical="center"/>
    </xf>
    <xf numFmtId="196" fontId="27" fillId="0" borderId="0" applyFont="0" applyFill="0" applyBorder="0" applyAlignment="0" applyProtection="0">
      <alignment vertical="center"/>
    </xf>
    <xf numFmtId="197" fontId="27" fillId="0" borderId="0" applyFont="0" applyFill="0" applyBorder="0" applyAlignment="0" applyProtection="0">
      <alignment vertical="center"/>
    </xf>
    <xf numFmtId="194" fontId="27" fillId="0" borderId="0" applyFont="0" applyFill="0" applyBorder="0" applyAlignment="0" applyProtection="0">
      <alignment vertical="center"/>
    </xf>
    <xf numFmtId="195" fontId="27" fillId="0" borderId="0" applyFont="0" applyFill="0" applyBorder="0" applyAlignment="0" applyProtection="0">
      <alignment vertical="center"/>
    </xf>
    <xf numFmtId="200" fontId="27" fillId="0" borderId="0" applyFont="0" applyFill="0" applyBorder="0" applyAlignment="0" applyProtection="0">
      <alignment vertical="center"/>
    </xf>
    <xf numFmtId="201" fontId="27" fillId="0" borderId="0" applyFont="0" applyFill="0" applyBorder="0" applyAlignment="0" applyProtection="0">
      <alignment vertical="center"/>
    </xf>
    <xf numFmtId="0" fontId="8" fillId="0" borderId="0" applyProtection="0">
      <alignment horizontal="left"/>
    </xf>
    <xf numFmtId="0" fontId="8" fillId="0" borderId="0" applyProtection="0">
      <alignment horizontal="left"/>
    </xf>
    <xf numFmtId="0" fontId="27" fillId="17" borderId="0" applyNumberFormat="0" applyFont="0" applyBorder="0" applyAlignment="0" applyProtection="0">
      <alignment vertical="center"/>
    </xf>
    <xf numFmtId="16" fontId="8" fillId="0" borderId="0" applyNumberFormat="0" applyFill="0" applyBorder="0" applyAlignment="0" applyProtection="0">
      <alignment horizontal="right"/>
    </xf>
    <xf numFmtId="0" fontId="27" fillId="0" borderId="10" applyNumberFormat="0" applyAlignment="0">
      <alignment vertical="center"/>
    </xf>
    <xf numFmtId="0" fontId="27" fillId="0" borderId="63" applyNumberFormat="0" applyAlignment="0">
      <alignment vertical="center"/>
      <protection locked="0"/>
    </xf>
    <xf numFmtId="183" fontId="27" fillId="19" borderId="63" applyNumberFormat="0" applyAlignment="0">
      <alignment vertical="center"/>
      <protection locked="0"/>
    </xf>
    <xf numFmtId="0" fontId="27" fillId="14" borderId="0" applyNumberFormat="0" applyAlignment="0">
      <alignment vertical="center"/>
    </xf>
    <xf numFmtId="0" fontId="27" fillId="20" borderId="0" applyNumberFormat="0" applyAlignment="0">
      <alignment vertical="center"/>
    </xf>
    <xf numFmtId="0" fontId="27" fillId="0" borderId="64" applyNumberFormat="0" applyAlignment="0">
      <alignment vertical="center"/>
      <protection locked="0"/>
    </xf>
    <xf numFmtId="0" fontId="17" fillId="22" borderId="65">
      <alignment horizontal="left" vertical="center" wrapText="1"/>
    </xf>
    <xf numFmtId="0" fontId="26" fillId="0" borderId="0" applyNumberFormat="0" applyFill="0" applyBorder="0" applyAlignment="0" applyProtection="0">
      <alignment vertical="center"/>
    </xf>
    <xf numFmtId="183" fontId="27" fillId="0" borderId="0" applyFont="0" applyFill="0" applyBorder="0" applyAlignment="0" applyProtection="0">
      <alignment vertical="center"/>
    </xf>
    <xf numFmtId="184" fontId="27" fillId="0" borderId="0" applyFont="0" applyFill="0" applyBorder="0" applyAlignment="0" applyProtection="0">
      <alignment vertical="center"/>
    </xf>
    <xf numFmtId="0" fontId="11"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5" fontId="27" fillId="0" borderId="0" applyFont="0" applyFill="0" applyBorder="0" applyAlignment="0" applyProtection="0">
      <alignment horizontal="right" vertical="center"/>
    </xf>
    <xf numFmtId="186" fontId="27" fillId="0" borderId="0" applyFont="0" applyFill="0" applyBorder="0" applyAlignment="0" applyProtection="0">
      <alignment vertical="center"/>
    </xf>
    <xf numFmtId="0" fontId="27" fillId="0" borderId="0" applyNumberFormat="0" applyFill="0" applyBorder="0">
      <alignment horizontal="left" vertical="center" wrapText="1" indent="1"/>
    </xf>
    <xf numFmtId="183" fontId="27" fillId="0" borderId="28" applyNumberFormat="0" applyFont="0" applyFill="0" applyAlignment="0" applyProtection="0">
      <alignment vertical="center"/>
    </xf>
    <xf numFmtId="0" fontId="27" fillId="13" borderId="0" applyNumberFormat="0" applyFont="0" applyBorder="0" applyAlignment="0" applyProtection="0">
      <alignment vertical="center"/>
    </xf>
    <xf numFmtId="0" fontId="27" fillId="0" borderId="0" applyNumberFormat="0" applyFont="0" applyFill="0" applyAlignment="0" applyProtection="0">
      <alignment vertical="center"/>
    </xf>
    <xf numFmtId="183" fontId="27" fillId="0" borderId="0" applyNumberFormat="0" applyFont="0" applyBorder="0" applyAlignment="0" applyProtection="0">
      <alignment vertical="center"/>
    </xf>
    <xf numFmtId="49" fontId="27" fillId="0" borderId="0" applyFont="0" applyFill="0" applyBorder="0" applyAlignment="0" applyProtection="0">
      <alignment horizontal="center" vertical="center"/>
    </xf>
    <xf numFmtId="167" fontId="11" fillId="0" borderId="7" applyFill="0" applyAlignment="0" applyProtection="0"/>
    <xf numFmtId="204" fontId="8" fillId="0" borderId="62" applyNumberFormat="0" applyFont="0" applyFill="0" applyAlignment="0"/>
    <xf numFmtId="183" fontId="34" fillId="0" borderId="0" applyNumberFormat="0" applyFill="0" applyBorder="0" applyAlignment="0" applyProtection="0">
      <alignment vertical="center"/>
    </xf>
    <xf numFmtId="0" fontId="27" fillId="0" borderId="0" applyNumberFormat="0" applyFont="0" applyBorder="0" applyAlignment="0" applyProtection="0">
      <alignment vertical="center"/>
    </xf>
    <xf numFmtId="0" fontId="27" fillId="0" borderId="0" applyNumberFormat="0" applyFont="0" applyAlignment="0" applyProtection="0">
      <alignment vertical="center"/>
    </xf>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0" fontId="144" fillId="0" borderId="66" applyNumberFormat="0" applyFill="0" applyBorder="0" applyAlignment="0" applyProtection="0"/>
    <xf numFmtId="0" fontId="63" fillId="0" borderId="66" applyNumberFormat="0" applyFill="0" applyBorder="0" applyAlignment="0" applyProtection="0"/>
    <xf numFmtId="0" fontId="118" fillId="0" borderId="66" applyNumberFormat="0" applyFill="0" applyBorder="0" applyAlignment="0" applyProtection="0"/>
    <xf numFmtId="0" fontId="26" fillId="0" borderId="66" applyNumberFormat="0" applyFill="0" applyAlignment="0" applyProtection="0"/>
    <xf numFmtId="256" fontId="156" fillId="0" borderId="62" applyNumberFormat="0" applyBorder="0"/>
    <xf numFmtId="0" fontId="29" fillId="17" borderId="65">
      <alignment horizontal="left" vertical="center" wrapText="1"/>
    </xf>
    <xf numFmtId="303" fontId="14" fillId="0" borderId="62" applyFont="0" applyFill="0" applyBorder="0" applyAlignment="0" applyProtection="0"/>
    <xf numFmtId="178" fontId="27" fillId="0" borderId="62" applyBorder="0"/>
    <xf numFmtId="0" fontId="177" fillId="0" borderId="62" applyNumberFormat="0" applyFill="0" applyProtection="0">
      <alignment horizontal="right"/>
    </xf>
    <xf numFmtId="0" fontId="179" fillId="0" borderId="66" applyNumberFormat="0" applyFill="0" applyBorder="0" applyAlignment="0" applyProtection="0"/>
    <xf numFmtId="0" fontId="1" fillId="0" borderId="0"/>
    <xf numFmtId="0" fontId="188" fillId="0" borderId="66" applyNumberFormat="0" applyFill="0" applyBorder="0" applyAlignment="0" applyProtection="0"/>
    <xf numFmtId="0" fontId="189" fillId="0" borderId="66" applyNumberFormat="0" applyFill="0" applyBorder="0" applyAlignment="0" applyProtection="0"/>
    <xf numFmtId="0" fontId="190" fillId="0" borderId="66" applyNumberForma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7" fillId="0" borderId="62" applyBorder="0"/>
    <xf numFmtId="178" fontId="27" fillId="0" borderId="62" applyBorder="0"/>
    <xf numFmtId="0" fontId="1" fillId="0" borderId="0"/>
    <xf numFmtId="170" fontId="1" fillId="0" borderId="0" applyFont="0" applyFill="0" applyBorder="0" applyAlignment="0" applyProtection="0"/>
    <xf numFmtId="0" fontId="1" fillId="0" borderId="0"/>
    <xf numFmtId="178" fontId="27" fillId="0" borderId="62" applyBorder="0"/>
    <xf numFmtId="178" fontId="27" fillId="0" borderId="62" applyBorder="0"/>
    <xf numFmtId="0" fontId="217" fillId="3" borderId="67" applyNumberFormat="0" applyAlignment="0" applyProtection="0"/>
    <xf numFmtId="0" fontId="1" fillId="0" borderId="0"/>
    <xf numFmtId="178" fontId="27" fillId="0" borderId="62" applyBorder="0"/>
    <xf numFmtId="178" fontId="27" fillId="0" borderId="62" applyBorder="0"/>
    <xf numFmtId="0" fontId="1" fillId="0" borderId="0"/>
    <xf numFmtId="0" fontId="8" fillId="88" borderId="68" applyNumberFormat="0" applyFont="0" applyAlignment="0" applyProtection="0"/>
    <xf numFmtId="178" fontId="27" fillId="0" borderId="62" applyBorder="0"/>
    <xf numFmtId="0" fontId="225" fillId="3" borderId="69" applyNumberFormat="0" applyAlignment="0" applyProtection="0"/>
    <xf numFmtId="0" fontId="1" fillId="0" borderId="0"/>
    <xf numFmtId="178" fontId="27" fillId="0" borderId="62" applyBorder="0"/>
    <xf numFmtId="0" fontId="1" fillId="0" borderId="0"/>
    <xf numFmtId="0" fontId="133" fillId="0" borderId="70" applyNumberFormat="0" applyFill="0" applyAlignment="0" applyProtection="0"/>
    <xf numFmtId="178" fontId="27" fillId="0" borderId="62" applyBorder="0"/>
    <xf numFmtId="178" fontId="27" fillId="0" borderId="62" applyBorder="0"/>
    <xf numFmtId="0" fontId="1" fillId="0" borderId="0"/>
    <xf numFmtId="9" fontId="1" fillId="0" borderId="0" applyFont="0" applyFill="0" applyBorder="0" applyAlignment="0" applyProtection="0"/>
    <xf numFmtId="178" fontId="27" fillId="0" borderId="62" applyBorder="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8" fontId="27" fillId="0" borderId="62" applyBorder="0"/>
    <xf numFmtId="178" fontId="27" fillId="0" borderId="62" applyBorder="0"/>
    <xf numFmtId="178" fontId="27" fillId="0" borderId="62" applyBorder="0"/>
    <xf numFmtId="170" fontId="1" fillId="0" borderId="0" applyFont="0" applyFill="0" applyBorder="0" applyAlignment="0" applyProtection="0"/>
    <xf numFmtId="178" fontId="27" fillId="0" borderId="62" applyBorder="0"/>
    <xf numFmtId="170"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8" fontId="27" fillId="0" borderId="62" applyBorder="0"/>
    <xf numFmtId="0" fontId="1" fillId="0" borderId="0"/>
    <xf numFmtId="0" fontId="1" fillId="0" borderId="0"/>
    <xf numFmtId="0" fontId="1" fillId="0" borderId="0"/>
    <xf numFmtId="0" fontId="1" fillId="0" borderId="0"/>
    <xf numFmtId="0" fontId="1" fillId="0" borderId="0"/>
    <xf numFmtId="0" fontId="1" fillId="0" borderId="0"/>
    <xf numFmtId="178" fontId="27" fillId="0" borderId="62" applyBorder="0"/>
    <xf numFmtId="178" fontId="27" fillId="0" borderId="62" applyBorder="0"/>
    <xf numFmtId="303" fontId="14" fillId="0" borderId="62" applyFont="0" applyFill="0" applyBorder="0" applyAlignment="0" applyProtection="0"/>
    <xf numFmtId="0" fontId="1" fillId="0" borderId="0"/>
    <xf numFmtId="0" fontId="1" fillId="0" borderId="0"/>
    <xf numFmtId="178" fontId="27" fillId="0" borderId="62" applyBorder="0"/>
    <xf numFmtId="43" fontId="6" fillId="0" borderId="0" applyFont="0" applyFill="0" applyBorder="0" applyAlignment="0" applyProtection="0"/>
    <xf numFmtId="9"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9" fillId="0" borderId="0"/>
    <xf numFmtId="0" fontId="8" fillId="0" borderId="0"/>
    <xf numFmtId="0" fontId="9" fillId="0" borderId="0"/>
    <xf numFmtId="0" fontId="7" fillId="0" borderId="0"/>
    <xf numFmtId="0" fontId="6" fillId="0" borderId="0"/>
    <xf numFmtId="0" fontId="8" fillId="0" borderId="0"/>
    <xf numFmtId="237" fontId="229" fillId="0" borderId="0" applyFont="0" applyFill="0" applyBorder="0" applyAlignment="0" applyProtection="0"/>
    <xf numFmtId="237" fontId="229" fillId="0" borderId="0" applyFon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45" fillId="0" borderId="0" applyNumberFormat="0" applyFont="0" applyFill="0" applyBorder="0" applyAlignment="0" applyProtection="0"/>
    <xf numFmtId="0" fontId="8" fillId="0" borderId="0"/>
    <xf numFmtId="0" fontId="8" fillId="0" borderId="0"/>
    <xf numFmtId="312" fontId="27" fillId="0" borderId="0" applyFont="0" applyFill="0" applyBorder="0" applyAlignment="0" applyProtection="0"/>
    <xf numFmtId="313" fontId="27"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314" fontId="27"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315" fontId="27"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16" fontId="27" fillId="0" borderId="0" applyFont="0" applyFill="0" applyBorder="0" applyAlignment="0" applyProtection="0"/>
    <xf numFmtId="317" fontId="27" fillId="0" borderId="0" applyFont="0" applyFill="0" applyBorder="0" applyAlignment="0" applyProtection="0"/>
    <xf numFmtId="283" fontId="230" fillId="0" borderId="0" applyNumberFormat="0" applyFill="0" applyBorder="0" applyAlignment="0" applyProtection="0"/>
    <xf numFmtId="283" fontId="27" fillId="87" borderId="0" applyNumberFormat="0" applyFont="0" applyAlignment="0" applyProtection="0"/>
    <xf numFmtId="0" fontId="8" fillId="0" borderId="0" applyFont="0" applyFill="0" applyBorder="0" applyAlignment="0" applyProtection="0"/>
    <xf numFmtId="0" fontId="8"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318" fontId="27"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319" fontId="27" fillId="0" borderId="0" applyFont="0" applyFill="0" applyBorder="0" applyProtection="0">
      <alignment horizontal="right"/>
    </xf>
    <xf numFmtId="208" fontId="8" fillId="0" borderId="0" applyFont="0" applyFill="0" applyBorder="0" applyAlignment="0" applyProtection="0"/>
    <xf numFmtId="208"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83" fontId="231" fillId="0" borderId="0" applyNumberFormat="0" applyFill="0" applyBorder="0" applyProtection="0">
      <alignment vertical="top"/>
    </xf>
    <xf numFmtId="283" fontId="232" fillId="0" borderId="71" applyNumberFormat="0" applyFill="0" applyAlignment="0" applyProtection="0"/>
    <xf numFmtId="283" fontId="233" fillId="0" borderId="72" applyNumberFormat="0" applyFill="0" applyProtection="0">
      <alignment horizontal="center"/>
    </xf>
    <xf numFmtId="283" fontId="233" fillId="0" borderId="0" applyNumberFormat="0" applyFill="0" applyBorder="0" applyProtection="0">
      <alignment horizontal="left"/>
    </xf>
    <xf numFmtId="283" fontId="234" fillId="0" borderId="0" applyNumberFormat="0" applyFill="0" applyBorder="0" applyProtection="0">
      <alignment horizontal="centerContinuous"/>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235" fillId="0" borderId="0"/>
    <xf numFmtId="171" fontId="8" fillId="0" borderId="0">
      <alignment horizontal="center"/>
    </xf>
    <xf numFmtId="0" fontId="117" fillId="68" borderId="0" applyNumberFormat="0" applyBorder="0" applyAlignment="0" applyProtection="0"/>
    <xf numFmtId="0" fontId="117" fillId="2" borderId="0" applyNumberFormat="0" applyBorder="0" applyAlignment="0" applyProtection="0"/>
    <xf numFmtId="0" fontId="117" fillId="69" borderId="0" applyNumberFormat="0" applyBorder="0" applyAlignment="0" applyProtection="0"/>
    <xf numFmtId="0" fontId="117" fillId="73" borderId="0" applyNumberFormat="0" applyBorder="0" applyAlignment="0" applyProtection="0"/>
    <xf numFmtId="0" fontId="117" fillId="70" borderId="0" applyNumberFormat="0" applyBorder="0" applyAlignment="0" applyProtection="0"/>
    <xf numFmtId="0" fontId="117" fillId="88" borderId="0" applyNumberFormat="0" applyBorder="0" applyAlignment="0" applyProtection="0"/>
    <xf numFmtId="0" fontId="117" fillId="71" borderId="0" applyNumberFormat="0" applyBorder="0" applyAlignment="0" applyProtection="0"/>
    <xf numFmtId="0" fontId="117" fillId="2" borderId="0" applyNumberFormat="0" applyBorder="0" applyAlignment="0" applyProtection="0"/>
    <xf numFmtId="0" fontId="117" fillId="72" borderId="0" applyNumberFormat="0" applyBorder="0" applyAlignment="0" applyProtection="0"/>
    <xf numFmtId="0" fontId="117" fillId="74" borderId="0" applyNumberFormat="0" applyBorder="0" applyAlignment="0" applyProtection="0"/>
    <xf numFmtId="0" fontId="117" fillId="3" borderId="0" applyNumberFormat="0" applyBorder="0" applyAlignment="0" applyProtection="0"/>
    <xf numFmtId="0" fontId="117" fillId="75" borderId="0" applyNumberFormat="0" applyBorder="0" applyAlignment="0" applyProtection="0"/>
    <xf numFmtId="0" fontId="117" fillId="76" borderId="0" applyNumberFormat="0" applyBorder="0" applyAlignment="0" applyProtection="0"/>
    <xf numFmtId="0" fontId="117" fillId="87" borderId="0" applyNumberFormat="0" applyBorder="0" applyAlignment="0" applyProtection="0"/>
    <xf numFmtId="0" fontId="117" fillId="71" borderId="0" applyNumberFormat="0" applyBorder="0" applyAlignment="0" applyProtection="0"/>
    <xf numFmtId="0" fontId="117" fillId="3" borderId="0" applyNumberFormat="0" applyBorder="0" applyAlignment="0" applyProtection="0"/>
    <xf numFmtId="0" fontId="117" fillId="74" borderId="0" applyNumberFormat="0" applyBorder="0" applyAlignment="0" applyProtection="0"/>
    <xf numFmtId="0" fontId="117" fillId="73" borderId="0" applyNumberFormat="0" applyBorder="0" applyAlignment="0" applyProtection="0"/>
    <xf numFmtId="0" fontId="199" fillId="78" borderId="0" applyNumberFormat="0" applyBorder="0" applyAlignment="0" applyProtection="0"/>
    <xf numFmtId="0" fontId="199" fillId="80" borderId="0" applyNumberFormat="0" applyBorder="0" applyAlignment="0" applyProtection="0"/>
    <xf numFmtId="0" fontId="199" fillId="75" borderId="0" applyNumberFormat="0" applyBorder="0" applyAlignment="0" applyProtection="0"/>
    <xf numFmtId="0" fontId="199" fillId="76" borderId="0" applyNumberFormat="0" applyBorder="0" applyAlignment="0" applyProtection="0"/>
    <xf numFmtId="0" fontId="199" fillId="87" borderId="0" applyNumberFormat="0" applyBorder="0" applyAlignment="0" applyProtection="0"/>
    <xf numFmtId="0" fontId="199" fillId="79" borderId="0" applyNumberFormat="0" applyBorder="0" applyAlignment="0" applyProtection="0"/>
    <xf numFmtId="0" fontId="199" fillId="3" borderId="0" applyNumberFormat="0" applyBorder="0" applyAlignment="0" applyProtection="0"/>
    <xf numFmtId="0" fontId="199" fillId="80" borderId="0" applyNumberFormat="0" applyBorder="0" applyAlignment="0" applyProtection="0"/>
    <xf numFmtId="0" fontId="199" fillId="81" borderId="0" applyNumberFormat="0" applyBorder="0" applyAlignment="0" applyProtection="0"/>
    <xf numFmtId="0" fontId="199" fillId="73" borderId="0" applyNumberFormat="0" applyBorder="0" applyAlignment="0" applyProtection="0"/>
    <xf numFmtId="173" fontId="8" fillId="0" borderId="0">
      <alignment horizontal="center"/>
    </xf>
    <xf numFmtId="172" fontId="8" fillId="0" borderId="0">
      <alignment horizontal="center"/>
    </xf>
    <xf numFmtId="177" fontId="8" fillId="0" borderId="0" applyNumberFormat="0" applyFill="0" applyBorder="0" applyAlignment="0"/>
    <xf numFmtId="177" fontId="8" fillId="0" borderId="0" applyNumberFormat="0" applyFill="0" applyBorder="0" applyAlignment="0"/>
    <xf numFmtId="0" fontId="199" fillId="82" borderId="0" applyNumberFormat="0" applyBorder="0" applyAlignment="0" applyProtection="0"/>
    <xf numFmtId="0" fontId="199" fillId="80" borderId="0" applyNumberFormat="0" applyBorder="0" applyAlignment="0" applyProtection="0"/>
    <xf numFmtId="0" fontId="199" fillId="83" borderId="0" applyNumberFormat="0" applyBorder="0" applyAlignment="0" applyProtection="0"/>
    <xf numFmtId="0" fontId="199" fillId="89" borderId="0" applyNumberFormat="0" applyBorder="0" applyAlignment="0" applyProtection="0"/>
    <xf numFmtId="0" fontId="199" fillId="84" borderId="0" applyNumberFormat="0" applyBorder="0" applyAlignment="0" applyProtection="0"/>
    <xf numFmtId="0" fontId="199" fillId="89" borderId="0" applyNumberFormat="0" applyBorder="0" applyAlignment="0" applyProtection="0"/>
    <xf numFmtId="0" fontId="199" fillId="79" borderId="0" applyNumberFormat="0" applyBorder="0" applyAlignment="0" applyProtection="0"/>
    <xf numFmtId="0" fontId="199" fillId="90" borderId="0" applyNumberFormat="0" applyBorder="0" applyAlignment="0" applyProtection="0"/>
    <xf numFmtId="0" fontId="199" fillId="80" borderId="0" applyNumberFormat="0" applyBorder="0" applyAlignment="0" applyProtection="0"/>
    <xf numFmtId="0" fontId="199" fillId="85" borderId="0" applyNumberFormat="0" applyBorder="0" applyAlignment="0" applyProtection="0"/>
    <xf numFmtId="211" fontId="8" fillId="0" borderId="0" applyFill="0" applyBorder="0" applyProtection="0">
      <alignment horizontal="right"/>
    </xf>
    <xf numFmtId="211" fontId="8" fillId="0" borderId="0" applyFill="0" applyBorder="0" applyProtection="0">
      <alignment horizontal="right"/>
    </xf>
    <xf numFmtId="284" fontId="177" fillId="13" borderId="7">
      <alignment horizontal="right"/>
    </xf>
    <xf numFmtId="0" fontId="8" fillId="91" borderId="0" applyNumberFormat="0" applyFont="0"/>
    <xf numFmtId="0" fontId="236" fillId="0" borderId="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0" fontId="8" fillId="0" borderId="0">
      <alignment horizontal="right"/>
    </xf>
    <xf numFmtId="0" fontId="50" fillId="0" borderId="0">
      <alignment horizontal="center" wrapText="1"/>
      <protection locked="0"/>
    </xf>
    <xf numFmtId="0" fontId="50" fillId="0" borderId="0">
      <alignment horizontal="center" wrapText="1"/>
      <protection locked="0"/>
    </xf>
    <xf numFmtId="0" fontId="50" fillId="0" borderId="0">
      <alignment horizontal="center" wrapText="1"/>
      <protection locked="0"/>
    </xf>
    <xf numFmtId="0" fontId="8" fillId="0" borderId="0" applyNumberFormat="0" applyFill="0" applyBorder="0" applyAlignment="0" applyProtection="0"/>
    <xf numFmtId="0" fontId="52" fillId="0" borderId="1" applyNumberFormat="0" applyFill="0" applyAlignment="0" applyProtection="0"/>
    <xf numFmtId="0" fontId="52" fillId="0" borderId="1" applyNumberFormat="0" applyFill="0" applyAlignment="0" applyProtection="0"/>
    <xf numFmtId="0" fontId="52" fillId="0" borderId="1" applyNumberFormat="0" applyFill="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8" fillId="0" borderId="0"/>
    <xf numFmtId="0" fontId="8" fillId="0" borderId="0"/>
    <xf numFmtId="0" fontId="8" fillId="0" borderId="0"/>
    <xf numFmtId="0" fontId="163" fillId="0" borderId="0"/>
    <xf numFmtId="0" fontId="216" fillId="69" borderId="0" applyNumberFormat="0" applyBorder="0" applyAlignment="0" applyProtection="0"/>
    <xf numFmtId="0" fontId="237" fillId="69" borderId="0" applyNumberFormat="0" applyBorder="0" applyAlignment="0" applyProtection="0"/>
    <xf numFmtId="216" fontId="50" fillId="0" borderId="0" applyFill="0" applyBorder="0" applyAlignment="0" applyProtection="0">
      <protection locked="0"/>
    </xf>
    <xf numFmtId="0" fontId="54" fillId="6" borderId="0"/>
    <xf numFmtId="0" fontId="54" fillId="6" borderId="0"/>
    <xf numFmtId="0" fontId="202" fillId="92" borderId="0"/>
    <xf numFmtId="0" fontId="228" fillId="7" borderId="73">
      <alignment horizontal="center" vertical="center"/>
    </xf>
    <xf numFmtId="39" fontId="58" fillId="0" borderId="2" applyNumberFormat="0" applyFill="0" applyBorder="0"/>
    <xf numFmtId="39" fontId="58" fillId="0" borderId="2" applyNumberFormat="0" applyFill="0" applyBorder="0"/>
    <xf numFmtId="39" fontId="58" fillId="0" borderId="2" applyNumberFormat="0" applyFill="0" applyBorder="0"/>
    <xf numFmtId="216" fontId="50" fillId="0" borderId="0" applyFont="0" applyFill="0" applyBorder="0" applyAlignment="0" applyProtection="0">
      <protection locked="0"/>
    </xf>
    <xf numFmtId="0" fontId="202" fillId="86" borderId="57" applyNumberFormat="0" applyAlignment="0" applyProtection="0"/>
    <xf numFmtId="0" fontId="9" fillId="0" borderId="0">
      <alignment horizontal="center" wrapText="1"/>
      <protection hidden="1"/>
    </xf>
    <xf numFmtId="0" fontId="9" fillId="0" borderId="0">
      <alignment horizontal="center" wrapText="1"/>
      <protection hidden="1"/>
    </xf>
    <xf numFmtId="0" fontId="22" fillId="8" borderId="0" applyNumberFormat="0" applyBorder="0" applyProtection="0">
      <alignment horizontal="centerContinuous" vertical="center"/>
    </xf>
    <xf numFmtId="0" fontId="22" fillId="8" borderId="0" applyNumberFormat="0" applyBorder="0" applyProtection="0">
      <alignment horizontal="centerContinuous" vertical="center"/>
    </xf>
    <xf numFmtId="0" fontId="22" fillId="8" borderId="0" applyNumberFormat="0" applyBorder="0" applyProtection="0">
      <alignment horizontal="centerContinuous" vertical="center"/>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34" fillId="9" borderId="0" applyNumberFormat="0">
      <alignment horizontal="left" vertical="top" wrapText="1"/>
    </xf>
    <xf numFmtId="0" fontId="34" fillId="14" borderId="0" applyNumberFormat="0">
      <alignment horizontal="left" vertical="top" wrapText="1"/>
    </xf>
    <xf numFmtId="0" fontId="34" fillId="9" borderId="0" applyNumberFormat="0">
      <alignment horizontal="centerContinuous" vertical="top"/>
    </xf>
    <xf numFmtId="0" fontId="34" fillId="14" borderId="0" applyNumberFormat="0">
      <alignment horizontal="centerContinuous" vertical="top"/>
    </xf>
    <xf numFmtId="0" fontId="27"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9" borderId="0" applyNumberFormat="0">
      <alignment horizontal="center" vertical="top" wrapText="1"/>
    </xf>
    <xf numFmtId="0" fontId="34" fillId="9"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14" fillId="0" borderId="5" applyNumberFormat="0" applyFont="0" applyFill="0" applyAlignment="0" applyProtection="0">
      <alignment horizontal="left"/>
    </xf>
    <xf numFmtId="0" fontId="14" fillId="0" borderId="5" applyNumberFormat="0" applyFont="0" applyFill="0" applyAlignment="0" applyProtection="0">
      <alignment horizontal="left"/>
    </xf>
    <xf numFmtId="0" fontId="14" fillId="0" borderId="5" applyNumberFormat="0" applyFont="0" applyFill="0" applyAlignment="0" applyProtection="0">
      <alignment horizontal="left"/>
    </xf>
    <xf numFmtId="0" fontId="10" fillId="0" borderId="0" applyFont="0" applyFill="0" applyBorder="0" applyAlignment="0" applyProtection="0"/>
    <xf numFmtId="0" fontId="23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204" fontId="26" fillId="0" borderId="0"/>
    <xf numFmtId="204" fontId="26" fillId="0" borderId="0"/>
    <xf numFmtId="204" fontId="26" fillId="0" borderId="0"/>
    <xf numFmtId="204" fontId="26" fillId="0" borderId="0"/>
    <xf numFmtId="204" fontId="26" fillId="0" borderId="0"/>
    <xf numFmtId="0" fontId="239" fillId="0" borderId="0"/>
    <xf numFmtId="0" fontId="47" fillId="0" borderId="0"/>
    <xf numFmtId="3" fontId="61" fillId="0" borderId="0" applyFont="0" applyFill="0" applyBorder="0" applyAlignment="0" applyProtection="0"/>
    <xf numFmtId="3" fontId="61" fillId="0" borderId="0" applyFont="0" applyFill="0" applyBorder="0" applyAlignment="0" applyProtection="0"/>
    <xf numFmtId="0" fontId="239" fillId="0" borderId="0"/>
    <xf numFmtId="0" fontId="47" fillId="0" borderId="0"/>
    <xf numFmtId="0" fontId="12" fillId="10" borderId="0">
      <alignment horizontal="center" vertical="center" wrapText="1"/>
    </xf>
    <xf numFmtId="0" fontId="12" fillId="10" borderId="0">
      <alignment horizontal="center" vertical="center" wrapText="1"/>
    </xf>
    <xf numFmtId="204" fontId="8" fillId="0" borderId="0"/>
    <xf numFmtId="0" fontId="8" fillId="0" borderId="0">
      <alignment horizontal="left"/>
    </xf>
    <xf numFmtId="0" fontId="8" fillId="0" borderId="0">
      <alignment horizontal="left"/>
    </xf>
    <xf numFmtId="0" fontId="8" fillId="0" borderId="0"/>
    <xf numFmtId="0" fontId="8" fillId="0" borderId="0"/>
    <xf numFmtId="0" fontId="8" fillId="0" borderId="0">
      <alignment horizontal="left"/>
    </xf>
    <xf numFmtId="0" fontId="8" fillId="0" borderId="0">
      <alignment horizontal="left"/>
    </xf>
    <xf numFmtId="204" fontId="8" fillId="0" borderId="0" applyFill="0" applyBorder="0" applyAlignment="0" applyProtection="0">
      <alignment horizontal="left"/>
    </xf>
    <xf numFmtId="179" fontId="9" fillId="0" borderId="0" applyFill="0" applyBorder="0">
      <alignment horizontal="right"/>
      <protection locked="0"/>
    </xf>
    <xf numFmtId="179" fontId="9" fillId="0" borderId="0" applyFill="0" applyBorder="0">
      <alignment horizontal="right"/>
      <protection locked="0"/>
    </xf>
    <xf numFmtId="0" fontId="9" fillId="0" borderId="0" applyFill="0" applyBorder="0">
      <alignment horizontal="right"/>
      <protection locked="0"/>
    </xf>
    <xf numFmtId="218" fontId="62" fillId="0" borderId="0" applyFont="0"/>
    <xf numFmtId="218" fontId="62" fillId="0" borderId="0" applyFont="0"/>
    <xf numFmtId="218" fontId="62" fillId="0" borderId="0" applyFont="0"/>
    <xf numFmtId="218" fontId="62" fillId="0" borderId="0" applyFont="0"/>
    <xf numFmtId="218" fontId="62" fillId="0" borderId="0" applyFont="0"/>
    <xf numFmtId="218" fontId="62" fillId="0" borderId="0" applyFont="0"/>
    <xf numFmtId="218" fontId="62" fillId="0" borderId="0" applyFont="0"/>
    <xf numFmtId="219" fontId="8" fillId="0" borderId="0"/>
    <xf numFmtId="166" fontId="8" fillId="0" borderId="0" applyFont="0" applyFill="0" applyBorder="0" applyAlignment="0"/>
    <xf numFmtId="220" fontId="8" fillId="0" borderId="0" applyFont="0" applyFill="0" applyBorder="0" applyAlignment="0" applyProtection="0"/>
    <xf numFmtId="220" fontId="8" fillId="0" borderId="0" applyFont="0" applyFill="0" applyBorder="0" applyAlignment="0" applyProtection="0"/>
    <xf numFmtId="0" fontId="240" fillId="0" borderId="0">
      <protection locked="0"/>
    </xf>
    <xf numFmtId="221" fontId="8" fillId="4" borderId="6" applyFont="0" applyFill="0" applyBorder="0" applyAlignment="0" applyProtection="0"/>
    <xf numFmtId="222" fontId="8" fillId="4" borderId="0" applyFont="0" applyFill="0" applyBorder="0" applyAlignment="0" applyProtection="0"/>
    <xf numFmtId="175" fontId="8" fillId="0" borderId="7" applyFont="0" applyFill="0" applyBorder="0" applyAlignment="0" applyProtection="0"/>
    <xf numFmtId="175" fontId="8" fillId="0" borderId="7" applyFont="0" applyFill="0" applyBorder="0" applyAlignment="0" applyProtection="0"/>
    <xf numFmtId="222" fontId="8" fillId="0" borderId="0" applyFill="0" applyBorder="0">
      <alignment horizontal="right"/>
    </xf>
    <xf numFmtId="14" fontId="64" fillId="0" borderId="0" applyFont="0" applyFill="0" applyBorder="0" applyAlignment="0" applyProtection="0">
      <alignment horizontal="center"/>
    </xf>
    <xf numFmtId="14" fontId="64" fillId="0" borderId="0" applyFont="0" applyFill="0" applyBorder="0" applyAlignment="0" applyProtection="0">
      <alignment horizontal="center"/>
    </xf>
    <xf numFmtId="223" fontId="64" fillId="0" borderId="0" applyFont="0" applyFill="0" applyBorder="0" applyAlignment="0" applyProtection="0">
      <alignment horizontal="center"/>
    </xf>
    <xf numFmtId="223" fontId="64" fillId="0" borderId="0" applyFont="0" applyFill="0" applyBorder="0" applyAlignment="0" applyProtection="0">
      <alignment horizontal="center"/>
    </xf>
    <xf numFmtId="0" fontId="118" fillId="5" borderId="0" applyNumberFormat="0" applyFont="0" applyFill="0" applyBorder="0" applyAlignment="0" applyProtection="0"/>
    <xf numFmtId="224" fontId="65" fillId="0" borderId="2" applyNumberFormat="0" applyFill="0" applyBorder="0" applyAlignment="0">
      <alignment horizontal="left"/>
      <protection locked="0"/>
    </xf>
    <xf numFmtId="224" fontId="65" fillId="0" borderId="2" applyNumberFormat="0" applyFill="0" applyBorder="0" applyAlignment="0">
      <alignment horizontal="left"/>
      <protection locked="0"/>
    </xf>
    <xf numFmtId="224" fontId="65" fillId="0" borderId="2" applyNumberFormat="0" applyFill="0" applyBorder="0" applyAlignment="0">
      <alignment horizontal="left"/>
      <protection locked="0"/>
    </xf>
    <xf numFmtId="225" fontId="14" fillId="0" borderId="0" applyFont="0" applyFill="0" applyBorder="0" applyAlignment="0" applyProtection="0"/>
    <xf numFmtId="225" fontId="14" fillId="0" borderId="0" applyFont="0" applyFill="0" applyBorder="0" applyAlignment="0" applyProtection="0"/>
    <xf numFmtId="225" fontId="14" fillId="0" borderId="0" applyFont="0" applyFill="0" applyBorder="0" applyAlignment="0" applyProtection="0"/>
    <xf numFmtId="0" fontId="21" fillId="0" borderId="0">
      <protection locked="0"/>
    </xf>
    <xf numFmtId="0" fontId="21" fillId="0" borderId="0">
      <protection locked="0"/>
    </xf>
    <xf numFmtId="0" fontId="21" fillId="0" borderId="0">
      <protection locked="0"/>
    </xf>
    <xf numFmtId="0" fontId="13" fillId="0" borderId="0">
      <protection locked="0"/>
    </xf>
    <xf numFmtId="0" fontId="21" fillId="0" borderId="0">
      <protection locked="0"/>
    </xf>
    <xf numFmtId="0" fontId="240" fillId="0" borderId="0">
      <protection locked="0"/>
    </xf>
    <xf numFmtId="0" fontId="6" fillId="0" borderId="0"/>
    <xf numFmtId="166" fontId="50" fillId="0" borderId="0" applyFont="0" applyFill="0" applyBorder="0" applyAlignment="0" applyProtection="0"/>
    <xf numFmtId="166"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0" fontId="241" fillId="0" borderId="0">
      <protection locked="0"/>
    </xf>
    <xf numFmtId="0" fontId="241" fillId="0" borderId="0">
      <protection locked="0"/>
    </xf>
    <xf numFmtId="226" fontId="14" fillId="0" borderId="0" applyFont="0" applyFill="0" applyBorder="0" applyAlignment="0"/>
    <xf numFmtId="226" fontId="14" fillId="0" borderId="0" applyFont="0" applyFill="0" applyBorder="0" applyAlignment="0"/>
    <xf numFmtId="226" fontId="14" fillId="0" borderId="0" applyFont="0" applyFill="0" applyBorder="0" applyAlignment="0"/>
    <xf numFmtId="166" fontId="50" fillId="0" borderId="0" applyFont="0" applyFill="0" applyBorder="0" applyAlignment="0" applyProtection="0">
      <alignment horizontal="right"/>
    </xf>
    <xf numFmtId="166" fontId="50" fillId="0" borderId="0" applyFont="0" applyFill="0" applyBorder="0" applyAlignment="0" applyProtection="0">
      <alignment horizontal="right"/>
    </xf>
    <xf numFmtId="227" fontId="14" fillId="0" borderId="0" applyFont="0" applyFill="0" applyBorder="0" applyProtection="0">
      <alignment horizontal="left"/>
      <protection locked="0"/>
    </xf>
    <xf numFmtId="228" fontId="14" fillId="0" borderId="0" applyFont="0" applyFill="0" applyBorder="0" applyProtection="0">
      <alignment horizontal="left"/>
      <protection locked="0"/>
    </xf>
    <xf numFmtId="166" fontId="8" fillId="0" borderId="0"/>
    <xf numFmtId="166" fontId="8" fillId="0" borderId="0"/>
    <xf numFmtId="166" fontId="8" fillId="0" borderId="0"/>
    <xf numFmtId="0" fontId="68" fillId="0" borderId="0"/>
    <xf numFmtId="176" fontId="8" fillId="0" borderId="0"/>
    <xf numFmtId="176" fontId="8" fillId="0" borderId="0"/>
    <xf numFmtId="176" fontId="8" fillId="0" borderId="0"/>
    <xf numFmtId="0" fontId="68" fillId="0" borderId="0"/>
    <xf numFmtId="204" fontId="8" fillId="0" borderId="0"/>
    <xf numFmtId="204" fontId="8" fillId="0" borderId="0"/>
    <xf numFmtId="204" fontId="8" fillId="0" borderId="0"/>
    <xf numFmtId="0" fontId="68" fillId="0" borderId="0"/>
    <xf numFmtId="320" fontId="8" fillId="93" borderId="0" applyFont="0" applyFill="0" applyBorder="0" applyAlignment="0"/>
    <xf numFmtId="229" fontId="8" fillId="0" borderId="0" applyFont="0" applyFill="0" applyBorder="0" applyAlignment="0" applyProtection="0"/>
    <xf numFmtId="321" fontId="8" fillId="0" borderId="0" applyFont="0" applyFill="0" applyBorder="0" applyAlignment="0" applyProtection="0"/>
    <xf numFmtId="0" fontId="218" fillId="0" borderId="0" applyNumberFormat="0" applyFill="0" applyBorder="0" applyAlignment="0" applyProtection="0"/>
    <xf numFmtId="0" fontId="242" fillId="0" borderId="0"/>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0" fontId="242" fillId="0" borderId="0"/>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0" fontId="242" fillId="0" borderId="0"/>
    <xf numFmtId="9" fontId="243" fillId="13" borderId="40" applyNumberFormat="0" applyFont="0" applyFill="0" applyBorder="0" applyAlignment="0" applyProtection="0">
      <alignment horizontal="left" vertical="center" wrapText="1"/>
      <protection hidden="1"/>
    </xf>
    <xf numFmtId="0" fontId="242" fillId="0" borderId="0"/>
    <xf numFmtId="0" fontId="242" fillId="0" borderId="0"/>
    <xf numFmtId="0" fontId="242" fillId="0" borderId="0"/>
    <xf numFmtId="0" fontId="242" fillId="0" borderId="0"/>
    <xf numFmtId="0" fontId="242" fillId="0" borderId="0"/>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0" fontId="242" fillId="0" borderId="0"/>
    <xf numFmtId="0" fontId="242" fillId="0" borderId="0"/>
    <xf numFmtId="0" fontId="242" fillId="0" borderId="0"/>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0" fontId="242" fillId="0" borderId="0"/>
    <xf numFmtId="0" fontId="240" fillId="0" borderId="0">
      <protection locked="0"/>
    </xf>
    <xf numFmtId="0" fontId="240" fillId="0" borderId="0">
      <protection locked="0"/>
    </xf>
    <xf numFmtId="0" fontId="240" fillId="0" borderId="0">
      <protection locked="0"/>
    </xf>
    <xf numFmtId="0" fontId="240" fillId="0" borderId="0">
      <protection locked="0"/>
    </xf>
    <xf numFmtId="0" fontId="240" fillId="0" borderId="0">
      <protection locked="0"/>
    </xf>
    <xf numFmtId="0" fontId="240" fillId="0" borderId="0">
      <protection locked="0"/>
    </xf>
    <xf numFmtId="0" fontId="240" fillId="0" borderId="0">
      <protection locked="0"/>
    </xf>
    <xf numFmtId="0" fontId="69" fillId="0" borderId="0"/>
    <xf numFmtId="0" fontId="69" fillId="0" borderId="0"/>
    <xf numFmtId="0" fontId="69" fillId="0" borderId="0"/>
    <xf numFmtId="0" fontId="240" fillId="0" borderId="0">
      <protection locked="0"/>
    </xf>
    <xf numFmtId="0" fontId="240" fillId="0" borderId="0">
      <protection locked="0"/>
    </xf>
    <xf numFmtId="0" fontId="71" fillId="12" borderId="0"/>
    <xf numFmtId="0" fontId="71" fillId="12" borderId="0"/>
    <xf numFmtId="0" fontId="71" fillId="12" borderId="0"/>
    <xf numFmtId="0" fontId="8" fillId="4" borderId="0" applyFont="0" applyFill="0" applyBorder="0" applyAlignment="0"/>
    <xf numFmtId="2" fontId="61" fillId="0" borderId="0" applyFont="0" applyFill="0" applyBorder="0" applyAlignment="0" applyProtection="0"/>
    <xf numFmtId="2" fontId="61" fillId="0" borderId="0" applyFont="0" applyFill="0" applyBorder="0" applyAlignment="0" applyProtection="0"/>
    <xf numFmtId="2" fontId="61" fillId="0" borderId="0" applyFont="0" applyFill="0" applyBorder="0" applyAlignment="0" applyProtection="0"/>
    <xf numFmtId="2" fontId="61" fillId="0" borderId="0" applyFont="0" applyFill="0" applyBorder="0" applyAlignment="0" applyProtection="0"/>
    <xf numFmtId="322" fontId="240" fillId="0" borderId="0">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Fill="0" applyBorder="0" applyProtection="0">
      <alignment horizontal="left"/>
    </xf>
    <xf numFmtId="0" fontId="8" fillId="0" borderId="0" applyFill="0" applyBorder="0" applyProtection="0">
      <alignment horizontal="left"/>
    </xf>
    <xf numFmtId="0" fontId="183" fillId="0" borderId="0" applyFill="0" applyBorder="0" applyProtection="0">
      <alignment horizontal="left"/>
    </xf>
    <xf numFmtId="0" fontId="8" fillId="0" borderId="0">
      <alignment horizontal="left"/>
    </xf>
    <xf numFmtId="0" fontId="8" fillId="0" borderId="0">
      <alignment horizontal="left"/>
    </xf>
    <xf numFmtId="231" fontId="50" fillId="0" borderId="0" applyFill="0" applyBorder="0" applyAlignment="0" applyProtection="0">
      <protection locked="0"/>
    </xf>
    <xf numFmtId="0" fontId="219" fillId="70" borderId="0" applyNumberFormat="0" applyBorder="0" applyAlignment="0" applyProtection="0"/>
    <xf numFmtId="38" fontId="26" fillId="13" borderId="0" applyNumberFormat="0" applyFont="0" applyBorder="0" applyAlignment="0">
      <protection hidden="1"/>
    </xf>
    <xf numFmtId="232" fontId="73" fillId="0" borderId="0" applyFill="0" applyBorder="0" applyAlignment="0" applyProtection="0"/>
    <xf numFmtId="232" fontId="74" fillId="0" borderId="0" applyAlignment="0">
      <alignment horizontal="left"/>
      <protection locked="0"/>
    </xf>
    <xf numFmtId="232" fontId="74" fillId="0" borderId="0" applyAlignment="0">
      <alignment horizontal="left"/>
      <protection locked="0"/>
    </xf>
    <xf numFmtId="0" fontId="14" fillId="0" borderId="0"/>
    <xf numFmtId="0" fontId="14" fillId="0" borderId="0"/>
    <xf numFmtId="0" fontId="14" fillId="0" borderId="0"/>
    <xf numFmtId="0" fontId="8" fillId="1" borderId="0" applyNumberFormat="0" applyBorder="0" applyProtection="0">
      <alignment horizontal="left" vertical="center"/>
    </xf>
    <xf numFmtId="0" fontId="8" fillId="0" borderId="0" applyProtection="0">
      <alignment horizontal="right"/>
    </xf>
    <xf numFmtId="0" fontId="8" fillId="0" borderId="0" applyProtection="0">
      <alignment horizontal="right"/>
    </xf>
    <xf numFmtId="0" fontId="244" fillId="0" borderId="0" applyProtection="0">
      <alignment horizontal="righ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2">
      <alignment horizontal="left" vertical="top"/>
    </xf>
    <xf numFmtId="0" fontId="8" fillId="0" borderId="2">
      <alignment horizontal="left" vertical="top"/>
    </xf>
    <xf numFmtId="0" fontId="245" fillId="0" borderId="0" applyProtection="0">
      <alignment horizontal="left"/>
    </xf>
    <xf numFmtId="0" fontId="8" fillId="0" borderId="0" applyProtection="0">
      <alignment horizontal="left"/>
    </xf>
    <xf numFmtId="0" fontId="8" fillId="0" borderId="0">
      <alignment horizontal="left"/>
    </xf>
    <xf numFmtId="0" fontId="8" fillId="0" borderId="0">
      <alignment horizontal="left"/>
    </xf>
    <xf numFmtId="0" fontId="8" fillId="0" borderId="2">
      <alignment horizontal="left" vertical="top"/>
    </xf>
    <xf numFmtId="0" fontId="8" fillId="0" borderId="2">
      <alignment horizontal="left" vertical="top"/>
    </xf>
    <xf numFmtId="0" fontId="246" fillId="0" borderId="0" applyProtection="0">
      <alignment horizontal="left"/>
    </xf>
    <xf numFmtId="0" fontId="8" fillId="0" borderId="0" applyProtection="0">
      <alignment horizontal="left"/>
    </xf>
    <xf numFmtId="0" fontId="8" fillId="0" borderId="0">
      <alignment horizontal="left"/>
    </xf>
    <xf numFmtId="0" fontId="8" fillId="0" borderId="0">
      <alignment horizontal="left"/>
    </xf>
    <xf numFmtId="0" fontId="247"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77" fillId="0" borderId="0"/>
    <xf numFmtId="0" fontId="77" fillId="0" borderId="0"/>
    <xf numFmtId="0" fontId="8" fillId="3" borderId="0"/>
    <xf numFmtId="0" fontId="8" fillId="3" borderId="0"/>
    <xf numFmtId="0" fontId="8" fillId="3" borderId="0"/>
    <xf numFmtId="0" fontId="8" fillId="3" borderId="0"/>
    <xf numFmtId="0" fontId="78" fillId="0" borderId="0">
      <alignment wrapText="1"/>
    </xf>
    <xf numFmtId="0" fontId="78" fillId="0" borderId="0">
      <alignment wrapText="1"/>
    </xf>
    <xf numFmtId="0" fontId="227"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53" fillId="0" borderId="0" applyNumberFormat="0" applyFill="0" applyBorder="0" applyAlignment="0" applyProtection="0">
      <alignment vertical="top"/>
      <protection locked="0"/>
    </xf>
    <xf numFmtId="231" fontId="50" fillId="0" borderId="0" applyFill="0" applyBorder="0" applyAlignment="0" applyProtection="0">
      <alignment horizontal="right"/>
      <protection locked="0"/>
    </xf>
    <xf numFmtId="0" fontId="254" fillId="0" borderId="0" applyNumberFormat="0" applyFill="0" applyBorder="0" applyAlignment="0" applyProtection="0"/>
    <xf numFmtId="176" fontId="255" fillId="13" borderId="0">
      <protection locked="0"/>
    </xf>
    <xf numFmtId="3" fontId="8" fillId="13" borderId="0">
      <alignment horizontal="right"/>
      <protection locked="0"/>
    </xf>
    <xf numFmtId="178" fontId="8" fillId="13" borderId="0" applyBorder="0">
      <alignment horizontal="right"/>
      <protection locked="0"/>
    </xf>
    <xf numFmtId="3" fontId="256" fillId="13" borderId="0">
      <alignment horizontal="right"/>
      <protection locked="0"/>
    </xf>
    <xf numFmtId="0" fontId="75" fillId="0" borderId="0" applyNumberFormat="0" applyFill="0" applyBorder="0" applyAlignment="0" applyProtection="0"/>
    <xf numFmtId="3" fontId="257" fillId="0" borderId="15" applyNumberFormat="0" applyFont="0" applyFill="0" applyAlignment="0">
      <alignment horizontal="center" vertical="top"/>
      <protection locked="0"/>
    </xf>
    <xf numFmtId="222" fontId="8" fillId="4" borderId="0" applyFont="0" applyBorder="0" applyAlignment="0" applyProtection="0">
      <protection locked="0"/>
    </xf>
    <xf numFmtId="236" fontId="8" fillId="4" borderId="0" applyFont="0" applyBorder="0" applyAlignment="0">
      <protection locked="0"/>
    </xf>
    <xf numFmtId="236" fontId="8" fillId="4" borderId="0" applyFont="0" applyBorder="0" applyAlignment="0">
      <protection locked="0"/>
    </xf>
    <xf numFmtId="10" fontId="8" fillId="0" borderId="0">
      <protection locked="0"/>
    </xf>
    <xf numFmtId="10" fontId="8" fillId="0" borderId="0">
      <protection locked="0"/>
    </xf>
    <xf numFmtId="0" fontId="8" fillId="4" borderId="4"/>
    <xf numFmtId="176" fontId="26" fillId="4" borderId="7" applyNumberFormat="0" applyFont="0" applyAlignment="0" applyProtection="0">
      <alignment horizontal="center"/>
      <protection locked="0"/>
    </xf>
    <xf numFmtId="0" fontId="8" fillId="4" borderId="4"/>
    <xf numFmtId="0" fontId="21" fillId="0" borderId="0" applyNumberFormat="0" applyFill="0" applyBorder="0" applyAlignment="0">
      <protection locked="0"/>
    </xf>
    <xf numFmtId="0" fontId="21" fillId="0" borderId="0" applyNumberFormat="0" applyFill="0" applyBorder="0" applyAlignment="0">
      <protection locked="0"/>
    </xf>
    <xf numFmtId="0" fontId="21" fillId="0" borderId="0" applyNumberFormat="0" applyFill="0" applyBorder="0" applyAlignment="0">
      <protection locked="0"/>
    </xf>
    <xf numFmtId="0" fontId="16" fillId="0" borderId="0" applyNumberFormat="0" applyFill="0" applyBorder="0" applyAlignment="0">
      <protection locked="0"/>
    </xf>
    <xf numFmtId="0" fontId="21" fillId="0" borderId="0" applyNumberFormat="0" applyFill="0" applyBorder="0" applyAlignment="0">
      <protection locked="0"/>
    </xf>
    <xf numFmtId="15" fontId="8" fillId="0" borderId="0">
      <protection locked="0"/>
    </xf>
    <xf numFmtId="15" fontId="8" fillId="0" borderId="0">
      <protection locked="0"/>
    </xf>
    <xf numFmtId="15" fontId="8" fillId="0" borderId="0">
      <protection locked="0"/>
    </xf>
    <xf numFmtId="2" fontId="8" fillId="0" borderId="13">
      <protection locked="0"/>
    </xf>
    <xf numFmtId="2" fontId="8" fillId="0" borderId="13">
      <protection locked="0"/>
    </xf>
    <xf numFmtId="2" fontId="8" fillId="0" borderId="13">
      <protection locked="0"/>
    </xf>
    <xf numFmtId="0" fontId="8" fillId="0" borderId="0">
      <protection locked="0"/>
    </xf>
    <xf numFmtId="0" fontId="8" fillId="0" borderId="0">
      <protection locked="0"/>
    </xf>
    <xf numFmtId="0" fontId="8" fillId="0" borderId="0">
      <protection locked="0"/>
    </xf>
    <xf numFmtId="0" fontId="9" fillId="0" borderId="0" applyFill="0" applyBorder="0">
      <alignment horizontal="right"/>
      <protection locked="0"/>
    </xf>
    <xf numFmtId="0" fontId="9" fillId="0" borderId="0" applyFill="0" applyBorder="0">
      <alignment horizontal="right"/>
      <protection locked="0"/>
    </xf>
    <xf numFmtId="180" fontId="9" fillId="0" borderId="0" applyFill="0" applyBorder="0">
      <alignment horizontal="right"/>
      <protection locked="0"/>
    </xf>
    <xf numFmtId="180" fontId="9" fillId="0" borderId="0" applyFill="0" applyBorder="0">
      <alignment horizontal="right"/>
      <protection locked="0"/>
    </xf>
    <xf numFmtId="0" fontId="9" fillId="0" borderId="0" applyFill="0" applyBorder="0">
      <alignment horizontal="right"/>
      <protection locked="0"/>
    </xf>
    <xf numFmtId="0" fontId="17" fillId="22" borderId="65">
      <alignment horizontal="left" vertical="center" wrapText="1"/>
    </xf>
    <xf numFmtId="38" fontId="258" fillId="0" borderId="0"/>
    <xf numFmtId="38" fontId="259" fillId="0" borderId="0"/>
    <xf numFmtId="38" fontId="191" fillId="0" borderId="0"/>
    <xf numFmtId="38" fontId="260" fillId="0" borderId="0"/>
    <xf numFmtId="0" fontId="235" fillId="0" borderId="0"/>
    <xf numFmtId="0" fontId="235" fillId="0" borderId="0"/>
    <xf numFmtId="1" fontId="8" fillId="0" borderId="0" applyNumberFormat="0" applyBorder="0" applyAlignment="0">
      <alignment horizontal="right"/>
    </xf>
    <xf numFmtId="37" fontId="84" fillId="0" borderId="0" applyNumberFormat="0" applyFill="0" applyBorder="0" applyAlignment="0" applyProtection="0">
      <alignment horizontal="right"/>
    </xf>
    <xf numFmtId="37" fontId="84" fillId="0" borderId="0" applyNumberFormat="0" applyFill="0" applyBorder="0" applyAlignment="0" applyProtection="0">
      <alignment horizontal="right"/>
    </xf>
    <xf numFmtId="37" fontId="84" fillId="0" borderId="0" applyNumberFormat="0" applyFill="0" applyBorder="0" applyAlignment="0" applyProtection="0">
      <alignment horizontal="right"/>
    </xf>
    <xf numFmtId="1" fontId="84" fillId="0" borderId="0" applyNumberFormat="0" applyFill="0" applyBorder="0" applyAlignment="0" applyProtection="0">
      <alignment horizontal="right"/>
    </xf>
    <xf numFmtId="204" fontId="8" fillId="23" borderId="0"/>
    <xf numFmtId="204" fontId="8" fillId="23" borderId="0"/>
    <xf numFmtId="204" fontId="8" fillId="23" borderId="0"/>
    <xf numFmtId="3" fontId="26" fillId="7" borderId="0" applyFont="0"/>
    <xf numFmtId="0" fontId="86" fillId="0" borderId="0" applyNumberFormat="0" applyFill="0" applyBorder="0" applyProtection="0">
      <alignment horizontal="left" vertical="center"/>
    </xf>
    <xf numFmtId="0" fontId="86" fillId="0" borderId="0" applyNumberFormat="0" applyFill="0" applyBorder="0" applyProtection="0">
      <alignment horizontal="left" vertical="center"/>
    </xf>
    <xf numFmtId="0" fontId="86" fillId="0" borderId="0" applyNumberFormat="0" applyFill="0" applyBorder="0" applyProtection="0">
      <alignment horizontal="left" vertical="center"/>
    </xf>
    <xf numFmtId="0" fontId="87" fillId="0" borderId="0"/>
    <xf numFmtId="0" fontId="87" fillId="0" borderId="0"/>
    <xf numFmtId="0" fontId="11" fillId="21" borderId="0" applyBorder="0" applyAlignment="0">
      <alignment horizontal="right"/>
    </xf>
    <xf numFmtId="323" fontId="51" fillId="21" borderId="0" applyBorder="0" applyAlignment="0">
      <alignment horizontal="right"/>
    </xf>
    <xf numFmtId="237" fontId="88" fillId="0" borderId="0" applyFill="0" applyBorder="0" applyAlignment="0" applyProtection="0"/>
    <xf numFmtId="0" fontId="71" fillId="0" borderId="0"/>
    <xf numFmtId="0" fontId="71" fillId="0" borderId="0"/>
    <xf numFmtId="0" fontId="71" fillId="0" borderId="0"/>
    <xf numFmtId="0" fontId="89" fillId="0" borderId="0"/>
    <xf numFmtId="0" fontId="89" fillId="0" borderId="0"/>
    <xf numFmtId="0" fontId="89" fillId="0" borderId="0"/>
    <xf numFmtId="0" fontId="90" fillId="0" borderId="0"/>
    <xf numFmtId="0" fontId="90" fillId="0" borderId="0"/>
    <xf numFmtId="0" fontId="90" fillId="0" borderId="0"/>
    <xf numFmtId="324" fontId="9" fillId="0" borderId="0" applyFont="0" applyFill="0" applyBorder="0" applyAlignment="0" applyProtection="0"/>
    <xf numFmtId="325" fontId="8" fillId="0" borderId="0" applyFont="0" applyFill="0" applyBorder="0" applyAlignment="0" applyProtection="0"/>
    <xf numFmtId="244" fontId="8" fillId="0" borderId="0" applyFont="0" applyFill="0" applyBorder="0" applyAlignment="0" applyProtection="0"/>
    <xf numFmtId="239" fontId="14" fillId="0" borderId="0" applyFont="0" applyFill="0" applyBorder="0" applyAlignment="0" applyProtection="0"/>
    <xf numFmtId="239" fontId="14" fillId="0" borderId="0" applyFont="0" applyFill="0" applyBorder="0" applyAlignment="0" applyProtection="0"/>
    <xf numFmtId="239" fontId="14" fillId="0" borderId="0" applyFont="0" applyFill="0" applyBorder="0" applyAlignment="0" applyProtection="0"/>
    <xf numFmtId="176" fontId="8" fillId="0" borderId="0"/>
    <xf numFmtId="176" fontId="8" fillId="0" borderId="0"/>
    <xf numFmtId="176" fontId="8" fillId="0" borderId="0"/>
    <xf numFmtId="0" fontId="8" fillId="0" borderId="3"/>
    <xf numFmtId="0" fontId="8" fillId="0" borderId="3"/>
    <xf numFmtId="326" fontId="8" fillId="0" borderId="0" applyFont="0" applyFill="0" applyBorder="0" applyAlignment="0" applyProtection="0"/>
    <xf numFmtId="327" fontId="8" fillId="0" borderId="0" applyFont="0" applyFill="0" applyBorder="0" applyAlignment="0" applyProtection="0"/>
    <xf numFmtId="328" fontId="8" fillId="0" borderId="0" applyFont="0" applyFill="0" applyBorder="0" applyAlignment="0" applyProtection="0"/>
    <xf numFmtId="329"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42" fontId="8" fillId="0" borderId="0" applyFont="0" applyFill="0" applyBorder="0" applyAlignment="0"/>
    <xf numFmtId="242" fontId="8" fillId="0" borderId="0" applyFont="0" applyFill="0" applyBorder="0" applyAlignment="0"/>
    <xf numFmtId="242" fontId="8" fillId="0" borderId="0" applyFont="0" applyFill="0" applyBorder="0" applyAlignment="0"/>
    <xf numFmtId="330" fontId="8" fillId="0" borderId="0" applyFont="0" applyFill="0" applyBorder="0" applyAlignment="0" applyProtection="0"/>
    <xf numFmtId="331"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240" fillId="0" borderId="0">
      <protection locked="0"/>
    </xf>
    <xf numFmtId="177" fontId="8" fillId="13" borderId="0" applyFont="0" applyBorder="0" applyAlignment="0" applyProtection="0">
      <alignment horizontal="right"/>
      <protection hidden="1"/>
    </xf>
    <xf numFmtId="0" fontId="21" fillId="0" borderId="16" applyBorder="0" applyAlignment="0" applyProtection="0">
      <alignment horizontal="center"/>
    </xf>
    <xf numFmtId="0" fontId="21" fillId="0" borderId="16" applyBorder="0" applyAlignment="0" applyProtection="0">
      <alignment horizontal="center"/>
    </xf>
    <xf numFmtId="0" fontId="21" fillId="0" borderId="16" applyBorder="0" applyAlignment="0" applyProtection="0">
      <alignment horizontal="center"/>
    </xf>
    <xf numFmtId="0" fontId="8" fillId="0" borderId="16" applyBorder="0" applyAlignment="0" applyProtection="0">
      <alignment horizontal="center"/>
    </xf>
    <xf numFmtId="0" fontId="21" fillId="0" borderId="16" applyBorder="0" applyAlignment="0" applyProtection="0">
      <alignment horizontal="center"/>
    </xf>
    <xf numFmtId="0" fontId="156" fillId="0" borderId="16" applyBorder="0" applyAlignment="0" applyProtection="0">
      <alignment horizontal="center"/>
    </xf>
    <xf numFmtId="37" fontId="91" fillId="0" borderId="0"/>
    <xf numFmtId="37" fontId="91" fillId="0" borderId="0"/>
    <xf numFmtId="0" fontId="8" fillId="0" borderId="0"/>
    <xf numFmtId="0" fontId="8" fillId="0" borderId="0"/>
    <xf numFmtId="332" fontId="261" fillId="0" borderId="0"/>
    <xf numFmtId="231" fontId="8" fillId="0" borderId="0" applyFont="0" applyFill="0" applyBorder="0" applyAlignment="0"/>
    <xf numFmtId="231" fontId="8" fillId="0" borderId="0" applyFont="0" applyFill="0" applyBorder="0" applyAlignment="0"/>
    <xf numFmtId="244" fontId="8" fillId="0" borderId="0" applyFont="0" applyFill="0" applyBorder="0" applyAlignment="0"/>
    <xf numFmtId="0" fontId="8" fillId="0" borderId="0"/>
    <xf numFmtId="0" fontId="8" fillId="0" borderId="0"/>
    <xf numFmtId="0" fontId="8" fillId="0" borderId="0"/>
    <xf numFmtId="0" fontId="8" fillId="0" borderId="0"/>
    <xf numFmtId="0" fontId="8" fillId="0" borderId="0"/>
    <xf numFmtId="3" fontId="8" fillId="0" borderId="0"/>
    <xf numFmtId="2" fontId="9" fillId="0" borderId="0" applyBorder="0" applyProtection="0"/>
    <xf numFmtId="0" fontId="120" fillId="4" borderId="0" applyNumberFormat="0" applyFont="0" applyFill="0" applyBorder="0" applyAlignment="0" applyProtection="0">
      <alignment horizontal="left"/>
    </xf>
    <xf numFmtId="3" fontId="8" fillId="0" borderId="0">
      <alignment horizontal="left"/>
    </xf>
    <xf numFmtId="0" fontId="18" fillId="0" borderId="0"/>
    <xf numFmtId="0" fontId="8" fillId="0" borderId="0"/>
    <xf numFmtId="0" fontId="8" fillId="0" borderId="0"/>
    <xf numFmtId="174" fontId="8" fillId="0" borderId="0"/>
    <xf numFmtId="174" fontId="8" fillId="0" borderId="0"/>
    <xf numFmtId="245" fontId="8" fillId="0" borderId="0" applyFont="0" applyFill="0" applyBorder="0" applyAlignment="0" applyProtection="0"/>
    <xf numFmtId="203" fontId="8" fillId="0" borderId="0" applyFont="0" applyFill="0" applyBorder="0" applyAlignment="0" applyProtection="0"/>
    <xf numFmtId="246" fontId="95" fillId="24" borderId="2" applyFont="0" applyBorder="0"/>
    <xf numFmtId="246" fontId="95" fillId="24" borderId="2" applyFont="0" applyBorder="0"/>
    <xf numFmtId="246" fontId="95" fillId="24" borderId="2" applyFont="0" applyBorder="0"/>
    <xf numFmtId="0" fontId="8" fillId="0" borderId="4">
      <alignment vertical="center" wrapText="1"/>
    </xf>
    <xf numFmtId="0" fontId="8" fillId="0" borderId="4">
      <alignment vertical="center" wrapText="1"/>
    </xf>
    <xf numFmtId="1" fontId="8" fillId="0" borderId="0" applyProtection="0">
      <alignment horizontal="right" vertical="center"/>
    </xf>
    <xf numFmtId="1" fontId="8" fillId="0" borderId="0" applyProtection="0">
      <alignment horizontal="right" vertical="center"/>
    </xf>
    <xf numFmtId="0" fontId="8" fillId="0" borderId="0">
      <alignment horizontal="left"/>
    </xf>
    <xf numFmtId="1" fontId="262" fillId="0" borderId="0" applyProtection="0">
      <alignment horizontal="right" vertical="center"/>
    </xf>
    <xf numFmtId="0" fontId="90" fillId="0" borderId="0"/>
    <xf numFmtId="0" fontId="90" fillId="0" borderId="0"/>
    <xf numFmtId="0" fontId="90" fillId="0" borderId="0"/>
    <xf numFmtId="0" fontId="22" fillId="0" borderId="18" applyNumberFormat="0" applyAlignment="0" applyProtection="0"/>
    <xf numFmtId="0" fontId="14" fillId="14" borderId="0" applyNumberFormat="0" applyFont="0" applyBorder="0" applyAlignment="0" applyProtection="0"/>
    <xf numFmtId="0" fontId="14" fillId="0" borderId="19" applyNumberFormat="0" applyAlignment="0" applyProtection="0"/>
    <xf numFmtId="0" fontId="14" fillId="0" borderId="20" applyNumberFormat="0" applyAlignment="0" applyProtection="0"/>
    <xf numFmtId="0" fontId="22" fillId="0" borderId="21" applyNumberFormat="0" applyAlignment="0" applyProtection="0"/>
    <xf numFmtId="14" fontId="50" fillId="0" borderId="0">
      <alignment horizontal="center" wrapText="1"/>
      <protection locked="0"/>
    </xf>
    <xf numFmtId="14" fontId="50" fillId="0" borderId="0">
      <alignment horizontal="center" wrapText="1"/>
      <protection locked="0"/>
    </xf>
    <xf numFmtId="14" fontId="50" fillId="0" borderId="0">
      <alignment horizontal="center" wrapText="1"/>
      <protection locked="0"/>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8" fillId="0" borderId="0" applyFont="0" applyFill="0" applyBorder="0" applyAlignment="0"/>
    <xf numFmtId="236" fontId="8" fillId="0" borderId="0" applyFont="0" applyFill="0" applyBorder="0" applyAlignment="0"/>
    <xf numFmtId="10" fontId="8" fillId="0" borderId="0" applyFont="0" applyFill="0" applyBorder="0" applyAlignment="0" applyProtection="0"/>
    <xf numFmtId="247" fontId="8" fillId="11" borderId="0" applyFont="0" applyFill="0" applyBorder="0" applyAlignment="0" applyProtection="0"/>
    <xf numFmtId="9" fontId="14" fillId="0" borderId="0"/>
    <xf numFmtId="9" fontId="14" fillId="0" borderId="0"/>
    <xf numFmtId="9" fontId="14" fillId="0" borderId="0"/>
    <xf numFmtId="10" fontId="14" fillId="0" borderId="0"/>
    <xf numFmtId="10" fontId="14" fillId="0" borderId="0"/>
    <xf numFmtId="10" fontId="14" fillId="0" borderId="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181" fontId="9" fillId="0" borderId="0" applyFill="0" applyBorder="0">
      <alignment horizontal="right"/>
      <protection locked="0"/>
    </xf>
    <xf numFmtId="181" fontId="9" fillId="0" borderId="0" applyFill="0" applyBorder="0">
      <alignment horizontal="right"/>
      <protection locked="0"/>
    </xf>
    <xf numFmtId="0" fontId="9" fillId="0" borderId="0" applyFill="0" applyBorder="0">
      <alignment horizontal="right"/>
      <protection locked="0"/>
    </xf>
    <xf numFmtId="232" fontId="50" fillId="0" borderId="0" applyFont="0" applyFill="0" applyBorder="0" applyAlignment="0" applyProtection="0"/>
    <xf numFmtId="232" fontId="50" fillId="0" borderId="0" applyFont="0" applyFill="0" applyBorder="0" applyAlignment="0" applyProtection="0"/>
    <xf numFmtId="210" fontId="8" fillId="0" borderId="0" applyFont="0" applyFill="0" applyBorder="0" applyAlignment="0" applyProtection="0"/>
    <xf numFmtId="333" fontId="240" fillId="0" borderId="0">
      <protection locked="0"/>
    </xf>
    <xf numFmtId="166" fontId="50" fillId="0" borderId="0" applyFont="0" applyFill="0" applyBorder="0" applyAlignment="0" applyProtection="0"/>
    <xf numFmtId="166" fontId="50" fillId="0" borderId="0" applyFont="0" applyFill="0" applyBorder="0" applyAlignment="0" applyProtection="0"/>
    <xf numFmtId="334" fontId="240" fillId="0" borderId="0">
      <protection locked="0"/>
    </xf>
    <xf numFmtId="231" fontId="50" fillId="0" borderId="0" applyFont="0" applyFill="0" applyBorder="0" applyAlignment="0" applyProtection="0">
      <protection locked="0"/>
    </xf>
    <xf numFmtId="231" fontId="50" fillId="0" borderId="0" applyFont="0" applyFill="0" applyBorder="0" applyAlignment="0" applyProtection="0">
      <protection locked="0"/>
    </xf>
    <xf numFmtId="0" fontId="240" fillId="0" borderId="0">
      <protection locked="0"/>
    </xf>
    <xf numFmtId="176" fontId="27" fillId="0" borderId="0" applyBorder="0" applyAlignment="0" applyProtection="0">
      <protection locked="0"/>
    </xf>
    <xf numFmtId="249" fontId="8" fillId="0" borderId="0" applyFont="0" applyFill="0" applyBorder="0" applyAlignment="0"/>
    <xf numFmtId="249" fontId="8" fillId="0" borderId="0" applyFont="0" applyFill="0" applyBorder="0" applyAlignment="0"/>
    <xf numFmtId="249" fontId="8" fillId="0" borderId="0" applyFont="0" applyFill="0" applyBorder="0" applyAlignment="0"/>
    <xf numFmtId="231" fontId="50" fillId="0" borderId="0" applyFill="0" applyBorder="0" applyAlignment="0" applyProtection="0"/>
    <xf numFmtId="231" fontId="50" fillId="0" borderId="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166" fontId="98" fillId="0" borderId="22">
      <alignment horizontal="right"/>
    </xf>
    <xf numFmtId="166" fontId="98" fillId="0" borderId="22">
      <alignment horizontal="right"/>
    </xf>
    <xf numFmtId="0" fontId="64" fillId="13" borderId="0" applyNumberFormat="0" applyFont="0" applyBorder="0" applyAlignment="0"/>
    <xf numFmtId="0" fontId="9" fillId="0" borderId="0" applyNumberFormat="0" applyFont="0" applyFill="0" applyBorder="0" applyAlignment="0" applyProtection="0">
      <alignment horizontal="left"/>
    </xf>
    <xf numFmtId="0" fontId="8" fillId="0" borderId="0">
      <alignment horizontal="right"/>
    </xf>
    <xf numFmtId="0" fontId="8" fillId="0" borderId="0">
      <alignment horizontal="right"/>
    </xf>
    <xf numFmtId="0" fontId="8" fillId="0" borderId="0">
      <alignment horizontal="right"/>
    </xf>
    <xf numFmtId="0" fontId="8" fillId="0" borderId="0"/>
    <xf numFmtId="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7" fillId="0" borderId="7">
      <alignment horizontal="right"/>
    </xf>
    <xf numFmtId="182" fontId="9" fillId="0" borderId="0">
      <alignment horizontal="right"/>
      <protection locked="0"/>
    </xf>
    <xf numFmtId="182" fontId="9" fillId="0" borderId="0">
      <alignment horizontal="right"/>
      <protection locked="0"/>
    </xf>
    <xf numFmtId="0" fontId="9" fillId="0" borderId="0">
      <alignment horizontal="right"/>
      <protection locked="0"/>
    </xf>
    <xf numFmtId="231" fontId="64" fillId="0" borderId="0" applyFont="0" applyFill="0" applyBorder="0" applyAlignment="0" applyProtection="0"/>
    <xf numFmtId="231" fontId="64" fillId="0" borderId="0" applyFont="0" applyFill="0" applyBorder="0" applyAlignment="0" applyProtection="0"/>
    <xf numFmtId="38" fontId="263" fillId="0" borderId="0"/>
    <xf numFmtId="0" fontId="8" fillId="0" borderId="0">
      <alignment horizontal="right"/>
    </xf>
    <xf numFmtId="0" fontId="8" fillId="0" borderId="0">
      <alignment horizontal="right"/>
    </xf>
    <xf numFmtId="0" fontId="8" fillId="0" borderId="0">
      <alignment horizontal="right"/>
    </xf>
    <xf numFmtId="0" fontId="8" fillId="0" borderId="0" applyFill="0" applyBorder="0" applyProtection="0">
      <alignment horizontal="right"/>
    </xf>
    <xf numFmtId="0" fontId="8" fillId="0" borderId="0" applyFill="0" applyBorder="0" applyProtection="0">
      <alignment horizontal="right"/>
    </xf>
    <xf numFmtId="0" fontId="8" fillId="0" borderId="0" applyFill="0" applyBorder="0" applyProtection="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264" fillId="5" borderId="68" applyNumberFormat="0" applyFont="0" applyAlignment="0" applyProtection="0">
      <alignment horizontal="left"/>
    </xf>
    <xf numFmtId="0" fontId="14" fillId="0" borderId="23" applyNumberFormat="0" applyFont="0" applyFill="0" applyAlignment="0" applyProtection="0"/>
    <xf numFmtId="0" fontId="14" fillId="0" borderId="23" applyNumberFormat="0" applyFont="0" applyFill="0" applyAlignment="0" applyProtection="0"/>
    <xf numFmtId="0" fontId="14" fillId="0" borderId="23" applyNumberFormat="0" applyFont="0" applyFill="0" applyAlignment="0" applyProtection="0"/>
    <xf numFmtId="0" fontId="22" fillId="8" borderId="0" applyNumberFormat="0" applyBorder="0" applyProtection="0">
      <alignment horizontal="left"/>
    </xf>
    <xf numFmtId="0" fontId="22" fillId="8" borderId="0" applyNumberFormat="0" applyBorder="0" applyProtection="0">
      <alignment horizontal="left"/>
    </xf>
    <xf numFmtId="0" fontId="22" fillId="8" borderId="0" applyNumberFormat="0" applyBorder="0" applyProtection="0">
      <alignment horizontal="left"/>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8" fillId="5" borderId="0" applyNumberFormat="0" applyFont="0" applyAlignment="0"/>
    <xf numFmtId="0" fontId="8" fillId="4" borderId="0" applyNumberFormat="0" applyFont="0" applyFill="0" applyBorder="0" applyAlignment="0" applyProtection="0">
      <alignment horizontal="left" indent="1"/>
    </xf>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02" fillId="2"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02" fillId="2"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02" fillId="2" borderId="0" applyNumberFormat="0" applyFont="0" applyFill="0" applyBorder="0" applyAlignment="0" applyProtection="0"/>
    <xf numFmtId="0" fontId="120" fillId="0" borderId="0" applyNumberFormat="0" applyFont="0" applyFill="0" applyBorder="0" applyAlignment="0" applyProtection="0">
      <alignment vertical="top"/>
    </xf>
    <xf numFmtId="0" fontId="118" fillId="0" borderId="0" applyNumberFormat="0" applyFill="0" applyBorder="0" applyAlignment="0" applyProtection="0">
      <alignment horizontal="left" indent="1"/>
    </xf>
    <xf numFmtId="0" fontId="14" fillId="0" borderId="25" applyNumberFormat="0" applyFont="0" applyFill="0" applyAlignment="0" applyProtection="0"/>
    <xf numFmtId="0" fontId="14" fillId="0" borderId="25" applyNumberFormat="0" applyFont="0" applyFill="0" applyAlignment="0" applyProtection="0"/>
    <xf numFmtId="0" fontId="14" fillId="0" borderId="25" applyNumberFormat="0" applyFont="0" applyFill="0" applyAlignment="0" applyProtection="0"/>
    <xf numFmtId="0" fontId="102" fillId="2" borderId="0"/>
    <xf numFmtId="224" fontId="103" fillId="0" borderId="2" applyNumberFormat="0" applyFill="0" applyBorder="0">
      <protection locked="0"/>
    </xf>
    <xf numFmtId="224" fontId="103" fillId="0" borderId="2" applyNumberFormat="0" applyFill="0" applyBorder="0">
      <protection locked="0"/>
    </xf>
    <xf numFmtId="224" fontId="103" fillId="0" borderId="2" applyNumberFormat="0" applyFill="0" applyBorder="0">
      <protection locked="0"/>
    </xf>
    <xf numFmtId="0" fontId="8" fillId="0" borderId="26">
      <alignment vertical="center"/>
    </xf>
    <xf numFmtId="0" fontId="8" fillId="0" borderId="26">
      <alignment vertical="center"/>
    </xf>
    <xf numFmtId="4" fontId="265" fillId="11" borderId="60" applyNumberFormat="0" applyProtection="0">
      <alignment vertical="center"/>
    </xf>
    <xf numFmtId="4" fontId="266" fillId="11" borderId="60" applyNumberFormat="0" applyProtection="0">
      <alignment vertical="center"/>
    </xf>
    <xf numFmtId="4" fontId="265" fillId="11" borderId="60" applyNumberFormat="0" applyProtection="0">
      <alignment horizontal="left" vertical="center" indent="1"/>
    </xf>
    <xf numFmtId="4" fontId="265" fillId="11" borderId="60" applyNumberFormat="0" applyProtection="0">
      <alignment horizontal="left" vertical="center" indent="1"/>
    </xf>
    <xf numFmtId="0" fontId="8" fillId="94" borderId="60" applyNumberFormat="0" applyProtection="0">
      <alignment horizontal="left" vertical="center" indent="1"/>
    </xf>
    <xf numFmtId="4" fontId="265" fillId="95" borderId="60" applyNumberFormat="0" applyProtection="0">
      <alignment horizontal="right" vertical="center"/>
    </xf>
    <xf numFmtId="4" fontId="265" fillId="96" borderId="60" applyNumberFormat="0" applyProtection="0">
      <alignment horizontal="right" vertical="center"/>
    </xf>
    <xf numFmtId="4" fontId="265" fillId="97" borderId="60" applyNumberFormat="0" applyProtection="0">
      <alignment horizontal="right" vertical="center"/>
    </xf>
    <xf numFmtId="4" fontId="265" fillId="91" borderId="60" applyNumberFormat="0" applyProtection="0">
      <alignment horizontal="right" vertical="center"/>
    </xf>
    <xf numFmtId="4" fontId="265" fillId="98" borderId="60" applyNumberFormat="0" applyProtection="0">
      <alignment horizontal="right" vertical="center"/>
    </xf>
    <xf numFmtId="4" fontId="265" fillId="99" borderId="60" applyNumberFormat="0" applyProtection="0">
      <alignment horizontal="right" vertical="center"/>
    </xf>
    <xf numFmtId="4" fontId="265" fillId="100" borderId="60" applyNumberFormat="0" applyProtection="0">
      <alignment horizontal="right" vertical="center"/>
    </xf>
    <xf numFmtId="4" fontId="265" fillId="101" borderId="60" applyNumberFormat="0" applyProtection="0">
      <alignment horizontal="right" vertical="center"/>
    </xf>
    <xf numFmtId="4" fontId="265" fillId="20" borderId="60" applyNumberFormat="0" applyProtection="0">
      <alignment horizontal="right" vertical="center"/>
    </xf>
    <xf numFmtId="4" fontId="267" fillId="102" borderId="60" applyNumberFormat="0" applyProtection="0">
      <alignment horizontal="left" vertical="center" indent="1"/>
    </xf>
    <xf numFmtId="4" fontId="265" fillId="103" borderId="74" applyNumberFormat="0" applyProtection="0">
      <alignment horizontal="left" vertical="center" indent="1"/>
    </xf>
    <xf numFmtId="4" fontId="268" fillId="27" borderId="0" applyNumberFormat="0" applyProtection="0">
      <alignment horizontal="left" vertical="center" indent="1"/>
    </xf>
    <xf numFmtId="0" fontId="8" fillId="94" borderId="60" applyNumberFormat="0" applyProtection="0">
      <alignment horizontal="left" vertical="center" indent="1"/>
    </xf>
    <xf numFmtId="4" fontId="265" fillId="103" borderId="60" applyNumberFormat="0" applyProtection="0">
      <alignment horizontal="left" vertical="center" indent="1"/>
    </xf>
    <xf numFmtId="4" fontId="265" fillId="104" borderId="60" applyNumberFormat="0" applyProtection="0">
      <alignment horizontal="left" vertical="center" indent="1"/>
    </xf>
    <xf numFmtId="0" fontId="8" fillId="104" borderId="60" applyNumberFormat="0" applyProtection="0">
      <alignment horizontal="left" vertical="center" indent="1"/>
    </xf>
    <xf numFmtId="0" fontId="8" fillId="104" borderId="60" applyNumberFormat="0" applyProtection="0">
      <alignment horizontal="left" vertical="center" indent="1"/>
    </xf>
    <xf numFmtId="0" fontId="8" fillId="105" borderId="60" applyNumberFormat="0" applyProtection="0">
      <alignment horizontal="left" vertical="center" indent="1"/>
    </xf>
    <xf numFmtId="0" fontId="8" fillId="105" borderId="60" applyNumberFormat="0" applyProtection="0">
      <alignment horizontal="left" vertical="center" indent="1"/>
    </xf>
    <xf numFmtId="0" fontId="8" fillId="13" borderId="60" applyNumberFormat="0" applyProtection="0">
      <alignment horizontal="left" vertical="center" indent="1"/>
    </xf>
    <xf numFmtId="0" fontId="8" fillId="13" borderId="60" applyNumberFormat="0" applyProtection="0">
      <alignment horizontal="left" vertical="center" indent="1"/>
    </xf>
    <xf numFmtId="0" fontId="8" fillId="94" borderId="60" applyNumberFormat="0" applyProtection="0">
      <alignment horizontal="left" vertical="center" indent="1"/>
    </xf>
    <xf numFmtId="0" fontId="8" fillId="94" borderId="60" applyNumberFormat="0" applyProtection="0">
      <alignment horizontal="left" vertical="center" indent="1"/>
    </xf>
    <xf numFmtId="4" fontId="265" fillId="4" borderId="60" applyNumberFormat="0" applyProtection="0">
      <alignment vertical="center"/>
    </xf>
    <xf numFmtId="4" fontId="266" fillId="4" borderId="60" applyNumberFormat="0" applyProtection="0">
      <alignment vertical="center"/>
    </xf>
    <xf numFmtId="4" fontId="265" fillId="4" borderId="60" applyNumberFormat="0" applyProtection="0">
      <alignment horizontal="left" vertical="center" indent="1"/>
    </xf>
    <xf numFmtId="4" fontId="265" fillId="4" borderId="60" applyNumberFormat="0" applyProtection="0">
      <alignment horizontal="left" vertical="center" indent="1"/>
    </xf>
    <xf numFmtId="4" fontId="265" fillId="103" borderId="60" applyNumberFormat="0" applyProtection="0">
      <alignment horizontal="right" vertical="center"/>
    </xf>
    <xf numFmtId="4" fontId="266" fillId="103" borderId="60" applyNumberFormat="0" applyProtection="0">
      <alignment horizontal="right" vertical="center"/>
    </xf>
    <xf numFmtId="0" fontId="8" fillId="94" borderId="60" applyNumberFormat="0" applyProtection="0">
      <alignment horizontal="left" vertical="center" indent="1"/>
    </xf>
    <xf numFmtId="0" fontId="8" fillId="94" borderId="60" applyNumberFormat="0" applyProtection="0">
      <alignment horizontal="left" vertical="center" indent="1"/>
    </xf>
    <xf numFmtId="0" fontId="269" fillId="0" borderId="0"/>
    <xf numFmtId="4" fontId="40" fillId="103" borderId="60" applyNumberFormat="0" applyProtection="0">
      <alignment horizontal="right" vertical="center"/>
    </xf>
    <xf numFmtId="306" fontId="19" fillId="0" borderId="0" applyFill="0" applyBorder="0">
      <alignment horizontal="right"/>
      <protection hidden="1"/>
    </xf>
    <xf numFmtId="306" fontId="19" fillId="0" borderId="0" applyFill="0" applyBorder="0">
      <alignment horizontal="right"/>
      <protection hidden="1"/>
    </xf>
    <xf numFmtId="0" fontId="19" fillId="0" borderId="0" applyFill="0" applyBorder="0">
      <alignment horizontal="right"/>
      <protection hidden="1"/>
    </xf>
    <xf numFmtId="306" fontId="19" fillId="0" borderId="0" applyFill="0" applyBorder="0">
      <alignment horizontal="right"/>
      <protection hidden="1"/>
    </xf>
    <xf numFmtId="204" fontId="270" fillId="0" borderId="0">
      <alignment horizontal="left"/>
    </xf>
    <xf numFmtId="0" fontId="104" fillId="0" borderId="0" applyNumberFormat="0" applyFill="0" applyBorder="0" applyProtection="0">
      <alignment horizontal="left" vertical="center"/>
    </xf>
    <xf numFmtId="0" fontId="104" fillId="0" borderId="0" applyNumberFormat="0" applyFill="0" applyBorder="0" applyProtection="0">
      <alignment horizontal="left" vertical="center"/>
    </xf>
    <xf numFmtId="0" fontId="104" fillId="0" borderId="0" applyNumberFormat="0" applyFill="0" applyBorder="0" applyProtection="0">
      <alignment horizontal="left" vertical="center"/>
    </xf>
    <xf numFmtId="0" fontId="20" fillId="10" borderId="4">
      <alignment horizontal="center" vertical="center" wrapText="1"/>
      <protection hidden="1"/>
    </xf>
    <xf numFmtId="0" fontId="20" fillId="10" borderId="4">
      <alignment horizontal="center" vertical="center" wrapText="1"/>
      <protection hidden="1"/>
    </xf>
    <xf numFmtId="335" fontId="8" fillId="0" borderId="0" applyFont="0" applyFill="0" applyBorder="0" applyAlignment="0" applyProtection="0"/>
    <xf numFmtId="40" fontId="9" fillId="0" borderId="0" applyFont="0" applyFill="0" applyBorder="0" applyAlignment="0" applyProtection="0"/>
    <xf numFmtId="216" fontId="50" fillId="0" borderId="0" applyFill="0" applyBorder="0" applyAlignment="0" applyProtection="0">
      <protection locked="0"/>
    </xf>
    <xf numFmtId="40" fontId="14" fillId="0" borderId="0" applyFont="0" applyFill="0" applyBorder="0" applyAlignment="0" applyProtection="0"/>
    <xf numFmtId="40" fontId="14" fillId="0" borderId="0" applyFont="0" applyFill="0" applyBorder="0" applyAlignment="0" applyProtection="0"/>
    <xf numFmtId="40" fontId="14" fillId="0" borderId="0" applyFont="0" applyFill="0" applyBorder="0" applyAlignment="0" applyProtection="0"/>
    <xf numFmtId="252" fontId="14" fillId="0" borderId="0" applyFont="0" applyFill="0" applyBorder="0" applyAlignment="0" applyProtection="0"/>
    <xf numFmtId="252" fontId="14" fillId="0" borderId="0" applyFont="0" applyFill="0" applyBorder="0" applyAlignment="0" applyProtection="0"/>
    <xf numFmtId="252" fontId="14" fillId="0" borderId="0" applyFont="0" applyFill="0" applyBorder="0" applyAlignment="0" applyProtection="0"/>
    <xf numFmtId="204" fontId="8" fillId="0" borderId="0">
      <alignment horizontal="left"/>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45" fillId="0" borderId="0" applyNumberFormat="0" applyFill="0" applyBorder="0" applyAlignment="0" applyProtection="0"/>
    <xf numFmtId="0" fontId="27" fillId="0" borderId="0">
      <alignment vertical="top"/>
    </xf>
    <xf numFmtId="0" fontId="8" fillId="0" borderId="0"/>
    <xf numFmtId="0" fontId="8" fillId="0" borderId="0"/>
    <xf numFmtId="0" fontId="105" fillId="0" borderId="0" applyNumberFormat="0" applyFill="0" applyBorder="0" applyProtection="0">
      <alignment horizontal="left" vertical="center"/>
    </xf>
    <xf numFmtId="0" fontId="105" fillId="0" borderId="0" applyNumberFormat="0" applyFill="0" applyBorder="0" applyProtection="0">
      <alignment horizontal="left" vertical="center"/>
    </xf>
    <xf numFmtId="3" fontId="8" fillId="0" borderId="0"/>
    <xf numFmtId="3" fontId="8" fillId="0" borderId="0"/>
    <xf numFmtId="3" fontId="271" fillId="0" borderId="0"/>
    <xf numFmtId="3" fontId="232" fillId="0" borderId="33"/>
    <xf numFmtId="336" fontId="29" fillId="0" borderId="35"/>
    <xf numFmtId="3" fontId="8" fillId="0" borderId="33"/>
    <xf numFmtId="0" fontId="272" fillId="14" borderId="75">
      <alignment horizontal="right" wrapText="1"/>
    </xf>
    <xf numFmtId="0" fontId="272" fillId="14" borderId="75"/>
    <xf numFmtId="0" fontId="272" fillId="14" borderId="0">
      <alignment horizontal="left"/>
    </xf>
    <xf numFmtId="168" fontId="273" fillId="14" borderId="0" applyNumberFormat="0">
      <alignment horizontal="right"/>
    </xf>
    <xf numFmtId="168" fontId="272" fillId="14" borderId="76" applyNumberFormat="0">
      <alignment horizontal="right"/>
    </xf>
    <xf numFmtId="168" fontId="272" fillId="14" borderId="77" applyNumberFormat="0">
      <alignment horizontal="right"/>
    </xf>
    <xf numFmtId="0" fontId="273" fillId="14" borderId="0">
      <alignment horizontal="left" wrapText="1"/>
    </xf>
    <xf numFmtId="0" fontId="272" fillId="14" borderId="0">
      <alignment horizontal="left" wrapText="1"/>
    </xf>
    <xf numFmtId="0" fontId="272" fillId="14" borderId="76">
      <alignment horizontal="left"/>
    </xf>
    <xf numFmtId="0" fontId="272" fillId="14" borderId="77">
      <alignment horizontal="left"/>
    </xf>
    <xf numFmtId="0" fontId="50" fillId="0" borderId="0"/>
    <xf numFmtId="0" fontId="50" fillId="0" borderId="0"/>
    <xf numFmtId="0" fontId="8" fillId="0" borderId="0" applyBorder="0" applyProtection="0">
      <alignment vertical="center"/>
    </xf>
    <xf numFmtId="0" fontId="8" fillId="0" borderId="0" applyBorder="0" applyProtection="0">
      <alignment vertical="center"/>
    </xf>
    <xf numFmtId="0" fontId="8" fillId="0" borderId="0">
      <alignment horizontal="left"/>
    </xf>
    <xf numFmtId="0" fontId="21" fillId="0" borderId="0" applyBorder="0" applyProtection="0">
      <alignment vertical="center"/>
    </xf>
    <xf numFmtId="0" fontId="8" fillId="26" borderId="0" applyBorder="0" applyProtection="0">
      <alignment horizontal="centerContinuous" vertical="center"/>
    </xf>
    <xf numFmtId="0" fontId="8" fillId="26" borderId="0" applyBorder="0" applyProtection="0">
      <alignment horizontal="centerContinuous" vertical="center"/>
    </xf>
    <xf numFmtId="0" fontId="21" fillId="26" borderId="0" applyBorder="0" applyProtection="0">
      <alignment horizontal="centerContinuous" vertical="center"/>
    </xf>
    <xf numFmtId="0" fontId="8" fillId="6" borderId="7" applyBorder="0" applyProtection="0">
      <alignment horizontal="centerContinuous" vertical="center"/>
    </xf>
    <xf numFmtId="0" fontId="8" fillId="6" borderId="7" applyBorder="0" applyProtection="0">
      <alignment horizontal="centerContinuous" vertical="center"/>
    </xf>
    <xf numFmtId="0" fontId="21" fillId="6" borderId="7" applyBorder="0" applyProtection="0">
      <alignment horizontal="centerContinuous" vertical="center"/>
    </xf>
    <xf numFmtId="0" fontId="8" fillId="0" borderId="0">
      <alignment horizontal="left"/>
    </xf>
    <xf numFmtId="0" fontId="8" fillId="0" borderId="0">
      <alignment horizontal="left"/>
    </xf>
    <xf numFmtId="0" fontId="8" fillId="0" borderId="0"/>
    <xf numFmtId="0" fontId="8" fillId="0" borderId="0"/>
    <xf numFmtId="0" fontId="8" fillId="0" borderId="0"/>
    <xf numFmtId="0" fontId="8" fillId="0" borderId="0" applyFill="0" applyBorder="0" applyProtection="0">
      <alignment horizontal="left"/>
    </xf>
    <xf numFmtId="0" fontId="8" fillId="0" borderId="0" applyFill="0" applyBorder="0" applyProtection="0">
      <alignment horizontal="left"/>
    </xf>
    <xf numFmtId="0" fontId="106" fillId="0" borderId="0">
      <alignment horizontal="centerContinuous"/>
    </xf>
    <xf numFmtId="0" fontId="21" fillId="0" borderId="0" applyFill="0" applyBorder="0" applyProtection="0">
      <alignment horizontal="left"/>
    </xf>
    <xf numFmtId="0" fontId="8" fillId="0" borderId="2" applyFill="0" applyBorder="0" applyProtection="0">
      <alignment horizontal="left" vertical="top"/>
    </xf>
    <xf numFmtId="0" fontId="8" fillId="0" borderId="2" applyFill="0" applyBorder="0" applyProtection="0">
      <alignment horizontal="left" vertical="top"/>
    </xf>
    <xf numFmtId="0" fontId="8" fillId="0" borderId="0"/>
    <xf numFmtId="0" fontId="183" fillId="0" borderId="2" applyFill="0" applyBorder="0" applyProtection="0">
      <alignment horizontal="left" vertical="top"/>
    </xf>
    <xf numFmtId="0" fontId="8" fillId="2" borderId="29" applyNumberFormat="0" applyAlignment="0" applyProtection="0">
      <alignment vertical="center"/>
    </xf>
    <xf numFmtId="0" fontId="8" fillId="2" borderId="29" applyNumberFormat="0" applyAlignment="0" applyProtection="0">
      <alignment vertical="center"/>
    </xf>
    <xf numFmtId="0" fontId="8" fillId="2" borderId="29" applyNumberFormat="0" applyAlignment="0" applyProtection="0">
      <alignment vertical="center"/>
    </xf>
    <xf numFmtId="0" fontId="50" fillId="0" borderId="0"/>
    <xf numFmtId="0" fontId="50" fillId="0" borderId="0"/>
    <xf numFmtId="0" fontId="106" fillId="0" borderId="0">
      <alignment horizontal="centerContinuous"/>
    </xf>
    <xf numFmtId="0" fontId="106" fillId="0" borderId="0">
      <alignment horizontal="centerContinuous"/>
    </xf>
    <xf numFmtId="0" fontId="106" fillId="0" borderId="0">
      <alignment horizontal="centerContinuous"/>
    </xf>
    <xf numFmtId="0" fontId="8" fillId="20" borderId="0" applyNumberFormat="0" applyFon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3" fontId="8" fillId="0" borderId="0" applyFill="0" applyBorder="0" applyAlignment="0" applyProtection="0">
      <alignment horizontal="right"/>
    </xf>
    <xf numFmtId="1" fontId="64" fillId="0" borderId="30" applyFill="0" applyBorder="0" applyProtection="0">
      <alignment horizontal="right"/>
    </xf>
    <xf numFmtId="1" fontId="64" fillId="0" borderId="30" applyFill="0" applyBorder="0" applyProtection="0">
      <alignment horizontal="right"/>
    </xf>
    <xf numFmtId="0" fontId="14" fillId="0" borderId="0" applyNumberFormat="0" applyFill="0" applyBorder="0" applyAlignment="0" applyProtection="0"/>
    <xf numFmtId="254" fontId="8" fillId="0" borderId="0"/>
    <xf numFmtId="254" fontId="8" fillId="0" borderId="0"/>
    <xf numFmtId="254" fontId="8" fillId="0" borderId="0"/>
    <xf numFmtId="254" fontId="8" fillId="0" borderId="0"/>
    <xf numFmtId="0" fontId="8" fillId="0" borderId="7" applyFill="0" applyAlignment="0" applyProtection="0"/>
    <xf numFmtId="0" fontId="8" fillId="0" borderId="7" applyFill="0" applyAlignment="0" applyProtection="0"/>
    <xf numFmtId="0" fontId="8" fillId="0" borderId="7" applyFill="0" applyAlignment="0" applyProtection="0"/>
    <xf numFmtId="0" fontId="8" fillId="0" borderId="7" applyFill="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2" fillId="8" borderId="3" applyNumberFormat="0" applyProtection="0">
      <alignment horizontal="left" vertical="center"/>
    </xf>
    <xf numFmtId="0" fontId="22" fillId="8" borderId="3" applyNumberFormat="0" applyProtection="0">
      <alignment horizontal="left" vertical="center"/>
    </xf>
    <xf numFmtId="0" fontId="22" fillId="8" borderId="3" applyNumberFormat="0" applyProtection="0">
      <alignment horizontal="left" vertical="center"/>
    </xf>
    <xf numFmtId="0" fontId="64" fillId="0" borderId="0" applyFill="0" applyBorder="0" applyProtection="0"/>
    <xf numFmtId="0" fontId="64" fillId="0" borderId="0" applyFill="0" applyBorder="0" applyProtection="0"/>
    <xf numFmtId="0" fontId="8" fillId="0" borderId="31"/>
    <xf numFmtId="231" fontId="107" fillId="0" borderId="32"/>
    <xf numFmtId="231" fontId="98" fillId="0" borderId="0" applyNumberFormat="0" applyFill="0" applyBorder="0" applyAlignment="0" applyProtection="0"/>
    <xf numFmtId="231" fontId="98" fillId="0" borderId="0" applyNumberFormat="0" applyFill="0" applyBorder="0" applyAlignment="0" applyProtection="0"/>
    <xf numFmtId="0" fontId="9" fillId="0" borderId="0" applyBorder="0"/>
    <xf numFmtId="0" fontId="9" fillId="0" borderId="0" applyBorder="0"/>
    <xf numFmtId="204" fontId="276" fillId="24" borderId="0" applyFill="0" applyBorder="0" applyAlignment="0" applyProtection="0">
      <alignment horizontal="left"/>
    </xf>
    <xf numFmtId="204" fontId="8" fillId="0" borderId="0" applyFill="0" applyBorder="0" applyAlignment="0" applyProtection="0">
      <alignment horizontal="left"/>
    </xf>
    <xf numFmtId="337" fontId="241" fillId="0" borderId="0">
      <protection locked="0"/>
    </xf>
    <xf numFmtId="337" fontId="241" fillId="0" borderId="0">
      <protection locked="0"/>
    </xf>
    <xf numFmtId="0" fontId="29"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lignment horizontal="left" vertical="center"/>
    </xf>
    <xf numFmtId="0" fontId="34" fillId="14" borderId="0" applyNumberFormat="0" applyAlignment="0" applyProtection="0">
      <alignment horizontal="left" vertical="center" wrapText="1"/>
    </xf>
    <xf numFmtId="178" fontId="108" fillId="0" borderId="7" applyAlignment="0">
      <alignment horizontal="left"/>
      <protection locked="0"/>
    </xf>
    <xf numFmtId="178" fontId="108" fillId="0" borderId="7" applyAlignment="0">
      <alignment horizontal="left"/>
      <protection locked="0"/>
    </xf>
    <xf numFmtId="0" fontId="8" fillId="0" borderId="0"/>
    <xf numFmtId="0" fontId="8" fillId="0" borderId="0"/>
    <xf numFmtId="0" fontId="109" fillId="0" borderId="0"/>
    <xf numFmtId="0" fontId="109" fillId="0" borderId="0"/>
    <xf numFmtId="256" fontId="8" fillId="0" borderId="0" applyNumberFormat="0"/>
    <xf numFmtId="256" fontId="8" fillId="0" borderId="0" applyNumberFormat="0"/>
    <xf numFmtId="164" fontId="9" fillId="0" borderId="0" applyFont="0" applyFill="0" applyBorder="0" applyAlignment="0" applyProtection="0"/>
    <xf numFmtId="0" fontId="132" fillId="0" borderId="0" applyNumberFormat="0" applyFill="0" applyBorder="0" applyAlignment="0" applyProtection="0"/>
    <xf numFmtId="0" fontId="63" fillId="5" borderId="33" applyNumberFormat="0" applyFont="0" applyAlignment="0" applyProtection="0">
      <protection locked="0"/>
    </xf>
    <xf numFmtId="1" fontId="50" fillId="0" borderId="0" applyFont="0" applyFill="0" applyBorder="0" applyAlignment="0" applyProtection="0"/>
    <xf numFmtId="1" fontId="50" fillId="0" borderId="0" applyFont="0" applyFill="0" applyBorder="0" applyAlignment="0" applyProtection="0"/>
    <xf numFmtId="0" fontId="14" fillId="8" borderId="0" applyNumberFormat="0" applyBorder="0" applyProtection="0">
      <alignment horizontal="left"/>
    </xf>
    <xf numFmtId="0" fontId="14" fillId="8" borderId="0" applyNumberFormat="0" applyBorder="0" applyProtection="0">
      <alignment horizontal="left"/>
    </xf>
    <xf numFmtId="0" fontId="14" fillId="8" borderId="0" applyNumberFormat="0" applyBorder="0" applyProtection="0">
      <alignment horizontal="left"/>
    </xf>
    <xf numFmtId="1" fontId="8" fillId="89" borderId="0"/>
    <xf numFmtId="0" fontId="8" fillId="0" borderId="0">
      <alignment horizontal="right"/>
    </xf>
    <xf numFmtId="0" fontId="8" fillId="0" borderId="0"/>
    <xf numFmtId="0" fontId="277" fillId="0" borderId="0"/>
    <xf numFmtId="0" fontId="278" fillId="0" borderId="0" applyNumberFormat="0" applyFill="0" applyBorder="0" applyAlignment="0" applyProtection="0"/>
  </cellStyleXfs>
  <cellXfs count="623">
    <xf numFmtId="0" fontId="0" fillId="0" borderId="0" xfId="0"/>
    <xf numFmtId="0" fontId="280" fillId="5" borderId="0" xfId="2" applyFont="1" applyFill="1"/>
    <xf numFmtId="0" fontId="280" fillId="5" borderId="0" xfId="2" applyFont="1" applyFill="1" applyAlignment="1">
      <alignment horizontal="center"/>
    </xf>
    <xf numFmtId="0" fontId="282" fillId="5" borderId="0" xfId="2" applyFont="1" applyFill="1" applyAlignment="1">
      <alignment horizontal="center"/>
    </xf>
    <xf numFmtId="0" fontId="280" fillId="5" borderId="0" xfId="2" applyFont="1" applyFill="1" applyAlignment="1">
      <alignment horizontal="right"/>
    </xf>
    <xf numFmtId="0" fontId="280" fillId="0" borderId="0" xfId="2" applyFont="1"/>
    <xf numFmtId="176" fontId="280" fillId="5" borderId="0" xfId="2" applyNumberFormat="1" applyFont="1" applyFill="1" applyAlignment="1">
      <alignment horizontal="right"/>
    </xf>
    <xf numFmtId="9" fontId="280" fillId="5" borderId="0" xfId="284" applyFont="1" applyFill="1"/>
    <xf numFmtId="0" fontId="280" fillId="5" borderId="0" xfId="2" quotePrefix="1" applyFont="1" applyFill="1"/>
    <xf numFmtId="0" fontId="280" fillId="106" borderId="0" xfId="2" applyFont="1" applyFill="1"/>
    <xf numFmtId="9" fontId="280" fillId="0" borderId="0" xfId="2" applyNumberFormat="1" applyFont="1"/>
    <xf numFmtId="9" fontId="280" fillId="5" borderId="0" xfId="2" applyNumberFormat="1" applyFont="1" applyFill="1"/>
    <xf numFmtId="176" fontId="280" fillId="5" borderId="0" xfId="67" applyNumberFormat="1" applyFont="1" applyFill="1" applyBorder="1" applyAlignment="1">
      <alignment horizontal="right"/>
    </xf>
    <xf numFmtId="176" fontId="280" fillId="5" borderId="0" xfId="284" applyNumberFormat="1" applyFont="1" applyFill="1" applyBorder="1" applyAlignment="1">
      <alignment horizontal="right"/>
    </xf>
    <xf numFmtId="176" fontId="280" fillId="5" borderId="0" xfId="284" applyNumberFormat="1" applyFont="1" applyFill="1" applyAlignment="1">
      <alignment horizontal="right"/>
    </xf>
    <xf numFmtId="175" fontId="280" fillId="5" borderId="0" xfId="67" applyNumberFormat="1" applyFont="1" applyFill="1" applyBorder="1"/>
    <xf numFmtId="176" fontId="280" fillId="5" borderId="0" xfId="284" applyNumberFormat="1" applyFont="1" applyFill="1" applyBorder="1"/>
    <xf numFmtId="176" fontId="280" fillId="0" borderId="0" xfId="67" applyNumberFormat="1" applyFont="1" applyFill="1" applyBorder="1" applyAlignment="1">
      <alignment horizontal="right"/>
    </xf>
    <xf numFmtId="176" fontId="280" fillId="0" borderId="0" xfId="284" applyNumberFormat="1" applyFont="1" applyFill="1" applyBorder="1" applyAlignment="1">
      <alignment horizontal="right"/>
    </xf>
    <xf numFmtId="2" fontId="280" fillId="5" borderId="0" xfId="2" applyNumberFormat="1" applyFont="1" applyFill="1"/>
    <xf numFmtId="2" fontId="280" fillId="106" borderId="0" xfId="2" applyNumberFormat="1" applyFont="1" applyFill="1"/>
    <xf numFmtId="177" fontId="280" fillId="0" borderId="0" xfId="2" applyNumberFormat="1" applyFont="1"/>
    <xf numFmtId="177" fontId="280" fillId="5" borderId="0" xfId="2" applyNumberFormat="1" applyFont="1" applyFill="1"/>
    <xf numFmtId="175" fontId="280" fillId="106" borderId="0" xfId="67" applyNumberFormat="1" applyFont="1" applyFill="1" applyBorder="1"/>
    <xf numFmtId="176" fontId="280" fillId="106" borderId="0" xfId="284" applyNumberFormat="1" applyFont="1" applyFill="1" applyBorder="1"/>
    <xf numFmtId="177" fontId="280" fillId="29" borderId="0" xfId="2" applyNumberFormat="1" applyFont="1" applyFill="1" applyAlignment="1">
      <alignment horizontal="center"/>
    </xf>
    <xf numFmtId="176" fontId="280" fillId="29" borderId="0" xfId="2" applyNumberFormat="1" applyFont="1" applyFill="1" applyAlignment="1">
      <alignment horizontal="right"/>
    </xf>
    <xf numFmtId="175" fontId="280" fillId="106" borderId="0" xfId="67" applyNumberFormat="1" applyFont="1" applyFill="1" applyBorder="1" applyAlignment="1">
      <alignment horizontal="right"/>
    </xf>
    <xf numFmtId="176" fontId="280" fillId="106" borderId="0" xfId="284" applyNumberFormat="1" applyFont="1" applyFill="1" applyBorder="1" applyAlignment="1">
      <alignment horizontal="right"/>
    </xf>
    <xf numFmtId="2" fontId="280" fillId="0" borderId="0" xfId="2" applyNumberFormat="1" applyFont="1" applyAlignment="1">
      <alignment horizontal="center"/>
    </xf>
    <xf numFmtId="177" fontId="280" fillId="0" borderId="0" xfId="2" applyNumberFormat="1" applyFont="1" applyAlignment="1">
      <alignment horizontal="center"/>
    </xf>
    <xf numFmtId="176" fontId="280" fillId="0" borderId="0" xfId="2" applyNumberFormat="1" applyFont="1" applyAlignment="1">
      <alignment horizontal="right"/>
    </xf>
    <xf numFmtId="175" fontId="280" fillId="5" borderId="0" xfId="67" applyNumberFormat="1" applyFont="1" applyFill="1" applyBorder="1" applyAlignment="1">
      <alignment horizontal="right"/>
    </xf>
    <xf numFmtId="0" fontId="280" fillId="106" borderId="0" xfId="2" applyFont="1" applyFill="1" applyAlignment="1">
      <alignment horizontal="right"/>
    </xf>
    <xf numFmtId="176" fontId="280" fillId="106" borderId="0" xfId="2" applyNumberFormat="1" applyFont="1" applyFill="1" applyAlignment="1">
      <alignment horizontal="right"/>
    </xf>
    <xf numFmtId="177" fontId="280" fillId="0" borderId="0" xfId="3" applyNumberFormat="1" applyFont="1" applyAlignment="1">
      <alignment horizontal="center"/>
    </xf>
    <xf numFmtId="10" fontId="280" fillId="5" borderId="0" xfId="284" applyNumberFormat="1" applyFont="1" applyFill="1"/>
    <xf numFmtId="176" fontId="280" fillId="106" borderId="0" xfId="67" applyNumberFormat="1" applyFont="1" applyFill="1" applyBorder="1" applyAlignment="1">
      <alignment horizontal="right"/>
    </xf>
    <xf numFmtId="0" fontId="280" fillId="5" borderId="0" xfId="2" applyFont="1" applyFill="1" applyAlignment="1">
      <alignment vertical="center"/>
    </xf>
    <xf numFmtId="0" fontId="280" fillId="0" borderId="0" xfId="0" applyFont="1"/>
    <xf numFmtId="0" fontId="280" fillId="0" borderId="0" xfId="0" applyFont="1" applyAlignment="1">
      <alignment horizontal="center"/>
    </xf>
    <xf numFmtId="0" fontId="283" fillId="0" borderId="0" xfId="2" applyFont="1"/>
    <xf numFmtId="0" fontId="284" fillId="0" borderId="0" xfId="2" applyFont="1"/>
    <xf numFmtId="0" fontId="283" fillId="0" borderId="0" xfId="2" applyFont="1" applyAlignment="1">
      <alignment horizontal="left" vertical="center"/>
    </xf>
    <xf numFmtId="0" fontId="280" fillId="0" borderId="0" xfId="2" applyFont="1" applyAlignment="1">
      <alignment horizontal="right" vertical="center"/>
    </xf>
    <xf numFmtId="176" fontId="280" fillId="0" borderId="0" xfId="284" applyNumberFormat="1" applyFont="1" applyFill="1" applyAlignment="1">
      <alignment horizontal="right" vertical="center"/>
    </xf>
    <xf numFmtId="0" fontId="280" fillId="0" borderId="0" xfId="2" applyFont="1" applyAlignment="1">
      <alignment vertical="center"/>
    </xf>
    <xf numFmtId="177" fontId="280" fillId="0" borderId="0" xfId="67" applyNumberFormat="1" applyFont="1" applyFill="1" applyAlignment="1">
      <alignment horizontal="right" vertical="center"/>
    </xf>
    <xf numFmtId="0" fontId="280" fillId="0" borderId="0" xfId="2" applyFont="1" applyAlignment="1">
      <alignment horizontal="left" vertical="center"/>
    </xf>
    <xf numFmtId="0" fontId="283" fillId="0" borderId="0" xfId="2" applyFont="1" applyAlignment="1">
      <alignment horizontal="right"/>
    </xf>
    <xf numFmtId="0" fontId="283" fillId="0" borderId="0" xfId="2" applyFont="1" applyAlignment="1">
      <alignment horizontal="right" vertical="center"/>
    </xf>
    <xf numFmtId="0" fontId="283" fillId="0" borderId="30" xfId="2" applyFont="1" applyBorder="1" applyAlignment="1">
      <alignment horizontal="left" vertical="center"/>
    </xf>
    <xf numFmtId="0" fontId="280" fillId="0" borderId="30" xfId="2" applyFont="1" applyBorder="1" applyAlignment="1">
      <alignment horizontal="right" vertical="center"/>
    </xf>
    <xf numFmtId="176" fontId="280" fillId="0" borderId="30" xfId="284" applyNumberFormat="1" applyFont="1" applyFill="1" applyBorder="1" applyAlignment="1">
      <alignment horizontal="right" vertical="center"/>
    </xf>
    <xf numFmtId="177" fontId="283" fillId="0" borderId="30" xfId="67" applyNumberFormat="1" applyFont="1" applyFill="1" applyBorder="1" applyAlignment="1">
      <alignment horizontal="right" vertical="center"/>
    </xf>
    <xf numFmtId="176" fontId="283" fillId="0" borderId="30" xfId="284" applyNumberFormat="1" applyFont="1" applyFill="1" applyBorder="1" applyAlignment="1">
      <alignment horizontal="right" vertical="center"/>
    </xf>
    <xf numFmtId="0" fontId="283" fillId="0" borderId="0" xfId="2" applyFont="1" applyAlignment="1">
      <alignment vertical="center"/>
    </xf>
    <xf numFmtId="0" fontId="280" fillId="0" borderId="30" xfId="2" applyFont="1" applyBorder="1" applyAlignment="1">
      <alignment horizontal="left" vertical="center"/>
    </xf>
    <xf numFmtId="0" fontId="283" fillId="0" borderId="30" xfId="2" applyFont="1" applyBorder="1" applyAlignment="1">
      <alignment horizontal="right" vertical="center"/>
    </xf>
    <xf numFmtId="176" fontId="283" fillId="0" borderId="0" xfId="284" applyNumberFormat="1" applyFont="1" applyFill="1" applyAlignment="1">
      <alignment horizontal="right" vertical="center"/>
    </xf>
    <xf numFmtId="177" fontId="283" fillId="0" borderId="0" xfId="67" applyNumberFormat="1" applyFont="1" applyFill="1" applyAlignment="1">
      <alignment horizontal="right" vertical="center"/>
    </xf>
    <xf numFmtId="176" fontId="283" fillId="0" borderId="0" xfId="284" applyNumberFormat="1" applyFont="1" applyFill="1" applyBorder="1" applyAlignment="1">
      <alignment horizontal="right" vertical="center"/>
    </xf>
    <xf numFmtId="177" fontId="283" fillId="0" borderId="0" xfId="67" applyNumberFormat="1" applyFont="1" applyFill="1" applyBorder="1" applyAlignment="1">
      <alignment horizontal="right" vertical="center"/>
    </xf>
    <xf numFmtId="0" fontId="280" fillId="0" borderId="0" xfId="2" applyFont="1" applyAlignment="1">
      <alignment horizontal="left"/>
    </xf>
    <xf numFmtId="174" fontId="280" fillId="0" borderId="0" xfId="67" applyNumberFormat="1" applyFont="1" applyFill="1" applyBorder="1" applyAlignment="1">
      <alignment horizontal="right"/>
    </xf>
    <xf numFmtId="3" fontId="280" fillId="0" borderId="0" xfId="2" applyNumberFormat="1" applyFont="1"/>
    <xf numFmtId="177" fontId="283" fillId="0" borderId="30" xfId="284" applyNumberFormat="1" applyFont="1" applyFill="1" applyBorder="1" applyAlignment="1">
      <alignment horizontal="right" vertical="center"/>
    </xf>
    <xf numFmtId="0" fontId="283" fillId="0" borderId="30" xfId="2" applyFont="1" applyBorder="1"/>
    <xf numFmtId="176" fontId="280" fillId="0" borderId="0" xfId="284" applyNumberFormat="1" applyFont="1" applyFill="1" applyBorder="1" applyAlignment="1">
      <alignment horizontal="right" vertical="center"/>
    </xf>
    <xf numFmtId="0" fontId="280" fillId="0" borderId="0" xfId="2" applyFont="1" applyAlignment="1">
      <alignment horizontal="right"/>
    </xf>
    <xf numFmtId="176" fontId="283" fillId="0" borderId="0" xfId="67" applyNumberFormat="1" applyFont="1" applyFill="1" applyAlignment="1">
      <alignment horizontal="right" vertical="center"/>
    </xf>
    <xf numFmtId="176" fontId="283" fillId="0" borderId="0" xfId="2" applyNumberFormat="1" applyFont="1" applyAlignment="1">
      <alignment vertical="center"/>
    </xf>
    <xf numFmtId="9" fontId="283" fillId="0" borderId="0" xfId="284" applyFont="1" applyFill="1" applyAlignment="1">
      <alignment horizontal="right" vertical="center"/>
    </xf>
    <xf numFmtId="9" fontId="283" fillId="0" borderId="0" xfId="284" applyFont="1" applyFill="1" applyAlignment="1">
      <alignment vertical="center"/>
    </xf>
    <xf numFmtId="177" fontId="280" fillId="0" borderId="0" xfId="2" applyNumberFormat="1" applyFont="1" applyAlignment="1">
      <alignment vertical="center"/>
    </xf>
    <xf numFmtId="177" fontId="280" fillId="0" borderId="0" xfId="284" applyNumberFormat="1" applyFont="1" applyFill="1" applyAlignment="1">
      <alignment horizontal="right" vertical="center"/>
    </xf>
    <xf numFmtId="2" fontId="280" fillId="0" borderId="0" xfId="2" applyNumberFormat="1" applyFont="1"/>
    <xf numFmtId="177" fontId="280" fillId="0" borderId="0" xfId="0" applyNumberFormat="1" applyFont="1"/>
    <xf numFmtId="177" fontId="280" fillId="0" borderId="0" xfId="2" applyNumberFormat="1" applyFont="1" applyAlignment="1">
      <alignment horizontal="right"/>
    </xf>
    <xf numFmtId="176" fontId="280" fillId="0" borderId="0" xfId="284" applyNumberFormat="1" applyFont="1" applyFill="1"/>
    <xf numFmtId="0" fontId="280" fillId="107" borderId="0" xfId="2" applyFont="1" applyFill="1"/>
    <xf numFmtId="0" fontId="280" fillId="107" borderId="0" xfId="2" applyFont="1" applyFill="1" applyAlignment="1">
      <alignment horizontal="center"/>
    </xf>
    <xf numFmtId="4" fontId="280" fillId="29" borderId="0" xfId="2" applyNumberFormat="1" applyFont="1" applyFill="1" applyAlignment="1">
      <alignment horizontal="center"/>
    </xf>
    <xf numFmtId="0" fontId="280" fillId="0" borderId="0" xfId="2371" applyFont="1" applyFill="1"/>
    <xf numFmtId="3" fontId="280" fillId="0" borderId="0" xfId="2" applyNumberFormat="1" applyFont="1" applyAlignment="1">
      <alignment horizontal="center"/>
    </xf>
    <xf numFmtId="0" fontId="280" fillId="5" borderId="0" xfId="2" applyFont="1" applyFill="1" applyAlignment="1">
      <alignment horizontal="right" wrapText="1"/>
    </xf>
    <xf numFmtId="0" fontId="284" fillId="5" borderId="0" xfId="2" applyFont="1" applyFill="1"/>
    <xf numFmtId="0" fontId="284" fillId="5" borderId="0" xfId="2" applyFont="1" applyFill="1" applyAlignment="1">
      <alignment horizontal="right"/>
    </xf>
    <xf numFmtId="0" fontId="284" fillId="0" borderId="0" xfId="0" applyFont="1"/>
    <xf numFmtId="2" fontId="285" fillId="106" borderId="0" xfId="2" applyNumberFormat="1" applyFont="1" applyFill="1"/>
    <xf numFmtId="2" fontId="284" fillId="106" borderId="0" xfId="2" applyNumberFormat="1" applyFont="1" applyFill="1"/>
    <xf numFmtId="3" fontId="284" fillId="0" borderId="0" xfId="2" applyNumberFormat="1" applyFont="1"/>
    <xf numFmtId="0" fontId="284" fillId="106" borderId="0" xfId="2" applyFont="1" applyFill="1"/>
    <xf numFmtId="0" fontId="284" fillId="106" borderId="0" xfId="2" applyFont="1" applyFill="1" applyAlignment="1">
      <alignment horizontal="right"/>
    </xf>
    <xf numFmtId="2" fontId="284" fillId="0" borderId="0" xfId="2" applyNumberFormat="1" applyFont="1"/>
    <xf numFmtId="176" fontId="284" fillId="5" borderId="0" xfId="284" applyNumberFormat="1" applyFont="1" applyFill="1" applyBorder="1" applyAlignment="1">
      <alignment horizontal="right"/>
    </xf>
    <xf numFmtId="175" fontId="284" fillId="5" borderId="0" xfId="67" applyNumberFormat="1" applyFont="1" applyFill="1" applyBorder="1"/>
    <xf numFmtId="175" fontId="284" fillId="0" borderId="0" xfId="67" applyNumberFormat="1" applyFont="1"/>
    <xf numFmtId="176" fontId="284" fillId="5" borderId="0" xfId="284" applyNumberFormat="1" applyFont="1" applyFill="1" applyBorder="1"/>
    <xf numFmtId="175" fontId="284" fillId="5" borderId="0" xfId="67" applyNumberFormat="1" applyFont="1" applyFill="1" applyBorder="1" applyAlignment="1">
      <alignment horizontal="right"/>
    </xf>
    <xf numFmtId="176" fontId="284" fillId="5" borderId="0" xfId="67" applyNumberFormat="1" applyFont="1" applyFill="1" applyBorder="1" applyAlignment="1">
      <alignment horizontal="right"/>
    </xf>
    <xf numFmtId="176" fontId="284" fillId="106" borderId="0" xfId="284" applyNumberFormat="1" applyFont="1" applyFill="1" applyBorder="1"/>
    <xf numFmtId="175" fontId="284" fillId="0" borderId="0" xfId="67" applyNumberFormat="1" applyFont="1" applyFill="1" applyBorder="1"/>
    <xf numFmtId="0" fontId="284" fillId="5" borderId="0" xfId="2" applyFont="1" applyFill="1" applyAlignment="1">
      <alignment horizontal="left"/>
    </xf>
    <xf numFmtId="175" fontId="284" fillId="5" borderId="0" xfId="67" applyNumberFormat="1" applyFont="1" applyFill="1" applyBorder="1" applyAlignment="1">
      <alignment horizontal="left"/>
    </xf>
    <xf numFmtId="176" fontId="284" fillId="5" borderId="0" xfId="284" applyNumberFormat="1" applyFont="1" applyFill="1" applyBorder="1" applyAlignment="1">
      <alignment horizontal="left"/>
    </xf>
    <xf numFmtId="0" fontId="284" fillId="0" borderId="0" xfId="2" applyFont="1" applyAlignment="1">
      <alignment horizontal="left"/>
    </xf>
    <xf numFmtId="176" fontId="284" fillId="5" borderId="0" xfId="67" applyNumberFormat="1" applyFont="1" applyFill="1" applyBorder="1" applyAlignment="1">
      <alignment horizontal="left"/>
    </xf>
    <xf numFmtId="0" fontId="285" fillId="5" borderId="0" xfId="2" applyFont="1" applyFill="1"/>
    <xf numFmtId="1" fontId="280" fillId="108" borderId="0" xfId="2" applyNumberFormat="1" applyFont="1" applyFill="1" applyAlignment="1">
      <alignment horizontal="center"/>
    </xf>
    <xf numFmtId="177" fontId="280" fillId="108" borderId="0" xfId="2" applyNumberFormat="1" applyFont="1" applyFill="1" applyAlignment="1">
      <alignment horizontal="center"/>
    </xf>
    <xf numFmtId="2" fontId="280" fillId="108" borderId="0" xfId="2" applyNumberFormat="1" applyFont="1" applyFill="1" applyAlignment="1">
      <alignment horizontal="center"/>
    </xf>
    <xf numFmtId="178" fontId="280" fillId="108" borderId="0" xfId="2" applyNumberFormat="1" applyFont="1" applyFill="1" applyAlignment="1">
      <alignment horizontal="center"/>
    </xf>
    <xf numFmtId="0" fontId="283" fillId="5" borderId="30" xfId="2" applyFont="1" applyFill="1" applyBorder="1"/>
    <xf numFmtId="0" fontId="283" fillId="5" borderId="30" xfId="2" applyFont="1" applyFill="1" applyBorder="1" applyAlignment="1">
      <alignment horizontal="center"/>
    </xf>
    <xf numFmtId="0" fontId="283" fillId="5" borderId="30" xfId="2" applyFont="1" applyFill="1" applyBorder="1" applyAlignment="1">
      <alignment horizontal="right" wrapText="1"/>
    </xf>
    <xf numFmtId="178" fontId="280" fillId="108" borderId="0" xfId="3" applyNumberFormat="1" applyFont="1" applyFill="1" applyAlignment="1">
      <alignment horizontal="center"/>
    </xf>
    <xf numFmtId="3" fontId="280" fillId="108" borderId="0" xfId="2" applyNumberFormat="1" applyFont="1" applyFill="1" applyAlignment="1">
      <alignment horizontal="center"/>
    </xf>
    <xf numFmtId="4" fontId="280" fillId="108" borderId="0" xfId="2" applyNumberFormat="1" applyFont="1" applyFill="1" applyAlignment="1">
      <alignment horizontal="center"/>
    </xf>
    <xf numFmtId="177" fontId="280" fillId="108" borderId="0" xfId="3" applyNumberFormat="1" applyFont="1" applyFill="1" applyAlignment="1">
      <alignment horizontal="center"/>
    </xf>
    <xf numFmtId="1" fontId="280" fillId="108" borderId="0" xfId="3" applyNumberFormat="1" applyFont="1" applyFill="1" applyAlignment="1">
      <alignment horizontal="center"/>
    </xf>
    <xf numFmtId="177" fontId="280" fillId="108" borderId="0" xfId="438" applyNumberFormat="1" applyFont="1" applyFill="1" applyAlignment="1">
      <alignment horizontal="center"/>
    </xf>
    <xf numFmtId="177" fontId="280" fillId="108" borderId="0" xfId="2" applyNumberFormat="1" applyFont="1" applyFill="1" applyAlignment="1">
      <alignment vertical="center"/>
    </xf>
    <xf numFmtId="177" fontId="280" fillId="108" borderId="0" xfId="2" applyNumberFormat="1" applyFont="1" applyFill="1"/>
    <xf numFmtId="2" fontId="280" fillId="108" borderId="0" xfId="2" applyNumberFormat="1" applyFont="1" applyFill="1" applyAlignment="1">
      <alignment vertical="center"/>
    </xf>
    <xf numFmtId="2" fontId="280" fillId="108" borderId="0" xfId="2" applyNumberFormat="1" applyFont="1" applyFill="1"/>
    <xf numFmtId="2" fontId="282" fillId="108" borderId="0" xfId="2" applyNumberFormat="1" applyFont="1" applyFill="1" applyAlignment="1">
      <alignment vertical="center"/>
    </xf>
    <xf numFmtId="1" fontId="280" fillId="108" borderId="0" xfId="2" applyNumberFormat="1" applyFont="1" applyFill="1" applyAlignment="1">
      <alignment vertical="center"/>
    </xf>
    <xf numFmtId="0" fontId="286" fillId="107" borderId="0" xfId="2" applyFont="1" applyFill="1"/>
    <xf numFmtId="0" fontId="286" fillId="107" borderId="0" xfId="252" applyFont="1" applyFill="1" applyAlignment="1">
      <alignment vertical="top"/>
    </xf>
    <xf numFmtId="0" fontId="286" fillId="107" borderId="0" xfId="2" applyFont="1" applyFill="1" applyAlignment="1">
      <alignment horizontal="center"/>
    </xf>
    <xf numFmtId="0" fontId="287" fillId="107" borderId="0" xfId="2" applyFont="1" applyFill="1"/>
    <xf numFmtId="0" fontId="287" fillId="107" borderId="0" xfId="252" applyFont="1" applyFill="1" applyAlignment="1">
      <alignment vertical="top"/>
    </xf>
    <xf numFmtId="0" fontId="287" fillId="107" borderId="0" xfId="2" applyFont="1" applyFill="1" applyAlignment="1">
      <alignment horizontal="center"/>
    </xf>
    <xf numFmtId="0" fontId="283" fillId="0" borderId="0" xfId="2" applyFont="1" applyAlignment="1">
      <alignment horizontal="left"/>
    </xf>
    <xf numFmtId="0" fontId="283" fillId="0" borderId="0" xfId="2" applyFont="1" applyAlignment="1">
      <alignment horizontal="left" vertical="top"/>
    </xf>
    <xf numFmtId="0" fontId="283" fillId="0" borderId="0" xfId="2" applyFont="1" applyAlignment="1">
      <alignment vertical="top"/>
    </xf>
    <xf numFmtId="0" fontId="283" fillId="0" borderId="0" xfId="253" applyFont="1" applyAlignment="1">
      <alignment horizontal="right"/>
    </xf>
    <xf numFmtId="176" fontId="280" fillId="0" borderId="0" xfId="284" applyNumberFormat="1" applyFont="1" applyFill="1" applyAlignment="1">
      <alignment vertical="center"/>
    </xf>
    <xf numFmtId="174" fontId="280" fillId="0" borderId="0" xfId="67" applyNumberFormat="1" applyFont="1" applyBorder="1" applyAlignment="1">
      <alignment horizontal="right"/>
    </xf>
    <xf numFmtId="0" fontId="280" fillId="0" borderId="0" xfId="253" applyFont="1"/>
    <xf numFmtId="3" fontId="280" fillId="0" borderId="0" xfId="253" applyNumberFormat="1" applyFont="1"/>
    <xf numFmtId="176" fontId="280" fillId="0" borderId="0" xfId="253" applyNumberFormat="1" applyFont="1"/>
    <xf numFmtId="0" fontId="283" fillId="0" borderId="0" xfId="253" applyFont="1"/>
    <xf numFmtId="174" fontId="280" fillId="0" borderId="0" xfId="67" applyNumberFormat="1" applyFont="1" applyFill="1" applyAlignment="1">
      <alignment vertical="center"/>
    </xf>
    <xf numFmtId="9" fontId="283" fillId="0" borderId="0" xfId="2" applyNumberFormat="1" applyFont="1"/>
    <xf numFmtId="0" fontId="283" fillId="0" borderId="0" xfId="0" applyFont="1"/>
    <xf numFmtId="0" fontId="290" fillId="0" borderId="0" xfId="2" applyFont="1"/>
    <xf numFmtId="0" fontId="284" fillId="107" borderId="0" xfId="2" applyFont="1" applyFill="1"/>
    <xf numFmtId="0" fontId="279" fillId="107" borderId="0" xfId="2" applyFont="1" applyFill="1"/>
    <xf numFmtId="0" fontId="281" fillId="107" borderId="0" xfId="2371" applyFont="1" applyFill="1"/>
    <xf numFmtId="0" fontId="279" fillId="107" borderId="0" xfId="2" applyFont="1" applyFill="1" applyAlignment="1">
      <alignment horizontal="right"/>
    </xf>
    <xf numFmtId="0" fontId="279" fillId="107" borderId="0" xfId="2" applyFont="1" applyFill="1" applyAlignment="1">
      <alignment horizontal="left"/>
    </xf>
    <xf numFmtId="0" fontId="287" fillId="107" borderId="0" xfId="2" applyFont="1" applyFill="1" applyAlignment="1">
      <alignment horizontal="right"/>
    </xf>
    <xf numFmtId="0" fontId="289" fillId="107" borderId="0" xfId="2" applyFont="1" applyFill="1"/>
    <xf numFmtId="0" fontId="286" fillId="107" borderId="0" xfId="252" applyFont="1" applyFill="1"/>
    <xf numFmtId="0" fontId="288" fillId="107" borderId="0" xfId="2" applyFont="1" applyFill="1"/>
    <xf numFmtId="0" fontId="288" fillId="107" borderId="0" xfId="2" applyFont="1" applyFill="1" applyAlignment="1">
      <alignment horizontal="left"/>
    </xf>
    <xf numFmtId="0" fontId="290" fillId="107" borderId="0" xfId="2" applyFont="1" applyFill="1"/>
    <xf numFmtId="0" fontId="287" fillId="107" borderId="0" xfId="2" applyFont="1" applyFill="1" applyAlignment="1">
      <alignment horizontal="right" wrapText="1"/>
    </xf>
    <xf numFmtId="0" fontId="287" fillId="107" borderId="0" xfId="2" applyFont="1" applyFill="1" applyAlignment="1">
      <alignment horizontal="left"/>
    </xf>
    <xf numFmtId="0" fontId="287" fillId="107" borderId="0" xfId="2" applyFont="1" applyFill="1" applyAlignment="1">
      <alignment horizontal="left" vertical="top"/>
    </xf>
    <xf numFmtId="0" fontId="287" fillId="107" borderId="0" xfId="2" applyFont="1" applyFill="1" applyAlignment="1">
      <alignment vertical="top"/>
    </xf>
    <xf numFmtId="0" fontId="287" fillId="107" borderId="0" xfId="253" applyFont="1" applyFill="1" applyAlignment="1">
      <alignment horizontal="right"/>
    </xf>
    <xf numFmtId="0" fontId="283" fillId="109" borderId="30" xfId="2" applyFont="1" applyFill="1" applyBorder="1"/>
    <xf numFmtId="0" fontId="283" fillId="109" borderId="30" xfId="2" applyFont="1" applyFill="1" applyBorder="1" applyAlignment="1">
      <alignment horizontal="right"/>
    </xf>
    <xf numFmtId="0" fontId="283" fillId="109" borderId="30" xfId="2" applyFont="1" applyFill="1" applyBorder="1" applyAlignment="1">
      <alignment horizontal="centerContinuous"/>
    </xf>
    <xf numFmtId="0" fontId="283" fillId="109" borderId="30" xfId="2" applyFont="1" applyFill="1" applyBorder="1" applyAlignment="1">
      <alignment horizontal="left"/>
    </xf>
    <xf numFmtId="0" fontId="291" fillId="0" borderId="0" xfId="2" applyFont="1"/>
    <xf numFmtId="9" fontId="280" fillId="0" borderId="0" xfId="284" applyFont="1" applyFill="1" applyAlignment="1">
      <alignment horizontal="right" vertical="center"/>
    </xf>
    <xf numFmtId="10" fontId="280" fillId="0" borderId="0" xfId="67" applyNumberFormat="1" applyFont="1" applyFill="1" applyAlignment="1">
      <alignment horizontal="right" vertical="center"/>
    </xf>
    <xf numFmtId="176" fontId="280" fillId="0" borderId="0" xfId="0" applyNumberFormat="1" applyFont="1"/>
    <xf numFmtId="0" fontId="295" fillId="107" borderId="0" xfId="2" applyFont="1" applyFill="1"/>
    <xf numFmtId="177" fontId="280" fillId="0" borderId="0" xfId="67" applyNumberFormat="1" applyFont="1" applyFill="1" applyBorder="1" applyAlignment="1">
      <alignment horizontal="right" vertical="center"/>
    </xf>
    <xf numFmtId="3" fontId="283" fillId="0" borderId="0" xfId="253" applyNumberFormat="1" applyFont="1"/>
    <xf numFmtId="9" fontId="280" fillId="0" borderId="0" xfId="284" applyFont="1" applyFill="1"/>
    <xf numFmtId="174" fontId="280" fillId="0" borderId="0" xfId="67" applyNumberFormat="1" applyFont="1" applyFill="1" applyBorder="1" applyAlignment="1">
      <alignment vertical="center"/>
    </xf>
    <xf numFmtId="0" fontId="280" fillId="0" borderId="0" xfId="0" applyFont="1" applyAlignment="1">
      <alignment horizontal="right"/>
    </xf>
    <xf numFmtId="3" fontId="280" fillId="0" borderId="0" xfId="67" applyNumberFormat="1" applyFont="1" applyFill="1" applyBorder="1" applyAlignment="1">
      <alignment horizontal="center"/>
    </xf>
    <xf numFmtId="0" fontId="280" fillId="5" borderId="0" xfId="2" applyFont="1" applyFill="1" applyAlignment="1">
      <alignment horizontal="center" vertical="center"/>
    </xf>
    <xf numFmtId="0" fontId="280" fillId="0" borderId="0" xfId="3" applyFont="1" applyAlignment="1">
      <alignment horizontal="right" vertical="center"/>
    </xf>
    <xf numFmtId="177" fontId="280" fillId="0" borderId="0" xfId="3" applyNumberFormat="1" applyFont="1" applyAlignment="1">
      <alignment horizontal="right" vertical="center"/>
    </xf>
    <xf numFmtId="177" fontId="280" fillId="0" borderId="0" xfId="0" applyNumberFormat="1" applyFont="1" applyAlignment="1">
      <alignment horizontal="right"/>
    </xf>
    <xf numFmtId="177" fontId="280" fillId="0" borderId="0" xfId="2" applyNumberFormat="1" applyFont="1" applyAlignment="1">
      <alignment horizontal="right" vertical="center"/>
    </xf>
    <xf numFmtId="0" fontId="280" fillId="0" borderId="7" xfId="2" applyFont="1" applyBorder="1" applyAlignment="1">
      <alignment horizontal="right" vertical="center"/>
    </xf>
    <xf numFmtId="176" fontId="280" fillId="0" borderId="7" xfId="284" applyNumberFormat="1" applyFont="1" applyFill="1" applyBorder="1" applyAlignment="1">
      <alignment horizontal="right" vertical="center"/>
    </xf>
    <xf numFmtId="178" fontId="280" fillId="0" borderId="0" xfId="67" applyNumberFormat="1" applyFont="1" applyFill="1" applyBorder="1" applyAlignment="1">
      <alignment horizontal="center"/>
    </xf>
    <xf numFmtId="0" fontId="280" fillId="29" borderId="0" xfId="0" applyFont="1" applyFill="1"/>
    <xf numFmtId="178" fontId="280" fillId="0" borderId="0" xfId="67" applyNumberFormat="1" applyFont="1" applyFill="1" applyBorder="1" applyAlignment="1">
      <alignment horizontal="right" vertical="center"/>
    </xf>
    <xf numFmtId="177" fontId="280" fillId="0" borderId="0" xfId="284" applyNumberFormat="1" applyFont="1" applyFill="1" applyBorder="1" applyAlignment="1">
      <alignment horizontal="center" vertical="center"/>
    </xf>
    <xf numFmtId="177" fontId="280" fillId="0" borderId="0" xfId="284" applyNumberFormat="1" applyFont="1" applyFill="1"/>
    <xf numFmtId="177" fontId="280" fillId="0" borderId="0" xfId="284" applyNumberFormat="1" applyFont="1" applyFill="1" applyAlignment="1">
      <alignment horizontal="center" vertical="center"/>
    </xf>
    <xf numFmtId="0" fontId="280" fillId="0" borderId="0" xfId="3" applyFont="1"/>
    <xf numFmtId="0" fontId="296" fillId="107" borderId="0" xfId="2" applyFont="1" applyFill="1"/>
    <xf numFmtId="0" fontId="284" fillId="0" borderId="0" xfId="3" applyFont="1"/>
    <xf numFmtId="0" fontId="283" fillId="0" borderId="0" xfId="0" applyFont="1" applyAlignment="1">
      <alignment horizontal="right"/>
    </xf>
    <xf numFmtId="3" fontId="283" fillId="0" borderId="0" xfId="67" applyNumberFormat="1" applyFont="1" applyFill="1" applyBorder="1" applyAlignment="1">
      <alignment horizontal="center"/>
    </xf>
    <xf numFmtId="0" fontId="280" fillId="0" borderId="0" xfId="3" applyFont="1" applyAlignment="1">
      <alignment horizontal="left" vertical="center"/>
    </xf>
    <xf numFmtId="0" fontId="280" fillId="0" borderId="0" xfId="2" applyFont="1" applyAlignment="1">
      <alignment horizontal="center"/>
    </xf>
    <xf numFmtId="0" fontId="280" fillId="0" borderId="7" xfId="2" applyFont="1" applyBorder="1" applyAlignment="1">
      <alignment horizontal="left" vertical="center"/>
    </xf>
    <xf numFmtId="0" fontId="280" fillId="0" borderId="62" xfId="0" applyFont="1" applyBorder="1"/>
    <xf numFmtId="177" fontId="280" fillId="0" borderId="0" xfId="3" applyNumberFormat="1" applyFont="1" applyAlignment="1">
      <alignment horizontal="left" vertical="center"/>
    </xf>
    <xf numFmtId="0" fontId="297" fillId="107" borderId="0" xfId="2371" applyFont="1" applyFill="1"/>
    <xf numFmtId="0" fontId="286" fillId="107" borderId="0" xfId="2" applyFont="1" applyFill="1" applyAlignment="1">
      <alignment horizontal="left"/>
    </xf>
    <xf numFmtId="292" fontId="280" fillId="0" borderId="0" xfId="67" applyNumberFormat="1" applyFont="1" applyFill="1" applyBorder="1" applyAlignment="1">
      <alignment horizontal="right" vertical="center"/>
    </xf>
    <xf numFmtId="292" fontId="280" fillId="0" borderId="0" xfId="67" applyNumberFormat="1" applyFont="1" applyFill="1" applyAlignment="1">
      <alignment horizontal="right" vertical="center"/>
    </xf>
    <xf numFmtId="292" fontId="280" fillId="0" borderId="7" xfId="67" applyNumberFormat="1" applyFont="1" applyFill="1" applyBorder="1" applyAlignment="1">
      <alignment horizontal="right" vertical="center"/>
    </xf>
    <xf numFmtId="178" fontId="283" fillId="0" borderId="4" xfId="67" applyNumberFormat="1" applyFont="1" applyFill="1" applyBorder="1" applyAlignment="1">
      <alignment horizontal="center" vertical="center"/>
    </xf>
    <xf numFmtId="3" fontId="280" fillId="29" borderId="0" xfId="67" applyNumberFormat="1" applyFont="1" applyFill="1" applyBorder="1" applyAlignment="1">
      <alignment horizontal="center" vertical="center"/>
    </xf>
    <xf numFmtId="177" fontId="283" fillId="0" borderId="0" xfId="67" applyNumberFormat="1" applyFont="1" applyFill="1" applyBorder="1" applyAlignment="1">
      <alignment horizontal="left" vertical="center"/>
    </xf>
    <xf numFmtId="3" fontId="283" fillId="0" borderId="0" xfId="67" applyNumberFormat="1" applyFont="1" applyFill="1" applyBorder="1" applyAlignment="1">
      <alignment horizontal="center" vertical="center"/>
    </xf>
    <xf numFmtId="176" fontId="283" fillId="0" borderId="0" xfId="284" applyNumberFormat="1" applyFont="1" applyFill="1" applyBorder="1" applyAlignment="1">
      <alignment horizontal="center" vertical="center"/>
    </xf>
    <xf numFmtId="0" fontId="283" fillId="0" borderId="0" xfId="2" applyFont="1" applyAlignment="1">
      <alignment horizontal="right" wrapText="1"/>
    </xf>
    <xf numFmtId="177" fontId="280" fillId="0" borderId="0" xfId="67" applyNumberFormat="1" applyFont="1" applyFill="1" applyBorder="1" applyAlignment="1">
      <alignment horizontal="left" vertical="center"/>
    </xf>
    <xf numFmtId="178" fontId="280" fillId="0" borderId="0" xfId="67" applyNumberFormat="1" applyFont="1" applyFill="1" applyBorder="1" applyAlignment="1">
      <alignment horizontal="center" vertical="center"/>
    </xf>
    <xf numFmtId="176" fontId="280" fillId="0" borderId="0" xfId="284" applyNumberFormat="1" applyFont="1" applyFill="1" applyBorder="1" applyAlignment="1">
      <alignment horizontal="center" vertical="center"/>
    </xf>
    <xf numFmtId="3" fontId="280" fillId="0" borderId="0" xfId="67" applyNumberFormat="1" applyFont="1" applyFill="1" applyBorder="1" applyAlignment="1">
      <alignment horizontal="center" vertical="center"/>
    </xf>
    <xf numFmtId="2" fontId="280" fillId="0" borderId="0" xfId="284" applyNumberFormat="1" applyFont="1" applyFill="1" applyBorder="1"/>
    <xf numFmtId="0" fontId="280" fillId="0" borderId="0" xfId="0" applyFont="1" applyAlignment="1">
      <alignment horizontal="left"/>
    </xf>
    <xf numFmtId="0" fontId="280" fillId="0" borderId="78" xfId="0" applyFont="1" applyBorder="1"/>
    <xf numFmtId="0" fontId="283" fillId="0" borderId="62" xfId="0" applyFont="1" applyBorder="1" applyAlignment="1">
      <alignment horizontal="centerContinuous"/>
    </xf>
    <xf numFmtId="0" fontId="297" fillId="107" borderId="0" xfId="2371" applyFont="1" applyFill="1" applyAlignment="1">
      <alignment horizontal="right"/>
    </xf>
    <xf numFmtId="0" fontId="286" fillId="107" borderId="0" xfId="2" applyFont="1" applyFill="1" applyAlignment="1">
      <alignment horizontal="right"/>
    </xf>
    <xf numFmtId="0" fontId="287" fillId="107" borderId="0" xfId="2" applyFont="1" applyFill="1" applyAlignment="1">
      <alignment horizontal="right" vertical="top"/>
    </xf>
    <xf numFmtId="0" fontId="283" fillId="0" borderId="0" xfId="252" applyFont="1" applyAlignment="1">
      <alignment horizontal="right" vertical="top"/>
    </xf>
    <xf numFmtId="0" fontId="283" fillId="0" borderId="62" xfId="0" applyFont="1" applyBorder="1" applyAlignment="1">
      <alignment horizontal="right"/>
    </xf>
    <xf numFmtId="0" fontId="283" fillId="0" borderId="78" xfId="0" applyFont="1" applyBorder="1" applyAlignment="1">
      <alignment horizontal="right"/>
    </xf>
    <xf numFmtId="0" fontId="282" fillId="0" borderId="0" xfId="0" applyFont="1" applyAlignment="1">
      <alignment horizontal="right"/>
    </xf>
    <xf numFmtId="3" fontId="280" fillId="0" borderId="0" xfId="67" applyNumberFormat="1" applyFont="1" applyFill="1" applyBorder="1" applyAlignment="1">
      <alignment horizontal="right" vertical="center"/>
    </xf>
    <xf numFmtId="3" fontId="283" fillId="0" borderId="0" xfId="67" applyNumberFormat="1" applyFont="1" applyFill="1" applyBorder="1" applyAlignment="1">
      <alignment horizontal="right" vertical="center"/>
    </xf>
    <xf numFmtId="178" fontId="280" fillId="0" borderId="0" xfId="0" applyNumberFormat="1" applyFont="1" applyAlignment="1">
      <alignment horizontal="right"/>
    </xf>
    <xf numFmtId="0" fontId="283" fillId="0" borderId="0" xfId="0" applyFont="1" applyAlignment="1">
      <alignment horizontal="right" wrapText="1"/>
    </xf>
    <xf numFmtId="0" fontId="282" fillId="0" borderId="78" xfId="0" applyFont="1" applyBorder="1" applyAlignment="1">
      <alignment horizontal="right"/>
    </xf>
    <xf numFmtId="3" fontId="283" fillId="0" borderId="62" xfId="67" applyNumberFormat="1" applyFont="1" applyFill="1" applyBorder="1" applyAlignment="1">
      <alignment horizontal="right" vertical="center"/>
    </xf>
    <xf numFmtId="176" fontId="283" fillId="0" borderId="62" xfId="284" applyNumberFormat="1" applyFont="1" applyFill="1" applyBorder="1" applyAlignment="1">
      <alignment horizontal="right" vertical="center"/>
    </xf>
    <xf numFmtId="178" fontId="283" fillId="0" borderId="62" xfId="67" applyNumberFormat="1" applyFont="1" applyFill="1" applyBorder="1" applyAlignment="1">
      <alignment horizontal="right" vertical="center"/>
    </xf>
    <xf numFmtId="3" fontId="283" fillId="0" borderId="30" xfId="67" applyNumberFormat="1" applyFont="1" applyFill="1" applyBorder="1" applyAlignment="1">
      <alignment horizontal="right" vertical="center"/>
    </xf>
    <xf numFmtId="178" fontId="283" fillId="0" borderId="30" xfId="67" applyNumberFormat="1" applyFont="1" applyFill="1" applyBorder="1" applyAlignment="1">
      <alignment horizontal="right" vertical="center"/>
    </xf>
    <xf numFmtId="177" fontId="283" fillId="0" borderId="78" xfId="67" applyNumberFormat="1" applyFont="1" applyFill="1" applyBorder="1" applyAlignment="1">
      <alignment horizontal="left" vertical="center"/>
    </xf>
    <xf numFmtId="0" fontId="299" fillId="0" borderId="0" xfId="2" applyFont="1"/>
    <xf numFmtId="0" fontId="293" fillId="0" borderId="34" xfId="2" applyFont="1" applyBorder="1"/>
    <xf numFmtId="0" fontId="300" fillId="0" borderId="0" xfId="2" applyFont="1"/>
    <xf numFmtId="0" fontId="293" fillId="0" borderId="0" xfId="2" applyFont="1"/>
    <xf numFmtId="177" fontId="283" fillId="0" borderId="0" xfId="2" applyNumberFormat="1" applyFont="1"/>
    <xf numFmtId="0" fontId="294" fillId="0" borderId="0" xfId="2" applyFont="1"/>
    <xf numFmtId="2" fontId="283" fillId="0" borderId="0" xfId="2" applyNumberFormat="1" applyFont="1"/>
    <xf numFmtId="0" fontId="301" fillId="0" borderId="0" xfId="0" applyFont="1"/>
    <xf numFmtId="175" fontId="280" fillId="0" borderId="0" xfId="67" applyNumberFormat="1" applyFont="1" applyFill="1" applyBorder="1"/>
    <xf numFmtId="176" fontId="280" fillId="0" borderId="0" xfId="284" applyNumberFormat="1" applyFont="1" applyFill="1" applyBorder="1"/>
    <xf numFmtId="175" fontId="283" fillId="0" borderId="0" xfId="67" applyNumberFormat="1" applyFont="1" applyFill="1" applyBorder="1"/>
    <xf numFmtId="176" fontId="283" fillId="0" borderId="0" xfId="284" applyNumberFormat="1" applyFont="1" applyFill="1" applyBorder="1"/>
    <xf numFmtId="176" fontId="283" fillId="0" borderId="0" xfId="284" applyNumberFormat="1" applyFont="1" applyFill="1" applyBorder="1" applyAlignment="1">
      <alignment horizontal="right"/>
    </xf>
    <xf numFmtId="176" fontId="280" fillId="0" borderId="0" xfId="2" applyNumberFormat="1" applyFont="1"/>
    <xf numFmtId="0" fontId="302" fillId="0" borderId="0" xfId="0" applyFont="1"/>
    <xf numFmtId="175" fontId="283" fillId="0" borderId="0" xfId="67" applyNumberFormat="1" applyFont="1" applyFill="1" applyBorder="1" applyAlignment="1">
      <alignment horizontal="right"/>
    </xf>
    <xf numFmtId="9" fontId="291" fillId="0" borderId="0" xfId="2" applyNumberFormat="1" applyFont="1"/>
    <xf numFmtId="1" fontId="283" fillId="0" borderId="0" xfId="2" applyNumberFormat="1" applyFont="1"/>
    <xf numFmtId="174" fontId="280" fillId="0" borderId="0" xfId="67" applyNumberFormat="1" applyFont="1" applyFill="1" applyBorder="1"/>
    <xf numFmtId="9" fontId="291" fillId="0" borderId="0" xfId="284" applyFont="1"/>
    <xf numFmtId="175" fontId="280" fillId="0" borderId="0" xfId="67" applyNumberFormat="1" applyFont="1" applyFill="1" applyBorder="1" applyAlignment="1">
      <alignment horizontal="right"/>
    </xf>
    <xf numFmtId="2" fontId="291" fillId="0" borderId="0" xfId="2" applyNumberFormat="1" applyFont="1"/>
    <xf numFmtId="177" fontId="291" fillId="0" borderId="0" xfId="2" applyNumberFormat="1" applyFont="1"/>
    <xf numFmtId="175" fontId="291" fillId="0" borderId="0" xfId="2" applyNumberFormat="1" applyFont="1"/>
    <xf numFmtId="43" fontId="280" fillId="0" borderId="0" xfId="2" applyNumberFormat="1" applyFont="1"/>
    <xf numFmtId="4" fontId="280" fillId="0" borderId="0" xfId="0" applyNumberFormat="1" applyFont="1"/>
    <xf numFmtId="0" fontId="283" fillId="0" borderId="34" xfId="2" applyFont="1" applyBorder="1" applyAlignment="1">
      <alignment horizontal="right"/>
    </xf>
    <xf numFmtId="0" fontId="280" fillId="0" borderId="34" xfId="2" applyFont="1" applyBorder="1"/>
    <xf numFmtId="43" fontId="283" fillId="0" borderId="4" xfId="67" applyFont="1" applyFill="1" applyBorder="1" applyAlignment="1">
      <alignment vertical="center"/>
    </xf>
    <xf numFmtId="177" fontId="283" fillId="0" borderId="0" xfId="67" applyNumberFormat="1" applyFont="1" applyFill="1" applyBorder="1" applyAlignment="1">
      <alignment horizontal="right"/>
    </xf>
    <xf numFmtId="3" fontId="280" fillId="25" borderId="7" xfId="67" applyNumberFormat="1" applyFont="1" applyFill="1" applyBorder="1" applyAlignment="1">
      <alignment horizontal="right" vertical="center"/>
    </xf>
    <xf numFmtId="3" fontId="280" fillId="0" borderId="0" xfId="0" applyNumberFormat="1" applyFont="1"/>
    <xf numFmtId="3" fontId="283" fillId="0" borderId="0" xfId="67" applyNumberFormat="1" applyFont="1" applyFill="1" applyBorder="1" applyAlignment="1">
      <alignment vertical="center"/>
    </xf>
    <xf numFmtId="3" fontId="280" fillId="25" borderId="0" xfId="67" applyNumberFormat="1" applyFont="1" applyFill="1" applyBorder="1" applyAlignment="1">
      <alignment horizontal="right" vertical="center"/>
    </xf>
    <xf numFmtId="3" fontId="280" fillId="28" borderId="0" xfId="67" applyNumberFormat="1" applyFont="1" applyFill="1" applyBorder="1" applyAlignment="1">
      <alignment horizontal="right" vertical="center"/>
    </xf>
    <xf numFmtId="176" fontId="283" fillId="0" borderId="0" xfId="67" applyNumberFormat="1" applyFont="1" applyFill="1" applyBorder="1"/>
    <xf numFmtId="3" fontId="283" fillId="0" borderId="35" xfId="67" applyNumberFormat="1" applyFont="1" applyFill="1" applyBorder="1" applyAlignment="1">
      <alignment horizontal="right" vertical="center"/>
    </xf>
    <xf numFmtId="176" fontId="283" fillId="0" borderId="0" xfId="284" applyNumberFormat="1" applyFont="1" applyAlignment="1">
      <alignment horizontal="right"/>
    </xf>
    <xf numFmtId="176" fontId="283" fillId="0" borderId="0" xfId="67" applyNumberFormat="1" applyFont="1" applyFill="1" applyBorder="1" applyAlignment="1">
      <alignment horizontal="right"/>
    </xf>
    <xf numFmtId="9" fontId="283" fillId="0" borderId="0" xfId="284" applyFont="1" applyFill="1" applyBorder="1" applyAlignment="1">
      <alignment horizontal="right"/>
    </xf>
    <xf numFmtId="176" fontId="280" fillId="0" borderId="0" xfId="284" applyNumberFormat="1" applyFont="1" applyAlignment="1">
      <alignment horizontal="right"/>
    </xf>
    <xf numFmtId="3" fontId="280" fillId="25" borderId="7" xfId="67" applyNumberFormat="1" applyFont="1" applyFill="1" applyBorder="1" applyAlignment="1">
      <alignment horizontal="right"/>
    </xf>
    <xf numFmtId="3" fontId="283" fillId="0" borderId="0" xfId="67" applyNumberFormat="1" applyFont="1" applyFill="1" applyBorder="1"/>
    <xf numFmtId="0" fontId="283" fillId="0" borderId="34" xfId="2" applyFont="1" applyBorder="1" applyAlignment="1">
      <alignment horizontal="right" wrapText="1"/>
    </xf>
    <xf numFmtId="174" fontId="283" fillId="0" borderId="0" xfId="67" applyNumberFormat="1" applyFont="1" applyFill="1" applyBorder="1" applyAlignment="1">
      <alignment horizontal="right"/>
    </xf>
    <xf numFmtId="9" fontId="283" fillId="0" borderId="0" xfId="284" applyFont="1" applyFill="1" applyBorder="1"/>
    <xf numFmtId="175" fontId="283" fillId="0" borderId="4" xfId="67" applyNumberFormat="1" applyFont="1" applyFill="1" applyBorder="1" applyAlignment="1">
      <alignment vertical="center"/>
    </xf>
    <xf numFmtId="176" fontId="280" fillId="0" borderId="0" xfId="284" applyNumberFormat="1" applyFont="1" applyFill="1" applyAlignment="1">
      <alignment horizontal="right"/>
    </xf>
    <xf numFmtId="174" fontId="283" fillId="0" borderId="4" xfId="67" applyNumberFormat="1" applyFont="1" applyFill="1" applyBorder="1" applyAlignment="1">
      <alignment vertical="center"/>
    </xf>
    <xf numFmtId="9" fontId="284" fillId="0" borderId="0" xfId="2" applyNumberFormat="1" applyFont="1"/>
    <xf numFmtId="9" fontId="284" fillId="0" borderId="0" xfId="284" applyFont="1" applyBorder="1"/>
    <xf numFmtId="175" fontId="283" fillId="0" borderId="4" xfId="67" applyNumberFormat="1" applyFont="1" applyFill="1" applyBorder="1" applyAlignment="1">
      <alignment horizontal="center" vertical="center"/>
    </xf>
    <xf numFmtId="174" fontId="283" fillId="0" borderId="0" xfId="67" applyNumberFormat="1" applyFont="1" applyFill="1" applyBorder="1" applyAlignment="1">
      <alignment vertical="center"/>
    </xf>
    <xf numFmtId="0" fontId="280" fillId="0" borderId="0" xfId="249" applyFont="1"/>
    <xf numFmtId="0" fontId="283" fillId="0" borderId="0" xfId="3" applyFont="1" applyAlignment="1">
      <alignment horizontal="right"/>
    </xf>
    <xf numFmtId="0" fontId="283" fillId="0" borderId="34" xfId="3" applyFont="1" applyBorder="1" applyAlignment="1">
      <alignment horizontal="right"/>
    </xf>
    <xf numFmtId="0" fontId="280" fillId="0" borderId="34" xfId="3" applyFont="1" applyBorder="1"/>
    <xf numFmtId="0" fontId="283" fillId="0" borderId="0" xfId="3" applyFont="1"/>
    <xf numFmtId="176" fontId="280" fillId="0" borderId="0" xfId="3" applyNumberFormat="1" applyFont="1"/>
    <xf numFmtId="0" fontId="280" fillId="0" borderId="0" xfId="3" applyFont="1" applyAlignment="1">
      <alignment horizontal="right"/>
    </xf>
    <xf numFmtId="2" fontId="283" fillId="0" borderId="0" xfId="3" applyNumberFormat="1" applyFont="1"/>
    <xf numFmtId="43" fontId="280" fillId="0" borderId="0" xfId="3" applyNumberFormat="1" applyFont="1"/>
    <xf numFmtId="3" fontId="283" fillId="0" borderId="0" xfId="2" applyNumberFormat="1" applyFont="1"/>
    <xf numFmtId="3" fontId="280" fillId="0" borderId="0" xfId="67" quotePrefix="1" applyNumberFormat="1" applyFont="1" applyFill="1" applyBorder="1" applyAlignment="1">
      <alignment horizontal="right" vertical="center"/>
    </xf>
    <xf numFmtId="9" fontId="280" fillId="0" borderId="0" xfId="284" applyFont="1"/>
    <xf numFmtId="175" fontId="280" fillId="0" borderId="0" xfId="2" applyNumberFormat="1" applyFont="1"/>
    <xf numFmtId="9" fontId="280" fillId="0" borderId="0" xfId="284" applyFont="1" applyFill="1" applyBorder="1"/>
    <xf numFmtId="0" fontId="283" fillId="0" borderId="34" xfId="2" applyFont="1" applyBorder="1"/>
    <xf numFmtId="0" fontId="283" fillId="0" borderId="34" xfId="3" applyFont="1" applyBorder="1"/>
    <xf numFmtId="9" fontId="280" fillId="0" borderId="0" xfId="3" applyNumberFormat="1" applyFont="1"/>
    <xf numFmtId="2" fontId="280" fillId="0" borderId="0" xfId="3" applyNumberFormat="1" applyFont="1"/>
    <xf numFmtId="177" fontId="280" fillId="0" borderId="0" xfId="3" applyNumberFormat="1" applyFont="1"/>
    <xf numFmtId="175" fontId="280" fillId="0" borderId="0" xfId="3" applyNumberFormat="1" applyFont="1"/>
    <xf numFmtId="0" fontId="279" fillId="107" borderId="0" xfId="0" applyFont="1" applyFill="1"/>
    <xf numFmtId="0" fontId="279" fillId="107" borderId="0" xfId="249" applyFont="1" applyFill="1"/>
    <xf numFmtId="0" fontId="279" fillId="107" borderId="0" xfId="3" applyFont="1" applyFill="1"/>
    <xf numFmtId="0" fontId="287" fillId="107" borderId="0" xfId="3" applyFont="1" applyFill="1" applyAlignment="1">
      <alignment horizontal="right"/>
    </xf>
    <xf numFmtId="0" fontId="287" fillId="107" borderId="0" xfId="3" applyFont="1" applyFill="1" applyAlignment="1">
      <alignment vertical="top"/>
    </xf>
    <xf numFmtId="0" fontId="288" fillId="107" borderId="0" xfId="3" applyFont="1" applyFill="1"/>
    <xf numFmtId="0" fontId="286" fillId="107" borderId="0" xfId="3" applyFont="1" applyFill="1" applyAlignment="1">
      <alignment horizontal="right"/>
    </xf>
    <xf numFmtId="3" fontId="280" fillId="108" borderId="7" xfId="67" applyNumberFormat="1" applyFont="1" applyFill="1" applyBorder="1" applyAlignment="1">
      <alignment horizontal="right" vertical="center"/>
    </xf>
    <xf numFmtId="3" fontId="280" fillId="108" borderId="0" xfId="67" applyNumberFormat="1" applyFont="1" applyFill="1" applyBorder="1" applyAlignment="1">
      <alignment horizontal="right" vertical="center"/>
    </xf>
    <xf numFmtId="3" fontId="280" fillId="108" borderId="7" xfId="67" applyNumberFormat="1" applyFont="1" applyFill="1" applyBorder="1" applyAlignment="1">
      <alignment horizontal="right"/>
    </xf>
    <xf numFmtId="3" fontId="280" fillId="108" borderId="0" xfId="67" applyNumberFormat="1" applyFont="1" applyFill="1" applyBorder="1" applyAlignment="1">
      <alignment horizontal="right"/>
    </xf>
    <xf numFmtId="0" fontId="284" fillId="0" borderId="0" xfId="249" applyFont="1"/>
    <xf numFmtId="174" fontId="284" fillId="0" borderId="0" xfId="67" applyNumberFormat="1" applyFont="1" applyFill="1" applyBorder="1"/>
    <xf numFmtId="10" fontId="284" fillId="0" borderId="0" xfId="2" applyNumberFormat="1" applyFont="1"/>
    <xf numFmtId="9" fontId="284" fillId="0" borderId="0" xfId="284" applyFont="1"/>
    <xf numFmtId="3" fontId="284" fillId="0" borderId="0" xfId="0" quotePrefix="1" applyNumberFormat="1" applyFont="1"/>
    <xf numFmtId="9" fontId="284" fillId="0" borderId="0" xfId="3" applyNumberFormat="1" applyFont="1"/>
    <xf numFmtId="0" fontId="290" fillId="0" borderId="0" xfId="3" applyFont="1"/>
    <xf numFmtId="10" fontId="284" fillId="0" borderId="0" xfId="3" applyNumberFormat="1" applyFont="1"/>
    <xf numFmtId="3" fontId="280" fillId="0" borderId="0" xfId="67" applyNumberFormat="1" applyFont="1" applyFill="1" applyBorder="1" applyAlignment="1">
      <alignment horizontal="right"/>
    </xf>
    <xf numFmtId="3" fontId="280" fillId="0" borderId="7" xfId="67" applyNumberFormat="1" applyFont="1" applyFill="1" applyBorder="1" applyAlignment="1">
      <alignment horizontal="right" vertical="center"/>
    </xf>
    <xf numFmtId="176" fontId="283" fillId="0" borderId="0" xfId="284" applyNumberFormat="1" applyFont="1" applyFill="1" applyAlignment="1">
      <alignment horizontal="right"/>
    </xf>
    <xf numFmtId="0" fontId="290" fillId="0" borderId="34" xfId="2" applyFont="1" applyBorder="1" applyAlignment="1">
      <alignment horizontal="right"/>
    </xf>
    <xf numFmtId="3" fontId="280" fillId="0" borderId="7" xfId="67" applyNumberFormat="1" applyFont="1" applyFill="1" applyBorder="1" applyAlignment="1">
      <alignment horizontal="right"/>
    </xf>
    <xf numFmtId="0" fontId="280" fillId="0" borderId="3" xfId="2" applyFont="1" applyBorder="1"/>
    <xf numFmtId="0" fontId="291" fillId="107" borderId="0" xfId="2" applyFont="1" applyFill="1"/>
    <xf numFmtId="0" fontId="299" fillId="107" borderId="0" xfId="2" applyFont="1" applyFill="1"/>
    <xf numFmtId="0" fontId="292" fillId="107" borderId="0" xfId="2" applyFont="1" applyFill="1" applyAlignment="1">
      <alignment horizontal="right"/>
    </xf>
    <xf numFmtId="0" fontId="292" fillId="107" borderId="0" xfId="2" applyFont="1" applyFill="1" applyAlignment="1">
      <alignment vertical="top"/>
    </xf>
    <xf numFmtId="0" fontId="303" fillId="107" borderId="0" xfId="252" applyFont="1" applyFill="1"/>
    <xf numFmtId="0" fontId="304" fillId="107" borderId="0" xfId="2" applyFont="1" applyFill="1"/>
    <xf numFmtId="0" fontId="303" fillId="107" borderId="0" xfId="2" applyFont="1" applyFill="1" applyAlignment="1">
      <alignment horizontal="right"/>
    </xf>
    <xf numFmtId="0" fontId="305" fillId="107" borderId="0" xfId="2" applyFont="1" applyFill="1"/>
    <xf numFmtId="0" fontId="283" fillId="0" borderId="0" xfId="252" applyFont="1" applyAlignment="1">
      <alignment vertical="center"/>
    </xf>
    <xf numFmtId="0" fontId="283" fillId="0" borderId="3" xfId="252" applyFont="1" applyBorder="1" applyAlignment="1">
      <alignment vertical="center"/>
    </xf>
    <xf numFmtId="0" fontId="298" fillId="0" borderId="0" xfId="252" applyFont="1" applyAlignment="1">
      <alignment vertical="center"/>
    </xf>
    <xf numFmtId="3" fontId="280" fillId="0" borderId="0" xfId="67" applyNumberFormat="1" applyFont="1" applyFill="1"/>
    <xf numFmtId="176" fontId="280" fillId="0" borderId="0" xfId="284" applyNumberFormat="1" applyFont="1" applyBorder="1" applyAlignment="1">
      <alignment horizontal="right"/>
    </xf>
    <xf numFmtId="3" fontId="280" fillId="0" borderId="0" xfId="67" applyNumberFormat="1" applyFont="1" applyFill="1" applyBorder="1" applyAlignment="1">
      <alignment vertical="center"/>
    </xf>
    <xf numFmtId="3" fontId="283" fillId="0" borderId="0" xfId="67" quotePrefix="1" applyNumberFormat="1" applyFont="1" applyFill="1" applyBorder="1" applyAlignment="1">
      <alignment vertical="center"/>
    </xf>
    <xf numFmtId="3" fontId="283" fillId="0" borderId="0" xfId="67" applyNumberFormat="1" applyFont="1" applyFill="1" applyBorder="1" applyAlignment="1">
      <alignment horizontal="left" vertical="center"/>
    </xf>
    <xf numFmtId="0" fontId="284" fillId="0" borderId="79" xfId="2" applyFont="1" applyBorder="1"/>
    <xf numFmtId="0" fontId="284" fillId="0" borderId="80" xfId="2" applyFont="1" applyBorder="1"/>
    <xf numFmtId="0" fontId="284" fillId="0" borderId="81" xfId="2" applyFont="1" applyBorder="1"/>
    <xf numFmtId="0" fontId="284" fillId="0" borderId="82" xfId="2" applyFont="1" applyBorder="1"/>
    <xf numFmtId="202" fontId="284" fillId="0" borderId="0" xfId="2" applyNumberFormat="1" applyFont="1"/>
    <xf numFmtId="9" fontId="284" fillId="0" borderId="83" xfId="2" applyNumberFormat="1" applyFont="1" applyBorder="1"/>
    <xf numFmtId="0" fontId="284" fillId="0" borderId="84" xfId="2" applyFont="1" applyBorder="1"/>
    <xf numFmtId="9" fontId="284" fillId="0" borderId="85" xfId="2" applyNumberFormat="1" applyFont="1" applyBorder="1"/>
    <xf numFmtId="9" fontId="284" fillId="0" borderId="86" xfId="2" applyNumberFormat="1" applyFont="1" applyBorder="1"/>
    <xf numFmtId="0" fontId="284" fillId="0" borderId="85" xfId="2" applyFont="1" applyBorder="1"/>
    <xf numFmtId="3" fontId="280" fillId="0" borderId="7" xfId="67" applyNumberFormat="1" applyFont="1" applyFill="1" applyBorder="1" applyAlignment="1">
      <alignment vertical="center"/>
    </xf>
    <xf numFmtId="43" fontId="284" fillId="0" borderId="0" xfId="2" applyNumberFormat="1" applyFont="1"/>
    <xf numFmtId="3" fontId="284" fillId="0" borderId="0" xfId="67" applyNumberFormat="1" applyFont="1" applyFill="1" applyBorder="1" applyAlignment="1">
      <alignment horizontal="right" vertical="center"/>
    </xf>
    <xf numFmtId="3" fontId="284" fillId="0" borderId="0" xfId="67" applyNumberFormat="1" applyFont="1" applyFill="1" applyBorder="1" applyAlignment="1">
      <alignment vertical="center"/>
    </xf>
    <xf numFmtId="0" fontId="280" fillId="0" borderId="0" xfId="252" applyFont="1"/>
    <xf numFmtId="0" fontId="280" fillId="0" borderId="34" xfId="252" applyFont="1" applyBorder="1"/>
    <xf numFmtId="176" fontId="283" fillId="0" borderId="0" xfId="284" applyNumberFormat="1" applyFont="1" applyFill="1" applyBorder="1" applyAlignment="1">
      <alignment horizontal="center"/>
    </xf>
    <xf numFmtId="0" fontId="280" fillId="0" borderId="0" xfId="252" applyFont="1" applyAlignment="1">
      <alignment vertical="center"/>
    </xf>
    <xf numFmtId="176" fontId="283" fillId="0" borderId="0" xfId="284" applyNumberFormat="1" applyFont="1" applyBorder="1" applyAlignment="1">
      <alignment horizontal="center" vertical="center"/>
    </xf>
    <xf numFmtId="177" fontId="283" fillId="0" borderId="0" xfId="252" applyNumberFormat="1" applyFont="1" applyAlignment="1">
      <alignment horizontal="center" vertical="center"/>
    </xf>
    <xf numFmtId="177" fontId="280" fillId="0" borderId="0" xfId="252" applyNumberFormat="1" applyFont="1" applyAlignment="1">
      <alignment horizontal="center" vertical="center"/>
    </xf>
    <xf numFmtId="3" fontId="283" fillId="0" borderId="7" xfId="67" applyNumberFormat="1" applyFont="1" applyFill="1" applyBorder="1" applyAlignment="1">
      <alignment horizontal="center" vertical="center"/>
    </xf>
    <xf numFmtId="0" fontId="283" fillId="0" borderId="0" xfId="252" applyFont="1" applyAlignment="1">
      <alignment horizontal="center"/>
    </xf>
    <xf numFmtId="177" fontId="283" fillId="0" borderId="0" xfId="252" applyNumberFormat="1" applyFont="1" applyAlignment="1">
      <alignment horizontal="center"/>
    </xf>
    <xf numFmtId="9" fontId="283" fillId="0" borderId="0" xfId="284" applyFont="1" applyFill="1" applyBorder="1" applyAlignment="1">
      <alignment horizontal="center" vertical="center"/>
    </xf>
    <xf numFmtId="9" fontId="283" fillId="0" borderId="0" xfId="284" applyFont="1" applyFill="1" applyBorder="1" applyAlignment="1">
      <alignment horizontal="center"/>
    </xf>
    <xf numFmtId="0" fontId="280" fillId="0" borderId="7" xfId="252" applyFont="1" applyBorder="1"/>
    <xf numFmtId="3" fontId="280" fillId="0" borderId="0" xfId="252" applyNumberFormat="1" applyFont="1"/>
    <xf numFmtId="0" fontId="283" fillId="0" borderId="0" xfId="252" applyFont="1"/>
    <xf numFmtId="0" fontId="283" fillId="0" borderId="0" xfId="252" applyFont="1" applyAlignment="1">
      <alignment horizontal="left" vertical="center"/>
    </xf>
    <xf numFmtId="3" fontId="280" fillId="0" borderId="0" xfId="252" applyNumberFormat="1" applyFont="1" applyAlignment="1">
      <alignment horizontal="left" vertical="center"/>
    </xf>
    <xf numFmtId="0" fontId="280" fillId="0" borderId="0" xfId="252" applyFont="1" applyAlignment="1">
      <alignment horizontal="left" vertical="center"/>
    </xf>
    <xf numFmtId="3" fontId="280" fillId="0" borderId="7" xfId="67" applyNumberFormat="1" applyFont="1" applyFill="1" applyBorder="1" applyAlignment="1">
      <alignment horizontal="center" vertical="center"/>
    </xf>
    <xf numFmtId="2" fontId="283" fillId="0" borderId="0" xfId="252" applyNumberFormat="1" applyFont="1" applyAlignment="1">
      <alignment horizontal="center"/>
    </xf>
    <xf numFmtId="176" fontId="283" fillId="0" borderId="0" xfId="284" applyNumberFormat="1" applyFont="1" applyAlignment="1">
      <alignment horizontal="center" vertical="center"/>
    </xf>
    <xf numFmtId="176" fontId="280" fillId="0" borderId="0" xfId="67" applyNumberFormat="1" applyFont="1" applyFill="1" applyBorder="1"/>
    <xf numFmtId="175" fontId="283" fillId="0" borderId="0" xfId="252" applyNumberFormat="1" applyFont="1"/>
    <xf numFmtId="9" fontId="280" fillId="0" borderId="0" xfId="67" applyNumberFormat="1" applyFont="1" applyFill="1" applyBorder="1"/>
    <xf numFmtId="176" fontId="283" fillId="0" borderId="0" xfId="252" applyNumberFormat="1" applyFont="1"/>
    <xf numFmtId="176" fontId="280" fillId="0" borderId="0" xfId="252" applyNumberFormat="1" applyFont="1"/>
    <xf numFmtId="176" fontId="280" fillId="0" borderId="0" xfId="284" applyNumberFormat="1" applyFont="1" applyFill="1" applyBorder="1" applyAlignment="1">
      <alignment horizontal="center"/>
    </xf>
    <xf numFmtId="176" fontId="280" fillId="0" borderId="0" xfId="284" applyNumberFormat="1" applyFont="1" applyAlignment="1">
      <alignment horizontal="center" vertical="center"/>
    </xf>
    <xf numFmtId="176" fontId="280" fillId="0" borderId="7" xfId="284" applyNumberFormat="1" applyFont="1" applyBorder="1" applyAlignment="1">
      <alignment horizontal="center" vertical="center"/>
    </xf>
    <xf numFmtId="177" fontId="280" fillId="0" borderId="7" xfId="252" applyNumberFormat="1" applyFont="1" applyBorder="1" applyAlignment="1">
      <alignment horizontal="center" vertical="center"/>
    </xf>
    <xf numFmtId="176" fontId="280" fillId="0" borderId="0" xfId="284" applyNumberFormat="1" applyFont="1" applyBorder="1" applyAlignment="1">
      <alignment horizontal="center" vertical="center"/>
    </xf>
    <xf numFmtId="3" fontId="283" fillId="0" borderId="33" xfId="67" applyNumberFormat="1" applyFont="1" applyFill="1" applyBorder="1" applyAlignment="1">
      <alignment horizontal="center" vertical="center"/>
    </xf>
    <xf numFmtId="3" fontId="283" fillId="0" borderId="0" xfId="252" applyNumberFormat="1" applyFont="1" applyAlignment="1">
      <alignment horizontal="center"/>
    </xf>
    <xf numFmtId="1" fontId="280" fillId="0" borderId="0" xfId="252" applyNumberFormat="1" applyFont="1" applyAlignment="1">
      <alignment horizontal="center" vertical="center"/>
    </xf>
    <xf numFmtId="3" fontId="283" fillId="29" borderId="0" xfId="67" applyNumberFormat="1" applyFont="1" applyFill="1" applyBorder="1" applyAlignment="1">
      <alignment horizontal="center" vertical="center"/>
    </xf>
    <xf numFmtId="3" fontId="280" fillId="0" borderId="0" xfId="1497" applyNumberFormat="1" applyFont="1" applyFill="1" applyBorder="1" applyAlignment="1">
      <alignment horizontal="center" vertical="center"/>
    </xf>
    <xf numFmtId="177" fontId="280" fillId="0" borderId="0" xfId="252" applyNumberFormat="1" applyFont="1" applyAlignment="1">
      <alignment horizontal="center"/>
    </xf>
    <xf numFmtId="3" fontId="280" fillId="0" borderId="0" xfId="1497" applyNumberFormat="1" applyFont="1" applyFill="1" applyBorder="1" applyAlignment="1">
      <alignment horizontal="center"/>
    </xf>
    <xf numFmtId="176" fontId="280" fillId="0" borderId="0" xfId="1498" applyNumberFormat="1" applyFont="1" applyFill="1" applyBorder="1" applyAlignment="1">
      <alignment horizontal="center"/>
    </xf>
    <xf numFmtId="176" fontId="280" fillId="0" borderId="0" xfId="1498" applyNumberFormat="1" applyFont="1" applyBorder="1" applyAlignment="1">
      <alignment horizontal="center" vertical="center"/>
    </xf>
    <xf numFmtId="3" fontId="283" fillId="0" borderId="0" xfId="1497" applyNumberFormat="1" applyFont="1" applyFill="1" applyBorder="1" applyAlignment="1">
      <alignment horizontal="center" vertical="center"/>
    </xf>
    <xf numFmtId="3" fontId="283" fillId="0" borderId="0" xfId="1497" applyNumberFormat="1" applyFont="1" applyFill="1" applyBorder="1" applyAlignment="1">
      <alignment horizontal="center"/>
    </xf>
    <xf numFmtId="3" fontId="283" fillId="0" borderId="33" xfId="1497" applyNumberFormat="1" applyFont="1" applyFill="1" applyBorder="1" applyAlignment="1">
      <alignment horizontal="center"/>
    </xf>
    <xf numFmtId="3" fontId="283" fillId="0" borderId="33" xfId="1497" applyNumberFormat="1" applyFont="1" applyFill="1" applyBorder="1" applyAlignment="1">
      <alignment horizontal="center" vertical="center"/>
    </xf>
    <xf numFmtId="9" fontId="283" fillId="0" borderId="0" xfId="1498" applyFont="1" applyFill="1" applyBorder="1" applyAlignment="1">
      <alignment horizontal="center" vertical="center"/>
    </xf>
    <xf numFmtId="9" fontId="283" fillId="0" borderId="0" xfId="1498" applyFont="1" applyFill="1" applyBorder="1" applyAlignment="1">
      <alignment horizontal="center"/>
    </xf>
    <xf numFmtId="176" fontId="283" fillId="0" borderId="0" xfId="1498" applyNumberFormat="1" applyFont="1" applyBorder="1" applyAlignment="1">
      <alignment horizontal="center" vertical="center"/>
    </xf>
    <xf numFmtId="0" fontId="280" fillId="0" borderId="0" xfId="252" applyFont="1" applyAlignment="1">
      <alignment horizontal="center"/>
    </xf>
    <xf numFmtId="9" fontId="280" fillId="0" borderId="0" xfId="1498" applyFont="1" applyFill="1" applyBorder="1" applyAlignment="1">
      <alignment horizontal="center"/>
    </xf>
    <xf numFmtId="177" fontId="283" fillId="0" borderId="33" xfId="252" applyNumberFormat="1" applyFont="1" applyBorder="1" applyAlignment="1">
      <alignment horizontal="center" vertical="center"/>
    </xf>
    <xf numFmtId="176" fontId="280" fillId="0" borderId="0" xfId="1498" applyNumberFormat="1" applyFont="1" applyFill="1" applyBorder="1" applyAlignment="1">
      <alignment horizontal="center" vertical="center"/>
    </xf>
    <xf numFmtId="9" fontId="283" fillId="0" borderId="33" xfId="1498" applyFont="1" applyFill="1" applyBorder="1" applyAlignment="1">
      <alignment horizontal="center" vertical="center"/>
    </xf>
    <xf numFmtId="3" fontId="283" fillId="0" borderId="78" xfId="1497" applyNumberFormat="1" applyFont="1" applyFill="1" applyBorder="1" applyAlignment="1">
      <alignment horizontal="center" vertical="center"/>
    </xf>
    <xf numFmtId="3" fontId="280" fillId="0" borderId="78" xfId="1497" applyNumberFormat="1" applyFont="1" applyFill="1" applyBorder="1" applyAlignment="1">
      <alignment horizontal="center" vertical="center"/>
    </xf>
    <xf numFmtId="176" fontId="283" fillId="0" borderId="0" xfId="1498" applyNumberFormat="1" applyFont="1" applyAlignment="1">
      <alignment horizontal="center" vertical="center"/>
    </xf>
    <xf numFmtId="175" fontId="283" fillId="0" borderId="0" xfId="1497" applyNumberFormat="1" applyFont="1" applyFill="1" applyBorder="1"/>
    <xf numFmtId="176" fontId="280" fillId="0" borderId="0" xfId="1497" applyNumberFormat="1" applyFont="1" applyFill="1" applyBorder="1"/>
    <xf numFmtId="2" fontId="280" fillId="0" borderId="0" xfId="252" applyNumberFormat="1" applyFont="1" applyAlignment="1">
      <alignment horizontal="center"/>
    </xf>
    <xf numFmtId="176" fontId="280" fillId="0" borderId="0" xfId="252" applyNumberFormat="1" applyFont="1" applyAlignment="1">
      <alignment horizontal="center"/>
    </xf>
    <xf numFmtId="1" fontId="280" fillId="0" borderId="0" xfId="252" applyNumberFormat="1" applyFont="1"/>
    <xf numFmtId="2" fontId="280" fillId="0" borderId="0" xfId="252" applyNumberFormat="1" applyFont="1" applyAlignment="1">
      <alignment horizontal="center" vertical="center"/>
    </xf>
    <xf numFmtId="2" fontId="283" fillId="0" borderId="0" xfId="252" applyNumberFormat="1" applyFont="1" applyAlignment="1">
      <alignment horizontal="center" vertical="center"/>
    </xf>
    <xf numFmtId="338" fontId="283" fillId="0" borderId="7" xfId="67" applyNumberFormat="1" applyFont="1" applyFill="1" applyBorder="1" applyAlignment="1">
      <alignment horizontal="center" vertical="center"/>
    </xf>
    <xf numFmtId="338" fontId="283" fillId="0" borderId="33" xfId="67" applyNumberFormat="1" applyFont="1" applyFill="1" applyBorder="1" applyAlignment="1">
      <alignment horizontal="center" vertical="center"/>
    </xf>
    <xf numFmtId="1" fontId="283" fillId="0" borderId="0" xfId="252" applyNumberFormat="1" applyFont="1" applyAlignment="1">
      <alignment horizontal="center"/>
    </xf>
    <xf numFmtId="178" fontId="283" fillId="0" borderId="0" xfId="67" applyNumberFormat="1" applyFont="1" applyFill="1" applyBorder="1" applyAlignment="1">
      <alignment horizontal="center"/>
    </xf>
    <xf numFmtId="1" fontId="283" fillId="0" borderId="4" xfId="252" applyNumberFormat="1" applyFont="1" applyBorder="1" applyAlignment="1">
      <alignment horizontal="center" vertical="center"/>
    </xf>
    <xf numFmtId="3" fontId="283" fillId="0" borderId="62" xfId="67" applyNumberFormat="1" applyFont="1" applyFill="1" applyBorder="1" applyAlignment="1">
      <alignment horizontal="center" vertical="center"/>
    </xf>
    <xf numFmtId="177" fontId="283" fillId="0" borderId="62" xfId="252" applyNumberFormat="1" applyFont="1" applyBorder="1" applyAlignment="1">
      <alignment horizontal="center" vertical="center"/>
    </xf>
    <xf numFmtId="176" fontId="283" fillId="0" borderId="33" xfId="284" applyNumberFormat="1" applyFont="1" applyBorder="1" applyAlignment="1">
      <alignment horizontal="center" vertical="center"/>
    </xf>
    <xf numFmtId="1" fontId="283" fillId="0" borderId="0" xfId="252" applyNumberFormat="1" applyFont="1" applyAlignment="1">
      <alignment horizontal="center" vertical="center"/>
    </xf>
    <xf numFmtId="176" fontId="283" fillId="0" borderId="0" xfId="284" applyNumberFormat="1" applyFont="1" applyFill="1" applyAlignment="1">
      <alignment horizontal="center" vertical="center"/>
    </xf>
    <xf numFmtId="176" fontId="283" fillId="0" borderId="33" xfId="284" applyNumberFormat="1" applyFont="1" applyFill="1" applyBorder="1" applyAlignment="1">
      <alignment horizontal="center" vertical="center"/>
    </xf>
    <xf numFmtId="0" fontId="283" fillId="0" borderId="0" xfId="252" applyFont="1" applyAlignment="1">
      <alignment horizontal="right"/>
    </xf>
    <xf numFmtId="3" fontId="283" fillId="0" borderId="0" xfId="67" quotePrefix="1" applyNumberFormat="1" applyFont="1" applyFill="1" applyBorder="1" applyAlignment="1">
      <alignment horizontal="center" vertical="center"/>
    </xf>
    <xf numFmtId="3" fontId="283" fillId="0" borderId="0" xfId="67" applyNumberFormat="1" applyFont="1" applyAlignment="1">
      <alignment horizontal="center"/>
    </xf>
    <xf numFmtId="3" fontId="283" fillId="0" borderId="0" xfId="67" applyNumberFormat="1" applyFont="1" applyAlignment="1">
      <alignment horizontal="center" vertical="center"/>
    </xf>
    <xf numFmtId="2" fontId="280" fillId="0" borderId="0" xfId="252" applyNumberFormat="1" applyFont="1"/>
    <xf numFmtId="3" fontId="280" fillId="29" borderId="7" xfId="67" applyNumberFormat="1" applyFont="1" applyFill="1" applyBorder="1" applyAlignment="1">
      <alignment horizontal="center" vertical="center"/>
    </xf>
    <xf numFmtId="3" fontId="280" fillId="0" borderId="78" xfId="67" applyNumberFormat="1" applyFont="1" applyFill="1" applyBorder="1" applyAlignment="1">
      <alignment horizontal="center" vertical="center"/>
    </xf>
    <xf numFmtId="3" fontId="283" fillId="0" borderId="35" xfId="67" applyNumberFormat="1" applyFont="1" applyFill="1" applyBorder="1" applyAlignment="1">
      <alignment horizontal="center" vertical="center"/>
    </xf>
    <xf numFmtId="0" fontId="280" fillId="0" borderId="7" xfId="252" applyFont="1" applyBorder="1" applyAlignment="1">
      <alignment vertical="center"/>
    </xf>
    <xf numFmtId="176" fontId="283" fillId="0" borderId="62" xfId="284" applyNumberFormat="1" applyFont="1" applyBorder="1" applyAlignment="1">
      <alignment horizontal="center" vertical="center"/>
    </xf>
    <xf numFmtId="176" fontId="280" fillId="0" borderId="0" xfId="284" applyNumberFormat="1" applyFont="1" applyFill="1" applyAlignment="1">
      <alignment horizontal="center" vertical="center"/>
    </xf>
    <xf numFmtId="175" fontId="283" fillId="0" borderId="0" xfId="67" applyNumberFormat="1" applyFont="1" applyFill="1" applyBorder="1" applyAlignment="1">
      <alignment horizontal="center" vertical="center"/>
    </xf>
    <xf numFmtId="177" fontId="280" fillId="0" borderId="0" xfId="284" applyNumberFormat="1" applyFont="1" applyAlignment="1">
      <alignment horizontal="center" vertical="center"/>
    </xf>
    <xf numFmtId="176" fontId="280" fillId="0" borderId="0" xfId="67" applyNumberFormat="1" applyFont="1" applyFill="1" applyBorder="1" applyAlignment="1">
      <alignment horizontal="center" vertical="center"/>
    </xf>
    <xf numFmtId="178" fontId="283" fillId="0" borderId="33" xfId="252" applyNumberFormat="1" applyFont="1" applyBorder="1" applyAlignment="1">
      <alignment horizontal="center" vertical="center"/>
    </xf>
    <xf numFmtId="178" fontId="280" fillId="0" borderId="0" xfId="252" applyNumberFormat="1" applyFont="1" applyAlignment="1">
      <alignment horizontal="center" vertical="center"/>
    </xf>
    <xf numFmtId="0" fontId="283" fillId="0" borderId="0" xfId="252" applyFont="1" applyAlignment="1">
      <alignment vertical="top"/>
    </xf>
    <xf numFmtId="0" fontId="283" fillId="0" borderId="34" xfId="252" applyFont="1" applyBorder="1" applyAlignment="1">
      <alignment vertical="center"/>
    </xf>
    <xf numFmtId="0" fontId="283" fillId="0" borderId="0" xfId="252" applyFont="1" applyAlignment="1">
      <alignment horizontal="center" vertical="center"/>
    </xf>
    <xf numFmtId="0" fontId="283" fillId="0" borderId="0" xfId="252" applyFont="1" applyAlignment="1">
      <alignment horizontal="right" vertical="center"/>
    </xf>
    <xf numFmtId="0" fontId="283" fillId="0" borderId="34" xfId="2" applyFont="1" applyBorder="1" applyAlignment="1">
      <alignment horizontal="left"/>
    </xf>
    <xf numFmtId="177" fontId="283" fillId="0" borderId="15" xfId="252" applyNumberFormat="1" applyFont="1" applyBorder="1" applyAlignment="1">
      <alignment horizontal="center" vertical="center"/>
    </xf>
    <xf numFmtId="1" fontId="283" fillId="0" borderId="15" xfId="252" applyNumberFormat="1" applyFont="1" applyBorder="1" applyAlignment="1">
      <alignment horizontal="center" vertical="center"/>
    </xf>
    <xf numFmtId="0" fontId="283" fillId="0" borderId="34" xfId="1256" applyFont="1" applyBorder="1"/>
    <xf numFmtId="0" fontId="283" fillId="0" borderId="34" xfId="1256" applyFont="1" applyBorder="1" applyAlignment="1">
      <alignment horizontal="left"/>
    </xf>
    <xf numFmtId="0" fontId="283" fillId="0" borderId="0" xfId="252" quotePrefix="1" applyFont="1" applyAlignment="1">
      <alignment vertical="center"/>
    </xf>
    <xf numFmtId="2" fontId="283" fillId="0" borderId="15" xfId="252" applyNumberFormat="1" applyFont="1" applyBorder="1" applyAlignment="1">
      <alignment horizontal="center" vertical="center"/>
    </xf>
    <xf numFmtId="178" fontId="283" fillId="0" borderId="15" xfId="252" applyNumberFormat="1" applyFont="1" applyBorder="1" applyAlignment="1">
      <alignment horizontal="center" vertical="center"/>
    </xf>
    <xf numFmtId="0" fontId="280" fillId="0" borderId="0" xfId="252" applyFont="1" applyAlignment="1">
      <alignment horizontal="center" vertical="center"/>
    </xf>
    <xf numFmtId="177" fontId="283" fillId="0" borderId="15" xfId="252" applyNumberFormat="1" applyFont="1" applyBorder="1" applyAlignment="1">
      <alignment horizontal="center"/>
    </xf>
    <xf numFmtId="176" fontId="280" fillId="0" borderId="0" xfId="284" applyNumberFormat="1" applyFont="1"/>
    <xf numFmtId="178" fontId="283" fillId="0" borderId="4" xfId="252" applyNumberFormat="1" applyFont="1" applyBorder="1" applyAlignment="1">
      <alignment horizontal="center" vertical="center"/>
    </xf>
    <xf numFmtId="0" fontId="279" fillId="107" borderId="0" xfId="252" applyFont="1" applyFill="1"/>
    <xf numFmtId="0" fontId="287" fillId="107" borderId="0" xfId="252" applyFont="1" applyFill="1" applyAlignment="1">
      <alignment horizontal="right"/>
    </xf>
    <xf numFmtId="0" fontId="279" fillId="107" borderId="0" xfId="1256" applyFont="1" applyFill="1" applyAlignment="1">
      <alignment horizontal="right" vertical="top" indent="1"/>
    </xf>
    <xf numFmtId="0" fontId="279" fillId="107" borderId="0" xfId="1256" quotePrefix="1" applyFont="1" applyFill="1" applyAlignment="1">
      <alignment horizontal="right" vertical="top" indent="1"/>
    </xf>
    <xf numFmtId="0" fontId="306" fillId="107" borderId="0" xfId="252" applyFont="1" applyFill="1"/>
    <xf numFmtId="0" fontId="288" fillId="107" borderId="0" xfId="252" applyFont="1" applyFill="1"/>
    <xf numFmtId="0" fontId="286" fillId="107" borderId="0" xfId="1256" quotePrefix="1" applyFont="1" applyFill="1" applyAlignment="1">
      <alignment horizontal="right" vertical="top" indent="1"/>
    </xf>
    <xf numFmtId="0" fontId="286" fillId="107" borderId="0" xfId="249" applyFont="1" applyFill="1"/>
    <xf numFmtId="3" fontId="283" fillId="108" borderId="0" xfId="67" applyNumberFormat="1" applyFont="1" applyFill="1" applyBorder="1" applyAlignment="1">
      <alignment horizontal="center" vertical="center"/>
    </xf>
    <xf numFmtId="177" fontId="283" fillId="108" borderId="0" xfId="252" applyNumberFormat="1" applyFont="1" applyFill="1" applyAlignment="1">
      <alignment horizontal="center" vertical="center"/>
    </xf>
    <xf numFmtId="3" fontId="283" fillId="108" borderId="78" xfId="67" applyNumberFormat="1" applyFont="1" applyFill="1" applyBorder="1" applyAlignment="1">
      <alignment horizontal="center" vertical="center"/>
    </xf>
    <xf numFmtId="176" fontId="283" fillId="108" borderId="0" xfId="284" applyNumberFormat="1" applyFont="1" applyFill="1" applyBorder="1" applyAlignment="1">
      <alignment horizontal="center" vertical="center"/>
    </xf>
    <xf numFmtId="3" fontId="280" fillId="108" borderId="0" xfId="67" applyNumberFormat="1" applyFont="1" applyFill="1" applyBorder="1" applyAlignment="1">
      <alignment horizontal="center" vertical="center"/>
    </xf>
    <xf numFmtId="4" fontId="280" fillId="108" borderId="0" xfId="67" applyNumberFormat="1" applyFont="1" applyFill="1" applyBorder="1" applyAlignment="1">
      <alignment horizontal="center" vertical="center"/>
    </xf>
    <xf numFmtId="178" fontId="280" fillId="108" borderId="0" xfId="67" applyNumberFormat="1" applyFont="1" applyFill="1" applyBorder="1" applyAlignment="1">
      <alignment horizontal="center" vertical="center"/>
    </xf>
    <xf numFmtId="177" fontId="280" fillId="108" borderId="0" xfId="252" applyNumberFormat="1" applyFont="1" applyFill="1" applyAlignment="1">
      <alignment horizontal="center" vertical="center"/>
    </xf>
    <xf numFmtId="341" fontId="280" fillId="108" borderId="0" xfId="252" applyNumberFormat="1" applyFont="1" applyFill="1" applyAlignment="1">
      <alignment horizontal="center" vertical="center"/>
    </xf>
    <xf numFmtId="340" fontId="280" fillId="108" borderId="0" xfId="252" applyNumberFormat="1" applyFont="1" applyFill="1" applyAlignment="1">
      <alignment horizontal="center" vertical="center"/>
    </xf>
    <xf numFmtId="176" fontId="280" fillId="108" borderId="0" xfId="284" applyNumberFormat="1" applyFont="1" applyFill="1" applyBorder="1" applyAlignment="1">
      <alignment horizontal="center" vertical="center"/>
    </xf>
    <xf numFmtId="338" fontId="280" fillId="108" borderId="0" xfId="67" applyNumberFormat="1" applyFont="1" applyFill="1" applyBorder="1" applyAlignment="1">
      <alignment horizontal="center" vertical="center"/>
    </xf>
    <xf numFmtId="9" fontId="280" fillId="108" borderId="0" xfId="284" applyFont="1" applyFill="1" applyBorder="1" applyAlignment="1">
      <alignment horizontal="center" vertical="center"/>
    </xf>
    <xf numFmtId="9" fontId="280" fillId="0" borderId="0" xfId="284" applyFont="1" applyFill="1" applyBorder="1" applyAlignment="1">
      <alignment horizontal="center" vertical="center"/>
    </xf>
    <xf numFmtId="9" fontId="280" fillId="0" borderId="0" xfId="284" applyFont="1" applyFill="1" applyBorder="1" applyAlignment="1">
      <alignment horizontal="center"/>
    </xf>
    <xf numFmtId="3" fontId="280" fillId="0" borderId="33" xfId="67" applyNumberFormat="1" applyFont="1" applyFill="1" applyBorder="1" applyAlignment="1">
      <alignment horizontal="center" vertical="center"/>
    </xf>
    <xf numFmtId="0" fontId="280" fillId="0" borderId="0" xfId="3" applyFont="1" applyAlignment="1">
      <alignment horizontal="left"/>
    </xf>
    <xf numFmtId="3" fontId="280" fillId="0" borderId="7" xfId="67" applyNumberFormat="1" applyFont="1" applyFill="1" applyBorder="1" applyAlignment="1">
      <alignment horizontal="center"/>
    </xf>
    <xf numFmtId="3" fontId="280" fillId="108" borderId="7" xfId="67" applyNumberFormat="1" applyFont="1" applyFill="1" applyBorder="1" applyAlignment="1">
      <alignment horizontal="center" vertical="center"/>
    </xf>
    <xf numFmtId="177" fontId="280" fillId="29" borderId="0" xfId="252" applyNumberFormat="1" applyFont="1" applyFill="1" applyAlignment="1">
      <alignment horizontal="center" vertical="center"/>
    </xf>
    <xf numFmtId="3" fontId="280" fillId="29" borderId="0" xfId="67" applyNumberFormat="1" applyFont="1" applyFill="1" applyBorder="1" applyAlignment="1">
      <alignment horizontal="center"/>
    </xf>
    <xf numFmtId="0" fontId="280" fillId="0" borderId="0" xfId="252" quotePrefix="1" applyFont="1" applyAlignment="1">
      <alignment vertical="center"/>
    </xf>
    <xf numFmtId="3" fontId="280" fillId="108" borderId="0" xfId="67" applyNumberFormat="1" applyFont="1" applyFill="1" applyBorder="1" applyAlignment="1">
      <alignment horizontal="center"/>
    </xf>
    <xf numFmtId="339" fontId="280" fillId="108" borderId="0" xfId="252" applyNumberFormat="1" applyFont="1" applyFill="1" applyAlignment="1">
      <alignment horizontal="center" vertical="center"/>
    </xf>
    <xf numFmtId="176" fontId="280" fillId="0" borderId="0" xfId="1498" applyNumberFormat="1" applyFont="1" applyAlignment="1">
      <alignment horizontal="center" vertical="center"/>
    </xf>
    <xf numFmtId="9" fontId="280" fillId="0" borderId="0" xfId="1498" applyFont="1" applyFill="1" applyBorder="1" applyAlignment="1">
      <alignment horizontal="center" vertical="center"/>
    </xf>
    <xf numFmtId="3" fontId="280" fillId="108" borderId="0" xfId="1497" applyNumberFormat="1" applyFont="1" applyFill="1" applyBorder="1" applyAlignment="1">
      <alignment horizontal="center" vertical="center"/>
    </xf>
    <xf numFmtId="176" fontId="280" fillId="108" borderId="0" xfId="1498" applyNumberFormat="1" applyFont="1" applyFill="1" applyBorder="1" applyAlignment="1">
      <alignment horizontal="center" vertical="center"/>
    </xf>
    <xf numFmtId="341" fontId="280" fillId="108" borderId="0" xfId="1497" applyNumberFormat="1" applyFont="1" applyFill="1" applyBorder="1" applyAlignment="1">
      <alignment horizontal="center" vertical="center"/>
    </xf>
    <xf numFmtId="1" fontId="280" fillId="108" borderId="0" xfId="252" applyNumberFormat="1" applyFont="1" applyFill="1" applyAlignment="1">
      <alignment horizontal="center" vertical="center"/>
    </xf>
    <xf numFmtId="178" fontId="280" fillId="108" borderId="0" xfId="1497" applyNumberFormat="1" applyFont="1" applyFill="1" applyBorder="1" applyAlignment="1">
      <alignment horizontal="center" vertical="center"/>
    </xf>
    <xf numFmtId="9" fontId="280" fillId="108" borderId="0" xfId="1498" applyFont="1" applyFill="1" applyBorder="1" applyAlignment="1">
      <alignment horizontal="center" vertical="center"/>
    </xf>
    <xf numFmtId="3" fontId="280" fillId="0" borderId="0" xfId="252" applyNumberFormat="1" applyFont="1" applyAlignment="1">
      <alignment horizontal="center" vertical="center"/>
    </xf>
    <xf numFmtId="176" fontId="280" fillId="0" borderId="0" xfId="252" applyNumberFormat="1" applyFont="1" applyAlignment="1">
      <alignment horizontal="center" vertical="center"/>
    </xf>
    <xf numFmtId="3" fontId="280" fillId="0" borderId="7" xfId="252" applyNumberFormat="1" applyFont="1" applyBorder="1" applyAlignment="1">
      <alignment horizontal="center" vertical="center"/>
    </xf>
    <xf numFmtId="0" fontId="280" fillId="0" borderId="0" xfId="252" applyFont="1" applyAlignment="1">
      <alignment horizontal="right" vertical="center"/>
    </xf>
    <xf numFmtId="3" fontId="280" fillId="0" borderId="0" xfId="67" applyNumberFormat="1" applyFont="1" applyFill="1" applyBorder="1" applyAlignment="1"/>
    <xf numFmtId="3" fontId="280" fillId="0" borderId="0" xfId="284" applyNumberFormat="1" applyFont="1" applyFill="1" applyBorder="1" applyAlignment="1">
      <alignment horizontal="center" vertical="center"/>
    </xf>
    <xf numFmtId="176" fontId="280" fillId="108" borderId="15" xfId="284" applyNumberFormat="1" applyFont="1" applyFill="1" applyBorder="1" applyAlignment="1">
      <alignment horizontal="center" vertical="center"/>
    </xf>
    <xf numFmtId="2" fontId="280" fillId="108" borderId="0" xfId="252" applyNumberFormat="1" applyFont="1" applyFill="1" applyAlignment="1">
      <alignment horizontal="center" vertical="center"/>
    </xf>
    <xf numFmtId="0" fontId="283" fillId="0" borderId="34" xfId="252" applyFont="1" applyBorder="1"/>
    <xf numFmtId="3" fontId="280" fillId="108" borderId="78" xfId="67" applyNumberFormat="1" applyFont="1" applyFill="1" applyBorder="1" applyAlignment="1">
      <alignment horizontal="center" vertical="center"/>
    </xf>
    <xf numFmtId="177" fontId="280" fillId="108" borderId="7" xfId="252" applyNumberFormat="1" applyFont="1" applyFill="1" applyBorder="1" applyAlignment="1">
      <alignment horizontal="center" vertical="center"/>
    </xf>
    <xf numFmtId="176" fontId="280" fillId="0" borderId="0" xfId="284" applyNumberFormat="1" applyFont="1" applyAlignment="1">
      <alignment horizontal="right" vertical="center"/>
    </xf>
    <xf numFmtId="3" fontId="280" fillId="108" borderId="0" xfId="67" applyNumberFormat="1" applyFont="1" applyFill="1" applyAlignment="1">
      <alignment horizontal="center" vertical="center"/>
    </xf>
    <xf numFmtId="177" fontId="280" fillId="0" borderId="0" xfId="67" applyNumberFormat="1" applyFont="1" applyFill="1" applyBorder="1" applyAlignment="1">
      <alignment horizontal="right"/>
    </xf>
    <xf numFmtId="338" fontId="280" fillId="0" borderId="0" xfId="67" applyNumberFormat="1" applyFont="1" applyFill="1" applyBorder="1" applyAlignment="1">
      <alignment horizontal="right" vertical="center"/>
    </xf>
    <xf numFmtId="338" fontId="280" fillId="108" borderId="7" xfId="67" applyNumberFormat="1" applyFont="1" applyFill="1" applyBorder="1" applyAlignment="1">
      <alignment horizontal="right" vertical="center"/>
    </xf>
    <xf numFmtId="338" fontId="283" fillId="0" borderId="0" xfId="67" applyNumberFormat="1" applyFont="1" applyFill="1" applyBorder="1" applyAlignment="1">
      <alignment vertical="center"/>
    </xf>
    <xf numFmtId="338" fontId="280" fillId="108" borderId="0" xfId="67" applyNumberFormat="1" applyFont="1" applyFill="1" applyBorder="1" applyAlignment="1">
      <alignment horizontal="right" vertical="center"/>
    </xf>
    <xf numFmtId="338" fontId="283" fillId="0" borderId="35" xfId="67" applyNumberFormat="1" applyFont="1" applyFill="1" applyBorder="1" applyAlignment="1">
      <alignment horizontal="right" vertical="center"/>
    </xf>
    <xf numFmtId="338" fontId="280" fillId="0" borderId="0" xfId="2" applyNumberFormat="1" applyFont="1"/>
    <xf numFmtId="338" fontId="283" fillId="0" borderId="0" xfId="67" applyNumberFormat="1" applyFont="1" applyFill="1" applyBorder="1"/>
    <xf numFmtId="338" fontId="280" fillId="0" borderId="2" xfId="67" applyNumberFormat="1" applyFont="1" applyFill="1" applyBorder="1" applyAlignment="1">
      <alignment horizontal="right" vertical="center"/>
    </xf>
    <xf numFmtId="338" fontId="280" fillId="109" borderId="0" xfId="67" applyNumberFormat="1" applyFont="1" applyFill="1" applyBorder="1" applyAlignment="1">
      <alignment horizontal="right" vertical="center"/>
    </xf>
    <xf numFmtId="338" fontId="280" fillId="108" borderId="2" xfId="67" applyNumberFormat="1" applyFont="1" applyFill="1" applyBorder="1" applyAlignment="1">
      <alignment horizontal="right"/>
    </xf>
    <xf numFmtId="338" fontId="280" fillId="108" borderId="0" xfId="67" applyNumberFormat="1" applyFont="1" applyFill="1" applyBorder="1" applyAlignment="1">
      <alignment horizontal="right"/>
    </xf>
    <xf numFmtId="338" fontId="280" fillId="108" borderId="7" xfId="67" applyNumberFormat="1" applyFont="1" applyFill="1" applyBorder="1" applyAlignment="1">
      <alignment horizontal="right"/>
    </xf>
    <xf numFmtId="338" fontId="280" fillId="0" borderId="0" xfId="3" applyNumberFormat="1" applyFont="1"/>
    <xf numFmtId="338" fontId="280" fillId="0" borderId="0" xfId="67" applyNumberFormat="1" applyFont="1" applyFill="1" applyBorder="1"/>
    <xf numFmtId="338" fontId="283" fillId="0" borderId="2" xfId="67" applyNumberFormat="1" applyFont="1" applyFill="1" applyBorder="1" applyAlignment="1">
      <alignment horizontal="right" vertical="center"/>
    </xf>
    <xf numFmtId="338" fontId="283" fillId="0" borderId="0" xfId="67" applyNumberFormat="1" applyFont="1" applyFill="1" applyBorder="1" applyAlignment="1">
      <alignment horizontal="right" vertical="center"/>
    </xf>
    <xf numFmtId="338" fontId="280" fillId="108" borderId="0" xfId="67" quotePrefix="1" applyNumberFormat="1" applyFont="1" applyFill="1" applyBorder="1" applyAlignment="1">
      <alignment horizontal="right" vertical="center"/>
    </xf>
    <xf numFmtId="338" fontId="280" fillId="108" borderId="0" xfId="67" applyNumberFormat="1" applyFont="1" applyFill="1" applyBorder="1"/>
    <xf numFmtId="338" fontId="284" fillId="0" borderId="0" xfId="67" applyNumberFormat="1" applyFont="1" applyFill="1" applyBorder="1"/>
    <xf numFmtId="338" fontId="290" fillId="0" borderId="0" xfId="67" applyNumberFormat="1" applyFont="1" applyFill="1" applyBorder="1"/>
    <xf numFmtId="338" fontId="284" fillId="0" borderId="0" xfId="0" applyNumberFormat="1" applyFont="1"/>
    <xf numFmtId="338" fontId="284" fillId="0" borderId="0" xfId="249" applyNumberFormat="1" applyFont="1"/>
    <xf numFmtId="9" fontId="280" fillId="0" borderId="0" xfId="284" applyFont="1" applyFill="1" applyBorder="1" applyAlignment="1">
      <alignment horizontal="right"/>
    </xf>
    <xf numFmtId="0" fontId="307" fillId="0" borderId="0" xfId="0" applyFont="1"/>
    <xf numFmtId="0" fontId="280" fillId="0" borderId="22" xfId="0" applyFont="1" applyBorder="1"/>
    <xf numFmtId="15" fontId="308" fillId="0" borderId="0" xfId="0" applyNumberFormat="1" applyFont="1" applyAlignment="1">
      <alignment horizontal="left"/>
    </xf>
    <xf numFmtId="0" fontId="308" fillId="0" borderId="0" xfId="0" applyFont="1"/>
    <xf numFmtId="178" fontId="280" fillId="0" borderId="0" xfId="67" applyNumberFormat="1" applyFont="1" applyFill="1" applyBorder="1" applyAlignment="1">
      <alignment horizontal="right"/>
    </xf>
    <xf numFmtId="0" fontId="282" fillId="0" borderId="0" xfId="0" applyFont="1"/>
    <xf numFmtId="0" fontId="282" fillId="0" borderId="0" xfId="0" quotePrefix="1" applyFont="1"/>
    <xf numFmtId="0" fontId="283" fillId="0" borderId="7" xfId="0" applyFont="1" applyBorder="1"/>
    <xf numFmtId="338" fontId="280" fillId="0" borderId="0" xfId="0" applyNumberFormat="1" applyFont="1"/>
    <xf numFmtId="338" fontId="280" fillId="0" borderId="0" xfId="0" applyNumberFormat="1" applyFont="1" applyAlignment="1">
      <alignment horizontal="right"/>
    </xf>
    <xf numFmtId="338" fontId="280" fillId="0" borderId="0" xfId="3" applyNumberFormat="1" applyFont="1" applyAlignment="1">
      <alignment horizontal="right" vertical="center"/>
    </xf>
    <xf numFmtId="338" fontId="280" fillId="0" borderId="0" xfId="67" applyNumberFormat="1" applyFont="1" applyFill="1" applyAlignment="1">
      <alignment horizontal="right" vertical="center"/>
    </xf>
    <xf numFmtId="338" fontId="280" fillId="0" borderId="0" xfId="2" applyNumberFormat="1" applyFont="1" applyAlignment="1">
      <alignment horizontal="right" vertical="center"/>
    </xf>
    <xf numFmtId="338" fontId="280" fillId="0" borderId="7" xfId="67" applyNumberFormat="1" applyFont="1" applyFill="1" applyBorder="1" applyAlignment="1">
      <alignment horizontal="right" vertical="center"/>
    </xf>
    <xf numFmtId="342" fontId="280" fillId="0" borderId="0" xfId="67" applyNumberFormat="1" applyFont="1" applyFill="1" applyBorder="1" applyAlignment="1">
      <alignment horizontal="right" vertical="center"/>
    </xf>
    <xf numFmtId="342" fontId="280" fillId="0" borderId="0" xfId="67" applyNumberFormat="1" applyFont="1" applyFill="1" applyAlignment="1">
      <alignment horizontal="right" vertical="center"/>
    </xf>
    <xf numFmtId="342" fontId="280" fillId="0" borderId="7" xfId="67" applyNumberFormat="1" applyFont="1" applyFill="1" applyBorder="1" applyAlignment="1">
      <alignment horizontal="right" vertical="center"/>
    </xf>
    <xf numFmtId="343" fontId="280" fillId="0" borderId="0" xfId="67" applyNumberFormat="1" applyFont="1" applyFill="1" applyBorder="1" applyAlignment="1">
      <alignment horizontal="right" vertical="center"/>
    </xf>
    <xf numFmtId="343" fontId="280" fillId="0" borderId="0" xfId="0" applyNumberFormat="1" applyFont="1" applyAlignment="1">
      <alignment horizontal="right"/>
    </xf>
    <xf numFmtId="343" fontId="280" fillId="0" borderId="0" xfId="3" applyNumberFormat="1" applyFont="1" applyAlignment="1">
      <alignment horizontal="right" vertical="center"/>
    </xf>
    <xf numFmtId="343" fontId="280" fillId="0" borderId="0" xfId="67" applyNumberFormat="1" applyFont="1" applyFill="1" applyAlignment="1">
      <alignment horizontal="right" vertical="center"/>
    </xf>
    <xf numFmtId="343" fontId="280" fillId="0" borderId="7" xfId="67" applyNumberFormat="1" applyFont="1" applyFill="1" applyBorder="1" applyAlignment="1">
      <alignment horizontal="right" vertical="center"/>
    </xf>
    <xf numFmtId="343" fontId="280" fillId="0" borderId="0" xfId="0" applyNumberFormat="1" applyFont="1"/>
    <xf numFmtId="343" fontId="280" fillId="0" borderId="0" xfId="2" applyNumberFormat="1" applyFont="1" applyAlignment="1">
      <alignment horizontal="right" vertical="center"/>
    </xf>
    <xf numFmtId="342" fontId="280" fillId="0" borderId="0" xfId="0" applyNumberFormat="1" applyFont="1"/>
    <xf numFmtId="342" fontId="280" fillId="0" borderId="0" xfId="0" applyNumberFormat="1" applyFont="1" applyAlignment="1">
      <alignment horizontal="right"/>
    </xf>
    <xf numFmtId="342" fontId="280" fillId="0" borderId="0" xfId="3" applyNumberFormat="1" applyFont="1" applyAlignment="1">
      <alignment horizontal="right" vertical="center"/>
    </xf>
    <xf numFmtId="342" fontId="280" fillId="0" borderId="0" xfId="2" applyNumberFormat="1" applyFont="1" applyAlignment="1">
      <alignment horizontal="right" vertical="center"/>
    </xf>
    <xf numFmtId="3" fontId="283" fillId="0" borderId="0" xfId="252" applyNumberFormat="1" applyFont="1" applyAlignment="1">
      <alignment horizontal="center" vertical="center"/>
    </xf>
    <xf numFmtId="176" fontId="283" fillId="0" borderId="0" xfId="252" applyNumberFormat="1" applyFont="1" applyAlignment="1">
      <alignment horizontal="center" vertical="center"/>
    </xf>
    <xf numFmtId="0" fontId="283" fillId="0" borderId="0" xfId="252" applyFont="1" applyAlignment="1">
      <alignment horizontal="left" vertical="center" indent="1"/>
    </xf>
    <xf numFmtId="3" fontId="283" fillId="0" borderId="33" xfId="252" applyNumberFormat="1" applyFont="1" applyBorder="1" applyAlignment="1">
      <alignment horizontal="center" vertical="center"/>
    </xf>
    <xf numFmtId="3" fontId="283" fillId="108" borderId="0" xfId="67" applyNumberFormat="1" applyFont="1" applyFill="1" applyAlignment="1">
      <alignment horizontal="center" vertical="center"/>
    </xf>
    <xf numFmtId="176" fontId="283" fillId="0" borderId="7" xfId="284" applyNumberFormat="1" applyFont="1" applyBorder="1" applyAlignment="1">
      <alignment horizontal="center" vertical="center"/>
    </xf>
    <xf numFmtId="177" fontId="283" fillId="0" borderId="7" xfId="252" applyNumberFormat="1" applyFont="1" applyBorder="1" applyAlignment="1">
      <alignment horizontal="center" vertical="center"/>
    </xf>
    <xf numFmtId="178" fontId="283" fillId="108" borderId="0" xfId="67" applyNumberFormat="1" applyFont="1" applyFill="1" applyBorder="1" applyAlignment="1">
      <alignment horizontal="center" vertical="center"/>
    </xf>
    <xf numFmtId="3" fontId="283" fillId="0" borderId="4" xfId="67" applyNumberFormat="1" applyFont="1" applyFill="1" applyBorder="1" applyAlignment="1">
      <alignment horizontal="center" vertical="center"/>
    </xf>
    <xf numFmtId="178" fontId="283" fillId="0" borderId="0" xfId="67" applyNumberFormat="1" applyFont="1" applyFill="1" applyBorder="1" applyAlignment="1">
      <alignment horizontal="center" vertical="center"/>
    </xf>
    <xf numFmtId="3" fontId="283" fillId="108" borderId="4" xfId="67" applyNumberFormat="1" applyFont="1" applyFill="1" applyBorder="1" applyAlignment="1">
      <alignment horizontal="center" vertical="center"/>
    </xf>
    <xf numFmtId="0" fontId="290" fillId="0" borderId="0" xfId="0" applyFont="1" applyAlignment="1">
      <alignment horizontal="center"/>
    </xf>
    <xf numFmtId="0" fontId="284" fillId="0" borderId="0" xfId="0" applyFont="1" applyAlignment="1">
      <alignment horizontal="center"/>
    </xf>
    <xf numFmtId="176" fontId="284" fillId="0" borderId="0" xfId="284" applyNumberFormat="1" applyFont="1" applyFill="1" applyBorder="1" applyAlignment="1">
      <alignment horizontal="center" vertical="center"/>
    </xf>
    <xf numFmtId="176" fontId="290" fillId="0" borderId="0" xfId="284" applyNumberFormat="1" applyFont="1" applyFill="1" applyBorder="1" applyAlignment="1">
      <alignment horizontal="center" vertical="center"/>
    </xf>
    <xf numFmtId="3" fontId="280" fillId="0" borderId="0" xfId="67" applyNumberFormat="1" applyFont="1" applyBorder="1" applyAlignment="1">
      <alignment horizontal="center" vertical="center"/>
    </xf>
    <xf numFmtId="176" fontId="280" fillId="108" borderId="7" xfId="284" applyNumberFormat="1" applyFont="1" applyFill="1" applyBorder="1" applyAlignment="1">
      <alignment horizontal="center" vertical="center"/>
    </xf>
    <xf numFmtId="3" fontId="283" fillId="0" borderId="7" xfId="67" applyNumberFormat="1" applyFont="1" applyFill="1" applyBorder="1" applyAlignment="1">
      <alignment horizontal="center"/>
    </xf>
    <xf numFmtId="0" fontId="309" fillId="0" borderId="0" xfId="252" applyFont="1" applyAlignment="1">
      <alignment vertical="center"/>
    </xf>
    <xf numFmtId="0" fontId="282" fillId="0" borderId="0" xfId="252" applyFont="1" applyAlignment="1">
      <alignment horizontal="left" vertical="center"/>
    </xf>
    <xf numFmtId="0" fontId="309" fillId="0" borderId="0" xfId="252" applyFont="1"/>
    <xf numFmtId="3" fontId="282" fillId="108" borderId="0" xfId="67" applyNumberFormat="1" applyFont="1" applyFill="1" applyBorder="1" applyAlignment="1">
      <alignment horizontal="center" vertical="center"/>
    </xf>
    <xf numFmtId="3" fontId="309" fillId="0" borderId="0" xfId="67" applyNumberFormat="1" applyFont="1" applyFill="1" applyBorder="1" applyAlignment="1">
      <alignment horizontal="center" vertical="center"/>
    </xf>
    <xf numFmtId="176" fontId="282" fillId="108" borderId="0" xfId="284" applyNumberFormat="1" applyFont="1" applyFill="1" applyBorder="1" applyAlignment="1">
      <alignment horizontal="center" vertical="center"/>
    </xf>
    <xf numFmtId="3" fontId="282" fillId="0" borderId="0" xfId="67" applyNumberFormat="1" applyFont="1" applyFill="1" applyBorder="1" applyAlignment="1">
      <alignment horizontal="center" vertical="center"/>
    </xf>
    <xf numFmtId="176" fontId="309" fillId="0" borderId="0" xfId="284" applyNumberFormat="1" applyFont="1" applyBorder="1" applyAlignment="1">
      <alignment horizontal="center" vertical="center"/>
    </xf>
    <xf numFmtId="177" fontId="309" fillId="0" borderId="0" xfId="252" applyNumberFormat="1" applyFont="1" applyAlignment="1">
      <alignment horizontal="center" vertical="center"/>
    </xf>
    <xf numFmtId="341" fontId="280" fillId="0" borderId="0" xfId="1497" applyNumberFormat="1" applyFont="1" applyFill="1" applyBorder="1" applyAlignment="1">
      <alignment horizontal="center" vertical="center"/>
    </xf>
    <xf numFmtId="0" fontId="311" fillId="107" borderId="0" xfId="2" applyFont="1" applyFill="1" applyAlignment="1">
      <alignment horizontal="right"/>
    </xf>
    <xf numFmtId="338" fontId="280" fillId="29" borderId="0" xfId="67" applyNumberFormat="1" applyFont="1" applyFill="1" applyBorder="1" applyAlignment="1">
      <alignment horizontal="right" vertical="center"/>
    </xf>
    <xf numFmtId="0" fontId="283" fillId="5" borderId="30" xfId="3" applyFont="1" applyFill="1" applyBorder="1"/>
    <xf numFmtId="0" fontId="283" fillId="5" borderId="30" xfId="3" applyFont="1" applyFill="1" applyBorder="1" applyAlignment="1">
      <alignment horizontal="center"/>
    </xf>
    <xf numFmtId="0" fontId="280" fillId="5" borderId="0" xfId="3" applyFont="1" applyFill="1" applyAlignment="1">
      <alignment vertical="center"/>
    </xf>
    <xf numFmtId="2" fontId="280" fillId="0" borderId="0" xfId="3" applyNumberFormat="1" applyFont="1" applyAlignment="1">
      <alignment vertical="center"/>
    </xf>
    <xf numFmtId="0" fontId="282" fillId="5" borderId="0" xfId="3" applyFont="1" applyFill="1" applyAlignment="1">
      <alignment vertical="center"/>
    </xf>
    <xf numFmtId="2" fontId="282" fillId="0" borderId="0" xfId="3" applyNumberFormat="1" applyFont="1" applyAlignment="1">
      <alignment vertical="center"/>
    </xf>
    <xf numFmtId="0" fontId="280" fillId="0" borderId="0" xfId="0" applyFont="1" applyAlignment="1">
      <alignment horizontal="left" indent="1"/>
    </xf>
    <xf numFmtId="0" fontId="280" fillId="108" borderId="0" xfId="67" applyNumberFormat="1" applyFont="1" applyFill="1" applyBorder="1" applyAlignment="1">
      <alignment horizontal="right" vertical="center"/>
    </xf>
    <xf numFmtId="343" fontId="280" fillId="0" borderId="0" xfId="284" applyNumberFormat="1" applyFont="1" applyFill="1" applyAlignment="1">
      <alignment horizontal="right" vertical="center"/>
    </xf>
    <xf numFmtId="343" fontId="283" fillId="0" borderId="30" xfId="284" applyNumberFormat="1" applyFont="1" applyFill="1" applyBorder="1" applyAlignment="1">
      <alignment horizontal="right" vertical="center"/>
    </xf>
    <xf numFmtId="343" fontId="283" fillId="0" borderId="0" xfId="284" applyNumberFormat="1" applyFont="1" applyFill="1" applyBorder="1" applyAlignment="1">
      <alignment horizontal="right" vertical="center"/>
    </xf>
    <xf numFmtId="343" fontId="283" fillId="0" borderId="0" xfId="284" applyNumberFormat="1" applyFont="1" applyFill="1" applyAlignment="1">
      <alignment horizontal="right" vertical="center"/>
    </xf>
    <xf numFmtId="3" fontId="283" fillId="0" borderId="7" xfId="67" applyNumberFormat="1" applyFont="1" applyBorder="1" applyAlignment="1">
      <alignment horizontal="center" vertical="center"/>
    </xf>
    <xf numFmtId="3" fontId="283" fillId="0" borderId="0" xfId="67" applyNumberFormat="1" applyFont="1" applyBorder="1" applyAlignment="1">
      <alignment horizontal="center" vertical="center"/>
    </xf>
    <xf numFmtId="0" fontId="310" fillId="107" borderId="62" xfId="2371" applyFont="1" applyFill="1" applyBorder="1"/>
    <xf numFmtId="0" fontId="283" fillId="0" borderId="0" xfId="2" applyFont="1" applyAlignment="1">
      <alignment horizontal="center" vertical="center"/>
    </xf>
  </cellXfs>
  <cellStyles count="2372">
    <cellStyle name="_x000a_386grabber=M" xfId="1" xr:uid="{00000000-0005-0000-0000-000000000000}"/>
    <cellStyle name="_x000a_386grabber=M 2" xfId="540" xr:uid="{00000000-0005-0000-0000-000001000000}"/>
    <cellStyle name="_x000a_386grabber=M 3" xfId="811" xr:uid="{00000000-0005-0000-0000-000002000000}"/>
    <cellStyle name="_x000a_386grabber=M 4" xfId="539" xr:uid="{00000000-0005-0000-0000-000003000000}"/>
    <cellStyle name="_x000d_386grabber=M" xfId="1243" xr:uid="{00000000-0005-0000-0000-000004000000}"/>
    <cellStyle name="&quot;X&quot; Men" xfId="541" xr:uid="{00000000-0005-0000-0000-000005000000}"/>
    <cellStyle name="%" xfId="2" xr:uid="{00000000-0005-0000-0000-000006000000}"/>
    <cellStyle name="% 2" xfId="3" xr:uid="{00000000-0005-0000-0000-000007000000}"/>
    <cellStyle name="% 2 2" xfId="1499" xr:uid="{00000000-0005-0000-0000-000008000000}"/>
    <cellStyle name="% 2 3" xfId="438" xr:uid="{00000000-0005-0000-0000-000009000000}"/>
    <cellStyle name="% 2 3 2" xfId="1257" xr:uid="{00000000-0005-0000-0000-00000A000000}"/>
    <cellStyle name="% 2 4" xfId="1500" xr:uid="{00000000-0005-0000-0000-00000B000000}"/>
    <cellStyle name="% 2 4 2" xfId="1501" xr:uid="{00000000-0005-0000-0000-00000C000000}"/>
    <cellStyle name="% 3" xfId="542" xr:uid="{00000000-0005-0000-0000-00000D000000}"/>
    <cellStyle name="% 3 2" xfId="1502" xr:uid="{00000000-0005-0000-0000-00000E000000}"/>
    <cellStyle name="% 3 3" xfId="1503" xr:uid="{00000000-0005-0000-0000-00000F000000}"/>
    <cellStyle name="% 3 4" xfId="1504" xr:uid="{00000000-0005-0000-0000-000010000000}"/>
    <cellStyle name="% 4" xfId="1256" xr:uid="{00000000-0005-0000-0000-000011000000}"/>
    <cellStyle name="% 4 2" xfId="1505" xr:uid="{00000000-0005-0000-0000-000012000000}"/>
    <cellStyle name="% 4 3" xfId="1506" xr:uid="{00000000-0005-0000-0000-000013000000}"/>
    <cellStyle name="% 5" xfId="1507" xr:uid="{00000000-0005-0000-0000-000014000000}"/>
    <cellStyle name="% 5 2" xfId="1508" xr:uid="{00000000-0005-0000-0000-000015000000}"/>
    <cellStyle name="% 6" xfId="1509" xr:uid="{00000000-0005-0000-0000-000016000000}"/>
    <cellStyle name="%_BeatriceF" xfId="1510" xr:uid="{00000000-0005-0000-0000-000017000000}"/>
    <cellStyle name="%_LEAP Model New" xfId="543" xr:uid="{00000000-0005-0000-0000-000018000000}"/>
    <cellStyle name="%_LEAP Model New_AT&amp;T Model New New - THESIS" xfId="1244" xr:uid="{00000000-0005-0000-0000-000019000000}"/>
    <cellStyle name="%_LEAP Model New_S Model New 03-30-2012" xfId="816" xr:uid="{00000000-0005-0000-0000-00001A000000}"/>
    <cellStyle name="%_LEAP Model WIP" xfId="544" xr:uid="{00000000-0005-0000-0000-00001B000000}"/>
    <cellStyle name="%_LEAP Model WIP_AT&amp;T Model New New - THESIS" xfId="1245" xr:uid="{00000000-0005-0000-0000-00001C000000}"/>
    <cellStyle name="%_LEAP Model WIP_S Model New 03-30-2012" xfId="817" xr:uid="{00000000-0005-0000-0000-00001D000000}"/>
    <cellStyle name="%_Millicom_rollforward" xfId="4" xr:uid="{00000000-0005-0000-0000-00001E000000}"/>
    <cellStyle name="%_MTN WIP 1" xfId="5" xr:uid="{00000000-0005-0000-0000-00001F000000}"/>
    <cellStyle name="%_multmod" xfId="6" xr:uid="{00000000-0005-0000-0000-000020000000}"/>
    <cellStyle name="%_multmod 2" xfId="1260" xr:uid="{00000000-0005-0000-0000-000021000000}"/>
    <cellStyle name="%_PCS Model New" xfId="545" xr:uid="{00000000-0005-0000-0000-000022000000}"/>
    <cellStyle name="%_Pedro" xfId="1511" xr:uid="{00000000-0005-0000-0000-000023000000}"/>
    <cellStyle name="%_S Model New" xfId="546" xr:uid="{00000000-0005-0000-0000-000024000000}"/>
    <cellStyle name="%_T Model New" xfId="547" xr:uid="{00000000-0005-0000-0000-000025000000}"/>
    <cellStyle name="%_T Model New_AT&amp;T Model New New - THESIS" xfId="1246" xr:uid="{00000000-0005-0000-0000-000026000000}"/>
    <cellStyle name="%_T Model New_S Model New 03-30-2012" xfId="818" xr:uid="{00000000-0005-0000-0000-000027000000}"/>
    <cellStyle name="%_TNOR_current" xfId="1512" xr:uid="{00000000-0005-0000-0000-000028000000}"/>
    <cellStyle name="%_TNOR_preQ410a" xfId="1513" xr:uid="{00000000-0005-0000-0000-000029000000}"/>
    <cellStyle name="%_VIP WIP" xfId="1514" xr:uid="{00000000-0005-0000-0000-00002A000000}"/>
    <cellStyle name="%_VIP WIP 2" xfId="1515" xr:uid="{00000000-0005-0000-0000-00002B000000}"/>
    <cellStyle name="%_VIP WIP 3" xfId="1516" xr:uid="{00000000-0005-0000-0000-00002C000000}"/>
    <cellStyle name="%_VIP WIP 3 2" xfId="1517" xr:uid="{00000000-0005-0000-0000-00002D000000}"/>
    <cellStyle name="%_VIP_WIP" xfId="7" xr:uid="{00000000-0005-0000-0000-00002E000000}"/>
    <cellStyle name="%_VIP_WIP 2" xfId="1518" xr:uid="{00000000-0005-0000-0000-00002F000000}"/>
    <cellStyle name="%_VIP_WIP 2 2" xfId="1519" xr:uid="{00000000-0005-0000-0000-000030000000}"/>
    <cellStyle name="%_VIP_WIP 3" xfId="1520" xr:uid="{00000000-0005-0000-0000-000031000000}"/>
    <cellStyle name="%_VIP_WIP 3 2" xfId="1521" xr:uid="{00000000-0005-0000-0000-000032000000}"/>
    <cellStyle name="%_VIP_WIP 4" xfId="1522" xr:uid="{00000000-0005-0000-0000-000033000000}"/>
    <cellStyle name="%_vod" xfId="1523" xr:uid="{00000000-0005-0000-0000-000034000000}"/>
    <cellStyle name="%_Vodacom WIP" xfId="8" xr:uid="{00000000-0005-0000-0000-000035000000}"/>
    <cellStyle name="%_VZ Model New" xfId="548" xr:uid="{00000000-0005-0000-0000-000036000000}"/>
    <cellStyle name="******************************************" xfId="9" xr:uid="{00000000-0005-0000-0000-000037000000}"/>
    <cellStyle name="****************************************** 2" xfId="549" xr:uid="{00000000-0005-0000-0000-000038000000}"/>
    <cellStyle name="****************************************** 2 2" xfId="1524" xr:uid="{00000000-0005-0000-0000-000039000000}"/>
    <cellStyle name="****************************************** 3" xfId="1525" xr:uid="{00000000-0005-0000-0000-00003A000000}"/>
    <cellStyle name="?Q\?1@" xfId="10" xr:uid="{00000000-0005-0000-0000-00003B000000}"/>
    <cellStyle name="?Q\?1@ 2" xfId="1526" xr:uid="{00000000-0005-0000-0000-00003C000000}"/>
    <cellStyle name="]_x000a__x000a_Extension=conv.dll_x000a__x000a_MS-DOS Tools Extentions=C:\DOS\MSTOOLS.DLL_x000a__x000a__x000a__x000a_[Settings]_x000a__x000a_UNDELETE.DLL=C:\DOS\MSTOOLS.DLL_x000a__x000a_W" xfId="550" xr:uid="{00000000-0005-0000-0000-00003D000000}"/>
    <cellStyle name="]_x000d__x000d_Extension=conv.dll_x000d__x000d_MS-DOS Tools Extentions=C:\DOS\MSTOOLS.DLL_x000d__x000d__x000d__x000d_[Settings]_x000d__x000d_UNDELETE.DLL=C:\DOS\MSTOOLS.DLL_x000d__x000d_W" xfId="1247" xr:uid="{00000000-0005-0000-0000-00003E000000}"/>
    <cellStyle name="_%(SignOnly)" xfId="1527" xr:uid="{00000000-0005-0000-0000-00003F000000}"/>
    <cellStyle name="_%(SignSpaceOnly)" xfId="1528" xr:uid="{00000000-0005-0000-0000-000040000000}"/>
    <cellStyle name="_Comma" xfId="11" xr:uid="{00000000-0005-0000-0000-000041000000}"/>
    <cellStyle name="_Comma 2" xfId="1529" xr:uid="{00000000-0005-0000-0000-000042000000}"/>
    <cellStyle name="_Comma 2 2" xfId="1530" xr:uid="{00000000-0005-0000-0000-000043000000}"/>
    <cellStyle name="_Comma 3" xfId="1531" xr:uid="{00000000-0005-0000-0000-000044000000}"/>
    <cellStyle name="_Currency" xfId="12" xr:uid="{00000000-0005-0000-0000-000045000000}"/>
    <cellStyle name="_Currency 2" xfId="1532" xr:uid="{00000000-0005-0000-0000-000046000000}"/>
    <cellStyle name="_Currency 2 2" xfId="1533" xr:uid="{00000000-0005-0000-0000-000047000000}"/>
    <cellStyle name="_Currency 3" xfId="1534" xr:uid="{00000000-0005-0000-0000-000048000000}"/>
    <cellStyle name="_CurrencySpace" xfId="13" xr:uid="{00000000-0005-0000-0000-000049000000}"/>
    <cellStyle name="_CurrencySpace 2" xfId="1535" xr:uid="{00000000-0005-0000-0000-00004A000000}"/>
    <cellStyle name="_CurrencySpace 2 2" xfId="1536" xr:uid="{00000000-0005-0000-0000-00004B000000}"/>
    <cellStyle name="_CurrencySpace 3" xfId="1537" xr:uid="{00000000-0005-0000-0000-00004C000000}"/>
    <cellStyle name="_ere_KADS_Core_Items" xfId="551" xr:uid="{00000000-0005-0000-0000-00004D000000}"/>
    <cellStyle name="_Euro" xfId="1538" xr:uid="{00000000-0005-0000-0000-00004E000000}"/>
    <cellStyle name="_Heading" xfId="1539" xr:uid="{00000000-0005-0000-0000-00004F000000}"/>
    <cellStyle name="_Highlight" xfId="1540" xr:uid="{00000000-0005-0000-0000-000050000000}"/>
    <cellStyle name="_Innsamling" xfId="14" xr:uid="{00000000-0005-0000-0000-000051000000}"/>
    <cellStyle name="_Innsamling 2" xfId="1541" xr:uid="{00000000-0005-0000-0000-000052000000}"/>
    <cellStyle name="_Innsamling 2 2" xfId="1542" xr:uid="{00000000-0005-0000-0000-000053000000}"/>
    <cellStyle name="_Jazz model 28 Oct 09" xfId="1543" xr:uid="{00000000-0005-0000-0000-000054000000}"/>
    <cellStyle name="_JP Morgan" xfId="15" xr:uid="{00000000-0005-0000-0000-000055000000}"/>
    <cellStyle name="_JP Morgan 2" xfId="1544" xr:uid="{00000000-0005-0000-0000-000056000000}"/>
    <cellStyle name="_JP Morgan 2 2" xfId="1545" xr:uid="{00000000-0005-0000-0000-000057000000}"/>
    <cellStyle name="_JP Morgan_TNOR_preQ410a" xfId="1546" xr:uid="{00000000-0005-0000-0000-000058000000}"/>
    <cellStyle name="_JP Morgan_TNOR_preQ410a 2" xfId="1547" xr:uid="{00000000-0005-0000-0000-000059000000}"/>
    <cellStyle name="_Mal for innhenting av estimater Q4- 2002" xfId="16" xr:uid="{00000000-0005-0000-0000-00005A000000}"/>
    <cellStyle name="_Mal for innhenting av estimater Q4- 2002 2" xfId="1548" xr:uid="{00000000-0005-0000-0000-00005B000000}"/>
    <cellStyle name="_Mal for innhenting av estimater Q4- 2002 2 2" xfId="1549" xr:uid="{00000000-0005-0000-0000-00005C000000}"/>
    <cellStyle name="_Multiple" xfId="17" xr:uid="{00000000-0005-0000-0000-00005D000000}"/>
    <cellStyle name="_Multiple 2" xfId="1550" xr:uid="{00000000-0005-0000-0000-00005E000000}"/>
    <cellStyle name="_Multiple 2 2" xfId="1551" xr:uid="{00000000-0005-0000-0000-00005F000000}"/>
    <cellStyle name="_Multiple 3" xfId="1552" xr:uid="{00000000-0005-0000-0000-000060000000}"/>
    <cellStyle name="_MultipleSpace" xfId="18" xr:uid="{00000000-0005-0000-0000-000061000000}"/>
    <cellStyle name="_MultipleSpace 2" xfId="1553" xr:uid="{00000000-0005-0000-0000-000062000000}"/>
    <cellStyle name="_MultipleSpace 2 2" xfId="1554" xr:uid="{00000000-0005-0000-0000-000063000000}"/>
    <cellStyle name="_MultipleSpace 3" xfId="1555" xr:uid="{00000000-0005-0000-0000-000064000000}"/>
    <cellStyle name="_Percent" xfId="19" xr:uid="{00000000-0005-0000-0000-000065000000}"/>
    <cellStyle name="_Percent 2" xfId="1556" xr:uid="{00000000-0005-0000-0000-000066000000}"/>
    <cellStyle name="_Percent 2 2" xfId="1557" xr:uid="{00000000-0005-0000-0000-000067000000}"/>
    <cellStyle name="_PercentSpace" xfId="20" xr:uid="{00000000-0005-0000-0000-000068000000}"/>
    <cellStyle name="_PercentSpace 2" xfId="1558" xr:uid="{00000000-0005-0000-0000-000069000000}"/>
    <cellStyle name="_PercentSpace 2 2" xfId="1559" xr:uid="{00000000-0005-0000-0000-00006A000000}"/>
    <cellStyle name="_SubHeading" xfId="1560" xr:uid="{00000000-0005-0000-0000-00006B000000}"/>
    <cellStyle name="_Table" xfId="1561" xr:uid="{00000000-0005-0000-0000-00006C000000}"/>
    <cellStyle name="_TableHead" xfId="1562" xr:uid="{00000000-0005-0000-0000-00006D000000}"/>
    <cellStyle name="_TableRowHead" xfId="1563" xr:uid="{00000000-0005-0000-0000-00006E000000}"/>
    <cellStyle name="_TableSuperHead" xfId="1564" xr:uid="{00000000-0005-0000-0000-00006F000000}"/>
    <cellStyle name="_TNOR_current" xfId="1565" xr:uid="{00000000-0005-0000-0000-000070000000}"/>
    <cellStyle name="_TNOR_current 2" xfId="1566" xr:uid="{00000000-0005-0000-0000-000071000000}"/>
    <cellStyle name="_TNOR_current 3" xfId="1567" xr:uid="{00000000-0005-0000-0000-000072000000}"/>
    <cellStyle name="_TNOR_current 3 2" xfId="1568" xr:uid="{00000000-0005-0000-0000-000073000000}"/>
    <cellStyle name="_usr_KADS_Full_Upload_Items" xfId="552" xr:uid="{00000000-0005-0000-0000-000074000000}"/>
    <cellStyle name="_usr_KADS_Full_Upload_Items 2" xfId="1147" xr:uid="{00000000-0005-0000-0000-000075000000}"/>
    <cellStyle name="_VOD NEW STRUCTURE workbook" xfId="1569" xr:uid="{00000000-0005-0000-0000-000076000000}"/>
    <cellStyle name="_Vodacom WIP" xfId="21" xr:uid="{00000000-0005-0000-0000-000077000000}"/>
    <cellStyle name="_XOM model" xfId="553" xr:uid="{00000000-0005-0000-0000-000078000000}"/>
    <cellStyle name="“ü—Í—“" xfId="554" xr:uid="{00000000-0005-0000-0000-000079000000}"/>
    <cellStyle name="£ BP" xfId="556" xr:uid="{00000000-0005-0000-0000-00007A000000}"/>
    <cellStyle name="¤@¯ë_Sheet1 (2)" xfId="22" xr:uid="{00000000-0005-0000-0000-00007B000000}"/>
    <cellStyle name="¥ JY" xfId="557" xr:uid="{00000000-0005-0000-0000-00007C000000}"/>
    <cellStyle name="=C:\WINNT35\SYSTEM32\COMMAND.COM" xfId="555" xr:uid="{00000000-0005-0000-0000-00007D000000}"/>
    <cellStyle name="=C:\WINNT35\SYSTEM32\COMMAND.COM 2" xfId="944" xr:uid="{00000000-0005-0000-0000-00007E000000}"/>
    <cellStyle name="§Q\òm1@À" xfId="23" xr:uid="{00000000-0005-0000-0000-00007F000000}"/>
    <cellStyle name="§Q\òm1@À 2" xfId="1570" xr:uid="{00000000-0005-0000-0000-000080000000}"/>
    <cellStyle name="§Q\òm1@À 3" xfId="1571" xr:uid="{00000000-0005-0000-0000-000081000000}"/>
    <cellStyle name="§Q\òm1@À 3 2" xfId="1572" xr:uid="{00000000-0005-0000-0000-000082000000}"/>
    <cellStyle name="•W€_VALUE" xfId="24" xr:uid="{00000000-0005-0000-0000-000083000000}"/>
    <cellStyle name="‰p•¶" xfId="1573" xr:uid="{00000000-0005-0000-0000-000084000000}"/>
    <cellStyle name="0" xfId="558" xr:uid="{00000000-0005-0000-0000-000085000000}"/>
    <cellStyle name="0 2" xfId="1064" xr:uid="{00000000-0005-0000-0000-000086000000}"/>
    <cellStyle name="0%" xfId="559" xr:uid="{00000000-0005-0000-0000-000087000000}"/>
    <cellStyle name="0% 2" xfId="1023" xr:uid="{00000000-0005-0000-0000-000088000000}"/>
    <cellStyle name="0.0" xfId="560" xr:uid="{00000000-0005-0000-0000-000089000000}"/>
    <cellStyle name="0.0 2" xfId="1095" xr:uid="{00000000-0005-0000-0000-00008A000000}"/>
    <cellStyle name="0.0%" xfId="561" xr:uid="{00000000-0005-0000-0000-00008B000000}"/>
    <cellStyle name="0.0% 2" xfId="1025" xr:uid="{00000000-0005-0000-0000-00008C000000}"/>
    <cellStyle name="0.0_BPCitigroupWIP" xfId="562" xr:uid="{00000000-0005-0000-0000-00008D000000}"/>
    <cellStyle name="0.00" xfId="563" xr:uid="{00000000-0005-0000-0000-00008E000000}"/>
    <cellStyle name="0.00 2" xfId="1026" xr:uid="{00000000-0005-0000-0000-00008F000000}"/>
    <cellStyle name="0.00%" xfId="564" xr:uid="{00000000-0005-0000-0000-000090000000}"/>
    <cellStyle name="0.00% 2" xfId="1148" xr:uid="{00000000-0005-0000-0000-000091000000}"/>
    <cellStyle name="0.00_BPCitigroupWIP" xfId="565" xr:uid="{00000000-0005-0000-0000-000092000000}"/>
    <cellStyle name="0_BPCitigroupWIP" xfId="566" xr:uid="{00000000-0005-0000-0000-000093000000}"/>
    <cellStyle name="0_BPCitigroupWIP 2" xfId="1124" xr:uid="{00000000-0005-0000-0000-000094000000}"/>
    <cellStyle name="0_RDSCitigroupWIP" xfId="567" xr:uid="{00000000-0005-0000-0000-000095000000}"/>
    <cellStyle name="0_RDSCitigroupWIP 2" xfId="1121" xr:uid="{00000000-0005-0000-0000-000096000000}"/>
    <cellStyle name="0_rdshell_E&amp;P_analysis" xfId="568" xr:uid="{00000000-0005-0000-0000-000097000000}"/>
    <cellStyle name="0_rdshell_E&amp;P_analysis 2" xfId="1085" xr:uid="{00000000-0005-0000-0000-000098000000}"/>
    <cellStyle name="0_TotalCitigroupWIP" xfId="569" xr:uid="{00000000-0005-0000-0000-000099000000}"/>
    <cellStyle name="0_TotalCitigroupWIP 2" xfId="1066" xr:uid="{00000000-0005-0000-0000-00009A000000}"/>
    <cellStyle name="0_TotalCitigroupWIP_old" xfId="570" xr:uid="{00000000-0005-0000-0000-00009B000000}"/>
    <cellStyle name="0_TotalCitigroupWIP_old 2" xfId="1117" xr:uid="{00000000-0005-0000-0000-00009C000000}"/>
    <cellStyle name="0_TotalCitigroupWIP_Q104" xfId="571" xr:uid="{00000000-0005-0000-0000-00009D000000}"/>
    <cellStyle name="0_TotalCitigroupWIP_Q104 2" xfId="1027" xr:uid="{00000000-0005-0000-0000-00009E000000}"/>
    <cellStyle name="000 PN" xfId="1574" xr:uid="{00000000-0005-0000-0000-00009F000000}"/>
    <cellStyle name="20% - Accent1 2" xfId="826" xr:uid="{00000000-0005-0000-0000-0000A0000000}"/>
    <cellStyle name="20% - Accent1 3" xfId="917" xr:uid="{00000000-0005-0000-0000-0000A1000000}"/>
    <cellStyle name="20% - Accent1 4" xfId="1575" xr:uid="{00000000-0005-0000-0000-0000A2000000}"/>
    <cellStyle name="20% - Accent1 5" xfId="1576" xr:uid="{00000000-0005-0000-0000-0000A3000000}"/>
    <cellStyle name="20% - Accent2 2" xfId="827" xr:uid="{00000000-0005-0000-0000-0000A4000000}"/>
    <cellStyle name="20% - Accent2 3" xfId="918" xr:uid="{00000000-0005-0000-0000-0000A5000000}"/>
    <cellStyle name="20% - Accent2 4" xfId="1577" xr:uid="{00000000-0005-0000-0000-0000A6000000}"/>
    <cellStyle name="20% - Accent2 5" xfId="1578" xr:uid="{00000000-0005-0000-0000-0000A7000000}"/>
    <cellStyle name="20% - Accent3 2" xfId="828" xr:uid="{00000000-0005-0000-0000-0000A8000000}"/>
    <cellStyle name="20% - Accent3 3" xfId="919" xr:uid="{00000000-0005-0000-0000-0000A9000000}"/>
    <cellStyle name="20% - Accent3 4" xfId="1579" xr:uid="{00000000-0005-0000-0000-0000AA000000}"/>
    <cellStyle name="20% - Accent3 5" xfId="1580" xr:uid="{00000000-0005-0000-0000-0000AB000000}"/>
    <cellStyle name="20% - Accent4 2" xfId="829" xr:uid="{00000000-0005-0000-0000-0000AC000000}"/>
    <cellStyle name="20% - Accent4 3" xfId="920" xr:uid="{00000000-0005-0000-0000-0000AD000000}"/>
    <cellStyle name="20% - Accent4 4" xfId="1581" xr:uid="{00000000-0005-0000-0000-0000AE000000}"/>
    <cellStyle name="20% - Accent4 5" xfId="1582" xr:uid="{00000000-0005-0000-0000-0000AF000000}"/>
    <cellStyle name="20% - Accent5 2" xfId="830" xr:uid="{00000000-0005-0000-0000-0000B0000000}"/>
    <cellStyle name="20% - Accent5 3" xfId="921" xr:uid="{00000000-0005-0000-0000-0000B1000000}"/>
    <cellStyle name="20% - Accent5 4" xfId="1583" xr:uid="{00000000-0005-0000-0000-0000B2000000}"/>
    <cellStyle name="20% - Accent6 2" xfId="831" xr:uid="{00000000-0005-0000-0000-0000B3000000}"/>
    <cellStyle name="20% - Accent6 3" xfId="922" xr:uid="{00000000-0005-0000-0000-0000B4000000}"/>
    <cellStyle name="3f1o [0]_J-Hwang242" xfId="25" xr:uid="{00000000-0005-0000-0000-0000B5000000}"/>
    <cellStyle name="3f1o_J-Hwang2an" xfId="26" xr:uid="{00000000-0005-0000-0000-0000B6000000}"/>
    <cellStyle name="40% - Accent1 2" xfId="832" xr:uid="{00000000-0005-0000-0000-0000B7000000}"/>
    <cellStyle name="40% - Accent1 3" xfId="923" xr:uid="{00000000-0005-0000-0000-0000B8000000}"/>
    <cellStyle name="40% - Accent1 4" xfId="1584" xr:uid="{00000000-0005-0000-0000-0000B9000000}"/>
    <cellStyle name="40% - Accent1 5" xfId="1585" xr:uid="{00000000-0005-0000-0000-0000BA000000}"/>
    <cellStyle name="40% - Accent2 2" xfId="833" xr:uid="{00000000-0005-0000-0000-0000BB000000}"/>
    <cellStyle name="40% - Accent2 3" xfId="924" xr:uid="{00000000-0005-0000-0000-0000BC000000}"/>
    <cellStyle name="40% - Accent2 4" xfId="1586" xr:uid="{00000000-0005-0000-0000-0000BD000000}"/>
    <cellStyle name="40% - Accent3 2" xfId="834" xr:uid="{00000000-0005-0000-0000-0000BE000000}"/>
    <cellStyle name="40% - Accent3 3" xfId="925" xr:uid="{00000000-0005-0000-0000-0000BF000000}"/>
    <cellStyle name="40% - Accent3 4" xfId="1587" xr:uid="{00000000-0005-0000-0000-0000C0000000}"/>
    <cellStyle name="40% - Accent3 5" xfId="1588" xr:uid="{00000000-0005-0000-0000-0000C1000000}"/>
    <cellStyle name="40% - Accent4 2" xfId="835" xr:uid="{00000000-0005-0000-0000-0000C2000000}"/>
    <cellStyle name="40% - Accent4 3" xfId="926" xr:uid="{00000000-0005-0000-0000-0000C3000000}"/>
    <cellStyle name="40% - Accent4 4" xfId="1589" xr:uid="{00000000-0005-0000-0000-0000C4000000}"/>
    <cellStyle name="40% - Accent4 5" xfId="1590" xr:uid="{00000000-0005-0000-0000-0000C5000000}"/>
    <cellStyle name="40% - Accent5 2" xfId="836" xr:uid="{00000000-0005-0000-0000-0000C6000000}"/>
    <cellStyle name="40% - Accent5 3" xfId="927" xr:uid="{00000000-0005-0000-0000-0000C7000000}"/>
    <cellStyle name="40% - Accent5 4" xfId="1591" xr:uid="{00000000-0005-0000-0000-0000C8000000}"/>
    <cellStyle name="40% - Accent6 2" xfId="837" xr:uid="{00000000-0005-0000-0000-0000C9000000}"/>
    <cellStyle name="40% - Accent6 3" xfId="928" xr:uid="{00000000-0005-0000-0000-0000CA000000}"/>
    <cellStyle name="40% - Accent6 4" xfId="1592" xr:uid="{00000000-0005-0000-0000-0000CB000000}"/>
    <cellStyle name="60% - Accent1 2" xfId="838" xr:uid="{00000000-0005-0000-0000-0000CC000000}"/>
    <cellStyle name="60% - Accent1 3" xfId="929" xr:uid="{00000000-0005-0000-0000-0000CD000000}"/>
    <cellStyle name="60% - Accent1 4" xfId="1593" xr:uid="{00000000-0005-0000-0000-0000CE000000}"/>
    <cellStyle name="60% - Accent1 5" xfId="1594" xr:uid="{00000000-0005-0000-0000-0000CF000000}"/>
    <cellStyle name="60% - Accent2 2" xfId="839" xr:uid="{00000000-0005-0000-0000-0000D0000000}"/>
    <cellStyle name="60% - Accent2 3" xfId="930" xr:uid="{00000000-0005-0000-0000-0000D1000000}"/>
    <cellStyle name="60% - Accent2 4" xfId="1595" xr:uid="{00000000-0005-0000-0000-0000D2000000}"/>
    <cellStyle name="60% - Accent3 2" xfId="840" xr:uid="{00000000-0005-0000-0000-0000D3000000}"/>
    <cellStyle name="60% - Accent3 3" xfId="931" xr:uid="{00000000-0005-0000-0000-0000D4000000}"/>
    <cellStyle name="60% - Accent3 4" xfId="1596" xr:uid="{00000000-0005-0000-0000-0000D5000000}"/>
    <cellStyle name="60% - Accent3 5" xfId="1597" xr:uid="{00000000-0005-0000-0000-0000D6000000}"/>
    <cellStyle name="60% - Accent4 2" xfId="841" xr:uid="{00000000-0005-0000-0000-0000D7000000}"/>
    <cellStyle name="60% - Accent4 3" xfId="932" xr:uid="{00000000-0005-0000-0000-0000D8000000}"/>
    <cellStyle name="60% - Accent4 4" xfId="1598" xr:uid="{00000000-0005-0000-0000-0000D9000000}"/>
    <cellStyle name="60% - Accent4 5" xfId="1599" xr:uid="{00000000-0005-0000-0000-0000DA000000}"/>
    <cellStyle name="60% - Accent5 2" xfId="842" xr:uid="{00000000-0005-0000-0000-0000DB000000}"/>
    <cellStyle name="60% - Accent5 3" xfId="933" xr:uid="{00000000-0005-0000-0000-0000DC000000}"/>
    <cellStyle name="60% - Accent5 4" xfId="1600" xr:uid="{00000000-0005-0000-0000-0000DD000000}"/>
    <cellStyle name="60% - Accent6 2" xfId="843" xr:uid="{00000000-0005-0000-0000-0000DE000000}"/>
    <cellStyle name="60% - Accent6 3" xfId="934" xr:uid="{00000000-0005-0000-0000-0000DF000000}"/>
    <cellStyle name="60% - Accent6 4" xfId="1601" xr:uid="{00000000-0005-0000-0000-0000E0000000}"/>
    <cellStyle name="60% - Accent6 5" xfId="1602" xr:uid="{00000000-0005-0000-0000-0000E1000000}"/>
    <cellStyle name="600 PN" xfId="1603" xr:uid="{00000000-0005-0000-0000-0000E2000000}"/>
    <cellStyle name="6mal" xfId="27" xr:uid="{00000000-0005-0000-0000-0000E3000000}"/>
    <cellStyle name="700 PN" xfId="1604" xr:uid="{00000000-0005-0000-0000-0000E4000000}"/>
    <cellStyle name="752131" xfId="572" xr:uid="{00000000-0005-0000-0000-0000E5000000}"/>
    <cellStyle name="aaa" xfId="28" xr:uid="{00000000-0005-0000-0000-0000E6000000}"/>
    <cellStyle name="aaa 2" xfId="1605" xr:uid="{00000000-0005-0000-0000-0000E7000000}"/>
    <cellStyle name="aaa 2 2" xfId="1606" xr:uid="{00000000-0005-0000-0000-0000E8000000}"/>
    <cellStyle name="Accent1 2" xfId="844" xr:uid="{00000000-0005-0000-0000-0000E9000000}"/>
    <cellStyle name="Accent1 3" xfId="935" xr:uid="{00000000-0005-0000-0000-0000EA000000}"/>
    <cellStyle name="Accent1 4" xfId="1607" xr:uid="{00000000-0005-0000-0000-0000EB000000}"/>
    <cellStyle name="Accent1 5" xfId="1608" xr:uid="{00000000-0005-0000-0000-0000EC000000}"/>
    <cellStyle name="Accent2 2" xfId="845" xr:uid="{00000000-0005-0000-0000-0000ED000000}"/>
    <cellStyle name="Accent2 3" xfId="936" xr:uid="{00000000-0005-0000-0000-0000EE000000}"/>
    <cellStyle name="Accent2 4" xfId="1609" xr:uid="{00000000-0005-0000-0000-0000EF000000}"/>
    <cellStyle name="Accent2 5" xfId="1610" xr:uid="{00000000-0005-0000-0000-0000F0000000}"/>
    <cellStyle name="Accent3 2" xfId="846" xr:uid="{00000000-0005-0000-0000-0000F1000000}"/>
    <cellStyle name="Accent3 3" xfId="937" xr:uid="{00000000-0005-0000-0000-0000F2000000}"/>
    <cellStyle name="Accent3 4" xfId="1611" xr:uid="{00000000-0005-0000-0000-0000F3000000}"/>
    <cellStyle name="Accent3 5" xfId="1612" xr:uid="{00000000-0005-0000-0000-0000F4000000}"/>
    <cellStyle name="Accent4 2" xfId="847" xr:uid="{00000000-0005-0000-0000-0000F5000000}"/>
    <cellStyle name="Accent4 3" xfId="938" xr:uid="{00000000-0005-0000-0000-0000F6000000}"/>
    <cellStyle name="Accent4 4" xfId="1613" xr:uid="{00000000-0005-0000-0000-0000F7000000}"/>
    <cellStyle name="Accent4 5" xfId="1614" xr:uid="{00000000-0005-0000-0000-0000F8000000}"/>
    <cellStyle name="Accent5 2" xfId="848" xr:uid="{00000000-0005-0000-0000-0000F9000000}"/>
    <cellStyle name="Accent5 3" xfId="939" xr:uid="{00000000-0005-0000-0000-0000FA000000}"/>
    <cellStyle name="Accent5 4" xfId="1615" xr:uid="{00000000-0005-0000-0000-0000FB000000}"/>
    <cellStyle name="Accent6 2" xfId="849" xr:uid="{00000000-0005-0000-0000-0000FC000000}"/>
    <cellStyle name="Accent6 3" xfId="940" xr:uid="{00000000-0005-0000-0000-0000FD000000}"/>
    <cellStyle name="Accent6 4" xfId="1616" xr:uid="{00000000-0005-0000-0000-0000FE000000}"/>
    <cellStyle name="Acquisition" xfId="29" xr:uid="{00000000-0005-0000-0000-0000FF000000}"/>
    <cellStyle name="Acquisition 2" xfId="1617" xr:uid="{00000000-0005-0000-0000-000000010000}"/>
    <cellStyle name="Acquisition 2 2" xfId="1618" xr:uid="{00000000-0005-0000-0000-000001010000}"/>
    <cellStyle name="Actual" xfId="573" xr:uid="{00000000-0005-0000-0000-000002010000}"/>
    <cellStyle name="Actual data" xfId="574" xr:uid="{00000000-0005-0000-0000-000003010000}"/>
    <cellStyle name="Actual header" xfId="1619" xr:uid="{00000000-0005-0000-0000-000004010000}"/>
    <cellStyle name="Actual year" xfId="575" xr:uid="{00000000-0005-0000-0000-000005010000}"/>
    <cellStyle name="Actual_AMT Model New 11-16-2011" xfId="942" xr:uid="{00000000-0005-0000-0000-000006010000}"/>
    <cellStyle name="adj_share" xfId="576" xr:uid="{00000000-0005-0000-0000-000007010000}"/>
    <cellStyle name="Admin" xfId="1620" xr:uid="{00000000-0005-0000-0000-000008010000}"/>
    <cellStyle name="ÅëÈ­ [0]_TestResults" xfId="30" xr:uid="{00000000-0005-0000-0000-000009010000}"/>
    <cellStyle name="ÅëÈ­_TestResults" xfId="31" xr:uid="{00000000-0005-0000-0000-00000A010000}"/>
    <cellStyle name="AFE" xfId="1621" xr:uid="{00000000-0005-0000-0000-00000B010000}"/>
    <cellStyle name="Afjusted" xfId="577" xr:uid="{00000000-0005-0000-0000-00000C010000}"/>
    <cellStyle name="Afjusted 2" xfId="1030" xr:uid="{00000000-0005-0000-0000-00000D010000}"/>
    <cellStyle name="ales" xfId="578" xr:uid="{00000000-0005-0000-0000-00000E010000}"/>
    <cellStyle name="ANALYST" xfId="32" xr:uid="{00000000-0005-0000-0000-00000F010000}"/>
    <cellStyle name="Année" xfId="33" xr:uid="{00000000-0005-0000-0000-000010010000}"/>
    <cellStyle name="Année (e)" xfId="34" xr:uid="{00000000-0005-0000-0000-000011010000}"/>
    <cellStyle name="Année 2" xfId="1622" xr:uid="{00000000-0005-0000-0000-000012010000}"/>
    <cellStyle name="Année 3" xfId="1623" xr:uid="{00000000-0005-0000-0000-000013010000}"/>
    <cellStyle name="Année 3 2" xfId="1624" xr:uid="{00000000-0005-0000-0000-000014010000}"/>
    <cellStyle name="Année 4" xfId="1625" xr:uid="{00000000-0005-0000-0000-000015010000}"/>
    <cellStyle name="Année 4 2" xfId="1626" xr:uid="{00000000-0005-0000-0000-000016010000}"/>
    <cellStyle name="Année 5" xfId="1627" xr:uid="{00000000-0005-0000-0000-000017010000}"/>
    <cellStyle name="Année 5 2" xfId="1628" xr:uid="{00000000-0005-0000-0000-000018010000}"/>
    <cellStyle name="Année 6" xfId="1629" xr:uid="{00000000-0005-0000-0000-000019010000}"/>
    <cellStyle name="Année 6 2" xfId="1630" xr:uid="{00000000-0005-0000-0000-00001A010000}"/>
    <cellStyle name="Año" xfId="1631" xr:uid="{00000000-0005-0000-0000-00001B010000}"/>
    <cellStyle name="args.style" xfId="35" xr:uid="{00000000-0005-0000-0000-00001C010000}"/>
    <cellStyle name="args.style 2" xfId="1632" xr:uid="{00000000-0005-0000-0000-00001D010000}"/>
    <cellStyle name="args.style 3" xfId="1633" xr:uid="{00000000-0005-0000-0000-00001E010000}"/>
    <cellStyle name="args.style 3 2" xfId="1634" xr:uid="{00000000-0005-0000-0000-00001F010000}"/>
    <cellStyle name="Arial 10" xfId="36" xr:uid="{00000000-0005-0000-0000-000020010000}"/>
    <cellStyle name="Arial 10 2" xfId="1635" xr:uid="{00000000-0005-0000-0000-000021010000}"/>
    <cellStyle name="Arial 12" xfId="37" xr:uid="{00000000-0005-0000-0000-000022010000}"/>
    <cellStyle name="Arial6Bold" xfId="579" xr:uid="{00000000-0005-0000-0000-000023010000}"/>
    <cellStyle name="Arial6Bold 2" xfId="1410" xr:uid="{00000000-0005-0000-0000-000024010000}"/>
    <cellStyle name="Arial8Bold" xfId="580" xr:uid="{00000000-0005-0000-0000-000025010000}"/>
    <cellStyle name="Arial8Bold 2" xfId="1411" xr:uid="{00000000-0005-0000-0000-000026010000}"/>
    <cellStyle name="Arial8Italic" xfId="581" xr:uid="{00000000-0005-0000-0000-000027010000}"/>
    <cellStyle name="Arial8Italic 2" xfId="1412" xr:uid="{00000000-0005-0000-0000-000028010000}"/>
    <cellStyle name="ArialNormal" xfId="582" xr:uid="{00000000-0005-0000-0000-000029010000}"/>
    <cellStyle name="ArialNormal 2" xfId="1413" xr:uid="{00000000-0005-0000-0000-00002A010000}"/>
    <cellStyle name="Array" xfId="583" xr:uid="{00000000-0005-0000-0000-00002B010000}"/>
    <cellStyle name="Array Enter" xfId="584" xr:uid="{00000000-0005-0000-0000-00002C010000}"/>
    <cellStyle name="Array_AMT Model New 11-16-2011" xfId="947" xr:uid="{00000000-0005-0000-0000-00002D010000}"/>
    <cellStyle name="Assumption" xfId="38" xr:uid="{00000000-0005-0000-0000-00002E010000}"/>
    <cellStyle name="Assumption 2" xfId="1636" xr:uid="{00000000-0005-0000-0000-00002F010000}"/>
    <cellStyle name="Assumption 3" xfId="1637" xr:uid="{00000000-0005-0000-0000-000030010000}"/>
    <cellStyle name="Assumption 3 2" xfId="1638" xr:uid="{00000000-0005-0000-0000-000031010000}"/>
    <cellStyle name="Assumptions" xfId="39" xr:uid="{00000000-0005-0000-0000-000032010000}"/>
    <cellStyle name="ÄÞ¸¶ [0]_TestResults" xfId="40" xr:uid="{00000000-0005-0000-0000-000033010000}"/>
    <cellStyle name="ÄÞ¸¶_TestResults" xfId="41" xr:uid="{00000000-0005-0000-0000-000034010000}"/>
    <cellStyle name="auf tausender" xfId="42" xr:uid="{00000000-0005-0000-0000-000035010000}"/>
    <cellStyle name="auf tausender 2" xfId="1639" xr:uid="{00000000-0005-0000-0000-000036010000}"/>
    <cellStyle name="auf tausender 3" xfId="1640" xr:uid="{00000000-0005-0000-0000-000037010000}"/>
    <cellStyle name="auf tausender 3 2" xfId="1641" xr:uid="{00000000-0005-0000-0000-000038010000}"/>
    <cellStyle name="Auto" xfId="585" xr:uid="{00000000-0005-0000-0000-000039010000}"/>
    <cellStyle name="Auto 2" xfId="1032" xr:uid="{00000000-0005-0000-0000-00003A010000}"/>
    <cellStyle name="Availability" xfId="43" xr:uid="{00000000-0005-0000-0000-00003B010000}"/>
    <cellStyle name="Availability 2" xfId="1642" xr:uid="{00000000-0005-0000-0000-00003C010000}"/>
    <cellStyle name="Availability 3" xfId="1643" xr:uid="{00000000-0005-0000-0000-00003D010000}"/>
    <cellStyle name="Availability 3 2" xfId="1644" xr:uid="{00000000-0005-0000-0000-00003E010000}"/>
    <cellStyle name="Availability 4" xfId="1645" xr:uid="{00000000-0005-0000-0000-00003F010000}"/>
    <cellStyle name="Bad 2" xfId="850" xr:uid="{00000000-0005-0000-0000-000040010000}"/>
    <cellStyle name="Bad 3" xfId="948" xr:uid="{00000000-0005-0000-0000-000041010000}"/>
    <cellStyle name="Bad 4" xfId="1646" xr:uid="{00000000-0005-0000-0000-000042010000}"/>
    <cellStyle name="Bad 5" xfId="1647" xr:uid="{00000000-0005-0000-0000-000043010000}"/>
    <cellStyle name="BalanceSheet" xfId="44" xr:uid="{00000000-0005-0000-0000-000044010000}"/>
    <cellStyle name="BalanceSheet 2" xfId="586" xr:uid="{00000000-0005-0000-0000-000045010000}"/>
    <cellStyle name="BalanceSheet 2 2" xfId="1648" xr:uid="{00000000-0005-0000-0000-000046010000}"/>
    <cellStyle name="BlackTitle" xfId="45" xr:uid="{00000000-0005-0000-0000-000047010000}"/>
    <cellStyle name="BlackTitle 2" xfId="1649" xr:uid="{00000000-0005-0000-0000-000048010000}"/>
    <cellStyle name="BlackTitle 2 2" xfId="1650" xr:uid="{00000000-0005-0000-0000-000049010000}"/>
    <cellStyle name="Blank" xfId="46" xr:uid="{00000000-0005-0000-0000-00004A010000}"/>
    <cellStyle name="Blank 2" xfId="908" xr:uid="{00000000-0005-0000-0000-00004B010000}"/>
    <cellStyle name="block" xfId="47" xr:uid="{00000000-0005-0000-0000-00004C010000}"/>
    <cellStyle name="blp_column_header" xfId="1651" xr:uid="{00000000-0005-0000-0000-00004D010000}"/>
    <cellStyle name="Blue" xfId="48" xr:uid="{00000000-0005-0000-0000-00004E010000}"/>
    <cellStyle name="Blue 2" xfId="587" xr:uid="{00000000-0005-0000-0000-00004F010000}"/>
    <cellStyle name="blue shading" xfId="1652" xr:uid="{00000000-0005-0000-0000-000050010000}"/>
    <cellStyle name="Bold/Border" xfId="588" xr:uid="{00000000-0005-0000-0000-000051010000}"/>
    <cellStyle name="British Pound" xfId="49" xr:uid="{00000000-0005-0000-0000-000052010000}"/>
    <cellStyle name="Bullet" xfId="589" xr:uid="{00000000-0005-0000-0000-000053010000}"/>
    <cellStyle name="Ç¥ÁØ_TestResults" xfId="50" xr:uid="{00000000-0005-0000-0000-000054010000}"/>
    <cellStyle name="C10_2001 Figs Black" xfId="590" xr:uid="{00000000-0005-0000-0000-000055010000}"/>
    <cellStyle name="Calcul" xfId="51" xr:uid="{00000000-0005-0000-0000-000056010000}"/>
    <cellStyle name="Calcul 2" xfId="1653" xr:uid="{00000000-0005-0000-0000-000057010000}"/>
    <cellStyle name="Calcul 3" xfId="1654" xr:uid="{00000000-0005-0000-0000-000058010000}"/>
    <cellStyle name="Calcul 3 2" xfId="1655" xr:uid="{00000000-0005-0000-0000-000059010000}"/>
    <cellStyle name="Calculation" xfId="52" builtinId="22" customBuiltin="1"/>
    <cellStyle name="Calculation 2" xfId="851" xr:uid="{00000000-0005-0000-0000-00005B010000}"/>
    <cellStyle name="Calculation 3" xfId="953" xr:uid="{00000000-0005-0000-0000-00005C010000}"/>
    <cellStyle name="Calculation 3 2" xfId="1451" xr:uid="{00000000-0005-0000-0000-00005D010000}"/>
    <cellStyle name="Calculation 4" xfId="1261" xr:uid="{00000000-0005-0000-0000-00005E010000}"/>
    <cellStyle name="CashFlow" xfId="53" xr:uid="{00000000-0005-0000-0000-00005F010000}"/>
    <cellStyle name="CashFlow 2" xfId="591" xr:uid="{00000000-0005-0000-0000-000060010000}"/>
    <cellStyle name="CashFlow 2 2" xfId="1656" xr:uid="{00000000-0005-0000-0000-000061010000}"/>
    <cellStyle name="category" xfId="54" xr:uid="{00000000-0005-0000-0000-000062010000}"/>
    <cellStyle name="Category Title" xfId="592" xr:uid="{00000000-0005-0000-0000-000063010000}"/>
    <cellStyle name="CComma" xfId="593" xr:uid="{00000000-0005-0000-0000-000064010000}"/>
    <cellStyle name="CComma (0)" xfId="594" xr:uid="{00000000-0005-0000-0000-000065010000}"/>
    <cellStyle name="CComma (0) 2" xfId="1087" xr:uid="{00000000-0005-0000-0000-000066010000}"/>
    <cellStyle name="CComma 10" xfId="1216" xr:uid="{00000000-0005-0000-0000-000067010000}"/>
    <cellStyle name="CComma 11" xfId="1185" xr:uid="{00000000-0005-0000-0000-000068010000}"/>
    <cellStyle name="CComma 12" xfId="1218" xr:uid="{00000000-0005-0000-0000-000069010000}"/>
    <cellStyle name="CComma 13" xfId="1186" xr:uid="{00000000-0005-0000-0000-00006A010000}"/>
    <cellStyle name="CComma 14" xfId="1219" xr:uid="{00000000-0005-0000-0000-00006B010000}"/>
    <cellStyle name="CComma 15" xfId="1189" xr:uid="{00000000-0005-0000-0000-00006C010000}"/>
    <cellStyle name="CComma 16" xfId="1221" xr:uid="{00000000-0005-0000-0000-00006D010000}"/>
    <cellStyle name="CComma 17" xfId="1191" xr:uid="{00000000-0005-0000-0000-00006E010000}"/>
    <cellStyle name="CComma 18" xfId="1220" xr:uid="{00000000-0005-0000-0000-00006F010000}"/>
    <cellStyle name="CComma 2" xfId="1149" xr:uid="{00000000-0005-0000-0000-000070010000}"/>
    <cellStyle name="CComma 3" xfId="1172" xr:uid="{00000000-0005-0000-0000-000071010000}"/>
    <cellStyle name="CComma 4" xfId="1205" xr:uid="{00000000-0005-0000-0000-000072010000}"/>
    <cellStyle name="CComma 5" xfId="1176" xr:uid="{00000000-0005-0000-0000-000073010000}"/>
    <cellStyle name="CComma 6" xfId="1207" xr:uid="{00000000-0005-0000-0000-000074010000}"/>
    <cellStyle name="CComma 7" xfId="1180" xr:uid="{00000000-0005-0000-0000-000075010000}"/>
    <cellStyle name="CComma 8" xfId="1209" xr:uid="{00000000-0005-0000-0000-000076010000}"/>
    <cellStyle name="CComma 9" xfId="1182" xr:uid="{00000000-0005-0000-0000-000077010000}"/>
    <cellStyle name="CCurrency (0)" xfId="595" xr:uid="{00000000-0005-0000-0000-000078010000}"/>
    <cellStyle name="CCurrency (0) 2" xfId="1033" xr:uid="{00000000-0005-0000-0000-000079010000}"/>
    <cellStyle name="Changeable" xfId="55" xr:uid="{00000000-0005-0000-0000-00007A010000}"/>
    <cellStyle name="Check Cell 2" xfId="852" xr:uid="{00000000-0005-0000-0000-00007B010000}"/>
    <cellStyle name="Check Cell 3" xfId="956" xr:uid="{00000000-0005-0000-0000-00007C010000}"/>
    <cellStyle name="Check Cell 4" xfId="1657" xr:uid="{00000000-0005-0000-0000-00007D010000}"/>
    <cellStyle name="Checksum" xfId="56" xr:uid="{00000000-0005-0000-0000-00007E010000}"/>
    <cellStyle name="Colhead_left" xfId="596" xr:uid="{00000000-0005-0000-0000-00007F010000}"/>
    <cellStyle name="ColHeading" xfId="57" xr:uid="{00000000-0005-0000-0000-000080010000}"/>
    <cellStyle name="ColHeading 2" xfId="597" xr:uid="{00000000-0005-0000-0000-000081010000}"/>
    <cellStyle name="ColHeading 3" xfId="1658" xr:uid="{00000000-0005-0000-0000-000082010000}"/>
    <cellStyle name="ColHeading 3 2" xfId="1659" xr:uid="{00000000-0005-0000-0000-000083010000}"/>
    <cellStyle name="colheadleft" xfId="598" xr:uid="{00000000-0005-0000-0000-000084010000}"/>
    <cellStyle name="colheadright" xfId="599" xr:uid="{00000000-0005-0000-0000-000085010000}"/>
    <cellStyle name="Column Heading" xfId="58" xr:uid="{00000000-0005-0000-0000-000086010000}"/>
    <cellStyle name="Column Heading (No Wrap)" xfId="59" xr:uid="{00000000-0005-0000-0000-000087010000}"/>
    <cellStyle name="Column Heading (No Wrap) 2" xfId="1660" xr:uid="{00000000-0005-0000-0000-000088010000}"/>
    <cellStyle name="Column Heading (No Wrap) 3" xfId="1661" xr:uid="{00000000-0005-0000-0000-000089010000}"/>
    <cellStyle name="Column Heading (No Wrap) 3 2" xfId="1662" xr:uid="{00000000-0005-0000-0000-00008A010000}"/>
    <cellStyle name="Column Heading 2" xfId="1663" xr:uid="{00000000-0005-0000-0000-00008B010000}"/>
    <cellStyle name="Column Heading 3" xfId="1664" xr:uid="{00000000-0005-0000-0000-00008C010000}"/>
    <cellStyle name="Column Heading 3 2" xfId="1665" xr:uid="{00000000-0005-0000-0000-00008D010000}"/>
    <cellStyle name="Column Heading 4" xfId="1666" xr:uid="{00000000-0005-0000-0000-00008E010000}"/>
    <cellStyle name="Column Heading 4 2" xfId="1667" xr:uid="{00000000-0005-0000-0000-00008F010000}"/>
    <cellStyle name="Column Heading 5" xfId="1668" xr:uid="{00000000-0005-0000-0000-000090010000}"/>
    <cellStyle name="Column Heading 5 2" xfId="1669" xr:uid="{00000000-0005-0000-0000-000091010000}"/>
    <cellStyle name="Column Heading 6" xfId="1670" xr:uid="{00000000-0005-0000-0000-000092010000}"/>
    <cellStyle name="Column Heading 6 2" xfId="1671" xr:uid="{00000000-0005-0000-0000-000093010000}"/>
    <cellStyle name="Column Heading_SHEET" xfId="60" xr:uid="{00000000-0005-0000-0000-000094010000}"/>
    <cellStyle name="Column label" xfId="61" xr:uid="{00000000-0005-0000-0000-000095010000}"/>
    <cellStyle name="Column label (left aligned)" xfId="62" xr:uid="{00000000-0005-0000-0000-000096010000}"/>
    <cellStyle name="Column label (left aligned) 2" xfId="1672" xr:uid="{00000000-0005-0000-0000-000097010000}"/>
    <cellStyle name="Column label (left aligned) 3" xfId="1673" xr:uid="{00000000-0005-0000-0000-000098010000}"/>
    <cellStyle name="Column label (no wrap)" xfId="63" xr:uid="{00000000-0005-0000-0000-000099010000}"/>
    <cellStyle name="Column label (no wrap) 2" xfId="1674" xr:uid="{00000000-0005-0000-0000-00009A010000}"/>
    <cellStyle name="Column label (no wrap) 3" xfId="1675" xr:uid="{00000000-0005-0000-0000-00009B010000}"/>
    <cellStyle name="Column label (not bold)" xfId="64" xr:uid="{00000000-0005-0000-0000-00009C010000}"/>
    <cellStyle name="Column label (not bold) 2" xfId="1262" xr:uid="{00000000-0005-0000-0000-00009D010000}"/>
    <cellStyle name="Column label (not bold) 3" xfId="1676" xr:uid="{00000000-0005-0000-0000-00009E010000}"/>
    <cellStyle name="Column label 10" xfId="1677" xr:uid="{00000000-0005-0000-0000-00009F010000}"/>
    <cellStyle name="Column label 11" xfId="1678" xr:uid="{00000000-0005-0000-0000-0000A0010000}"/>
    <cellStyle name="Column label 2" xfId="1679" xr:uid="{00000000-0005-0000-0000-0000A1010000}"/>
    <cellStyle name="Column label 3" xfId="1680" xr:uid="{00000000-0005-0000-0000-0000A2010000}"/>
    <cellStyle name="Column label 4" xfId="1681" xr:uid="{00000000-0005-0000-0000-0000A3010000}"/>
    <cellStyle name="Column label 5" xfId="1682" xr:uid="{00000000-0005-0000-0000-0000A4010000}"/>
    <cellStyle name="Column label 6" xfId="1683" xr:uid="{00000000-0005-0000-0000-0000A5010000}"/>
    <cellStyle name="Column label 7" xfId="1684" xr:uid="{00000000-0005-0000-0000-0000A6010000}"/>
    <cellStyle name="Column label 8" xfId="1685" xr:uid="{00000000-0005-0000-0000-0000A7010000}"/>
    <cellStyle name="Column label 9" xfId="1686" xr:uid="{00000000-0005-0000-0000-0000A8010000}"/>
    <cellStyle name="Column label_sheet" xfId="65" xr:uid="{00000000-0005-0000-0000-0000A9010000}"/>
    <cellStyle name="Column Total" xfId="66" xr:uid="{00000000-0005-0000-0000-0000AA010000}"/>
    <cellStyle name="Column Total 2" xfId="1687" xr:uid="{00000000-0005-0000-0000-0000AB010000}"/>
    <cellStyle name="Column Total 3" xfId="1688" xr:uid="{00000000-0005-0000-0000-0000AC010000}"/>
    <cellStyle name="Column Total 3 2" xfId="1689" xr:uid="{00000000-0005-0000-0000-0000AD010000}"/>
    <cellStyle name="Comma" xfId="67" builtinId="3"/>
    <cellStyle name="Comma  - Style1" xfId="601" xr:uid="{00000000-0005-0000-0000-0000AF010000}"/>
    <cellStyle name="Comma  - Style2" xfId="602" xr:uid="{00000000-0005-0000-0000-0000B0010000}"/>
    <cellStyle name="Comma  - Style3" xfId="603" xr:uid="{00000000-0005-0000-0000-0000B1010000}"/>
    <cellStyle name="Comma  - Style4" xfId="604" xr:uid="{00000000-0005-0000-0000-0000B2010000}"/>
    <cellStyle name="Comma  - Style5" xfId="605" xr:uid="{00000000-0005-0000-0000-0000B3010000}"/>
    <cellStyle name="Comma  - Style6" xfId="606" xr:uid="{00000000-0005-0000-0000-0000B4010000}"/>
    <cellStyle name="Comma  - Style7" xfId="607" xr:uid="{00000000-0005-0000-0000-0000B5010000}"/>
    <cellStyle name="Comma  - Style8" xfId="608" xr:uid="{00000000-0005-0000-0000-0000B6010000}"/>
    <cellStyle name="comma - number" xfId="68" xr:uid="{00000000-0005-0000-0000-0000B7010000}"/>
    <cellStyle name="comma - number 2" xfId="1690" xr:uid="{00000000-0005-0000-0000-0000B8010000}"/>
    <cellStyle name="Comma (1)" xfId="609" xr:uid="{00000000-0005-0000-0000-0000B9010000}"/>
    <cellStyle name="Comma (1) 2" xfId="1115" xr:uid="{00000000-0005-0000-0000-0000BA010000}"/>
    <cellStyle name="Comma [2]" xfId="69" xr:uid="{00000000-0005-0000-0000-0000BB010000}"/>
    <cellStyle name="Comma [2] 2" xfId="1691" xr:uid="{00000000-0005-0000-0000-0000BC010000}"/>
    <cellStyle name="Comma 0" xfId="70" xr:uid="{00000000-0005-0000-0000-0000BD010000}"/>
    <cellStyle name="Comma 0 2" xfId="610" xr:uid="{00000000-0005-0000-0000-0000BE010000}"/>
    <cellStyle name="Comma 0*" xfId="611" xr:uid="{00000000-0005-0000-0000-0000BF010000}"/>
    <cellStyle name="Comma 0* 2" xfId="1120" xr:uid="{00000000-0005-0000-0000-0000C0010000}"/>
    <cellStyle name="Comma 0_XOM model" xfId="612" xr:uid="{00000000-0005-0000-0000-0000C1010000}"/>
    <cellStyle name="Comma 10" xfId="455" xr:uid="{00000000-0005-0000-0000-0000C2010000}"/>
    <cellStyle name="Comma 10 2" xfId="1174" xr:uid="{00000000-0005-0000-0000-0000C3010000}"/>
    <cellStyle name="Comma 10 3" xfId="1326" xr:uid="{00000000-0005-0000-0000-0000C4010000}"/>
    <cellStyle name="Comma 11" xfId="458" xr:uid="{00000000-0005-0000-0000-0000C5010000}"/>
    <cellStyle name="Comma 11 2" xfId="1211" xr:uid="{00000000-0005-0000-0000-0000C6010000}"/>
    <cellStyle name="Comma 11 3" xfId="1329" xr:uid="{00000000-0005-0000-0000-0000C7010000}"/>
    <cellStyle name="Comma 12" xfId="461" xr:uid="{00000000-0005-0000-0000-0000C8010000}"/>
    <cellStyle name="Comma 12 2" xfId="1178" xr:uid="{00000000-0005-0000-0000-0000C9010000}"/>
    <cellStyle name="Comma 12 3" xfId="1332" xr:uid="{00000000-0005-0000-0000-0000CA010000}"/>
    <cellStyle name="Comma 13" xfId="464" xr:uid="{00000000-0005-0000-0000-0000CB010000}"/>
    <cellStyle name="Comma 13 2" xfId="1214" xr:uid="{00000000-0005-0000-0000-0000CC010000}"/>
    <cellStyle name="Comma 13 3" xfId="1335" xr:uid="{00000000-0005-0000-0000-0000CD010000}"/>
    <cellStyle name="Comma 14" xfId="467" xr:uid="{00000000-0005-0000-0000-0000CE010000}"/>
    <cellStyle name="Comma 14 2" xfId="1179" xr:uid="{00000000-0005-0000-0000-0000CF010000}"/>
    <cellStyle name="Comma 14 3" xfId="1338" xr:uid="{00000000-0005-0000-0000-0000D0010000}"/>
    <cellStyle name="Comma 15" xfId="470" xr:uid="{00000000-0005-0000-0000-0000D1010000}"/>
    <cellStyle name="Comma 15 2" xfId="1215" xr:uid="{00000000-0005-0000-0000-0000D2010000}"/>
    <cellStyle name="Comma 15 3" xfId="1341" xr:uid="{00000000-0005-0000-0000-0000D3010000}"/>
    <cellStyle name="Comma 16" xfId="473" xr:uid="{00000000-0005-0000-0000-0000D4010000}"/>
    <cellStyle name="Comma 16 2" xfId="1184" xr:uid="{00000000-0005-0000-0000-0000D5010000}"/>
    <cellStyle name="Comma 16 3" xfId="1344" xr:uid="{00000000-0005-0000-0000-0000D6010000}"/>
    <cellStyle name="Comma 17" xfId="476" xr:uid="{00000000-0005-0000-0000-0000D7010000}"/>
    <cellStyle name="Comma 17 2" xfId="1217" xr:uid="{00000000-0005-0000-0000-0000D8010000}"/>
    <cellStyle name="Comma 17 3" xfId="1347" xr:uid="{00000000-0005-0000-0000-0000D9010000}"/>
    <cellStyle name="Comma 18" xfId="479" xr:uid="{00000000-0005-0000-0000-0000DA010000}"/>
    <cellStyle name="Comma 18 2" xfId="1188" xr:uid="{00000000-0005-0000-0000-0000DB010000}"/>
    <cellStyle name="Comma 18 3" xfId="1350" xr:uid="{00000000-0005-0000-0000-0000DC010000}"/>
    <cellStyle name="Comma 19" xfId="482" xr:uid="{00000000-0005-0000-0000-0000DD010000}"/>
    <cellStyle name="Comma 19 2" xfId="1213" xr:uid="{00000000-0005-0000-0000-0000DE010000}"/>
    <cellStyle name="Comma 19 3" xfId="1353" xr:uid="{00000000-0005-0000-0000-0000DF010000}"/>
    <cellStyle name="Comma 2" xfId="71" xr:uid="{00000000-0005-0000-0000-0000E0010000}"/>
    <cellStyle name="Comma 2 2" xfId="853" xr:uid="{00000000-0005-0000-0000-0000E1010000}"/>
    <cellStyle name="Comma 2 2 2" xfId="1116" xr:uid="{00000000-0005-0000-0000-0000E2010000}"/>
    <cellStyle name="Comma 2 3" xfId="854" xr:uid="{00000000-0005-0000-0000-0000E3010000}"/>
    <cellStyle name="Comma 2 3 2" xfId="1080" xr:uid="{00000000-0005-0000-0000-0000E4010000}"/>
    <cellStyle name="Comma 2 3 2 2" xfId="1469" xr:uid="{00000000-0005-0000-0000-0000E5010000}"/>
    <cellStyle name="Comma 2 3 3" xfId="1426" xr:uid="{00000000-0005-0000-0000-0000E6010000}"/>
    <cellStyle name="Comma 2 4" xfId="855" xr:uid="{00000000-0005-0000-0000-0000E7010000}"/>
    <cellStyle name="Comma 2 4 2" xfId="1081" xr:uid="{00000000-0005-0000-0000-0000E8010000}"/>
    <cellStyle name="Comma 2 4 2 2" xfId="1470" xr:uid="{00000000-0005-0000-0000-0000E9010000}"/>
    <cellStyle name="Comma 2 4 3" xfId="1427" xr:uid="{00000000-0005-0000-0000-0000EA010000}"/>
    <cellStyle name="Comma 2 5" xfId="856" xr:uid="{00000000-0005-0000-0000-0000EB010000}"/>
    <cellStyle name="Comma 2 5 2" xfId="1122" xr:uid="{00000000-0005-0000-0000-0000EC010000}"/>
    <cellStyle name="Comma 2 5 2 2" xfId="1476" xr:uid="{00000000-0005-0000-0000-0000ED010000}"/>
    <cellStyle name="Comma 2 5 3" xfId="1428" xr:uid="{00000000-0005-0000-0000-0000EE010000}"/>
    <cellStyle name="Comma 2 6" xfId="857" xr:uid="{00000000-0005-0000-0000-0000EF010000}"/>
    <cellStyle name="Comma 2 6 2" xfId="1082" xr:uid="{00000000-0005-0000-0000-0000F0010000}"/>
    <cellStyle name="Comma 2 6 2 2" xfId="1471" xr:uid="{00000000-0005-0000-0000-0000F1010000}"/>
    <cellStyle name="Comma 2 6 3" xfId="1429" xr:uid="{00000000-0005-0000-0000-0000F2010000}"/>
    <cellStyle name="Comma 2 7" xfId="613" xr:uid="{00000000-0005-0000-0000-0000F3010000}"/>
    <cellStyle name="Comma 2 8" xfId="963" xr:uid="{00000000-0005-0000-0000-0000F4010000}"/>
    <cellStyle name="Comma 20" xfId="485" xr:uid="{00000000-0005-0000-0000-0000F5010000}"/>
    <cellStyle name="Comma 20 2" xfId="1356" xr:uid="{00000000-0005-0000-0000-0000F6010000}"/>
    <cellStyle name="Comma 21" xfId="488" xr:uid="{00000000-0005-0000-0000-0000F7010000}"/>
    <cellStyle name="Comma 21 2" xfId="1359" xr:uid="{00000000-0005-0000-0000-0000F8010000}"/>
    <cellStyle name="Comma 22" xfId="491" xr:uid="{00000000-0005-0000-0000-0000F9010000}"/>
    <cellStyle name="Comma 22 2" xfId="1362" xr:uid="{00000000-0005-0000-0000-0000FA010000}"/>
    <cellStyle name="Comma 23" xfId="494" xr:uid="{00000000-0005-0000-0000-0000FB010000}"/>
    <cellStyle name="Comma 23 2" xfId="1365" xr:uid="{00000000-0005-0000-0000-0000FC010000}"/>
    <cellStyle name="Comma 24" xfId="497" xr:uid="{00000000-0005-0000-0000-0000FD010000}"/>
    <cellStyle name="Comma 24 2" xfId="1368" xr:uid="{00000000-0005-0000-0000-0000FE010000}"/>
    <cellStyle name="Comma 25" xfId="500" xr:uid="{00000000-0005-0000-0000-0000FF010000}"/>
    <cellStyle name="Comma 25 2" xfId="1371" xr:uid="{00000000-0005-0000-0000-000000020000}"/>
    <cellStyle name="Comma 26" xfId="503" xr:uid="{00000000-0005-0000-0000-000001020000}"/>
    <cellStyle name="Comma 26 2" xfId="1374" xr:uid="{00000000-0005-0000-0000-000002020000}"/>
    <cellStyle name="Comma 27" xfId="506" xr:uid="{00000000-0005-0000-0000-000003020000}"/>
    <cellStyle name="Comma 27 2" xfId="1377" xr:uid="{00000000-0005-0000-0000-000004020000}"/>
    <cellStyle name="Comma 28" xfId="509" xr:uid="{00000000-0005-0000-0000-000005020000}"/>
    <cellStyle name="Comma 28 2" xfId="1380" xr:uid="{00000000-0005-0000-0000-000006020000}"/>
    <cellStyle name="Comma 29" xfId="512" xr:uid="{00000000-0005-0000-0000-000007020000}"/>
    <cellStyle name="Comma 29 2" xfId="1383" xr:uid="{00000000-0005-0000-0000-000008020000}"/>
    <cellStyle name="Comma 3" xfId="72" xr:uid="{00000000-0005-0000-0000-000009020000}"/>
    <cellStyle name="Comma 3 2" xfId="824" xr:uid="{00000000-0005-0000-0000-00000A020000}"/>
    <cellStyle name="Comma 3 3" xfId="813" xr:uid="{00000000-0005-0000-0000-00000B020000}"/>
    <cellStyle name="Comma 3 3 2" xfId="1242" xr:uid="{00000000-0005-0000-0000-00000C020000}"/>
    <cellStyle name="Comma 3 4" xfId="1113" xr:uid="{00000000-0005-0000-0000-00000D020000}"/>
    <cellStyle name="Comma 30" xfId="515" xr:uid="{00000000-0005-0000-0000-00000E020000}"/>
    <cellStyle name="Comma 30 2" xfId="1386" xr:uid="{00000000-0005-0000-0000-00000F020000}"/>
    <cellStyle name="Comma 31" xfId="518" xr:uid="{00000000-0005-0000-0000-000010020000}"/>
    <cellStyle name="Comma 31 2" xfId="1389" xr:uid="{00000000-0005-0000-0000-000011020000}"/>
    <cellStyle name="Comma 32" xfId="521" xr:uid="{00000000-0005-0000-0000-000012020000}"/>
    <cellStyle name="Comma 32 2" xfId="1392" xr:uid="{00000000-0005-0000-0000-000013020000}"/>
    <cellStyle name="Comma 33" xfId="524" xr:uid="{00000000-0005-0000-0000-000014020000}"/>
    <cellStyle name="Comma 33 2" xfId="1395" xr:uid="{00000000-0005-0000-0000-000015020000}"/>
    <cellStyle name="Comma 34" xfId="527" xr:uid="{00000000-0005-0000-0000-000016020000}"/>
    <cellStyle name="Comma 34 2" xfId="1398" xr:uid="{00000000-0005-0000-0000-000017020000}"/>
    <cellStyle name="Comma 35" xfId="530" xr:uid="{00000000-0005-0000-0000-000018020000}"/>
    <cellStyle name="Comma 35 2" xfId="1401" xr:uid="{00000000-0005-0000-0000-000019020000}"/>
    <cellStyle name="Comma 36" xfId="533" xr:uid="{00000000-0005-0000-0000-00001A020000}"/>
    <cellStyle name="Comma 36 2" xfId="1404" xr:uid="{00000000-0005-0000-0000-00001B020000}"/>
    <cellStyle name="Comma 37" xfId="536" xr:uid="{00000000-0005-0000-0000-00001C020000}"/>
    <cellStyle name="Comma 37 2" xfId="1407" xr:uid="{00000000-0005-0000-0000-00001D020000}"/>
    <cellStyle name="Comma 38" xfId="600" xr:uid="{00000000-0005-0000-0000-00001E020000}"/>
    <cellStyle name="Comma 39" xfId="893" xr:uid="{00000000-0005-0000-0000-00001F020000}"/>
    <cellStyle name="Comma 4" xfId="73" xr:uid="{00000000-0005-0000-0000-000020020000}"/>
    <cellStyle name="Comma 4 2" xfId="821" xr:uid="{00000000-0005-0000-0000-000021020000}"/>
    <cellStyle name="Comma 4 2 2" xfId="1425" xr:uid="{00000000-0005-0000-0000-000022020000}"/>
    <cellStyle name="Comma 4 3" xfId="907" xr:uid="{00000000-0005-0000-0000-000023020000}"/>
    <cellStyle name="Comma 4 3 2" xfId="1447" xr:uid="{00000000-0005-0000-0000-000024020000}"/>
    <cellStyle name="Comma 4 4" xfId="1164" xr:uid="{00000000-0005-0000-0000-000025020000}"/>
    <cellStyle name="Comma 4 5" xfId="1264" xr:uid="{00000000-0005-0000-0000-000026020000}"/>
    <cellStyle name="Comma 40" xfId="904" xr:uid="{00000000-0005-0000-0000-000027020000}"/>
    <cellStyle name="Comma 41" xfId="959" xr:uid="{00000000-0005-0000-0000-000028020000}"/>
    <cellStyle name="Comma 42" xfId="1044" xr:uid="{00000000-0005-0000-0000-000029020000}"/>
    <cellStyle name="Comma 43" xfId="941" xr:uid="{00000000-0005-0000-0000-00002A020000}"/>
    <cellStyle name="Comma 44" xfId="1037" xr:uid="{00000000-0005-0000-0000-00002B020000}"/>
    <cellStyle name="Comma 45" xfId="946" xr:uid="{00000000-0005-0000-0000-00002C020000}"/>
    <cellStyle name="Comma 46" xfId="1073" xr:uid="{00000000-0005-0000-0000-00002D020000}"/>
    <cellStyle name="Comma 47" xfId="952" xr:uid="{00000000-0005-0000-0000-00002E020000}"/>
    <cellStyle name="Comma 48" xfId="1042" xr:uid="{00000000-0005-0000-0000-00002F020000}"/>
    <cellStyle name="Comma 49" xfId="1090" xr:uid="{00000000-0005-0000-0000-000030020000}"/>
    <cellStyle name="Comma 5" xfId="440" xr:uid="{00000000-0005-0000-0000-000031020000}"/>
    <cellStyle name="Comma 5 2" xfId="858" xr:uid="{00000000-0005-0000-0000-000032020000}"/>
    <cellStyle name="Comma 5 2 2" xfId="1430" xr:uid="{00000000-0005-0000-0000-000033020000}"/>
    <cellStyle name="Comma 5 3" xfId="1083" xr:uid="{00000000-0005-0000-0000-000034020000}"/>
    <cellStyle name="Comma 5 3 2" xfId="1472" xr:uid="{00000000-0005-0000-0000-000035020000}"/>
    <cellStyle name="Comma 5 4" xfId="1201" xr:uid="{00000000-0005-0000-0000-000036020000}"/>
    <cellStyle name="Comma 5 5" xfId="1311" xr:uid="{00000000-0005-0000-0000-000037020000}"/>
    <cellStyle name="Comma 50" xfId="1118" xr:uid="{00000000-0005-0000-0000-000038020000}"/>
    <cellStyle name="Comma 51" xfId="962" xr:uid="{00000000-0005-0000-0000-000039020000}"/>
    <cellStyle name="Comma 52" xfId="1055" xr:uid="{00000000-0005-0000-0000-00003A020000}"/>
    <cellStyle name="Comma 53" xfId="1093" xr:uid="{00000000-0005-0000-0000-00003B020000}"/>
    <cellStyle name="Comma 54" xfId="1089" xr:uid="{00000000-0005-0000-0000-00003C020000}"/>
    <cellStyle name="Comma 55" xfId="913" xr:uid="{00000000-0005-0000-0000-00003D020000}"/>
    <cellStyle name="Comma 56" xfId="951" xr:uid="{00000000-0005-0000-0000-00003E020000}"/>
    <cellStyle name="Comma 57" xfId="1254" xr:uid="{00000000-0005-0000-0000-00003F020000}"/>
    <cellStyle name="Comma 58" xfId="1263" xr:uid="{00000000-0005-0000-0000-000040020000}"/>
    <cellStyle name="Comma 6" xfId="443" xr:uid="{00000000-0005-0000-0000-000041020000}"/>
    <cellStyle name="Comma 6 2" xfId="1165" xr:uid="{00000000-0005-0000-0000-000042020000}"/>
    <cellStyle name="Comma 6 3" xfId="1314" xr:uid="{00000000-0005-0000-0000-000043020000}"/>
    <cellStyle name="Comma 6 3 2" xfId="1692" xr:uid="{00000000-0005-0000-0000-000044020000}"/>
    <cellStyle name="Comma 6 4" xfId="1693" xr:uid="{00000000-0005-0000-0000-000045020000}"/>
    <cellStyle name="Comma 64" xfId="859" xr:uid="{00000000-0005-0000-0000-000046020000}"/>
    <cellStyle name="Comma 64 2" xfId="1126" xr:uid="{00000000-0005-0000-0000-000047020000}"/>
    <cellStyle name="Comma 64 2 2" xfId="1478" xr:uid="{00000000-0005-0000-0000-000048020000}"/>
    <cellStyle name="Comma 64 3" xfId="1431" xr:uid="{00000000-0005-0000-0000-000049020000}"/>
    <cellStyle name="Comma 7" xfId="446" xr:uid="{00000000-0005-0000-0000-00004A020000}"/>
    <cellStyle name="Comma 7 2" xfId="1202" xr:uid="{00000000-0005-0000-0000-00004B020000}"/>
    <cellStyle name="Comma 7 3" xfId="1317" xr:uid="{00000000-0005-0000-0000-00004C020000}"/>
    <cellStyle name="Comma 8" xfId="449" xr:uid="{00000000-0005-0000-0000-00004D020000}"/>
    <cellStyle name="Comma 8 2" xfId="1173" xr:uid="{00000000-0005-0000-0000-00004E020000}"/>
    <cellStyle name="Comma 8 3" xfId="1320" xr:uid="{00000000-0005-0000-0000-00004F020000}"/>
    <cellStyle name="Comma 9" xfId="452" xr:uid="{00000000-0005-0000-0000-000050020000}"/>
    <cellStyle name="Comma 9 2" xfId="1203" xr:uid="{00000000-0005-0000-0000-000051020000}"/>
    <cellStyle name="Comma 9 3" xfId="1323" xr:uid="{00000000-0005-0000-0000-000052020000}"/>
    <cellStyle name="Comma 9 4" xfId="1497" xr:uid="{00000000-0005-0000-0000-000053020000}"/>
    <cellStyle name="Comma(1)" xfId="74" xr:uid="{00000000-0005-0000-0000-000054020000}"/>
    <cellStyle name="Comma, 1 dec" xfId="75" xr:uid="{00000000-0005-0000-0000-000055020000}"/>
    <cellStyle name="Comma, 1 dec 2" xfId="1694" xr:uid="{00000000-0005-0000-0000-000056020000}"/>
    <cellStyle name="Comma, 1 dec 2 2" xfId="1695" xr:uid="{00000000-0005-0000-0000-000057020000}"/>
    <cellStyle name="Comma, 1 dec 2 3" xfId="1696" xr:uid="{00000000-0005-0000-0000-000058020000}"/>
    <cellStyle name="Comma, 1 dec 2 3 2" xfId="1697" xr:uid="{00000000-0005-0000-0000-000059020000}"/>
    <cellStyle name="Comma, 1 dec 3" xfId="1698" xr:uid="{00000000-0005-0000-0000-00005A020000}"/>
    <cellStyle name="Comma0" xfId="76" xr:uid="{00000000-0005-0000-0000-00005B020000}"/>
    <cellStyle name="Comma0 - Modelo1" xfId="1699" xr:uid="{00000000-0005-0000-0000-00005C020000}"/>
    <cellStyle name="Comma0 - Style1" xfId="1700" xr:uid="{00000000-0005-0000-0000-00005D020000}"/>
    <cellStyle name="Comma0 2" xfId="1701" xr:uid="{00000000-0005-0000-0000-00005E020000}"/>
    <cellStyle name="Comma0 2 2" xfId="1702" xr:uid="{00000000-0005-0000-0000-00005F020000}"/>
    <cellStyle name="Comma1 - Modelo2" xfId="1703" xr:uid="{00000000-0005-0000-0000-000060020000}"/>
    <cellStyle name="Comma1 - Style2" xfId="1704" xr:uid="{00000000-0005-0000-0000-000061020000}"/>
    <cellStyle name="Company" xfId="77" xr:uid="{00000000-0005-0000-0000-000062020000}"/>
    <cellStyle name="Company 2" xfId="614" xr:uid="{00000000-0005-0000-0000-000063020000}"/>
    <cellStyle name="Company 3" xfId="1705" xr:uid="{00000000-0005-0000-0000-000064020000}"/>
    <cellStyle name="Company 3 2" xfId="1706" xr:uid="{00000000-0005-0000-0000-000065020000}"/>
    <cellStyle name="Company name" xfId="615" xr:uid="{00000000-0005-0000-0000-000066020000}"/>
    <cellStyle name="Company Name 2" xfId="1707" xr:uid="{00000000-0005-0000-0000-000067020000}"/>
    <cellStyle name="Company_XOM model" xfId="616" xr:uid="{00000000-0005-0000-0000-000068020000}"/>
    <cellStyle name="Comps" xfId="617" xr:uid="{00000000-0005-0000-0000-000069020000}"/>
    <cellStyle name="Comps 2" xfId="1034" xr:uid="{00000000-0005-0000-0000-00006A020000}"/>
    <cellStyle name="Cover Date" xfId="78" xr:uid="{00000000-0005-0000-0000-00006B020000}"/>
    <cellStyle name="Cover Date 2" xfId="1708" xr:uid="{00000000-0005-0000-0000-00006C020000}"/>
    <cellStyle name="Cover Date 2 2" xfId="1709" xr:uid="{00000000-0005-0000-0000-00006D020000}"/>
    <cellStyle name="Cover Subtitle" xfId="79" xr:uid="{00000000-0005-0000-0000-00006E020000}"/>
    <cellStyle name="Cover Subtitle 2" xfId="1710" xr:uid="{00000000-0005-0000-0000-00006F020000}"/>
    <cellStyle name="Cover Subtitle 2 2" xfId="1711" xr:uid="{00000000-0005-0000-0000-000070020000}"/>
    <cellStyle name="Cover Title" xfId="80" xr:uid="{00000000-0005-0000-0000-000071020000}"/>
    <cellStyle name="Cover Title 2" xfId="1712" xr:uid="{00000000-0005-0000-0000-000072020000}"/>
    <cellStyle name="Cover Title 2 2" xfId="1713" xr:uid="{00000000-0005-0000-0000-000073020000}"/>
    <cellStyle name="Cuadro 1" xfId="1714" xr:uid="{00000000-0005-0000-0000-000074020000}"/>
    <cellStyle name="CurRatio" xfId="81" xr:uid="{00000000-0005-0000-0000-000075020000}"/>
    <cellStyle name="CurRatio 2" xfId="618" xr:uid="{00000000-0005-0000-0000-000076020000}"/>
    <cellStyle name="CurRatio 3" xfId="1715" xr:uid="{00000000-0005-0000-0000-000077020000}"/>
    <cellStyle name="CurRatio 3 2" xfId="1716" xr:uid="{00000000-0005-0000-0000-000078020000}"/>
    <cellStyle name="CurRatio 4" xfId="1717" xr:uid="{00000000-0005-0000-0000-000079020000}"/>
    <cellStyle name="Currency - Euro" xfId="82" xr:uid="{00000000-0005-0000-0000-00007A020000}"/>
    <cellStyle name="Currency (2dp)" xfId="83" xr:uid="{00000000-0005-0000-0000-00007B020000}"/>
    <cellStyle name="Currency (2dp) 2" xfId="1265" xr:uid="{00000000-0005-0000-0000-00007C020000}"/>
    <cellStyle name="Currency (B)" xfId="620" xr:uid="{00000000-0005-0000-0000-00007D020000}"/>
    <cellStyle name="Currency [0] - Euro" xfId="84" xr:uid="{00000000-0005-0000-0000-00007E020000}"/>
    <cellStyle name="Currency [0] - Euro 2" xfId="1718" xr:uid="{00000000-0005-0000-0000-00007F020000}"/>
    <cellStyle name="Currency [0] - Euro 3" xfId="1719" xr:uid="{00000000-0005-0000-0000-000080020000}"/>
    <cellStyle name="Currency [0] - Euro 3 2" xfId="1720" xr:uid="{00000000-0005-0000-0000-000081020000}"/>
    <cellStyle name="Currency [0] - Euro 3 3" xfId="1721" xr:uid="{00000000-0005-0000-0000-000082020000}"/>
    <cellStyle name="Currency [0] - Euro 3 3 2" xfId="1722" xr:uid="{00000000-0005-0000-0000-000083020000}"/>
    <cellStyle name="Currency [0] - Euro 4" xfId="1723" xr:uid="{00000000-0005-0000-0000-000084020000}"/>
    <cellStyle name="Currency [0] - Euro 4 2" xfId="1724" xr:uid="{00000000-0005-0000-0000-000085020000}"/>
    <cellStyle name="Currency [1]" xfId="85" xr:uid="{00000000-0005-0000-0000-000086020000}"/>
    <cellStyle name="Currency [1] 2" xfId="621" xr:uid="{00000000-0005-0000-0000-000087020000}"/>
    <cellStyle name="Currency [1] 2 2" xfId="1725" xr:uid="{00000000-0005-0000-0000-000088020000}"/>
    <cellStyle name="Currency [2]" xfId="86" xr:uid="{00000000-0005-0000-0000-000089020000}"/>
    <cellStyle name="Currency [2] 2" xfId="622" xr:uid="{00000000-0005-0000-0000-00008A020000}"/>
    <cellStyle name="Currency [2] 2 2" xfId="1726" xr:uid="{00000000-0005-0000-0000-00008B020000}"/>
    <cellStyle name="Currency 0" xfId="87" xr:uid="{00000000-0005-0000-0000-00008C020000}"/>
    <cellStyle name="Currency 0 2" xfId="623" xr:uid="{00000000-0005-0000-0000-00008D020000}"/>
    <cellStyle name="Currency 10" xfId="954" xr:uid="{00000000-0005-0000-0000-00008E020000}"/>
    <cellStyle name="Currency 11" xfId="1028" xr:uid="{00000000-0005-0000-0000-00008F020000}"/>
    <cellStyle name="Currency 12" xfId="1097" xr:uid="{00000000-0005-0000-0000-000090020000}"/>
    <cellStyle name="Currency 13" xfId="1101" xr:uid="{00000000-0005-0000-0000-000091020000}"/>
    <cellStyle name="Currency 14" xfId="1106" xr:uid="{00000000-0005-0000-0000-000092020000}"/>
    <cellStyle name="Currency 15" xfId="1110" xr:uid="{00000000-0005-0000-0000-000093020000}"/>
    <cellStyle name="Currency 15 2" xfId="1050" xr:uid="{00000000-0005-0000-0000-000094020000}"/>
    <cellStyle name="Currency 16" xfId="1105" xr:uid="{00000000-0005-0000-0000-000095020000}"/>
    <cellStyle name="Currency 16 2" xfId="1159" xr:uid="{00000000-0005-0000-0000-000096020000}"/>
    <cellStyle name="Currency 17" xfId="1060" xr:uid="{00000000-0005-0000-0000-000097020000}"/>
    <cellStyle name="Currency 17 2" xfId="1102" xr:uid="{00000000-0005-0000-0000-000098020000}"/>
    <cellStyle name="Currency 18" xfId="909" xr:uid="{00000000-0005-0000-0000-000099020000}"/>
    <cellStyle name="Currency 18 2" xfId="1160" xr:uid="{00000000-0005-0000-0000-00009A020000}"/>
    <cellStyle name="Currency 19" xfId="1020" xr:uid="{00000000-0005-0000-0000-00009B020000}"/>
    <cellStyle name="Currency 19 2" xfId="1065" xr:uid="{00000000-0005-0000-0000-00009C020000}"/>
    <cellStyle name="Currency 2" xfId="88" xr:uid="{00000000-0005-0000-0000-00009D020000}"/>
    <cellStyle name="Currency 2 2" xfId="860" xr:uid="{00000000-0005-0000-0000-00009E020000}"/>
    <cellStyle name="Currency 2 2 2" xfId="1127" xr:uid="{00000000-0005-0000-0000-00009F020000}"/>
    <cellStyle name="Currency 2 2 2 2" xfId="1479" xr:uid="{00000000-0005-0000-0000-0000A0020000}"/>
    <cellStyle name="Currency 2 2 3" xfId="1111" xr:uid="{00000000-0005-0000-0000-0000A1020000}"/>
    <cellStyle name="Currency 2 2 4" xfId="1432" xr:uid="{00000000-0005-0000-0000-0000A2020000}"/>
    <cellStyle name="Currency 2 3" xfId="861" xr:uid="{00000000-0005-0000-0000-0000A3020000}"/>
    <cellStyle name="Currency 2 3 2" xfId="1128" xr:uid="{00000000-0005-0000-0000-0000A4020000}"/>
    <cellStyle name="Currency 2 3 2 2" xfId="1480" xr:uid="{00000000-0005-0000-0000-0000A5020000}"/>
    <cellStyle name="Currency 2 3 3" xfId="1433" xr:uid="{00000000-0005-0000-0000-0000A6020000}"/>
    <cellStyle name="Currency 2 4" xfId="862" xr:uid="{00000000-0005-0000-0000-0000A7020000}"/>
    <cellStyle name="Currency 2 4 2" xfId="1129" xr:uid="{00000000-0005-0000-0000-0000A8020000}"/>
    <cellStyle name="Currency 2 4 2 2" xfId="1481" xr:uid="{00000000-0005-0000-0000-0000A9020000}"/>
    <cellStyle name="Currency 2 4 3" xfId="1434" xr:uid="{00000000-0005-0000-0000-0000AA020000}"/>
    <cellStyle name="Currency 2 5" xfId="863" xr:uid="{00000000-0005-0000-0000-0000AB020000}"/>
    <cellStyle name="Currency 2 5 2" xfId="1130" xr:uid="{00000000-0005-0000-0000-0000AC020000}"/>
    <cellStyle name="Currency 2 5 2 2" xfId="1482" xr:uid="{00000000-0005-0000-0000-0000AD020000}"/>
    <cellStyle name="Currency 2 5 3" xfId="1435" xr:uid="{00000000-0005-0000-0000-0000AE020000}"/>
    <cellStyle name="Currency 2 6" xfId="624" xr:uid="{00000000-0005-0000-0000-0000AF020000}"/>
    <cellStyle name="Currency 2 7" xfId="965" xr:uid="{00000000-0005-0000-0000-0000B0020000}"/>
    <cellStyle name="Currency 20" xfId="1237" xr:uid="{00000000-0005-0000-0000-0000B1020000}"/>
    <cellStyle name="Currency 21" xfId="915" xr:uid="{00000000-0005-0000-0000-0000B2020000}"/>
    <cellStyle name="Currency 22" xfId="1144" xr:uid="{00000000-0005-0000-0000-0000B3020000}"/>
    <cellStyle name="Currency 23" xfId="1251" xr:uid="{00000000-0005-0000-0000-0000B4020000}"/>
    <cellStyle name="Currency 24" xfId="1109" xr:uid="{00000000-0005-0000-0000-0000B5020000}"/>
    <cellStyle name="Currency 25" xfId="968" xr:uid="{00000000-0005-0000-0000-0000B6020000}"/>
    <cellStyle name="Currency 3" xfId="815" xr:uid="{00000000-0005-0000-0000-0000B7020000}"/>
    <cellStyle name="Currency 3 2" xfId="1071" xr:uid="{00000000-0005-0000-0000-0000B8020000}"/>
    <cellStyle name="Currency 3 3" xfId="1068" xr:uid="{00000000-0005-0000-0000-0000B9020000}"/>
    <cellStyle name="Currency 3 4" xfId="1079" xr:uid="{00000000-0005-0000-0000-0000BA020000}"/>
    <cellStyle name="Currency 4" xfId="864" xr:uid="{00000000-0005-0000-0000-0000BB020000}"/>
    <cellStyle name="Currency 4 2" xfId="1131" xr:uid="{00000000-0005-0000-0000-0000BC020000}"/>
    <cellStyle name="Currency 4 2 2" xfId="1483" xr:uid="{00000000-0005-0000-0000-0000BD020000}"/>
    <cellStyle name="Currency 4 3" xfId="1156" xr:uid="{00000000-0005-0000-0000-0000BE020000}"/>
    <cellStyle name="Currency 4 4" xfId="1436" xr:uid="{00000000-0005-0000-0000-0000BF020000}"/>
    <cellStyle name="Currency 5" xfId="619" xr:uid="{00000000-0005-0000-0000-0000C0020000}"/>
    <cellStyle name="Currency 5 2" xfId="1141" xr:uid="{00000000-0005-0000-0000-0000C1020000}"/>
    <cellStyle name="Currency 6" xfId="894" xr:uid="{00000000-0005-0000-0000-0000C2020000}"/>
    <cellStyle name="Currency 6 2" xfId="1157" xr:uid="{00000000-0005-0000-0000-0000C3020000}"/>
    <cellStyle name="Currency 7" xfId="903" xr:uid="{00000000-0005-0000-0000-0000C4020000}"/>
    <cellStyle name="Currency 7 2" xfId="943" xr:uid="{00000000-0005-0000-0000-0000C5020000}"/>
    <cellStyle name="Currency 8" xfId="964" xr:uid="{00000000-0005-0000-0000-0000C6020000}"/>
    <cellStyle name="Currency 9" xfId="1035" xr:uid="{00000000-0005-0000-0000-0000C7020000}"/>
    <cellStyle name="Currency Dollar" xfId="89" xr:uid="{00000000-0005-0000-0000-0000C8020000}"/>
    <cellStyle name="Currency Dollar (2dp)" xfId="90" xr:uid="{00000000-0005-0000-0000-0000C9020000}"/>
    <cellStyle name="Currency Dollar (2dp) 2" xfId="1267" xr:uid="{00000000-0005-0000-0000-0000CA020000}"/>
    <cellStyle name="Currency Dollar 2" xfId="1266" xr:uid="{00000000-0005-0000-0000-0000CB020000}"/>
    <cellStyle name="Currency EUR" xfId="91" xr:uid="{00000000-0005-0000-0000-0000CC020000}"/>
    <cellStyle name="Currency EUR (2dp)" xfId="92" xr:uid="{00000000-0005-0000-0000-0000CD020000}"/>
    <cellStyle name="Currency EUR (2dp) 2" xfId="1269" xr:uid="{00000000-0005-0000-0000-0000CE020000}"/>
    <cellStyle name="Currency EUR 2" xfId="1268" xr:uid="{00000000-0005-0000-0000-0000CF020000}"/>
    <cellStyle name="Currency Euro" xfId="93" xr:uid="{00000000-0005-0000-0000-0000D0020000}"/>
    <cellStyle name="Currency Euro (2dp)" xfId="94" xr:uid="{00000000-0005-0000-0000-0000D1020000}"/>
    <cellStyle name="Currency Euro (2dp) 2" xfId="1271" xr:uid="{00000000-0005-0000-0000-0000D2020000}"/>
    <cellStyle name="Currency Euro 2" xfId="1270" xr:uid="{00000000-0005-0000-0000-0000D3020000}"/>
    <cellStyle name="Currency GBP" xfId="95" xr:uid="{00000000-0005-0000-0000-0000D4020000}"/>
    <cellStyle name="Currency GBP (2dp)" xfId="96" xr:uid="{00000000-0005-0000-0000-0000D5020000}"/>
    <cellStyle name="Currency GBP (2dp) 2" xfId="1273" xr:uid="{00000000-0005-0000-0000-0000D6020000}"/>
    <cellStyle name="Currency GBP 2" xfId="1272" xr:uid="{00000000-0005-0000-0000-0000D7020000}"/>
    <cellStyle name="Currency Pound" xfId="97" xr:uid="{00000000-0005-0000-0000-0000D8020000}"/>
    <cellStyle name="Currency Pound (2dp)" xfId="98" xr:uid="{00000000-0005-0000-0000-0000D9020000}"/>
    <cellStyle name="Currency Pound (2dp) 2" xfId="1275" xr:uid="{00000000-0005-0000-0000-0000DA020000}"/>
    <cellStyle name="Currency Pound 2" xfId="1274" xr:uid="{00000000-0005-0000-0000-0000DB020000}"/>
    <cellStyle name="Currency USD" xfId="99" xr:uid="{00000000-0005-0000-0000-0000DC020000}"/>
    <cellStyle name="Currency USD (2dp)" xfId="100" xr:uid="{00000000-0005-0000-0000-0000DD020000}"/>
    <cellStyle name="Currency USD (2dp) 2" xfId="1277" xr:uid="{00000000-0005-0000-0000-0000DE020000}"/>
    <cellStyle name="Currency USD 2" xfId="1276" xr:uid="{00000000-0005-0000-0000-0000DF020000}"/>
    <cellStyle name="Currency0" xfId="101" xr:uid="{00000000-0005-0000-0000-0000E0020000}"/>
    <cellStyle name="Currency0 2" xfId="1727" xr:uid="{00000000-0005-0000-0000-0000E1020000}"/>
    <cellStyle name="Currency0 2 2" xfId="1728" xr:uid="{00000000-0005-0000-0000-0000E2020000}"/>
    <cellStyle name="Dash" xfId="625" xr:uid="{00000000-0005-0000-0000-0000E3020000}"/>
    <cellStyle name="Data" xfId="1729" xr:uid="{00000000-0005-0000-0000-0000E4020000}"/>
    <cellStyle name="Date" xfId="102" xr:uid="{00000000-0005-0000-0000-0000E5020000}"/>
    <cellStyle name="Date (Month)" xfId="103" xr:uid="{00000000-0005-0000-0000-0000E6020000}"/>
    <cellStyle name="Date (Month) 2" xfId="1278" xr:uid="{00000000-0005-0000-0000-0000E7020000}"/>
    <cellStyle name="Date (Year)" xfId="104" xr:uid="{00000000-0005-0000-0000-0000E8020000}"/>
    <cellStyle name="Date (Year) 2" xfId="1279" xr:uid="{00000000-0005-0000-0000-0000E9020000}"/>
    <cellStyle name="Date [d-mmm-yy]" xfId="105" xr:uid="{00000000-0005-0000-0000-0000EA020000}"/>
    <cellStyle name="Date [mm-d-yy]" xfId="106" xr:uid="{00000000-0005-0000-0000-0000EB020000}"/>
    <cellStyle name="Date [mm-d-yy] 2" xfId="627" xr:uid="{00000000-0005-0000-0000-0000EC020000}"/>
    <cellStyle name="Date [mm-d-yyyy]" xfId="107" xr:uid="{00000000-0005-0000-0000-0000ED020000}"/>
    <cellStyle name="Date [mm-d-yyyy] 2" xfId="628" xr:uid="{00000000-0005-0000-0000-0000EE020000}"/>
    <cellStyle name="Date [mm-d-yyyy] 2 2" xfId="1730" xr:uid="{00000000-0005-0000-0000-0000EF020000}"/>
    <cellStyle name="Date [mmm-d-yyyy]" xfId="108" xr:uid="{00000000-0005-0000-0000-0000F0020000}"/>
    <cellStyle name="Date [mmm-d-yyyy] 2" xfId="629" xr:uid="{00000000-0005-0000-0000-0000F1020000}"/>
    <cellStyle name="Date [mmm-d-yyyy] 2 2" xfId="1731" xr:uid="{00000000-0005-0000-0000-0000F2020000}"/>
    <cellStyle name="Date [mmm-yy]" xfId="109" xr:uid="{00000000-0005-0000-0000-0000F3020000}"/>
    <cellStyle name="Date [mmm-yyyy]" xfId="110" xr:uid="{00000000-0005-0000-0000-0000F4020000}"/>
    <cellStyle name="Date [mmm-yyyy] 2" xfId="1732" xr:uid="{00000000-0005-0000-0000-0000F5020000}"/>
    <cellStyle name="Date [mmm-yyyy] 2 2" xfId="1733" xr:uid="{00000000-0005-0000-0000-0000F6020000}"/>
    <cellStyle name="Date 10" xfId="1059" xr:uid="{00000000-0005-0000-0000-0000F7020000}"/>
    <cellStyle name="Date 11" xfId="1088" xr:uid="{00000000-0005-0000-0000-0000F8020000}"/>
    <cellStyle name="Date 12" xfId="1100" xr:uid="{00000000-0005-0000-0000-0000F9020000}"/>
    <cellStyle name="Date 13" xfId="1112" xr:uid="{00000000-0005-0000-0000-0000FA020000}"/>
    <cellStyle name="Date 14" xfId="1119" xr:uid="{00000000-0005-0000-0000-0000FB020000}"/>
    <cellStyle name="Date 15" xfId="966" xr:uid="{00000000-0005-0000-0000-0000FC020000}"/>
    <cellStyle name="Date 16" xfId="1019" xr:uid="{00000000-0005-0000-0000-0000FD020000}"/>
    <cellStyle name="Date 17" xfId="916" xr:uid="{00000000-0005-0000-0000-0000FE020000}"/>
    <cellStyle name="Date 18" xfId="1143" xr:uid="{00000000-0005-0000-0000-0000FF020000}"/>
    <cellStyle name="Date 19" xfId="1253" xr:uid="{00000000-0005-0000-0000-000000030000}"/>
    <cellStyle name="Date 2" xfId="626" xr:uid="{00000000-0005-0000-0000-000001030000}"/>
    <cellStyle name="Date 20" xfId="960" xr:uid="{00000000-0005-0000-0000-000002030000}"/>
    <cellStyle name="Date 21" xfId="1107" xr:uid="{00000000-0005-0000-0000-000003030000}"/>
    <cellStyle name="Date 3" xfId="895" xr:uid="{00000000-0005-0000-0000-000004030000}"/>
    <cellStyle name="Date 4" xfId="902" xr:uid="{00000000-0005-0000-0000-000005030000}"/>
    <cellStyle name="Date 5" xfId="967" xr:uid="{00000000-0005-0000-0000-000006030000}"/>
    <cellStyle name="Date 6" xfId="1029" xr:uid="{00000000-0005-0000-0000-000007030000}"/>
    <cellStyle name="Date 7" xfId="1099" xr:uid="{00000000-0005-0000-0000-000008030000}"/>
    <cellStyle name="Date 8" xfId="1063" xr:uid="{00000000-0005-0000-0000-000009030000}"/>
    <cellStyle name="Date 9" xfId="1094" xr:uid="{00000000-0005-0000-0000-00000A030000}"/>
    <cellStyle name="Date Aligned" xfId="111" xr:uid="{00000000-0005-0000-0000-00000B030000}"/>
    <cellStyle name="Date Aligned 2" xfId="630" xr:uid="{00000000-0005-0000-0000-00000C030000}"/>
    <cellStyle name="Date_AMT Model New 11-16-2011" xfId="970" xr:uid="{00000000-0005-0000-0000-00000D030000}"/>
    <cellStyle name="Date2" xfId="112" xr:uid="{00000000-0005-0000-0000-00000E030000}"/>
    <cellStyle name="Date2 2" xfId="631" xr:uid="{00000000-0005-0000-0000-00000F030000}"/>
    <cellStyle name="Date2 2 2" xfId="1734" xr:uid="{00000000-0005-0000-0000-000010030000}"/>
    <cellStyle name="Dates" xfId="113" xr:uid="{00000000-0005-0000-0000-000011030000}"/>
    <cellStyle name="Dates 2" xfId="1735" xr:uid="{00000000-0005-0000-0000-000012030000}"/>
    <cellStyle name="Dates 2 2" xfId="1736" xr:uid="{00000000-0005-0000-0000-000013030000}"/>
    <cellStyle name="DateYear" xfId="114" xr:uid="{00000000-0005-0000-0000-000014030000}"/>
    <cellStyle name="DateYear 2" xfId="1737" xr:uid="{00000000-0005-0000-0000-000015030000}"/>
    <cellStyle name="DateYear 2 2" xfId="1738" xr:uid="{00000000-0005-0000-0000-000016030000}"/>
    <cellStyle name="Dec_0" xfId="632" xr:uid="{00000000-0005-0000-0000-000017030000}"/>
    <cellStyle name="Definition" xfId="1739" xr:uid="{00000000-0005-0000-0000-000018030000}"/>
    <cellStyle name="Déprotégée" xfId="115" xr:uid="{00000000-0005-0000-0000-000019030000}"/>
    <cellStyle name="Déprotégée 2" xfId="1740" xr:uid="{00000000-0005-0000-0000-00001A030000}"/>
    <cellStyle name="Déprotégée 3" xfId="1741" xr:uid="{00000000-0005-0000-0000-00001B030000}"/>
    <cellStyle name="Déprotégée 3 2" xfId="1742" xr:uid="{00000000-0005-0000-0000-00001C030000}"/>
    <cellStyle name="Devise" xfId="116" xr:uid="{00000000-0005-0000-0000-00001D030000}"/>
    <cellStyle name="Devise 2" xfId="1743" xr:uid="{00000000-0005-0000-0000-00001E030000}"/>
    <cellStyle name="Devise 3" xfId="1744" xr:uid="{00000000-0005-0000-0000-00001F030000}"/>
    <cellStyle name="Devise 3 2" xfId="1745" xr:uid="{00000000-0005-0000-0000-000020030000}"/>
    <cellStyle name="Dezimal (0.0)" xfId="117" xr:uid="{00000000-0005-0000-0000-000021030000}"/>
    <cellStyle name="Dezimal (0.0) 2" xfId="1746" xr:uid="{00000000-0005-0000-0000-000022030000}"/>
    <cellStyle name="Dezimal (0.0) 3" xfId="1747" xr:uid="{00000000-0005-0000-0000-000023030000}"/>
    <cellStyle name="Dezimal (0.0) 3 2" xfId="1748" xr:uid="{00000000-0005-0000-0000-000024030000}"/>
    <cellStyle name="Dezimal (0.0) 4" xfId="1749" xr:uid="{00000000-0005-0000-0000-000025030000}"/>
    <cellStyle name="Dezimal (0.0) 5" xfId="1750" xr:uid="{00000000-0005-0000-0000-000026030000}"/>
    <cellStyle name="Dia" xfId="1751" xr:uid="{00000000-0005-0000-0000-000027030000}"/>
    <cellStyle name="Diseño" xfId="1752" xr:uid="{00000000-0005-0000-0000-000028030000}"/>
    <cellStyle name="DOH" xfId="633" xr:uid="{00000000-0005-0000-0000-000029030000}"/>
    <cellStyle name="Dollar" xfId="118" xr:uid="{00000000-0005-0000-0000-00002A030000}"/>
    <cellStyle name="Dollar 2" xfId="1753" xr:uid="{00000000-0005-0000-0000-00002B030000}"/>
    <cellStyle name="Dollar 2 2" xfId="1754" xr:uid="{00000000-0005-0000-0000-00002C030000}"/>
    <cellStyle name="dollars" xfId="119" xr:uid="{00000000-0005-0000-0000-00002D030000}"/>
    <cellStyle name="dollars 2" xfId="634" xr:uid="{00000000-0005-0000-0000-00002E030000}"/>
    <cellStyle name="DollarWhole" xfId="120" xr:uid="{00000000-0005-0000-0000-00002F030000}"/>
    <cellStyle name="DollarWhole 2" xfId="1755" xr:uid="{00000000-0005-0000-0000-000030030000}"/>
    <cellStyle name="DollarWhole 2 2" xfId="1756" xr:uid="{00000000-0005-0000-0000-000031030000}"/>
    <cellStyle name="Dotted Line" xfId="121" xr:uid="{00000000-0005-0000-0000-000032030000}"/>
    <cellStyle name="Dotted Line 2" xfId="635" xr:uid="{00000000-0005-0000-0000-000033030000}"/>
    <cellStyle name="Double Accounting" xfId="122" xr:uid="{00000000-0005-0000-0000-000034030000}"/>
    <cellStyle name="Download" xfId="636" xr:uid="{00000000-0005-0000-0000-000035030000}"/>
    <cellStyle name="Download 2" xfId="1414" xr:uid="{00000000-0005-0000-0000-000036030000}"/>
    <cellStyle name="Driver" xfId="123" xr:uid="{00000000-0005-0000-0000-000037030000}"/>
    <cellStyle name="Driver 10" xfId="638" xr:uid="{00000000-0005-0000-0000-000038030000}"/>
    <cellStyle name="Driver 11" xfId="639" xr:uid="{00000000-0005-0000-0000-000039030000}"/>
    <cellStyle name="Driver 12" xfId="640" xr:uid="{00000000-0005-0000-0000-00003A030000}"/>
    <cellStyle name="Driver 13" xfId="641" xr:uid="{00000000-0005-0000-0000-00003B030000}"/>
    <cellStyle name="Driver 14" xfId="642" xr:uid="{00000000-0005-0000-0000-00003C030000}"/>
    <cellStyle name="Driver 15" xfId="643" xr:uid="{00000000-0005-0000-0000-00003D030000}"/>
    <cellStyle name="Driver 16" xfId="644" xr:uid="{00000000-0005-0000-0000-00003E030000}"/>
    <cellStyle name="Driver 17" xfId="645" xr:uid="{00000000-0005-0000-0000-00003F030000}"/>
    <cellStyle name="Driver 18" xfId="646" xr:uid="{00000000-0005-0000-0000-000040030000}"/>
    <cellStyle name="Driver 19" xfId="647" xr:uid="{00000000-0005-0000-0000-000041030000}"/>
    <cellStyle name="Driver 2" xfId="648" xr:uid="{00000000-0005-0000-0000-000042030000}"/>
    <cellStyle name="Driver 20" xfId="649" xr:uid="{00000000-0005-0000-0000-000043030000}"/>
    <cellStyle name="Driver 21" xfId="650" xr:uid="{00000000-0005-0000-0000-000044030000}"/>
    <cellStyle name="Driver 22" xfId="637" xr:uid="{00000000-0005-0000-0000-000045030000}"/>
    <cellStyle name="Driver 23" xfId="973" xr:uid="{00000000-0005-0000-0000-000046030000}"/>
    <cellStyle name="Driver 3" xfId="651" xr:uid="{00000000-0005-0000-0000-000047030000}"/>
    <cellStyle name="Driver 4" xfId="652" xr:uid="{00000000-0005-0000-0000-000048030000}"/>
    <cellStyle name="Driver 5" xfId="653" xr:uid="{00000000-0005-0000-0000-000049030000}"/>
    <cellStyle name="Driver 6" xfId="654" xr:uid="{00000000-0005-0000-0000-00004A030000}"/>
    <cellStyle name="Driver 7" xfId="655" xr:uid="{00000000-0005-0000-0000-00004B030000}"/>
    <cellStyle name="Driver 8" xfId="656" xr:uid="{00000000-0005-0000-0000-00004C030000}"/>
    <cellStyle name="Driver 9" xfId="657" xr:uid="{00000000-0005-0000-0000-00004D030000}"/>
    <cellStyle name="Driver Lable" xfId="124" xr:uid="{00000000-0005-0000-0000-00004E030000}"/>
    <cellStyle name="Driver_AMT Model New 11-16-2011" xfId="989" xr:uid="{00000000-0005-0000-0000-00004F030000}"/>
    <cellStyle name="drivers" xfId="125" xr:uid="{00000000-0005-0000-0000-000050030000}"/>
    <cellStyle name="Encabez1" xfId="1757" xr:uid="{00000000-0005-0000-0000-000051030000}"/>
    <cellStyle name="Encabez2" xfId="1758" xr:uid="{00000000-0005-0000-0000-000052030000}"/>
    <cellStyle name="Entités" xfId="126" xr:uid="{00000000-0005-0000-0000-000053030000}"/>
    <cellStyle name="Entités 2" xfId="1759" xr:uid="{00000000-0005-0000-0000-000054030000}"/>
    <cellStyle name="Entités 3" xfId="1760" xr:uid="{00000000-0005-0000-0000-000055030000}"/>
    <cellStyle name="Entités 3 2" xfId="1761" xr:uid="{00000000-0005-0000-0000-000056030000}"/>
    <cellStyle name="Entries" xfId="658" xr:uid="{00000000-0005-0000-0000-000057030000}"/>
    <cellStyle name="Entry" xfId="659" xr:uid="{00000000-0005-0000-0000-000058030000}"/>
    <cellStyle name="Entry 2" xfId="1150" xr:uid="{00000000-0005-0000-0000-000059030000}"/>
    <cellStyle name="EPS" xfId="127" xr:uid="{00000000-0005-0000-0000-00005A030000}"/>
    <cellStyle name="EPS 2" xfId="1762" xr:uid="{00000000-0005-0000-0000-00005B030000}"/>
    <cellStyle name="EPS 2 2" xfId="1763" xr:uid="{00000000-0005-0000-0000-00005C030000}"/>
    <cellStyle name="EPSActual" xfId="128" xr:uid="{00000000-0005-0000-0000-00005D030000}"/>
    <cellStyle name="EPSActual 2" xfId="1764" xr:uid="{00000000-0005-0000-0000-00005E030000}"/>
    <cellStyle name="EPSEstimate" xfId="129" xr:uid="{00000000-0005-0000-0000-00005F030000}"/>
    <cellStyle name="EPSEstimate 2" xfId="1765" xr:uid="{00000000-0005-0000-0000-000060030000}"/>
    <cellStyle name="Est - $" xfId="130" xr:uid="{00000000-0005-0000-0000-000061030000}"/>
    <cellStyle name="Est - $ 2" xfId="1766" xr:uid="{00000000-0005-0000-0000-000062030000}"/>
    <cellStyle name="Est - $ 2 2" xfId="1767" xr:uid="{00000000-0005-0000-0000-000063030000}"/>
    <cellStyle name="Est - $ 3" xfId="1768" xr:uid="{00000000-0005-0000-0000-000064030000}"/>
    <cellStyle name="Est - $ 4" xfId="1769" xr:uid="{00000000-0005-0000-0000-000065030000}"/>
    <cellStyle name="Est - %" xfId="131" xr:uid="{00000000-0005-0000-0000-000066030000}"/>
    <cellStyle name="Est - % 2" xfId="1770" xr:uid="{00000000-0005-0000-0000-000067030000}"/>
    <cellStyle name="Est - % 2 2" xfId="1771" xr:uid="{00000000-0005-0000-0000-000068030000}"/>
    <cellStyle name="Est - % 3" xfId="1772" xr:uid="{00000000-0005-0000-0000-000069030000}"/>
    <cellStyle name="Est - % 4" xfId="1773" xr:uid="{00000000-0005-0000-0000-00006A030000}"/>
    <cellStyle name="Est 0,000.0" xfId="132" xr:uid="{00000000-0005-0000-0000-00006B030000}"/>
    <cellStyle name="Est 0,000.0 2" xfId="1774" xr:uid="{00000000-0005-0000-0000-00006C030000}"/>
    <cellStyle name="Est 0,000.0 2 2" xfId="1775" xr:uid="{00000000-0005-0000-0000-00006D030000}"/>
    <cellStyle name="Est 0,000.0 3" xfId="1776" xr:uid="{00000000-0005-0000-0000-00006E030000}"/>
    <cellStyle name="Est 0,000.0 4" xfId="1777" xr:uid="{00000000-0005-0000-0000-00006F030000}"/>
    <cellStyle name="estimate" xfId="1778" xr:uid="{00000000-0005-0000-0000-000070030000}"/>
    <cellStyle name="Euro" xfId="133" xr:uid="{00000000-0005-0000-0000-000071030000}"/>
    <cellStyle name="Euro 2" xfId="660" xr:uid="{00000000-0005-0000-0000-000072030000}"/>
    <cellStyle name="Euro 2 2" xfId="1779" xr:uid="{00000000-0005-0000-0000-000073030000}"/>
    <cellStyle name="Euro 3" xfId="1780" xr:uid="{00000000-0005-0000-0000-000074030000}"/>
    <cellStyle name="ExchRate" xfId="661" xr:uid="{00000000-0005-0000-0000-000075030000}"/>
    <cellStyle name="ExchRate 2" xfId="1151" xr:uid="{00000000-0005-0000-0000-000076030000}"/>
    <cellStyle name="Explanatory Text 2" xfId="865" xr:uid="{00000000-0005-0000-0000-000077030000}"/>
    <cellStyle name="Explanatory Text 3" xfId="992" xr:uid="{00000000-0005-0000-0000-000078030000}"/>
    <cellStyle name="Explanatory Text 4" xfId="1781" xr:uid="{00000000-0005-0000-0000-000079030000}"/>
    <cellStyle name="f" xfId="1782" xr:uid="{00000000-0005-0000-0000-00007A030000}"/>
    <cellStyle name="f_BASE VIVO 311203 - Val II" xfId="1783" xr:uid="{00000000-0005-0000-0000-00007B030000}"/>
    <cellStyle name="f_Brasilcel mar05 FINAL v0904" xfId="1784" xr:uid="{00000000-0005-0000-0000-00007C030000}"/>
    <cellStyle name="f_Concessão Licença" xfId="1785" xr:uid="{00000000-0005-0000-0000-00007D030000}"/>
    <cellStyle name="f_leasing TCO dez.03 a set.04 V.T-gestiona FEV.05 (ESTIMATIVA)" xfId="1786" xr:uid="{00000000-0005-0000-0000-00007E030000}"/>
    <cellStyle name="f_Minoritários 0604 da v. ALEJANDRO final II" xfId="1787" xr:uid="{00000000-0005-0000-0000-00007F030000}"/>
    <cellStyle name="f_Minoritários 0604 da v. ALEJANDRO final III" xfId="1788" xr:uid="{00000000-0005-0000-0000-000080030000}"/>
    <cellStyle name="f_Minoritários Brasilcel mar 05" xfId="1789" xr:uid="{00000000-0005-0000-0000-000081030000}"/>
    <cellStyle name="f_Mod.proposto Espanha Brasilcel dez.03 IV" xfId="1790" xr:uid="{00000000-0005-0000-0000-000082030000}"/>
    <cellStyle name="f_Planilha TCP Holding IAS set.04 - após revisão espanha" xfId="1791" xr:uid="{00000000-0005-0000-0000-000083030000}"/>
    <cellStyle name="f_Planilha TCP Holding IAS set.04 - após revisão espanha I" xfId="1792" xr:uid="{00000000-0005-0000-0000-000084030000}"/>
    <cellStyle name="f_Recon. GT  set.04 após revisão Espanha" xfId="1793" xr:uid="{00000000-0005-0000-0000-000085030000}"/>
    <cellStyle name="f_Recon. GT  set.04 após revisão Espanha I" xfId="1794" xr:uid="{00000000-0005-0000-0000-000086030000}"/>
    <cellStyle name="f_Recon. set.04 TCO após revisão Spanish I" xfId="1795" xr:uid="{00000000-0005-0000-0000-000087030000}"/>
    <cellStyle name="f_Template IAS TCP - março.04 após rev.Esp." xfId="1796" xr:uid="{00000000-0005-0000-0000-000088030000}"/>
    <cellStyle name="f_Template IAS TCP - março.04 após rev.Esp.1" xfId="1797" xr:uid="{00000000-0005-0000-0000-000089030000}"/>
    <cellStyle name="f_Template IAS TCP Consol. set.04" xfId="1798" xr:uid="{00000000-0005-0000-0000-00008A030000}"/>
    <cellStyle name="f_Template IAS TCP Consol. set.04 após rev.Esp." xfId="1799" xr:uid="{00000000-0005-0000-0000-00008B030000}"/>
    <cellStyle name="f_Template IAS TCP Consol. set.041" xfId="1800" xr:uid="{00000000-0005-0000-0000-00008C030000}"/>
    <cellStyle name="f_Template IAS TCP Consol. set.042" xfId="1801" xr:uid="{00000000-0005-0000-0000-00008D030000}"/>
    <cellStyle name="f_Template TC set.04 após revisão espanha" xfId="1802" xr:uid="{00000000-0005-0000-0000-00008E030000}"/>
    <cellStyle name="f_Template TC set.04 após revisão espanha I" xfId="1803" xr:uid="{00000000-0005-0000-0000-00008F030000}"/>
    <cellStyle name="f_Template TCP MAR 05" xfId="1804" xr:uid="{00000000-0005-0000-0000-000090030000}"/>
    <cellStyle name="f_Templates IAS TCP - junho.04 c. e_sif" xfId="1805" xr:uid="{00000000-0005-0000-0000-000091030000}"/>
    <cellStyle name="f_Templates IAS TCP - junho.04 c. e_sif reclassif. 14.09" xfId="1806" xr:uid="{00000000-0005-0000-0000-000092030000}"/>
    <cellStyle name="f_Templates IAS TCP jun.04 Consol.após rev.espanha" xfId="1807" xr:uid="{00000000-0005-0000-0000-000093030000}"/>
    <cellStyle name="f_Templates IAS TCP jun.04 Consol.após rev.espanha1" xfId="1808" xr:uid="{00000000-0005-0000-0000-000094030000}"/>
    <cellStyle name="f_Worksheet in (C)   IAS Dezembro_03" xfId="1809" xr:uid="{00000000-0005-0000-0000-000095030000}"/>
    <cellStyle name="f_Worksheet in (C) 2241 IAS Dezembro_03" xfId="1810" xr:uid="{00000000-0005-0000-0000-000096030000}"/>
    <cellStyle name="f_Worksheet in (C) 2441-1 Resumo Ajustes" xfId="1811" xr:uid="{00000000-0005-0000-0000-000097030000}"/>
    <cellStyle name="f_Worksheet in 2241 IAS Dezembro_03" xfId="1812" xr:uid="{00000000-0005-0000-0000-000098030000}"/>
    <cellStyle name="f_Worksheet in 2242 IAS JUNHO 2004" xfId="1813" xr:uid="{00000000-0005-0000-0000-000099030000}"/>
    <cellStyle name="F2" xfId="1814" xr:uid="{00000000-0005-0000-0000-00009A030000}"/>
    <cellStyle name="F3" xfId="1815" xr:uid="{00000000-0005-0000-0000-00009B030000}"/>
    <cellStyle name="F4" xfId="1816" xr:uid="{00000000-0005-0000-0000-00009C030000}"/>
    <cellStyle name="F5" xfId="1817" xr:uid="{00000000-0005-0000-0000-00009D030000}"/>
    <cellStyle name="F6" xfId="1818" xr:uid="{00000000-0005-0000-0000-00009E030000}"/>
    <cellStyle name="F7" xfId="1819" xr:uid="{00000000-0005-0000-0000-00009F030000}"/>
    <cellStyle name="F8" xfId="1820" xr:uid="{00000000-0005-0000-0000-0000A0030000}"/>
    <cellStyle name="fact_Feuil1 (8)" xfId="134" xr:uid="{00000000-0005-0000-0000-0000A1030000}"/>
    <cellStyle name="Fail" xfId="135" xr:uid="{00000000-0005-0000-0000-0000A2030000}"/>
    <cellStyle name="Fail 2" xfId="1821" xr:uid="{00000000-0005-0000-0000-0000A3030000}"/>
    <cellStyle name="Fail 3" xfId="1822" xr:uid="{00000000-0005-0000-0000-0000A4030000}"/>
    <cellStyle name="Fail 3 2" xfId="1823" xr:uid="{00000000-0005-0000-0000-0000A5030000}"/>
    <cellStyle name="FAS Number" xfId="662" xr:uid="{00000000-0005-0000-0000-0000A6030000}"/>
    <cellStyle name="FAS Number 2" xfId="1152" xr:uid="{00000000-0005-0000-0000-0000A7030000}"/>
    <cellStyle name="FF_EURO" xfId="136" xr:uid="{00000000-0005-0000-0000-0000A8030000}"/>
    <cellStyle name="Fijo" xfId="1824" xr:uid="{00000000-0005-0000-0000-0000A9030000}"/>
    <cellStyle name="Financial" xfId="663" xr:uid="{00000000-0005-0000-0000-0000AA030000}"/>
    <cellStyle name="Financial 2" xfId="1153" xr:uid="{00000000-0005-0000-0000-0000AB030000}"/>
    <cellStyle name="Financiero" xfId="1825" xr:uid="{00000000-0005-0000-0000-0000AC030000}"/>
    <cellStyle name="FiscalPeriod" xfId="137" xr:uid="{00000000-0005-0000-0000-0000AD030000}"/>
    <cellStyle name="FiscalPeriod 2" xfId="1826" xr:uid="{00000000-0005-0000-0000-0000AE030000}"/>
    <cellStyle name="FiscalPeriod 3" xfId="1827" xr:uid="{00000000-0005-0000-0000-0000AF030000}"/>
    <cellStyle name="FiscalPeriod 3 2" xfId="1828" xr:uid="{00000000-0005-0000-0000-0000B0030000}"/>
    <cellStyle name="Fixed" xfId="138" xr:uid="{00000000-0005-0000-0000-0000B1030000}"/>
    <cellStyle name="Fixed [0]" xfId="139" xr:uid="{00000000-0005-0000-0000-0000B2030000}"/>
    <cellStyle name="Fixed [0] 2" xfId="664" xr:uid="{00000000-0005-0000-0000-0000B3030000}"/>
    <cellStyle name="Fixed [0] 2 2" xfId="1829" xr:uid="{00000000-0005-0000-0000-0000B4030000}"/>
    <cellStyle name="Fixed 2" xfId="1830" xr:uid="{00000000-0005-0000-0000-0000B5030000}"/>
    <cellStyle name="Fixed 2 2" xfId="1831" xr:uid="{00000000-0005-0000-0000-0000B6030000}"/>
    <cellStyle name="Fixed 3" xfId="1832" xr:uid="{00000000-0005-0000-0000-0000B7030000}"/>
    <cellStyle name="Fixed 3 2" xfId="1833" xr:uid="{00000000-0005-0000-0000-0000B8030000}"/>
    <cellStyle name="Fixo" xfId="1834" xr:uid="{00000000-0005-0000-0000-0000B9030000}"/>
    <cellStyle name="fo]_x000d__x000a_UserName=Murat Zelef_x000d__x000a_UserCompany=Bumerang_x000d__x000a__x000d__x000a_[File Paths]_x000d__x000a_WorkingDirectory=C:\EQUIS\DLWIN_x000d__x000a_DownLoader=C" xfId="140" xr:uid="{00000000-0005-0000-0000-0000BA030000}"/>
    <cellStyle name="Följde hyperlänken" xfId="141" xr:uid="{00000000-0005-0000-0000-0000BB030000}"/>
    <cellStyle name="Följde hyperlänken 2" xfId="1835" xr:uid="{00000000-0005-0000-0000-0000BC030000}"/>
    <cellStyle name="Följde hyperlänken 2 2" xfId="1836" xr:uid="{00000000-0005-0000-0000-0000BD030000}"/>
    <cellStyle name="Footer SBILogo1" xfId="142" xr:uid="{00000000-0005-0000-0000-0000BE030000}"/>
    <cellStyle name="Footer SBILogo1 2" xfId="1837" xr:uid="{00000000-0005-0000-0000-0000BF030000}"/>
    <cellStyle name="Footer SBILogo1 2 2" xfId="1838" xr:uid="{00000000-0005-0000-0000-0000C0030000}"/>
    <cellStyle name="Footer SBILogo2" xfId="143" xr:uid="{00000000-0005-0000-0000-0000C1030000}"/>
    <cellStyle name="Footer SBILogo2 2" xfId="1839" xr:uid="{00000000-0005-0000-0000-0000C2030000}"/>
    <cellStyle name="Footer SBILogo2 2 2" xfId="1840" xr:uid="{00000000-0005-0000-0000-0000C3030000}"/>
    <cellStyle name="Footnote" xfId="144" xr:uid="{00000000-0005-0000-0000-0000C4030000}"/>
    <cellStyle name="Footnote 2" xfId="665" xr:uid="{00000000-0005-0000-0000-0000C5030000}"/>
    <cellStyle name="Footnote 3" xfId="1841" xr:uid="{00000000-0005-0000-0000-0000C6030000}"/>
    <cellStyle name="Footnote 3 2" xfId="1842" xr:uid="{00000000-0005-0000-0000-0000C7030000}"/>
    <cellStyle name="Footnote 4" xfId="1843" xr:uid="{00000000-0005-0000-0000-0000C8030000}"/>
    <cellStyle name="Footnote Reference" xfId="145" xr:uid="{00000000-0005-0000-0000-0000C9030000}"/>
    <cellStyle name="Footnote Reference 2" xfId="1844" xr:uid="{00000000-0005-0000-0000-0000CA030000}"/>
    <cellStyle name="Footnote Reference 2 2" xfId="1845" xr:uid="{00000000-0005-0000-0000-0000CB030000}"/>
    <cellStyle name="Footnote_Innsamling" xfId="146" xr:uid="{00000000-0005-0000-0000-0000CC030000}"/>
    <cellStyle name="Forecast" xfId="666" xr:uid="{00000000-0005-0000-0000-0000CD030000}"/>
    <cellStyle name="ForecastData" xfId="667" xr:uid="{00000000-0005-0000-0000-0000CE030000}"/>
    <cellStyle name="fourdecplace" xfId="668" xr:uid="{00000000-0005-0000-0000-0000CF030000}"/>
    <cellStyle name="front page small" xfId="147" xr:uid="{00000000-0005-0000-0000-0000D0030000}"/>
    <cellStyle name="General" xfId="148" xr:uid="{00000000-0005-0000-0000-0000D1030000}"/>
    <cellStyle name="General 2" xfId="669" xr:uid="{00000000-0005-0000-0000-0000D2030000}"/>
    <cellStyle name="General 2 2" xfId="1846" xr:uid="{00000000-0005-0000-0000-0000D3030000}"/>
    <cellStyle name="Good 2" xfId="866" xr:uid="{00000000-0005-0000-0000-0000D4030000}"/>
    <cellStyle name="Good 3" xfId="997" xr:uid="{00000000-0005-0000-0000-0000D5030000}"/>
    <cellStyle name="Good 4" xfId="1847" xr:uid="{00000000-0005-0000-0000-0000D6030000}"/>
    <cellStyle name="Green" xfId="670" xr:uid="{00000000-0005-0000-0000-0000D7030000}"/>
    <cellStyle name="Grey" xfId="149" xr:uid="{00000000-0005-0000-0000-0000D8030000}"/>
    <cellStyle name="Grey 2" xfId="999" xr:uid="{00000000-0005-0000-0000-0000D9030000}"/>
    <cellStyle name="Grey 3" xfId="1848" xr:uid="{00000000-0005-0000-0000-0000DA030000}"/>
    <cellStyle name="GrowthRate" xfId="150" xr:uid="{00000000-0005-0000-0000-0000DB030000}"/>
    <cellStyle name="GrowthRate 2" xfId="671" xr:uid="{00000000-0005-0000-0000-0000DC030000}"/>
    <cellStyle name="GrowthRate 2 2" xfId="1849" xr:uid="{00000000-0005-0000-0000-0000DD030000}"/>
    <cellStyle name="GrowthSeq" xfId="151" xr:uid="{00000000-0005-0000-0000-0000DE030000}"/>
    <cellStyle name="GrowthSeq 2" xfId="1850" xr:uid="{00000000-0005-0000-0000-0000DF030000}"/>
    <cellStyle name="GrowthSeq 2 2" xfId="1851" xr:uid="{00000000-0005-0000-0000-0000E0030000}"/>
    <cellStyle name="GWN Table Body" xfId="152" xr:uid="{00000000-0005-0000-0000-0000E1030000}"/>
    <cellStyle name="GWN Table Header" xfId="153" xr:uid="{00000000-0005-0000-0000-0000E2030000}"/>
    <cellStyle name="GWN Table Left Header" xfId="154" xr:uid="{00000000-0005-0000-0000-0000E3030000}"/>
    <cellStyle name="GWN Table Note" xfId="155" xr:uid="{00000000-0005-0000-0000-0000E4030000}"/>
    <cellStyle name="GWN Table Title" xfId="156" xr:uid="{00000000-0005-0000-0000-0000E5030000}"/>
    <cellStyle name="H0" xfId="157" xr:uid="{00000000-0005-0000-0000-0000E6030000}"/>
    <cellStyle name="H1" xfId="158" xr:uid="{00000000-0005-0000-0000-0000E7030000}"/>
    <cellStyle name="H2" xfId="159" xr:uid="{00000000-0005-0000-0000-0000E8030000}"/>
    <cellStyle name="H3" xfId="160" xr:uid="{00000000-0005-0000-0000-0000E9030000}"/>
    <cellStyle name="H4" xfId="161" xr:uid="{00000000-0005-0000-0000-0000EA030000}"/>
    <cellStyle name="haeding 2" xfId="162" xr:uid="{00000000-0005-0000-0000-0000EB030000}"/>
    <cellStyle name="haeding 2 2" xfId="1852" xr:uid="{00000000-0005-0000-0000-0000EC030000}"/>
    <cellStyle name="haeding 2 2 2" xfId="1853" xr:uid="{00000000-0005-0000-0000-0000ED030000}"/>
    <cellStyle name="haeding 2 3" xfId="1854" xr:uid="{00000000-0005-0000-0000-0000EE030000}"/>
    <cellStyle name="Hard" xfId="163" xr:uid="{00000000-0005-0000-0000-0000EF030000}"/>
    <cellStyle name="Hard input" xfId="164" xr:uid="{00000000-0005-0000-0000-0000F0030000}"/>
    <cellStyle name="hard no." xfId="165" xr:uid="{00000000-0005-0000-0000-0000F1030000}"/>
    <cellStyle name="Hard Percent" xfId="166" xr:uid="{00000000-0005-0000-0000-0000F2030000}"/>
    <cellStyle name="Hard Percent 2" xfId="672" xr:uid="{00000000-0005-0000-0000-0000F3030000}"/>
    <cellStyle name="head1" xfId="673" xr:uid="{00000000-0005-0000-0000-0000F4030000}"/>
    <cellStyle name="head2" xfId="167" xr:uid="{00000000-0005-0000-0000-0000F5030000}"/>
    <cellStyle name="head2 2" xfId="674" xr:uid="{00000000-0005-0000-0000-0000F6030000}"/>
    <cellStyle name="head2 2 2" xfId="1855" xr:uid="{00000000-0005-0000-0000-0000F7030000}"/>
    <cellStyle name="Header" xfId="168" xr:uid="{00000000-0005-0000-0000-0000F8030000}"/>
    <cellStyle name="Header 2" xfId="675" xr:uid="{00000000-0005-0000-0000-0000F9030000}"/>
    <cellStyle name="Header 3" xfId="1856" xr:uid="{00000000-0005-0000-0000-0000FA030000}"/>
    <cellStyle name="Header 3 2" xfId="1857" xr:uid="{00000000-0005-0000-0000-0000FB030000}"/>
    <cellStyle name="Header 4" xfId="1858" xr:uid="{00000000-0005-0000-0000-0000FC030000}"/>
    <cellStyle name="Header Draft Stamp" xfId="169" xr:uid="{00000000-0005-0000-0000-0000FD030000}"/>
    <cellStyle name="Header Draft Stamp 2" xfId="1859" xr:uid="{00000000-0005-0000-0000-0000FE030000}"/>
    <cellStyle name="Header Draft Stamp 2 2" xfId="1860" xr:uid="{00000000-0005-0000-0000-0000FF030000}"/>
    <cellStyle name="Header_Innsamling" xfId="170" xr:uid="{00000000-0005-0000-0000-000000040000}"/>
    <cellStyle name="Header1" xfId="676" xr:uid="{00000000-0005-0000-0000-000001040000}"/>
    <cellStyle name="Header2" xfId="677" xr:uid="{00000000-0005-0000-0000-000002040000}"/>
    <cellStyle name="Heading" xfId="171" xr:uid="{00000000-0005-0000-0000-000003040000}"/>
    <cellStyle name="heading 1 10" xfId="1015" xr:uid="{00000000-0005-0000-0000-000004040000}"/>
    <cellStyle name="Heading 1 2" xfId="867" xr:uid="{00000000-0005-0000-0000-000005040000}"/>
    <cellStyle name="heading 1 3" xfId="1005" xr:uid="{00000000-0005-0000-0000-000006040000}"/>
    <cellStyle name="heading 1 4" xfId="985" xr:uid="{00000000-0005-0000-0000-000007040000}"/>
    <cellStyle name="heading 1 5" xfId="982" xr:uid="{00000000-0005-0000-0000-000008040000}"/>
    <cellStyle name="heading 1 6" xfId="987" xr:uid="{00000000-0005-0000-0000-000009040000}"/>
    <cellStyle name="heading 1 7" xfId="980" xr:uid="{00000000-0005-0000-0000-00000A040000}"/>
    <cellStyle name="heading 1 8" xfId="990" xr:uid="{00000000-0005-0000-0000-00000B040000}"/>
    <cellStyle name="heading 1 9" xfId="978" xr:uid="{00000000-0005-0000-0000-00000C040000}"/>
    <cellStyle name="Heading 1 Above" xfId="172" xr:uid="{00000000-0005-0000-0000-00000D040000}"/>
    <cellStyle name="Heading 1 Above 2" xfId="1861" xr:uid="{00000000-0005-0000-0000-00000E040000}"/>
    <cellStyle name="Heading 1 Above 2 2" xfId="1862" xr:uid="{00000000-0005-0000-0000-00000F040000}"/>
    <cellStyle name="Heading 1+" xfId="173" xr:uid="{00000000-0005-0000-0000-000010040000}"/>
    <cellStyle name="Heading 1+ 2" xfId="1863" xr:uid="{00000000-0005-0000-0000-000011040000}"/>
    <cellStyle name="Heading 1+ 2 2" xfId="1864" xr:uid="{00000000-0005-0000-0000-000012040000}"/>
    <cellStyle name="Heading 2" xfId="174" builtinId="17" customBuiltin="1"/>
    <cellStyle name="heading 2 10" xfId="1016" xr:uid="{00000000-0005-0000-0000-000014040000}"/>
    <cellStyle name="Heading 2 11" xfId="1280" xr:uid="{00000000-0005-0000-0000-000015040000}"/>
    <cellStyle name="Heading 2 2" xfId="868" xr:uid="{00000000-0005-0000-0000-000016040000}"/>
    <cellStyle name="Heading 2 2 2" xfId="1865" xr:uid="{00000000-0005-0000-0000-000017040000}"/>
    <cellStyle name="heading 2 3" xfId="1006" xr:uid="{00000000-0005-0000-0000-000018040000}"/>
    <cellStyle name="Heading 2 3 2" xfId="1866" xr:uid="{00000000-0005-0000-0000-000019040000}"/>
    <cellStyle name="heading 2 4" xfId="984" xr:uid="{00000000-0005-0000-0000-00001A040000}"/>
    <cellStyle name="heading 2 5" xfId="983" xr:uid="{00000000-0005-0000-0000-00001B040000}"/>
    <cellStyle name="heading 2 6" xfId="986" xr:uid="{00000000-0005-0000-0000-00001C040000}"/>
    <cellStyle name="heading 2 7" xfId="981" xr:uid="{00000000-0005-0000-0000-00001D040000}"/>
    <cellStyle name="heading 2 8" xfId="988" xr:uid="{00000000-0005-0000-0000-00001E040000}"/>
    <cellStyle name="heading 2 9" xfId="979" xr:uid="{00000000-0005-0000-0000-00001F040000}"/>
    <cellStyle name="Heading 2 Below" xfId="175" xr:uid="{00000000-0005-0000-0000-000020040000}"/>
    <cellStyle name="Heading 2 Below 2" xfId="1867" xr:uid="{00000000-0005-0000-0000-000021040000}"/>
    <cellStyle name="Heading 2 Below 2 2" xfId="1868" xr:uid="{00000000-0005-0000-0000-000022040000}"/>
    <cellStyle name="Heading 2+" xfId="176" xr:uid="{00000000-0005-0000-0000-000023040000}"/>
    <cellStyle name="Heading 2+ 2" xfId="1869" xr:uid="{00000000-0005-0000-0000-000024040000}"/>
    <cellStyle name="Heading 2+ 2 2" xfId="1870" xr:uid="{00000000-0005-0000-0000-000025040000}"/>
    <cellStyle name="Heading 3" xfId="177" builtinId="18" customBuiltin="1"/>
    <cellStyle name="Heading 3 2" xfId="869" xr:uid="{00000000-0005-0000-0000-000027040000}"/>
    <cellStyle name="Heading 3 2 2" xfId="1871" xr:uid="{00000000-0005-0000-0000-000028040000}"/>
    <cellStyle name="Heading 3 3" xfId="1007" xr:uid="{00000000-0005-0000-0000-000029040000}"/>
    <cellStyle name="Heading 3 3 2" xfId="1872" xr:uid="{00000000-0005-0000-0000-00002A040000}"/>
    <cellStyle name="Heading 3 4" xfId="1281" xr:uid="{00000000-0005-0000-0000-00002B040000}"/>
    <cellStyle name="Heading 3+" xfId="178" xr:uid="{00000000-0005-0000-0000-00002C040000}"/>
    <cellStyle name="Heading 3+ 2" xfId="1873" xr:uid="{00000000-0005-0000-0000-00002D040000}"/>
    <cellStyle name="Heading 3+ 2 2" xfId="1874" xr:uid="{00000000-0005-0000-0000-00002E040000}"/>
    <cellStyle name="Heading 4 2" xfId="870" xr:uid="{00000000-0005-0000-0000-00002F040000}"/>
    <cellStyle name="Heading 4 3" xfId="1008" xr:uid="{00000000-0005-0000-0000-000030040000}"/>
    <cellStyle name="Heading 4 4" xfId="1875" xr:uid="{00000000-0005-0000-0000-000031040000}"/>
    <cellStyle name="Heading 4 5" xfId="1876" xr:uid="{00000000-0005-0000-0000-000032040000}"/>
    <cellStyle name="Heading 4 6" xfId="1877" xr:uid="{00000000-0005-0000-0000-000033040000}"/>
    <cellStyle name="Heading 5" xfId="179" xr:uid="{00000000-0005-0000-0000-000034040000}"/>
    <cellStyle name="Heading 5 2" xfId="1878" xr:uid="{00000000-0005-0000-0000-000035040000}"/>
    <cellStyle name="Heading 5 2 2" xfId="1879" xr:uid="{00000000-0005-0000-0000-000036040000}"/>
    <cellStyle name="Heading 6" xfId="1880" xr:uid="{00000000-0005-0000-0000-000037040000}"/>
    <cellStyle name="Heading 6 2" xfId="1881" xr:uid="{00000000-0005-0000-0000-000038040000}"/>
    <cellStyle name="Heading 7" xfId="1882" xr:uid="{00000000-0005-0000-0000-000039040000}"/>
    <cellStyle name="Heading 7 2" xfId="1883" xr:uid="{00000000-0005-0000-0000-00003A040000}"/>
    <cellStyle name="Heading1" xfId="678" xr:uid="{00000000-0005-0000-0000-00003B040000}"/>
    <cellStyle name="Hidden" xfId="180" xr:uid="{00000000-0005-0000-0000-00003C040000}"/>
    <cellStyle name="Hidden 2" xfId="679" xr:uid="{00000000-0005-0000-0000-00003D040000}"/>
    <cellStyle name="Hidden 3" xfId="1884" xr:uid="{00000000-0005-0000-0000-00003E040000}"/>
    <cellStyle name="Hidden 3 2" xfId="1885" xr:uid="{00000000-0005-0000-0000-00003F040000}"/>
    <cellStyle name="Highlight" xfId="181" xr:uid="{00000000-0005-0000-0000-000040040000}"/>
    <cellStyle name="Highlight 2" xfId="1282" xr:uid="{00000000-0005-0000-0000-000041040000}"/>
    <cellStyle name="Hipervínculo" xfId="1886" xr:uid="{00000000-0005-0000-0000-000042040000}"/>
    <cellStyle name="Hipervínculo visitado" xfId="1887" xr:uid="{00000000-0005-0000-0000-000043040000}"/>
    <cellStyle name="Hist inmatning" xfId="182" xr:uid="{00000000-0005-0000-0000-000044040000}"/>
    <cellStyle name="Historic" xfId="680" xr:uid="{00000000-0005-0000-0000-000045040000}"/>
    <cellStyle name="HistoricData" xfId="681" xr:uid="{00000000-0005-0000-0000-000046040000}"/>
    <cellStyle name="Hyperlänk" xfId="183" xr:uid="{00000000-0005-0000-0000-000047040000}"/>
    <cellStyle name="Hyperlänk 2" xfId="1888" xr:uid="{00000000-0005-0000-0000-000048040000}"/>
    <cellStyle name="Hyperlänk 2 2" xfId="1889" xr:uid="{00000000-0005-0000-0000-000049040000}"/>
    <cellStyle name="Hyperlink" xfId="2371" builtinId="8"/>
    <cellStyle name="Hyperlink 2" xfId="682" xr:uid="{00000000-0005-0000-0000-00004B040000}"/>
    <cellStyle name="Hyperlink 2 2" xfId="1248" xr:uid="{00000000-0005-0000-0000-00004C040000}"/>
    <cellStyle name="Hyperlink 3" xfId="1890" xr:uid="{00000000-0005-0000-0000-00004D040000}"/>
    <cellStyle name="Hyperlink 4" xfId="1891" xr:uid="{00000000-0005-0000-0000-00004E040000}"/>
    <cellStyle name="Hyperlink black" xfId="1892" xr:uid="{00000000-0005-0000-0000-00004F040000}"/>
    <cellStyle name="Hyperlink seguido" xfId="1893" xr:uid="{00000000-0005-0000-0000-000050040000}"/>
    <cellStyle name="IncomeStatement" xfId="184" xr:uid="{00000000-0005-0000-0000-000052040000}"/>
    <cellStyle name="IncomeStatement 2" xfId="683" xr:uid="{00000000-0005-0000-0000-000053040000}"/>
    <cellStyle name="IncomeStatement 2 2" xfId="1894" xr:uid="{00000000-0005-0000-0000-000054040000}"/>
    <cellStyle name="InLink" xfId="185" xr:uid="{00000000-0005-0000-0000-000055040000}"/>
    <cellStyle name="InLink 2" xfId="1895" xr:uid="{00000000-0005-0000-0000-000056040000}"/>
    <cellStyle name="input" xfId="186" xr:uid="{00000000-0005-0000-0000-000057040000}"/>
    <cellStyle name="Input %" xfId="1896" xr:uid="{00000000-0005-0000-0000-000058040000}"/>
    <cellStyle name="Input (%)" xfId="684" xr:uid="{00000000-0005-0000-0000-000059040000}"/>
    <cellStyle name="Input (%) 2" xfId="1155" xr:uid="{00000000-0005-0000-0000-00005A040000}"/>
    <cellStyle name="Input [yellow]" xfId="187" xr:uid="{00000000-0005-0000-0000-00005B040000}"/>
    <cellStyle name="Input 0" xfId="1897" xr:uid="{00000000-0005-0000-0000-00005C040000}"/>
    <cellStyle name="Input 0,0" xfId="1898" xr:uid="{00000000-0005-0000-0000-00005D040000}"/>
    <cellStyle name="Input 0_Analise PDD 2003 " xfId="1899" xr:uid="{00000000-0005-0000-0000-00005E040000}"/>
    <cellStyle name="iNPUT 10" xfId="1133" xr:uid="{00000000-0005-0000-0000-00005F040000}"/>
    <cellStyle name="iNPUT 11" xfId="1154" xr:uid="{00000000-0005-0000-0000-000060040000}"/>
    <cellStyle name="iNPUT 12" xfId="1249" xr:uid="{00000000-0005-0000-0000-000061040000}"/>
    <cellStyle name="iNPUT 13" xfId="1114" xr:uid="{00000000-0005-0000-0000-000062040000}"/>
    <cellStyle name="iNPUT 14" xfId="1077" xr:uid="{00000000-0005-0000-0000-000063040000}"/>
    <cellStyle name="input 15" xfId="1283" xr:uid="{00000000-0005-0000-0000-000064040000}"/>
    <cellStyle name="Input 2" xfId="871" xr:uid="{00000000-0005-0000-0000-000065040000}"/>
    <cellStyle name="Input 2 2" xfId="1900" xr:uid="{00000000-0005-0000-0000-000066040000}"/>
    <cellStyle name="iNPUT 3" xfId="1011" xr:uid="{00000000-0005-0000-0000-000067040000}"/>
    <cellStyle name="iNPUT 4" xfId="977" xr:uid="{00000000-0005-0000-0000-000068040000}"/>
    <cellStyle name="iNPUT 5" xfId="993" xr:uid="{00000000-0005-0000-0000-000069040000}"/>
    <cellStyle name="iNPUT 6" xfId="976" xr:uid="{00000000-0005-0000-0000-00006A040000}"/>
    <cellStyle name="iNPUT 7" xfId="995" xr:uid="{00000000-0005-0000-0000-00006B040000}"/>
    <cellStyle name="iNPUT 8" xfId="975" xr:uid="{00000000-0005-0000-0000-00006C040000}"/>
    <cellStyle name="iNPUT 9" xfId="996" xr:uid="{00000000-0005-0000-0000-00006D040000}"/>
    <cellStyle name="Input calculation" xfId="188" xr:uid="{00000000-0005-0000-0000-00006E040000}"/>
    <cellStyle name="Input calculation 2" xfId="1284" xr:uid="{00000000-0005-0000-0000-00006F040000}"/>
    <cellStyle name="Input Cell" xfId="1901" xr:uid="{00000000-0005-0000-0000-000070040000}"/>
    <cellStyle name="Input Cells" xfId="189" xr:uid="{00000000-0005-0000-0000-000071040000}"/>
    <cellStyle name="Input Currency" xfId="190" xr:uid="{00000000-0005-0000-0000-000072040000}"/>
    <cellStyle name="Input Currency 2" xfId="685" xr:uid="{00000000-0005-0000-0000-000073040000}"/>
    <cellStyle name="Input data" xfId="191" xr:uid="{00000000-0005-0000-0000-000074040000}"/>
    <cellStyle name="Input data 2" xfId="1285" xr:uid="{00000000-0005-0000-0000-000075040000}"/>
    <cellStyle name="Input Date" xfId="192" xr:uid="{00000000-0005-0000-0000-000076040000}"/>
    <cellStyle name="Input Date 2" xfId="686" xr:uid="{00000000-0005-0000-0000-000077040000}"/>
    <cellStyle name="Input Date 2 2" xfId="1902" xr:uid="{00000000-0005-0000-0000-000078040000}"/>
    <cellStyle name="Input estimate" xfId="193" xr:uid="{00000000-0005-0000-0000-000079040000}"/>
    <cellStyle name="Input estimate 2" xfId="1286" xr:uid="{00000000-0005-0000-0000-00007A040000}"/>
    <cellStyle name="Input Fixed [0]" xfId="194" xr:uid="{00000000-0005-0000-0000-00007B040000}"/>
    <cellStyle name="Input Fixed [0] 2" xfId="687" xr:uid="{00000000-0005-0000-0000-00007C040000}"/>
    <cellStyle name="Input link" xfId="195" xr:uid="{00000000-0005-0000-0000-00007D040000}"/>
    <cellStyle name="Input link (different workbook)" xfId="196" xr:uid="{00000000-0005-0000-0000-00007E040000}"/>
    <cellStyle name="Input link (different workbook) 2" xfId="1288" xr:uid="{00000000-0005-0000-0000-00007F040000}"/>
    <cellStyle name="Input link 2" xfId="1287" xr:uid="{00000000-0005-0000-0000-000080040000}"/>
    <cellStyle name="Input Link_Copy of ESA5 ForecastScaling" xfId="197" xr:uid="{00000000-0005-0000-0000-000081040000}"/>
    <cellStyle name="Input Normal" xfId="198" xr:uid="{00000000-0005-0000-0000-000082040000}"/>
    <cellStyle name="Input parameter" xfId="199" xr:uid="{00000000-0005-0000-0000-000083040000}"/>
    <cellStyle name="Input parameter 2" xfId="1289" xr:uid="{00000000-0005-0000-0000-000084040000}"/>
    <cellStyle name="Input Percent" xfId="200" xr:uid="{00000000-0005-0000-0000-000085040000}"/>
    <cellStyle name="Input Percent [2]" xfId="201" xr:uid="{00000000-0005-0000-0000-000086040000}"/>
    <cellStyle name="Input Percent 10" xfId="971" xr:uid="{00000000-0005-0000-0000-000087040000}"/>
    <cellStyle name="Input Percent 11" xfId="1003" xr:uid="{00000000-0005-0000-0000-000088040000}"/>
    <cellStyle name="Input Percent 12" xfId="1010" xr:uid="{00000000-0005-0000-0000-000089040000}"/>
    <cellStyle name="Input Percent 13" xfId="1000" xr:uid="{00000000-0005-0000-0000-00008A040000}"/>
    <cellStyle name="Input Percent 14" xfId="1013" xr:uid="{00000000-0005-0000-0000-00008B040000}"/>
    <cellStyle name="Input Percent 15" xfId="1001" xr:uid="{00000000-0005-0000-0000-00008C040000}"/>
    <cellStyle name="Input Percent 16" xfId="1012" xr:uid="{00000000-0005-0000-0000-00008D040000}"/>
    <cellStyle name="Input Percent 17" xfId="1132" xr:uid="{00000000-0005-0000-0000-00008E040000}"/>
    <cellStyle name="Input Percent 18" xfId="1009" xr:uid="{00000000-0005-0000-0000-00008F040000}"/>
    <cellStyle name="Input Percent 19" xfId="991" xr:uid="{00000000-0005-0000-0000-000090040000}"/>
    <cellStyle name="Input Percent 2" xfId="688" xr:uid="{00000000-0005-0000-0000-000091040000}"/>
    <cellStyle name="Input Percent 2 2" xfId="1903" xr:uid="{00000000-0005-0000-0000-000092040000}"/>
    <cellStyle name="Input Percent 20" xfId="1004" xr:uid="{00000000-0005-0000-0000-000093040000}"/>
    <cellStyle name="Input Percent 21" xfId="994" xr:uid="{00000000-0005-0000-0000-000094040000}"/>
    <cellStyle name="Input Percent 3" xfId="898" xr:uid="{00000000-0005-0000-0000-000095040000}"/>
    <cellStyle name="Input Percent 3 2" xfId="1904" xr:uid="{00000000-0005-0000-0000-000096040000}"/>
    <cellStyle name="Input Percent 4" xfId="899" xr:uid="{00000000-0005-0000-0000-000097040000}"/>
    <cellStyle name="Input Percent 5" xfId="1014" xr:uid="{00000000-0005-0000-0000-000098040000}"/>
    <cellStyle name="Input Percent 6" xfId="974" xr:uid="{00000000-0005-0000-0000-000099040000}"/>
    <cellStyle name="Input Percent 7" xfId="998" xr:uid="{00000000-0005-0000-0000-00009A040000}"/>
    <cellStyle name="Input Percent 8" xfId="972" xr:uid="{00000000-0005-0000-0000-00009B040000}"/>
    <cellStyle name="Input Percent 9" xfId="1002" xr:uid="{00000000-0005-0000-0000-00009C040000}"/>
    <cellStyle name="Input Percent_Book1" xfId="202" xr:uid="{00000000-0005-0000-0000-00009D040000}"/>
    <cellStyle name="Input Titles" xfId="203" xr:uid="{00000000-0005-0000-0000-00009E040000}"/>
    <cellStyle name="Input%" xfId="204" xr:uid="{00000000-0005-0000-0000-00009F040000}"/>
    <cellStyle name="Input% 2" xfId="689" xr:uid="{00000000-0005-0000-0000-0000A0040000}"/>
    <cellStyle name="Input% 3" xfId="1905" xr:uid="{00000000-0005-0000-0000-0000A1040000}"/>
    <cellStyle name="Input% 3 2" xfId="1906" xr:uid="{00000000-0005-0000-0000-0000A2040000}"/>
    <cellStyle name="Input_AMT Model New 11-16-2011" xfId="1017" xr:uid="{00000000-0005-0000-0000-0000A3040000}"/>
    <cellStyle name="Input0dec" xfId="205" xr:uid="{00000000-0005-0000-0000-0000A4040000}"/>
    <cellStyle name="Input0dec 2" xfId="690" xr:uid="{00000000-0005-0000-0000-0000A5040000}"/>
    <cellStyle name="Input0dec 2 2" xfId="1907" xr:uid="{00000000-0005-0000-0000-0000A6040000}"/>
    <cellStyle name="Input2" xfId="1908" xr:uid="{00000000-0005-0000-0000-0000A7040000}"/>
    <cellStyle name="Input2dec" xfId="206" xr:uid="{00000000-0005-0000-0000-0000A8040000}"/>
    <cellStyle name="Input2dec 2" xfId="691" xr:uid="{00000000-0005-0000-0000-0000A9040000}"/>
    <cellStyle name="Input2dec 2 2" xfId="1909" xr:uid="{00000000-0005-0000-0000-0000AA040000}"/>
    <cellStyle name="InputBlueFont" xfId="207" xr:uid="{00000000-0005-0000-0000-0000AB040000}"/>
    <cellStyle name="InputBlueFont 2" xfId="1910" xr:uid="{00000000-0005-0000-0000-0000AC040000}"/>
    <cellStyle name="InputBlueFont 3" xfId="1911" xr:uid="{00000000-0005-0000-0000-0000AD040000}"/>
    <cellStyle name="InputBlueFont 3 2" xfId="1912" xr:uid="{00000000-0005-0000-0000-0000AE040000}"/>
    <cellStyle name="InputBlueFont 4" xfId="1913" xr:uid="{00000000-0005-0000-0000-0000AF040000}"/>
    <cellStyle name="InputBlueFont 5" xfId="1914" xr:uid="{00000000-0005-0000-0000-0000B0040000}"/>
    <cellStyle name="InputDate" xfId="208" xr:uid="{00000000-0005-0000-0000-0000B1040000}"/>
    <cellStyle name="InputDate 2" xfId="1915" xr:uid="{00000000-0005-0000-0000-0000B2040000}"/>
    <cellStyle name="InputDate 3" xfId="1916" xr:uid="{00000000-0005-0000-0000-0000B3040000}"/>
    <cellStyle name="InputDate 3 2" xfId="1917" xr:uid="{00000000-0005-0000-0000-0000B4040000}"/>
    <cellStyle name="InputDecimal" xfId="209" xr:uid="{00000000-0005-0000-0000-0000B5040000}"/>
    <cellStyle name="InputDecimal 2" xfId="1918" xr:uid="{00000000-0005-0000-0000-0000B6040000}"/>
    <cellStyle name="InputDecimal 3" xfId="1919" xr:uid="{00000000-0005-0000-0000-0000B7040000}"/>
    <cellStyle name="InputDecimal 3 2" xfId="1920" xr:uid="{00000000-0005-0000-0000-0000B8040000}"/>
    <cellStyle name="InputValue" xfId="210" xr:uid="{00000000-0005-0000-0000-0000B9040000}"/>
    <cellStyle name="InputValue 2" xfId="1921" xr:uid="{00000000-0005-0000-0000-0000BA040000}"/>
    <cellStyle name="InputValue 3" xfId="1922" xr:uid="{00000000-0005-0000-0000-0000BB040000}"/>
    <cellStyle name="InputValue 3 2" xfId="1923" xr:uid="{00000000-0005-0000-0000-0000BC040000}"/>
    <cellStyle name="Integer" xfId="211" xr:uid="{00000000-0005-0000-0000-0000BD040000}"/>
    <cellStyle name="Integer 2" xfId="692" xr:uid="{00000000-0005-0000-0000-0000BE040000}"/>
    <cellStyle name="Integer 3" xfId="1924" xr:uid="{00000000-0005-0000-0000-0000BF040000}"/>
    <cellStyle name="Integer 3 2" xfId="1925" xr:uid="{00000000-0005-0000-0000-0000C0040000}"/>
    <cellStyle name="Item" xfId="212" xr:uid="{00000000-0005-0000-0000-0000C1040000}"/>
    <cellStyle name="Item 2" xfId="693" xr:uid="{00000000-0005-0000-0000-0000C2040000}"/>
    <cellStyle name="Item 3" xfId="1926" xr:uid="{00000000-0005-0000-0000-0000C3040000}"/>
    <cellStyle name="Item 3 2" xfId="1927" xr:uid="{00000000-0005-0000-0000-0000C4040000}"/>
    <cellStyle name="Item 4" xfId="1928" xr:uid="{00000000-0005-0000-0000-0000C5040000}"/>
    <cellStyle name="Items_Optional" xfId="213" xr:uid="{00000000-0005-0000-0000-0000C6040000}"/>
    <cellStyle name="ItemTypeClass" xfId="214" xr:uid="{00000000-0005-0000-0000-0000C7040000}"/>
    <cellStyle name="ItemTypeClass 2" xfId="694" xr:uid="{00000000-0005-0000-0000-0000C8040000}"/>
    <cellStyle name="ItemTypeClass 2 2" xfId="1415" xr:uid="{00000000-0005-0000-0000-0000C9040000}"/>
    <cellStyle name="ItemTypeClass 3" xfId="1290" xr:uid="{00000000-0005-0000-0000-0000CA040000}"/>
    <cellStyle name="ItemTypeClass 3 2" xfId="1929" xr:uid="{00000000-0005-0000-0000-0000CB040000}"/>
    <cellStyle name="James" xfId="215" xr:uid="{00000000-0005-0000-0000-0000CC040000}"/>
    <cellStyle name="kopregel" xfId="216" xr:uid="{00000000-0005-0000-0000-0000CD040000}"/>
    <cellStyle name="KP_Normal" xfId="695" xr:uid="{00000000-0005-0000-0000-0000CE040000}"/>
    <cellStyle name="KPMG Heading 1" xfId="1930" xr:uid="{00000000-0005-0000-0000-0000CF040000}"/>
    <cellStyle name="KPMG Heading 2" xfId="1931" xr:uid="{00000000-0005-0000-0000-0000D0040000}"/>
    <cellStyle name="KPMG Heading 3" xfId="1932" xr:uid="{00000000-0005-0000-0000-0000D1040000}"/>
    <cellStyle name="KPMG Heading 4" xfId="1933" xr:uid="{00000000-0005-0000-0000-0000D2040000}"/>
    <cellStyle name="KPMG Normal" xfId="1934" xr:uid="{00000000-0005-0000-0000-0000D3040000}"/>
    <cellStyle name="KPMG Normal Text" xfId="1935" xr:uid="{00000000-0005-0000-0000-0000D4040000}"/>
    <cellStyle name="LEVERS69" xfId="696" xr:uid="{00000000-0005-0000-0000-0000D5040000}"/>
    <cellStyle name="LEVERS69 2" xfId="1161" xr:uid="{00000000-0005-0000-0000-0000D6040000}"/>
    <cellStyle name="Libellés" xfId="217" xr:uid="{00000000-0005-0000-0000-0000D7040000}"/>
    <cellStyle name="Link" xfId="1936" xr:uid="{00000000-0005-0000-0000-0000D8040000}"/>
    <cellStyle name="Linked" xfId="218" xr:uid="{00000000-0005-0000-0000-0000D9040000}"/>
    <cellStyle name="Linked 2" xfId="1937" xr:uid="{00000000-0005-0000-0000-0000DA040000}"/>
    <cellStyle name="Linked 2 2" xfId="1938" xr:uid="{00000000-0005-0000-0000-0000DB040000}"/>
    <cellStyle name="Linked 3" xfId="1939" xr:uid="{00000000-0005-0000-0000-0000DC040000}"/>
    <cellStyle name="Linked 4" xfId="1940" xr:uid="{00000000-0005-0000-0000-0000DD040000}"/>
    <cellStyle name="Linked Cell 2" xfId="872" xr:uid="{00000000-0005-0000-0000-0000DE040000}"/>
    <cellStyle name="Linked Cell 3" xfId="1018" xr:uid="{00000000-0005-0000-0000-0000DF040000}"/>
    <cellStyle name="Linked Cells" xfId="219" xr:uid="{00000000-0005-0000-0000-0000E0040000}"/>
    <cellStyle name="Linked Cells 2" xfId="1941" xr:uid="{00000000-0005-0000-0000-0000E1040000}"/>
    <cellStyle name="Linked Cells 3" xfId="1942" xr:uid="{00000000-0005-0000-0000-0000E2040000}"/>
    <cellStyle name="Linked Cells 3 2" xfId="1943" xr:uid="{00000000-0005-0000-0000-0000E3040000}"/>
    <cellStyle name="Locked" xfId="220" xr:uid="{00000000-0005-0000-0000-0000E4040000}"/>
    <cellStyle name="Lookup_target" xfId="1944" xr:uid="{00000000-0005-0000-0000-0000E5040000}"/>
    <cellStyle name="MacroCode" xfId="697" xr:uid="{00000000-0005-0000-0000-0000E6040000}"/>
    <cellStyle name="Main Title" xfId="221" xr:uid="{00000000-0005-0000-0000-0000E7040000}"/>
    <cellStyle name="Main Title 2" xfId="1945" xr:uid="{00000000-0005-0000-0000-0000E8040000}"/>
    <cellStyle name="Main Title 3" xfId="1946" xr:uid="{00000000-0005-0000-0000-0000E9040000}"/>
    <cellStyle name="Main Title 3 2" xfId="1947" xr:uid="{00000000-0005-0000-0000-0000EA040000}"/>
    <cellStyle name="Mainhead" xfId="698" xr:uid="{00000000-0005-0000-0000-0000EB040000}"/>
    <cellStyle name="margenta-f" xfId="222" xr:uid="{00000000-0005-0000-0000-0000EC040000}"/>
    <cellStyle name="margenta-f 2" xfId="1948" xr:uid="{00000000-0005-0000-0000-0000ED040000}"/>
    <cellStyle name="margenta-f 2 2" xfId="1949" xr:uid="{00000000-0005-0000-0000-0000EE040000}"/>
    <cellStyle name="Margin" xfId="223" xr:uid="{00000000-0005-0000-0000-0000EF040000}"/>
    <cellStyle name="Margin 2" xfId="1950" xr:uid="{00000000-0005-0000-0000-0000F0040000}"/>
    <cellStyle name="Margin 3" xfId="1951" xr:uid="{00000000-0005-0000-0000-0000F1040000}"/>
    <cellStyle name="Margins" xfId="224" xr:uid="{00000000-0005-0000-0000-0000F2040000}"/>
    <cellStyle name="Margins 2" xfId="699" xr:uid="{00000000-0005-0000-0000-0000F3040000}"/>
    <cellStyle name="Margins 2 2" xfId="1952" xr:uid="{00000000-0005-0000-0000-0000F4040000}"/>
    <cellStyle name="MetricLabel" xfId="225" xr:uid="{00000000-0005-0000-0000-0000F5040000}"/>
    <cellStyle name="MetricLabel 2" xfId="1953" xr:uid="{00000000-0005-0000-0000-0000F6040000}"/>
    <cellStyle name="MetricLabel 3" xfId="1954" xr:uid="{00000000-0005-0000-0000-0000F7040000}"/>
    <cellStyle name="MetricLabel 3 2" xfId="1955" xr:uid="{00000000-0005-0000-0000-0000F8040000}"/>
    <cellStyle name="MetricLabelBlue" xfId="226" xr:uid="{00000000-0005-0000-0000-0000F9040000}"/>
    <cellStyle name="MetricLabelBlue 2" xfId="1956" xr:uid="{00000000-0005-0000-0000-0000FA040000}"/>
    <cellStyle name="MetricLabelBlue 3" xfId="1957" xr:uid="{00000000-0005-0000-0000-0000FB040000}"/>
    <cellStyle name="MetricLabelBlue 3 2" xfId="1958" xr:uid="{00000000-0005-0000-0000-0000FC040000}"/>
    <cellStyle name="MetricValue" xfId="227" xr:uid="{00000000-0005-0000-0000-0000FD040000}"/>
    <cellStyle name="MetricValue 2" xfId="1959" xr:uid="{00000000-0005-0000-0000-0000FE040000}"/>
    <cellStyle name="MetricValue 3" xfId="1960" xr:uid="{00000000-0005-0000-0000-0000FF040000}"/>
    <cellStyle name="MetricValue 3 2" xfId="1961" xr:uid="{00000000-0005-0000-0000-000000050000}"/>
    <cellStyle name="Migliaia (0)" xfId="1962" xr:uid="{00000000-0005-0000-0000-000001050000}"/>
    <cellStyle name="Migliaia_Foglio1" xfId="228" xr:uid="{00000000-0005-0000-0000-000002050000}"/>
    <cellStyle name="Mike" xfId="700" xr:uid="{00000000-0005-0000-0000-000003050000}"/>
    <cellStyle name="Millares [0]_10 AVERIAS MASIVAS + ANT" xfId="1963" xr:uid="{00000000-0005-0000-0000-000004050000}"/>
    <cellStyle name="Millares_10 AVERIAS MASIVAS + ANT" xfId="1964" xr:uid="{00000000-0005-0000-0000-000005050000}"/>
    <cellStyle name="Milliers [0]_Aimants permanents" xfId="229" xr:uid="{00000000-0005-0000-0000-000006050000}"/>
    <cellStyle name="Milliers [00]" xfId="230" xr:uid="{00000000-0005-0000-0000-000007050000}"/>
    <cellStyle name="Milliers [00] 2" xfId="1965" xr:uid="{00000000-0005-0000-0000-000008050000}"/>
    <cellStyle name="Milliers [00] 3" xfId="1966" xr:uid="{00000000-0005-0000-0000-000009050000}"/>
    <cellStyle name="Milliers [00] 3 2" xfId="1967" xr:uid="{00000000-0005-0000-0000-00000A050000}"/>
    <cellStyle name="Milliers_Aimants permanents" xfId="231" xr:uid="{00000000-0005-0000-0000-00000B050000}"/>
    <cellStyle name="Millions" xfId="701" xr:uid="{00000000-0005-0000-0000-00000C050000}"/>
    <cellStyle name="mine" xfId="232" xr:uid="{00000000-0005-0000-0000-00000D050000}"/>
    <cellStyle name="mine 2" xfId="1968" xr:uid="{00000000-0005-0000-0000-00000E050000}"/>
    <cellStyle name="mine 3" xfId="1969" xr:uid="{00000000-0005-0000-0000-00000F050000}"/>
    <cellStyle name="mine 3 2" xfId="1970" xr:uid="{00000000-0005-0000-0000-000010050000}"/>
    <cellStyle name="Model" xfId="233" xr:uid="{00000000-0005-0000-0000-000011050000}"/>
    <cellStyle name="Model 2" xfId="702" xr:uid="{00000000-0005-0000-0000-000012050000}"/>
    <cellStyle name="Model 3" xfId="1971" xr:uid="{00000000-0005-0000-0000-000013050000}"/>
    <cellStyle name="Model 3 2" xfId="1972" xr:uid="{00000000-0005-0000-0000-000014050000}"/>
    <cellStyle name="Models" xfId="703" xr:uid="{00000000-0005-0000-0000-000015050000}"/>
    <cellStyle name="Moneda [0]_10 AVERIAS MASIVAS + ANT" xfId="1973" xr:uid="{00000000-0005-0000-0000-000016050000}"/>
    <cellStyle name="Moneda_10 AVERIAS MASIVAS + ANT" xfId="1974" xr:uid="{00000000-0005-0000-0000-000017050000}"/>
    <cellStyle name="Monétaire [0]_Aimants permanents" xfId="234" xr:uid="{00000000-0005-0000-0000-000018050000}"/>
    <cellStyle name="Monetaire [0]_laroux" xfId="1975" xr:uid="{00000000-0005-0000-0000-000019050000}"/>
    <cellStyle name="Monétaire [0]_laroux" xfId="1976" xr:uid="{00000000-0005-0000-0000-00001A050000}"/>
    <cellStyle name="Monetaire [0]_laroux_1" xfId="1977" xr:uid="{00000000-0005-0000-0000-00001B050000}"/>
    <cellStyle name="Monétaire [0]_laroux_1" xfId="1978" xr:uid="{00000000-0005-0000-0000-00001C050000}"/>
    <cellStyle name="Monetaire [0]_laroux_2" xfId="1979" xr:uid="{00000000-0005-0000-0000-00001D050000}"/>
    <cellStyle name="Monétaire [0]_laroux_2" xfId="1980" xr:uid="{00000000-0005-0000-0000-00001E050000}"/>
    <cellStyle name="Monétaire [00]" xfId="235" xr:uid="{00000000-0005-0000-0000-00001F050000}"/>
    <cellStyle name="Monétaire [00] 2" xfId="1981" xr:uid="{00000000-0005-0000-0000-000020050000}"/>
    <cellStyle name="Monétaire [00] 3" xfId="1982" xr:uid="{00000000-0005-0000-0000-000021050000}"/>
    <cellStyle name="Monétaire [00] 3 2" xfId="1983" xr:uid="{00000000-0005-0000-0000-000022050000}"/>
    <cellStyle name="Monétaire_Aimants permanents" xfId="236" xr:uid="{00000000-0005-0000-0000-000023050000}"/>
    <cellStyle name="Monetaire_laroux" xfId="1984" xr:uid="{00000000-0005-0000-0000-000024050000}"/>
    <cellStyle name="Monétaire_laroux" xfId="1985" xr:uid="{00000000-0005-0000-0000-000025050000}"/>
    <cellStyle name="Monetaire_laroux_1" xfId="1986" xr:uid="{00000000-0005-0000-0000-000026050000}"/>
    <cellStyle name="Monétaire_laroux_1" xfId="1987" xr:uid="{00000000-0005-0000-0000-000027050000}"/>
    <cellStyle name="Monetaire_laroux_2" xfId="1988" xr:uid="{00000000-0005-0000-0000-000028050000}"/>
    <cellStyle name="Monétaire_laroux_2" xfId="1989" xr:uid="{00000000-0005-0000-0000-000029050000}"/>
    <cellStyle name="Monetario" xfId="1990" xr:uid="{00000000-0005-0000-0000-00002A050000}"/>
    <cellStyle name="Multiple" xfId="237" xr:uid="{00000000-0005-0000-0000-00002B050000}"/>
    <cellStyle name="Multiple 2" xfId="704" xr:uid="{00000000-0005-0000-0000-00002C050000}"/>
    <cellStyle name="MultipleBelow" xfId="705" xr:uid="{00000000-0005-0000-0000-00002D050000}"/>
    <cellStyle name="MultipleBelow 2" xfId="1166" xr:uid="{00000000-0005-0000-0000-00002E050000}"/>
    <cellStyle name="NA is zero" xfId="238" xr:uid="{00000000-0005-0000-0000-00002F050000}"/>
    <cellStyle name="NA is zero 2" xfId="706" xr:uid="{00000000-0005-0000-0000-000030050000}"/>
    <cellStyle name="NA is zero 2 2" xfId="1991" xr:uid="{00000000-0005-0000-0000-000031050000}"/>
    <cellStyle name="Name" xfId="239" xr:uid="{00000000-0005-0000-0000-000032050000}"/>
    <cellStyle name="neg0.0" xfId="240" xr:uid="{00000000-0005-0000-0000-000033050000}"/>
    <cellStyle name="neg0.0 2" xfId="1992" xr:uid="{00000000-0005-0000-0000-000034050000}"/>
    <cellStyle name="neg0.0 3" xfId="1993" xr:uid="{00000000-0005-0000-0000-000035050000}"/>
    <cellStyle name="neg0.0 3 2" xfId="1994" xr:uid="{00000000-0005-0000-0000-000036050000}"/>
    <cellStyle name="neg0.0 4" xfId="1995" xr:uid="{00000000-0005-0000-0000-000037050000}"/>
    <cellStyle name="neg0.0 5" xfId="1996" xr:uid="{00000000-0005-0000-0000-000038050000}"/>
    <cellStyle name="neg0.0 6" xfId="1997" xr:uid="{00000000-0005-0000-0000-000039050000}"/>
    <cellStyle name="Neutral 2" xfId="873" xr:uid="{00000000-0005-0000-0000-00003A050000}"/>
    <cellStyle name="Neutral 3" xfId="874" xr:uid="{00000000-0005-0000-0000-00003B050000}"/>
    <cellStyle name="Neutral 4" xfId="1022" xr:uid="{00000000-0005-0000-0000-00003C050000}"/>
    <cellStyle name="no dec" xfId="241" xr:uid="{00000000-0005-0000-0000-00003D050000}"/>
    <cellStyle name="no dec 2" xfId="1998" xr:uid="{00000000-0005-0000-0000-00003E050000}"/>
    <cellStyle name="no dec 2 2" xfId="1999" xr:uid="{00000000-0005-0000-0000-00003F050000}"/>
    <cellStyle name="No zero - 1dp" xfId="707" xr:uid="{00000000-0005-0000-0000-000040050000}"/>
    <cellStyle name="No zero - 1dp 2" xfId="1169" xr:uid="{00000000-0005-0000-0000-000041050000}"/>
    <cellStyle name="No zero - percent" xfId="708" xr:uid="{00000000-0005-0000-0000-000042050000}"/>
    <cellStyle name="No zero - percent 2" xfId="1170" xr:uid="{00000000-0005-0000-0000-000043050000}"/>
    <cellStyle name="No zero - percent 2 2" xfId="1493" xr:uid="{00000000-0005-0000-0000-000044050000}"/>
    <cellStyle name="No zero - percent 3" xfId="1416" xr:uid="{00000000-0005-0000-0000-000045050000}"/>
    <cellStyle name="Normal" xfId="0" builtinId="0"/>
    <cellStyle name="Normal - Style1" xfId="242" xr:uid="{00000000-0005-0000-0000-000047050000}"/>
    <cellStyle name="Normal - Style1 2" xfId="709" xr:uid="{00000000-0005-0000-0000-000048050000}"/>
    <cellStyle name="Normal - Style1 3" xfId="2000" xr:uid="{00000000-0005-0000-0000-000049050000}"/>
    <cellStyle name="Normal - Style1 3 2" xfId="2001" xr:uid="{00000000-0005-0000-0000-00004A050000}"/>
    <cellStyle name="Normal - Style1 4" xfId="2002" xr:uid="{00000000-0005-0000-0000-00004B050000}"/>
    <cellStyle name="Normal (%)" xfId="710" xr:uid="{00000000-0005-0000-0000-00004C050000}"/>
    <cellStyle name="Normal (%) 2" xfId="1171" xr:uid="{00000000-0005-0000-0000-00004D050000}"/>
    <cellStyle name="Normal (£m)" xfId="711" xr:uid="{00000000-0005-0000-0000-00004E050000}"/>
    <cellStyle name="Normal (B)" xfId="712" xr:uid="{00000000-0005-0000-0000-00004F050000}"/>
    <cellStyle name="Normal (G)" xfId="713" xr:uid="{00000000-0005-0000-0000-000050050000}"/>
    <cellStyle name="Normal (No)" xfId="714" xr:uid="{00000000-0005-0000-0000-000051050000}"/>
    <cellStyle name="Normal (no,)" xfId="243" xr:uid="{00000000-0005-0000-0000-000052050000}"/>
    <cellStyle name="Normal (x)" xfId="715" xr:uid="{00000000-0005-0000-0000-000053050000}"/>
    <cellStyle name="Normal (x) 2" xfId="1175" xr:uid="{00000000-0005-0000-0000-000054050000}"/>
    <cellStyle name="Normal [0]" xfId="244" xr:uid="{00000000-0005-0000-0000-000055050000}"/>
    <cellStyle name="Normal [1]" xfId="245" xr:uid="{00000000-0005-0000-0000-000056050000}"/>
    <cellStyle name="Normal [1] 2" xfId="2003" xr:uid="{00000000-0005-0000-0000-000057050000}"/>
    <cellStyle name="Normal [1] 2 2" xfId="2004" xr:uid="{00000000-0005-0000-0000-000058050000}"/>
    <cellStyle name="Normal [2]" xfId="246" xr:uid="{00000000-0005-0000-0000-000059050000}"/>
    <cellStyle name="Normal [3]" xfId="247" xr:uid="{00000000-0005-0000-0000-00005A050000}"/>
    <cellStyle name="Normal [3] 2" xfId="716" xr:uid="{00000000-0005-0000-0000-00005B050000}"/>
    <cellStyle name="Normal [3] 2 2" xfId="2005" xr:uid="{00000000-0005-0000-0000-00005C050000}"/>
    <cellStyle name="Normal 1" xfId="248" xr:uid="{00000000-0005-0000-0000-00005D050000}"/>
    <cellStyle name="Normal 1 2" xfId="2006" xr:uid="{00000000-0005-0000-0000-00005E050000}"/>
    <cellStyle name="Normal 1 3" xfId="2007" xr:uid="{00000000-0005-0000-0000-00005F050000}"/>
    <cellStyle name="Normal 1 3 2" xfId="2008" xr:uid="{00000000-0005-0000-0000-000060050000}"/>
    <cellStyle name="Normal 10" xfId="460" xr:uid="{00000000-0005-0000-0000-000061050000}"/>
    <cellStyle name="Normal 10 2" xfId="1226" xr:uid="{00000000-0005-0000-0000-000062050000}"/>
    <cellStyle name="Normal 10 3" xfId="1331" xr:uid="{00000000-0005-0000-0000-000063050000}"/>
    <cellStyle name="Normal 11" xfId="463" xr:uid="{00000000-0005-0000-0000-000064050000}"/>
    <cellStyle name="Normal 11 2" xfId="1227" xr:uid="{00000000-0005-0000-0000-000065050000}"/>
    <cellStyle name="Normal 11 3" xfId="1334" xr:uid="{00000000-0005-0000-0000-000066050000}"/>
    <cellStyle name="Normal 12" xfId="466" xr:uid="{00000000-0005-0000-0000-000067050000}"/>
    <cellStyle name="Normal 12 2" xfId="1228" xr:uid="{00000000-0005-0000-0000-000068050000}"/>
    <cellStyle name="Normal 12 3" xfId="1337" xr:uid="{00000000-0005-0000-0000-000069050000}"/>
    <cellStyle name="Normal 13" xfId="469" xr:uid="{00000000-0005-0000-0000-00006A050000}"/>
    <cellStyle name="Normal 13 2" xfId="1229" xr:uid="{00000000-0005-0000-0000-00006B050000}"/>
    <cellStyle name="Normal 13 3" xfId="1340" xr:uid="{00000000-0005-0000-0000-00006C050000}"/>
    <cellStyle name="Normal 14" xfId="472" xr:uid="{00000000-0005-0000-0000-00006D050000}"/>
    <cellStyle name="Normal 14 2" xfId="1230" xr:uid="{00000000-0005-0000-0000-00006E050000}"/>
    <cellStyle name="Normal 14 3" xfId="1343" xr:uid="{00000000-0005-0000-0000-00006F050000}"/>
    <cellStyle name="Normal 144" xfId="875" xr:uid="{00000000-0005-0000-0000-000070050000}"/>
    <cellStyle name="Normal 15" xfId="475" xr:uid="{00000000-0005-0000-0000-000071050000}"/>
    <cellStyle name="Normal 15 2" xfId="1231" xr:uid="{00000000-0005-0000-0000-000072050000}"/>
    <cellStyle name="Normal 15 3" xfId="1346" xr:uid="{00000000-0005-0000-0000-000073050000}"/>
    <cellStyle name="Normal 16" xfId="478" xr:uid="{00000000-0005-0000-0000-000074050000}"/>
    <cellStyle name="Normal 16 2" xfId="1232" xr:uid="{00000000-0005-0000-0000-000075050000}"/>
    <cellStyle name="Normal 16 3" xfId="1349" xr:uid="{00000000-0005-0000-0000-000076050000}"/>
    <cellStyle name="Normal 17" xfId="481" xr:uid="{00000000-0005-0000-0000-000077050000}"/>
    <cellStyle name="Normal 17 2" xfId="1233" xr:uid="{00000000-0005-0000-0000-000078050000}"/>
    <cellStyle name="Normal 17 3" xfId="1352" xr:uid="{00000000-0005-0000-0000-000079050000}"/>
    <cellStyle name="Normal 18" xfId="484" xr:uid="{00000000-0005-0000-0000-00007A050000}"/>
    <cellStyle name="Normal 18 2" xfId="1234" xr:uid="{00000000-0005-0000-0000-00007B050000}"/>
    <cellStyle name="Normal 18 3" xfId="1355" xr:uid="{00000000-0005-0000-0000-00007C050000}"/>
    <cellStyle name="Normal 19" xfId="487" xr:uid="{00000000-0005-0000-0000-00007D050000}"/>
    <cellStyle name="Normal 19 2" xfId="822" xr:uid="{00000000-0005-0000-0000-00007E050000}"/>
    <cellStyle name="Normal 19 3" xfId="1235" xr:uid="{00000000-0005-0000-0000-00007F050000}"/>
    <cellStyle name="Normal 19 4" xfId="1358" xr:uid="{00000000-0005-0000-0000-000080050000}"/>
    <cellStyle name="Normal 2" xfId="249" xr:uid="{00000000-0005-0000-0000-000081050000}"/>
    <cellStyle name="Normal 2 2" xfId="812" xr:uid="{00000000-0005-0000-0000-000082050000}"/>
    <cellStyle name="Normal 2 3" xfId="876" xr:uid="{00000000-0005-0000-0000-000083050000}"/>
    <cellStyle name="Normal 2 3 2" xfId="1135" xr:uid="{00000000-0005-0000-0000-000084050000}"/>
    <cellStyle name="Normal 2 3 2 2" xfId="1485" xr:uid="{00000000-0005-0000-0000-000085050000}"/>
    <cellStyle name="Normal 2 3 3" xfId="1437" xr:uid="{00000000-0005-0000-0000-000086050000}"/>
    <cellStyle name="Normal 2 4" xfId="877" xr:uid="{00000000-0005-0000-0000-000087050000}"/>
    <cellStyle name="Normal 2 4 2" xfId="1136" xr:uid="{00000000-0005-0000-0000-000088050000}"/>
    <cellStyle name="Normal 2 4 2 2" xfId="1486" xr:uid="{00000000-0005-0000-0000-000089050000}"/>
    <cellStyle name="Normal 2 4 3" xfId="1438" xr:uid="{00000000-0005-0000-0000-00008A050000}"/>
    <cellStyle name="Normal 2 5" xfId="878" xr:uid="{00000000-0005-0000-0000-00008B050000}"/>
    <cellStyle name="Normal 2 5 2" xfId="1137" xr:uid="{00000000-0005-0000-0000-00008C050000}"/>
    <cellStyle name="Normal 2 5 2 2" xfId="1487" xr:uid="{00000000-0005-0000-0000-00008D050000}"/>
    <cellStyle name="Normal 2 5 3" xfId="1439" xr:uid="{00000000-0005-0000-0000-00008E050000}"/>
    <cellStyle name="Normal 2 6" xfId="879" xr:uid="{00000000-0005-0000-0000-00008F050000}"/>
    <cellStyle name="Normal 2 6 2" xfId="1138" xr:uid="{00000000-0005-0000-0000-000090050000}"/>
    <cellStyle name="Normal 2 6 2 2" xfId="1488" xr:uid="{00000000-0005-0000-0000-000091050000}"/>
    <cellStyle name="Normal 2 6 3" xfId="1440" xr:uid="{00000000-0005-0000-0000-000092050000}"/>
    <cellStyle name="Normal 2 7" xfId="880" xr:uid="{00000000-0005-0000-0000-000093050000}"/>
    <cellStyle name="Normal 2 7 2" xfId="1139" xr:uid="{00000000-0005-0000-0000-000094050000}"/>
    <cellStyle name="Normal 2 7 2 2" xfId="1489" xr:uid="{00000000-0005-0000-0000-000095050000}"/>
    <cellStyle name="Normal 2 7 3" xfId="1441" xr:uid="{00000000-0005-0000-0000-000096050000}"/>
    <cellStyle name="Normal 2 8" xfId="881" xr:uid="{00000000-0005-0000-0000-000097050000}"/>
    <cellStyle name="Normal 2 8 2" xfId="1140" xr:uid="{00000000-0005-0000-0000-000098050000}"/>
    <cellStyle name="Normal 2 8 2 2" xfId="1490" xr:uid="{00000000-0005-0000-0000-000099050000}"/>
    <cellStyle name="Normal 2 8 3" xfId="1442" xr:uid="{00000000-0005-0000-0000-00009A050000}"/>
    <cellStyle name="Normal 2 9" xfId="717" xr:uid="{00000000-0005-0000-0000-00009B050000}"/>
    <cellStyle name="Normal 20" xfId="490" xr:uid="{00000000-0005-0000-0000-00009C050000}"/>
    <cellStyle name="Normal 20 2" xfId="1236" xr:uid="{00000000-0005-0000-0000-00009D050000}"/>
    <cellStyle name="Normal 20 3" xfId="1361" xr:uid="{00000000-0005-0000-0000-00009E050000}"/>
    <cellStyle name="Normal 21" xfId="493" xr:uid="{00000000-0005-0000-0000-00009F050000}"/>
    <cellStyle name="Normal 21 2" xfId="1238" xr:uid="{00000000-0005-0000-0000-0000A0050000}"/>
    <cellStyle name="Normal 21 2 2" xfId="1494" xr:uid="{00000000-0005-0000-0000-0000A1050000}"/>
    <cellStyle name="Normal 21 3" xfId="1364" xr:uid="{00000000-0005-0000-0000-0000A2050000}"/>
    <cellStyle name="Normal 22" xfId="496" xr:uid="{00000000-0005-0000-0000-0000A3050000}"/>
    <cellStyle name="Normal 22 2" xfId="1240" xr:uid="{00000000-0005-0000-0000-0000A4050000}"/>
    <cellStyle name="Normal 22 2 2" xfId="1495" xr:uid="{00000000-0005-0000-0000-0000A5050000}"/>
    <cellStyle name="Normal 22 3" xfId="1367" xr:uid="{00000000-0005-0000-0000-0000A6050000}"/>
    <cellStyle name="Normal 23" xfId="499" xr:uid="{00000000-0005-0000-0000-0000A7050000}"/>
    <cellStyle name="Normal 23 2" xfId="1370" xr:uid="{00000000-0005-0000-0000-0000A8050000}"/>
    <cellStyle name="Normal 24" xfId="502" xr:uid="{00000000-0005-0000-0000-0000A9050000}"/>
    <cellStyle name="Normal 24 2" xfId="1373" xr:uid="{00000000-0005-0000-0000-0000AA050000}"/>
    <cellStyle name="Normal 25" xfId="505" xr:uid="{00000000-0005-0000-0000-0000AB050000}"/>
    <cellStyle name="Normal 25 2" xfId="1376" xr:uid="{00000000-0005-0000-0000-0000AC050000}"/>
    <cellStyle name="Normal 26" xfId="508" xr:uid="{00000000-0005-0000-0000-0000AD050000}"/>
    <cellStyle name="Normal 26 2" xfId="1379" xr:uid="{00000000-0005-0000-0000-0000AE050000}"/>
    <cellStyle name="Normal 27" xfId="511" xr:uid="{00000000-0005-0000-0000-0000AF050000}"/>
    <cellStyle name="Normal 27 2" xfId="1382" xr:uid="{00000000-0005-0000-0000-0000B0050000}"/>
    <cellStyle name="Normal 28" xfId="514" xr:uid="{00000000-0005-0000-0000-0000B1050000}"/>
    <cellStyle name="Normal 28 2" xfId="1385" xr:uid="{00000000-0005-0000-0000-0000B2050000}"/>
    <cellStyle name="Normal 29" xfId="517" xr:uid="{00000000-0005-0000-0000-0000B3050000}"/>
    <cellStyle name="Normal 29 2" xfId="1388" xr:uid="{00000000-0005-0000-0000-0000B4050000}"/>
    <cellStyle name="Normal 3" xfId="439" xr:uid="{00000000-0005-0000-0000-0000B5050000}"/>
    <cellStyle name="Normal 3 2" xfId="819" xr:uid="{00000000-0005-0000-0000-0000B6050000}"/>
    <cellStyle name="Normal 3 2 2" xfId="2009" xr:uid="{00000000-0005-0000-0000-0000B7050000}"/>
    <cellStyle name="Normal 3 3" xfId="718" xr:uid="{00000000-0005-0000-0000-0000B8050000}"/>
    <cellStyle name="Normal 3 4" xfId="1310" xr:uid="{00000000-0005-0000-0000-0000B9050000}"/>
    <cellStyle name="Normal 30" xfId="520" xr:uid="{00000000-0005-0000-0000-0000BA050000}"/>
    <cellStyle name="Normal 30 2" xfId="1391" xr:uid="{00000000-0005-0000-0000-0000BB050000}"/>
    <cellStyle name="Normal 31" xfId="523" xr:uid="{00000000-0005-0000-0000-0000BC050000}"/>
    <cellStyle name="Normal 31 2" xfId="1394" xr:uid="{00000000-0005-0000-0000-0000BD050000}"/>
    <cellStyle name="Normal 32" xfId="526" xr:uid="{00000000-0005-0000-0000-0000BE050000}"/>
    <cellStyle name="Normal 32 2" xfId="1397" xr:uid="{00000000-0005-0000-0000-0000BF050000}"/>
    <cellStyle name="Normal 33" xfId="529" xr:uid="{00000000-0005-0000-0000-0000C0050000}"/>
    <cellStyle name="Normal 33 2" xfId="1400" xr:uid="{00000000-0005-0000-0000-0000C1050000}"/>
    <cellStyle name="Normal 34" xfId="532" xr:uid="{00000000-0005-0000-0000-0000C2050000}"/>
    <cellStyle name="Normal 34 2" xfId="1403" xr:uid="{00000000-0005-0000-0000-0000C3050000}"/>
    <cellStyle name="Normal 35" xfId="535" xr:uid="{00000000-0005-0000-0000-0000C4050000}"/>
    <cellStyle name="Normal 35 2" xfId="1406" xr:uid="{00000000-0005-0000-0000-0000C5050000}"/>
    <cellStyle name="Normal 36" xfId="538" xr:uid="{00000000-0005-0000-0000-0000C6050000}"/>
    <cellStyle name="Normal 36 2" xfId="1409" xr:uid="{00000000-0005-0000-0000-0000C7050000}"/>
    <cellStyle name="Normal 37" xfId="802" xr:uid="{00000000-0005-0000-0000-0000C8050000}"/>
    <cellStyle name="Normal 37 2" xfId="1420" xr:uid="{00000000-0005-0000-0000-0000C9050000}"/>
    <cellStyle name="Normal 38" xfId="905" xr:uid="{00000000-0005-0000-0000-0000CA050000}"/>
    <cellStyle name="Normal 38 2" xfId="1446" xr:uid="{00000000-0005-0000-0000-0000CB050000}"/>
    <cellStyle name="Normal 39" xfId="906" xr:uid="{00000000-0005-0000-0000-0000CC050000}"/>
    <cellStyle name="Normal 4" xfId="442" xr:uid="{00000000-0005-0000-0000-0000CD050000}"/>
    <cellStyle name="Normal 4 2" xfId="814" xr:uid="{00000000-0005-0000-0000-0000CE050000}"/>
    <cellStyle name="Normal 4 2 2" xfId="2010" xr:uid="{00000000-0005-0000-0000-0000CF050000}"/>
    <cellStyle name="Normal 4 3" xfId="1049" xr:uid="{00000000-0005-0000-0000-0000D0050000}"/>
    <cellStyle name="Normal 4 4" xfId="1313" xr:uid="{00000000-0005-0000-0000-0000D1050000}"/>
    <cellStyle name="Normal 40" xfId="1067" xr:uid="{00000000-0005-0000-0000-0000D2050000}"/>
    <cellStyle name="Normal 41" xfId="1096" xr:uid="{00000000-0005-0000-0000-0000D3050000}"/>
    <cellStyle name="Normal 42" xfId="1061" xr:uid="{00000000-0005-0000-0000-0000D4050000}"/>
    <cellStyle name="Normal 43" xfId="1091" xr:uid="{00000000-0005-0000-0000-0000D5050000}"/>
    <cellStyle name="Normal 44" xfId="1056" xr:uid="{00000000-0005-0000-0000-0000D6050000}"/>
    <cellStyle name="Normal 45" xfId="1084" xr:uid="{00000000-0005-0000-0000-0000D7050000}"/>
    <cellStyle name="Normal 46" xfId="1053" xr:uid="{00000000-0005-0000-0000-0000D8050000}"/>
    <cellStyle name="Normal 46 2" xfId="1461" xr:uid="{00000000-0005-0000-0000-0000D9050000}"/>
    <cellStyle name="Normal 47" xfId="912" xr:uid="{00000000-0005-0000-0000-0000DA050000}"/>
    <cellStyle name="Normal 47 2" xfId="1448" xr:uid="{00000000-0005-0000-0000-0000DB050000}"/>
    <cellStyle name="Normal 48" xfId="1047" xr:uid="{00000000-0005-0000-0000-0000DC050000}"/>
    <cellStyle name="Normal 48 2" xfId="1459" xr:uid="{00000000-0005-0000-0000-0000DD050000}"/>
    <cellStyle name="Normal 49" xfId="957" xr:uid="{00000000-0005-0000-0000-0000DE050000}"/>
    <cellStyle name="Normal 49 2" xfId="1452" xr:uid="{00000000-0005-0000-0000-0000DF050000}"/>
    <cellStyle name="Normal 5" xfId="445" xr:uid="{00000000-0005-0000-0000-0000E0050000}"/>
    <cellStyle name="Normal 5 2" xfId="825" xr:uid="{00000000-0005-0000-0000-0000E1050000}"/>
    <cellStyle name="Normal 5 3" xfId="1069" xr:uid="{00000000-0005-0000-0000-0000E2050000}"/>
    <cellStyle name="Normal 5 3 2" xfId="1465" xr:uid="{00000000-0005-0000-0000-0000E3050000}"/>
    <cellStyle name="Normal 5 4" xfId="1194" xr:uid="{00000000-0005-0000-0000-0000E4050000}"/>
    <cellStyle name="Normal 5 5" xfId="1316" xr:uid="{00000000-0005-0000-0000-0000E5050000}"/>
    <cellStyle name="Normal 50" xfId="1036" xr:uid="{00000000-0005-0000-0000-0000E6050000}"/>
    <cellStyle name="Normal 50 2" xfId="1455" xr:uid="{00000000-0005-0000-0000-0000E7050000}"/>
    <cellStyle name="Normal 51" xfId="911" xr:uid="{00000000-0005-0000-0000-0000E8050000}"/>
    <cellStyle name="Normal 52" xfId="1104" xr:uid="{00000000-0005-0000-0000-0000E9050000}"/>
    <cellStyle name="Normal 53" xfId="1252" xr:uid="{00000000-0005-0000-0000-0000EA050000}"/>
    <cellStyle name="Normal 54" xfId="1021" xr:uid="{00000000-0005-0000-0000-0000EB050000}"/>
    <cellStyle name="Normal 55" xfId="1103" xr:uid="{00000000-0005-0000-0000-0000EC050000}"/>
    <cellStyle name="Normal 56" xfId="1259" xr:uid="{00000000-0005-0000-0000-0000ED050000}"/>
    <cellStyle name="Normal 57" xfId="1258" xr:uid="{00000000-0005-0000-0000-0000EE050000}"/>
    <cellStyle name="Normal 6" xfId="448" xr:uid="{00000000-0005-0000-0000-0000EF050000}"/>
    <cellStyle name="Normal 6 2" xfId="882" xr:uid="{00000000-0005-0000-0000-0000F0050000}"/>
    <cellStyle name="Normal 6 2 2" xfId="1076" xr:uid="{00000000-0005-0000-0000-0000F1050000}"/>
    <cellStyle name="Normal 6 2 2 2" xfId="1468" xr:uid="{00000000-0005-0000-0000-0000F2050000}"/>
    <cellStyle name="Normal 6 2 3" xfId="1443" xr:uid="{00000000-0005-0000-0000-0000F3050000}"/>
    <cellStyle name="Normal 6 3" xfId="1222" xr:uid="{00000000-0005-0000-0000-0000F4050000}"/>
    <cellStyle name="Normal 6 4" xfId="1319" xr:uid="{00000000-0005-0000-0000-0000F5050000}"/>
    <cellStyle name="Normal 7" xfId="451" xr:uid="{00000000-0005-0000-0000-0000F6050000}"/>
    <cellStyle name="Normal 7 2" xfId="1223" xr:uid="{00000000-0005-0000-0000-0000F7050000}"/>
    <cellStyle name="Normal 7 3" xfId="1322" xr:uid="{00000000-0005-0000-0000-0000F8050000}"/>
    <cellStyle name="Normal 8" xfId="454" xr:uid="{00000000-0005-0000-0000-0000F9050000}"/>
    <cellStyle name="Normal 8 2" xfId="1224" xr:uid="{00000000-0005-0000-0000-0000FA050000}"/>
    <cellStyle name="Normal 8 3" xfId="1325" xr:uid="{00000000-0005-0000-0000-0000FB050000}"/>
    <cellStyle name="Normal 9" xfId="457" xr:uid="{00000000-0005-0000-0000-0000FC050000}"/>
    <cellStyle name="Normal 9 2" xfId="1225" xr:uid="{00000000-0005-0000-0000-0000FD050000}"/>
    <cellStyle name="Normal 9 3" xfId="1328" xr:uid="{00000000-0005-0000-0000-0000FE050000}"/>
    <cellStyle name="Normal Bold" xfId="250" xr:uid="{00000000-0005-0000-0000-0000FF050000}"/>
    <cellStyle name="Normal bold 2" xfId="2011" xr:uid="{00000000-0005-0000-0000-000000060000}"/>
    <cellStyle name="Normal Cells" xfId="2012" xr:uid="{00000000-0005-0000-0000-000001060000}"/>
    <cellStyle name="Normal Italic" xfId="2013" xr:uid="{00000000-0005-0000-0000-000002060000}"/>
    <cellStyle name="Normal Italics" xfId="2014" xr:uid="{00000000-0005-0000-0000-000003060000}"/>
    <cellStyle name="Normal Pct" xfId="251" xr:uid="{00000000-0005-0000-0000-000004060000}"/>
    <cellStyle name="Normal Pct 2" xfId="719" xr:uid="{00000000-0005-0000-0000-000005060000}"/>
    <cellStyle name="Normal_FTsummod1" xfId="252" xr:uid="{00000000-0005-0000-0000-000006060000}"/>
    <cellStyle name="Normal_Thegeorge" xfId="253" xr:uid="{00000000-0005-0000-0000-000007060000}"/>
    <cellStyle name="NormalE" xfId="254" xr:uid="{00000000-0005-0000-0000-000008060000}"/>
    <cellStyle name="NormalE 2" xfId="1183" xr:uid="{00000000-0005-0000-0000-000009060000}"/>
    <cellStyle name="Normale_Astelit bp fix" xfId="2015" xr:uid="{00000000-0005-0000-0000-00000A060000}"/>
    <cellStyle name="NormalGB" xfId="255" xr:uid="{00000000-0005-0000-0000-00000B060000}"/>
    <cellStyle name="NormalGB 2" xfId="2016" xr:uid="{00000000-0005-0000-0000-00000C060000}"/>
    <cellStyle name="NormalGB 2 2" xfId="2017" xr:uid="{00000000-0005-0000-0000-00000D060000}"/>
    <cellStyle name="NormalMultiple" xfId="256" xr:uid="{00000000-0005-0000-0000-00000E060000}"/>
    <cellStyle name="NormalMultiple 2" xfId="2018" xr:uid="{00000000-0005-0000-0000-00000F060000}"/>
    <cellStyle name="NormalMultiple 2 2" xfId="2019" xr:uid="{00000000-0005-0000-0000-000010060000}"/>
    <cellStyle name="NOT" xfId="257" xr:uid="{00000000-0005-0000-0000-000011060000}"/>
    <cellStyle name="Note" xfId="258" builtinId="10" customBuiltin="1"/>
    <cellStyle name="Note 2" xfId="883" xr:uid="{00000000-0005-0000-0000-000013060000}"/>
    <cellStyle name="Note 3" xfId="1038" xr:uid="{00000000-0005-0000-0000-000014060000}"/>
    <cellStyle name="Note 3 2" xfId="1456" xr:uid="{00000000-0005-0000-0000-000015060000}"/>
    <cellStyle name="Note 4" xfId="1291" xr:uid="{00000000-0005-0000-0000-000016060000}"/>
    <cellStyle name="Notes" xfId="259" xr:uid="{00000000-0005-0000-0000-000017060000}"/>
    <cellStyle name="NPPESalesPct" xfId="260" xr:uid="{00000000-0005-0000-0000-000018060000}"/>
    <cellStyle name="NPPESalesPct 2" xfId="720" xr:uid="{00000000-0005-0000-0000-000019060000}"/>
    <cellStyle name="NPPESalesPct 2 2" xfId="2020" xr:uid="{00000000-0005-0000-0000-00001A060000}"/>
    <cellStyle name="Number" xfId="261" xr:uid="{00000000-0005-0000-0000-00001B060000}"/>
    <cellStyle name="Number (2dp)" xfId="262" xr:uid="{00000000-0005-0000-0000-00001C060000}"/>
    <cellStyle name="Number (2dp) 2" xfId="1293" xr:uid="{00000000-0005-0000-0000-00001D060000}"/>
    <cellStyle name="Number 10" xfId="1058" xr:uid="{00000000-0005-0000-0000-00001E060000}"/>
    <cellStyle name="Number 10 2" xfId="1463" xr:uid="{00000000-0005-0000-0000-00001F060000}"/>
    <cellStyle name="Number 11" xfId="1086" xr:uid="{00000000-0005-0000-0000-000020060000}"/>
    <cellStyle name="Number 11 2" xfId="1473" xr:uid="{00000000-0005-0000-0000-000021060000}"/>
    <cellStyle name="Number 12" xfId="1075" xr:uid="{00000000-0005-0000-0000-000022060000}"/>
    <cellStyle name="Number 12 2" xfId="1467" xr:uid="{00000000-0005-0000-0000-000023060000}"/>
    <cellStyle name="Number 13" xfId="1123" xr:uid="{00000000-0005-0000-0000-000024060000}"/>
    <cellStyle name="Number 13 2" xfId="1477" xr:uid="{00000000-0005-0000-0000-000025060000}"/>
    <cellStyle name="Number 14" xfId="969" xr:uid="{00000000-0005-0000-0000-000026060000}"/>
    <cellStyle name="Number 14 2" xfId="1454" xr:uid="{00000000-0005-0000-0000-000027060000}"/>
    <cellStyle name="Number 15" xfId="1142" xr:uid="{00000000-0005-0000-0000-000028060000}"/>
    <cellStyle name="Number 15 2" xfId="1491" xr:uid="{00000000-0005-0000-0000-000029060000}"/>
    <cellStyle name="Number 16" xfId="914" xr:uid="{00000000-0005-0000-0000-00002A060000}"/>
    <cellStyle name="Number 16 2" xfId="1449" xr:uid="{00000000-0005-0000-0000-00002B060000}"/>
    <cellStyle name="Number 17" xfId="1146" xr:uid="{00000000-0005-0000-0000-00002C060000}"/>
    <cellStyle name="Number 17 2" xfId="1492" xr:uid="{00000000-0005-0000-0000-00002D060000}"/>
    <cellStyle name="Number 18" xfId="1134" xr:uid="{00000000-0005-0000-0000-00002E060000}"/>
    <cellStyle name="Number 18 2" xfId="1484" xr:uid="{00000000-0005-0000-0000-00002F060000}"/>
    <cellStyle name="Number 19" xfId="958" xr:uid="{00000000-0005-0000-0000-000030060000}"/>
    <cellStyle name="Number 19 2" xfId="1453" xr:uid="{00000000-0005-0000-0000-000031060000}"/>
    <cellStyle name="Number 2" xfId="721" xr:uid="{00000000-0005-0000-0000-000032060000}"/>
    <cellStyle name="Number 2 2" xfId="1417" xr:uid="{00000000-0005-0000-0000-000033060000}"/>
    <cellStyle name="Number 20" xfId="1255" xr:uid="{00000000-0005-0000-0000-000034060000}"/>
    <cellStyle name="Number 20 2" xfId="1496" xr:uid="{00000000-0005-0000-0000-000035060000}"/>
    <cellStyle name="Number 21" xfId="1048" xr:uid="{00000000-0005-0000-0000-000036060000}"/>
    <cellStyle name="Number 21 2" xfId="1460" xr:uid="{00000000-0005-0000-0000-000037060000}"/>
    <cellStyle name="Number 22" xfId="1292" xr:uid="{00000000-0005-0000-0000-000038060000}"/>
    <cellStyle name="Number 3" xfId="900" xr:uid="{00000000-0005-0000-0000-000039060000}"/>
    <cellStyle name="Number 3 2" xfId="1445" xr:uid="{00000000-0005-0000-0000-00003A060000}"/>
    <cellStyle name="Number 4" xfId="897" xr:uid="{00000000-0005-0000-0000-00003B060000}"/>
    <cellStyle name="Number 4 2" xfId="1444" xr:uid="{00000000-0005-0000-0000-00003C060000}"/>
    <cellStyle name="Number 5" xfId="1039" xr:uid="{00000000-0005-0000-0000-00003D060000}"/>
    <cellStyle name="Number 5 2" xfId="1457" xr:uid="{00000000-0005-0000-0000-00003E060000}"/>
    <cellStyle name="Number 6" xfId="950" xr:uid="{00000000-0005-0000-0000-00003F060000}"/>
    <cellStyle name="Number 6 2" xfId="1450" xr:uid="{00000000-0005-0000-0000-000040060000}"/>
    <cellStyle name="Number 7" xfId="1098" xr:uid="{00000000-0005-0000-0000-000041060000}"/>
    <cellStyle name="Number 7 2" xfId="1475" xr:uid="{00000000-0005-0000-0000-000042060000}"/>
    <cellStyle name="Number 8" xfId="1062" xr:uid="{00000000-0005-0000-0000-000043060000}"/>
    <cellStyle name="Number 8 2" xfId="1464" xr:uid="{00000000-0005-0000-0000-000044060000}"/>
    <cellStyle name="Number 9" xfId="1092" xr:uid="{00000000-0005-0000-0000-000045060000}"/>
    <cellStyle name="Number 9 2" xfId="1474" xr:uid="{00000000-0005-0000-0000-000046060000}"/>
    <cellStyle name="Number_Copy of ESA5 ForecastScaling" xfId="263" xr:uid="{00000000-0005-0000-0000-000047060000}"/>
    <cellStyle name="NWI%S" xfId="264" xr:uid="{00000000-0005-0000-0000-000048060000}"/>
    <cellStyle name="NWI%S 2" xfId="722" xr:uid="{00000000-0005-0000-0000-000049060000}"/>
    <cellStyle name="NWI%S 2 2" xfId="2021" xr:uid="{00000000-0005-0000-0000-00004A060000}"/>
    <cellStyle name="Œ…‹æØ‚è [0.00]_GE 3 MINIMUM" xfId="265" xr:uid="{00000000-0005-0000-0000-00004B060000}"/>
    <cellStyle name="Œ…‹æØ‚è_GE 3 MINIMUM" xfId="266" xr:uid="{00000000-0005-0000-0000-00004C060000}"/>
    <cellStyle name="Ombrée" xfId="267" xr:uid="{00000000-0005-0000-0000-00004D060000}"/>
    <cellStyle name="Ombrée 2" xfId="2022" xr:uid="{00000000-0005-0000-0000-00004E060000}"/>
    <cellStyle name="Ombrée 3" xfId="2023" xr:uid="{00000000-0005-0000-0000-00004F060000}"/>
    <cellStyle name="Ombrée 3 2" xfId="2024" xr:uid="{00000000-0005-0000-0000-000050060000}"/>
    <cellStyle name="Onedec" xfId="268" xr:uid="{00000000-0005-0000-0000-000051060000}"/>
    <cellStyle name="Onedec 2" xfId="723" xr:uid="{00000000-0005-0000-0000-000052060000}"/>
    <cellStyle name="Option" xfId="269" xr:uid="{00000000-0005-0000-0000-000053060000}"/>
    <cellStyle name="Option 2" xfId="2025" xr:uid="{00000000-0005-0000-0000-000054060000}"/>
    <cellStyle name="Option 2 2" xfId="2026" xr:uid="{00000000-0005-0000-0000-000055060000}"/>
    <cellStyle name="outh America" xfId="724" xr:uid="{00000000-0005-0000-0000-000056060000}"/>
    <cellStyle name="Output" xfId="270" builtinId="21" customBuiltin="1"/>
    <cellStyle name="Output 2" xfId="884" xr:uid="{00000000-0005-0000-0000-000058060000}"/>
    <cellStyle name="Output 3" xfId="1040" xr:uid="{00000000-0005-0000-0000-000059060000}"/>
    <cellStyle name="Output 3 2" xfId="1458" xr:uid="{00000000-0005-0000-0000-00005A060000}"/>
    <cellStyle name="Output 4" xfId="1294" xr:uid="{00000000-0005-0000-0000-00005B060000}"/>
    <cellStyle name="Output Amounts" xfId="885" xr:uid="{00000000-0005-0000-0000-00005C060000}"/>
    <cellStyle name="Output Column Headings" xfId="886" xr:uid="{00000000-0005-0000-0000-00005D060000}"/>
    <cellStyle name="Output Line Items" xfId="887" xr:uid="{00000000-0005-0000-0000-00005E060000}"/>
    <cellStyle name="Output Report Heading" xfId="888" xr:uid="{00000000-0005-0000-0000-00005F060000}"/>
    <cellStyle name="Output Report Title" xfId="889" xr:uid="{00000000-0005-0000-0000-000060060000}"/>
    <cellStyle name="Page header" xfId="725" xr:uid="{00000000-0005-0000-0000-000061060000}"/>
    <cellStyle name="Page Number" xfId="271" xr:uid="{00000000-0005-0000-0000-000062060000}"/>
    <cellStyle name="Page Number 2" xfId="726" xr:uid="{00000000-0005-0000-0000-000063060000}"/>
    <cellStyle name="Page Number 2 2" xfId="2027" xr:uid="{00000000-0005-0000-0000-000064060000}"/>
    <cellStyle name="Page Number 3" xfId="2028" xr:uid="{00000000-0005-0000-0000-000065060000}"/>
    <cellStyle name="Page Number 4" xfId="2029" xr:uid="{00000000-0005-0000-0000-000066060000}"/>
    <cellStyle name="Page Number 5" xfId="2030" xr:uid="{00000000-0005-0000-0000-000067060000}"/>
    <cellStyle name="Pass" xfId="272" xr:uid="{00000000-0005-0000-0000-000068060000}"/>
    <cellStyle name="Pass 2" xfId="2031" xr:uid="{00000000-0005-0000-0000-000069060000}"/>
    <cellStyle name="Pass 3" xfId="2032" xr:uid="{00000000-0005-0000-0000-00006A060000}"/>
    <cellStyle name="Pass 3 2" xfId="2033" xr:uid="{00000000-0005-0000-0000-00006B060000}"/>
    <cellStyle name="PB Table Heading" xfId="273" xr:uid="{00000000-0005-0000-0000-00006C060000}"/>
    <cellStyle name="PB Table Heading 2" xfId="2034" xr:uid="{00000000-0005-0000-0000-00006D060000}"/>
    <cellStyle name="PB Table Highlight1" xfId="274" xr:uid="{00000000-0005-0000-0000-00006E060000}"/>
    <cellStyle name="PB Table Highlight1 2" xfId="2035" xr:uid="{00000000-0005-0000-0000-00006F060000}"/>
    <cellStyle name="PB Table Highlight2" xfId="275" xr:uid="{00000000-0005-0000-0000-000070060000}"/>
    <cellStyle name="PB Table Highlight3" xfId="276" xr:uid="{00000000-0005-0000-0000-000071060000}"/>
    <cellStyle name="PB Table Standard Row" xfId="277" xr:uid="{00000000-0005-0000-0000-000072060000}"/>
    <cellStyle name="PB Table Standard Row 2" xfId="2036" xr:uid="{00000000-0005-0000-0000-000073060000}"/>
    <cellStyle name="PB Table Subtotal Row" xfId="278" xr:uid="{00000000-0005-0000-0000-000074060000}"/>
    <cellStyle name="PB Table Subtotal Row 2" xfId="2037" xr:uid="{00000000-0005-0000-0000-000075060000}"/>
    <cellStyle name="PB Table Total Row" xfId="279" xr:uid="{00000000-0005-0000-0000-000076060000}"/>
    <cellStyle name="PB Table Total Row 2" xfId="2038" xr:uid="{00000000-0005-0000-0000-000077060000}"/>
    <cellStyle name="pb_page_heading_LS" xfId="280" xr:uid="{00000000-0005-0000-0000-000078060000}"/>
    <cellStyle name="pc1" xfId="281" xr:uid="{00000000-0005-0000-0000-000079060000}"/>
    <cellStyle name="pc1 2" xfId="727" xr:uid="{00000000-0005-0000-0000-00007A060000}"/>
    <cellStyle name="PctLine" xfId="282" xr:uid="{00000000-0005-0000-0000-00007B060000}"/>
    <cellStyle name="per.style" xfId="283" xr:uid="{00000000-0005-0000-0000-00007C060000}"/>
    <cellStyle name="per.style 2" xfId="2039" xr:uid="{00000000-0005-0000-0000-00007D060000}"/>
    <cellStyle name="per.style 3" xfId="2040" xr:uid="{00000000-0005-0000-0000-00007E060000}"/>
    <cellStyle name="per.style 3 2" xfId="2041" xr:uid="{00000000-0005-0000-0000-00007F060000}"/>
    <cellStyle name="Percent" xfId="284" builtinId="5"/>
    <cellStyle name="Percent (0)" xfId="285" xr:uid="{00000000-0005-0000-0000-000081060000}"/>
    <cellStyle name="Percent (0) 2" xfId="2042" xr:uid="{00000000-0005-0000-0000-000082060000}"/>
    <cellStyle name="Percent (0) 3" xfId="2043" xr:uid="{00000000-0005-0000-0000-000083060000}"/>
    <cellStyle name="Percent (0) 3 2" xfId="2044" xr:uid="{00000000-0005-0000-0000-000084060000}"/>
    <cellStyle name="Percent (0.0)" xfId="286" xr:uid="{00000000-0005-0000-0000-000085060000}"/>
    <cellStyle name="Percent (0.00)" xfId="287" xr:uid="{00000000-0005-0000-0000-000086060000}"/>
    <cellStyle name="Percent (M)" xfId="729" xr:uid="{00000000-0005-0000-0000-000087060000}"/>
    <cellStyle name="Percent [0]" xfId="288" xr:uid="{00000000-0005-0000-0000-000088060000}"/>
    <cellStyle name="Percent [0] 2" xfId="730" xr:uid="{00000000-0005-0000-0000-000089060000}"/>
    <cellStyle name="Percent [0] 2 2" xfId="2045" xr:uid="{00000000-0005-0000-0000-00008A060000}"/>
    <cellStyle name="Percent [1]" xfId="289" xr:uid="{00000000-0005-0000-0000-00008B060000}"/>
    <cellStyle name="Percent [1] 2" xfId="731" xr:uid="{00000000-0005-0000-0000-00008C060000}"/>
    <cellStyle name="Percent [1] 2 2" xfId="2046" xr:uid="{00000000-0005-0000-0000-00008D060000}"/>
    <cellStyle name="Percent [2]" xfId="290" xr:uid="{00000000-0005-0000-0000-00008E060000}"/>
    <cellStyle name="Percent [2] 2" xfId="732" xr:uid="{00000000-0005-0000-0000-00008F060000}"/>
    <cellStyle name="Percent [2] 2 2" xfId="2047" xr:uid="{00000000-0005-0000-0000-000090060000}"/>
    <cellStyle name="Percent [2] 3" xfId="1045" xr:uid="{00000000-0005-0000-0000-000091060000}"/>
    <cellStyle name="Percent [2] 4" xfId="2048" xr:uid="{00000000-0005-0000-0000-000092060000}"/>
    <cellStyle name="Percent 0" xfId="291" xr:uid="{00000000-0005-0000-0000-000093060000}"/>
    <cellStyle name="Percent 0 2" xfId="2049" xr:uid="{00000000-0005-0000-0000-000094060000}"/>
    <cellStyle name="Percent 0 2 2" xfId="2050" xr:uid="{00000000-0005-0000-0000-000095060000}"/>
    <cellStyle name="Percent 0 3" xfId="2051" xr:uid="{00000000-0005-0000-0000-000096060000}"/>
    <cellStyle name="Percent 0.00" xfId="292" xr:uid="{00000000-0005-0000-0000-000097060000}"/>
    <cellStyle name="Percent 0.00 2" xfId="2052" xr:uid="{00000000-0005-0000-0000-000098060000}"/>
    <cellStyle name="Percent 0.00 2 2" xfId="2053" xr:uid="{00000000-0005-0000-0000-000099060000}"/>
    <cellStyle name="Percent 0.00 3" xfId="2054" xr:uid="{00000000-0005-0000-0000-00009A060000}"/>
    <cellStyle name="Percent 0_3q" xfId="293" xr:uid="{00000000-0005-0000-0000-00009B060000}"/>
    <cellStyle name="Percent 10" xfId="459" xr:uid="{00000000-0005-0000-0000-00009C060000}"/>
    <cellStyle name="Percent 10 2" xfId="823" xr:uid="{00000000-0005-0000-0000-00009D060000}"/>
    <cellStyle name="Percent 10 3" xfId="1330" xr:uid="{00000000-0005-0000-0000-00009E060000}"/>
    <cellStyle name="Percent 11" xfId="462" xr:uid="{00000000-0005-0000-0000-00009F060000}"/>
    <cellStyle name="Percent 11 2" xfId="1204" xr:uid="{00000000-0005-0000-0000-0000A0060000}"/>
    <cellStyle name="Percent 11 3" xfId="1333" xr:uid="{00000000-0005-0000-0000-0000A1060000}"/>
    <cellStyle name="Percent 12" xfId="465" xr:uid="{00000000-0005-0000-0000-0000A2060000}"/>
    <cellStyle name="Percent 12 2" xfId="1167" xr:uid="{00000000-0005-0000-0000-0000A3060000}"/>
    <cellStyle name="Percent 12 3" xfId="1336" xr:uid="{00000000-0005-0000-0000-0000A4060000}"/>
    <cellStyle name="Percent 13" xfId="468" xr:uid="{00000000-0005-0000-0000-0000A5060000}"/>
    <cellStyle name="Percent 13 2" xfId="1206" xr:uid="{00000000-0005-0000-0000-0000A6060000}"/>
    <cellStyle name="Percent 13 3" xfId="1339" xr:uid="{00000000-0005-0000-0000-0000A7060000}"/>
    <cellStyle name="Percent 14" xfId="471" xr:uid="{00000000-0005-0000-0000-0000A8060000}"/>
    <cellStyle name="Percent 14 2" xfId="1168" xr:uid="{00000000-0005-0000-0000-0000A9060000}"/>
    <cellStyle name="Percent 14 3" xfId="1342" xr:uid="{00000000-0005-0000-0000-0000AA060000}"/>
    <cellStyle name="Percent 15" xfId="474" xr:uid="{00000000-0005-0000-0000-0000AB060000}"/>
    <cellStyle name="Percent 15 2" xfId="1212" xr:uid="{00000000-0005-0000-0000-0000AC060000}"/>
    <cellStyle name="Percent 15 3" xfId="1345" xr:uid="{00000000-0005-0000-0000-0000AD060000}"/>
    <cellStyle name="Percent 16" xfId="477" xr:uid="{00000000-0005-0000-0000-0000AE060000}"/>
    <cellStyle name="Percent 16 2" xfId="1177" xr:uid="{00000000-0005-0000-0000-0000AF060000}"/>
    <cellStyle name="Percent 16 3" xfId="1348" xr:uid="{00000000-0005-0000-0000-0000B0060000}"/>
    <cellStyle name="Percent 17" xfId="480" xr:uid="{00000000-0005-0000-0000-0000B1060000}"/>
    <cellStyle name="Percent 17 2" xfId="1210" xr:uid="{00000000-0005-0000-0000-0000B2060000}"/>
    <cellStyle name="Percent 17 3" xfId="1351" xr:uid="{00000000-0005-0000-0000-0000B3060000}"/>
    <cellStyle name="Percent 18" xfId="483" xr:uid="{00000000-0005-0000-0000-0000B4060000}"/>
    <cellStyle name="Percent 18 2" xfId="1181" xr:uid="{00000000-0005-0000-0000-0000B5060000}"/>
    <cellStyle name="Percent 18 3" xfId="1354" xr:uid="{00000000-0005-0000-0000-0000B6060000}"/>
    <cellStyle name="Percent 19" xfId="486" xr:uid="{00000000-0005-0000-0000-0000B7060000}"/>
    <cellStyle name="Percent 19 2" xfId="1208" xr:uid="{00000000-0005-0000-0000-0000B8060000}"/>
    <cellStyle name="Percent 19 3" xfId="1357" xr:uid="{00000000-0005-0000-0000-0000B9060000}"/>
    <cellStyle name="Percent 2" xfId="294" xr:uid="{00000000-0005-0000-0000-0000BA060000}"/>
    <cellStyle name="Percent 2 2" xfId="733" xr:uid="{00000000-0005-0000-0000-0000BB060000}"/>
    <cellStyle name="Percent 2 3" xfId="2055" xr:uid="{00000000-0005-0000-0000-0000BC060000}"/>
    <cellStyle name="Percent 2 3 2" xfId="2056" xr:uid="{00000000-0005-0000-0000-0000BD060000}"/>
    <cellStyle name="Percent 20" xfId="489" xr:uid="{00000000-0005-0000-0000-0000BE060000}"/>
    <cellStyle name="Percent 20 2" xfId="1187" xr:uid="{00000000-0005-0000-0000-0000BF060000}"/>
    <cellStyle name="Percent 20 3" xfId="1360" xr:uid="{00000000-0005-0000-0000-0000C0060000}"/>
    <cellStyle name="Percent 21" xfId="492" xr:uid="{00000000-0005-0000-0000-0000C1060000}"/>
    <cellStyle name="Percent 21 2" xfId="1239" xr:uid="{00000000-0005-0000-0000-0000C2060000}"/>
    <cellStyle name="Percent 21 3" xfId="1363" xr:uid="{00000000-0005-0000-0000-0000C3060000}"/>
    <cellStyle name="Percent 22" xfId="495" xr:uid="{00000000-0005-0000-0000-0000C4060000}"/>
    <cellStyle name="Percent 22 2" xfId="1366" xr:uid="{00000000-0005-0000-0000-0000C5060000}"/>
    <cellStyle name="Percent 23" xfId="498" xr:uid="{00000000-0005-0000-0000-0000C6060000}"/>
    <cellStyle name="Percent 23 2" xfId="1369" xr:uid="{00000000-0005-0000-0000-0000C7060000}"/>
    <cellStyle name="Percent 24" xfId="501" xr:uid="{00000000-0005-0000-0000-0000C8060000}"/>
    <cellStyle name="Percent 24 2" xfId="1372" xr:uid="{00000000-0005-0000-0000-0000C9060000}"/>
    <cellStyle name="Percent 25" xfId="504" xr:uid="{00000000-0005-0000-0000-0000CA060000}"/>
    <cellStyle name="Percent 25 2" xfId="1375" xr:uid="{00000000-0005-0000-0000-0000CB060000}"/>
    <cellStyle name="Percent 26" xfId="507" xr:uid="{00000000-0005-0000-0000-0000CC060000}"/>
    <cellStyle name="Percent 26 2" xfId="1378" xr:uid="{00000000-0005-0000-0000-0000CD060000}"/>
    <cellStyle name="Percent 27" xfId="510" xr:uid="{00000000-0005-0000-0000-0000CE060000}"/>
    <cellStyle name="Percent 27 2" xfId="1381" xr:uid="{00000000-0005-0000-0000-0000CF060000}"/>
    <cellStyle name="Percent 28" xfId="513" xr:uid="{00000000-0005-0000-0000-0000D0060000}"/>
    <cellStyle name="Percent 28 2" xfId="1384" xr:uid="{00000000-0005-0000-0000-0000D1060000}"/>
    <cellStyle name="Percent 29" xfId="516" xr:uid="{00000000-0005-0000-0000-0000D2060000}"/>
    <cellStyle name="Percent 29 2" xfId="1387" xr:uid="{00000000-0005-0000-0000-0000D3060000}"/>
    <cellStyle name="Percent 3" xfId="295" xr:uid="{00000000-0005-0000-0000-0000D4060000}"/>
    <cellStyle name="Percent 3 2" xfId="734" xr:uid="{00000000-0005-0000-0000-0000D5060000}"/>
    <cellStyle name="Percent 3 3" xfId="1296" xr:uid="{00000000-0005-0000-0000-0000D6060000}"/>
    <cellStyle name="Percent 30" xfId="519" xr:uid="{00000000-0005-0000-0000-0000D7060000}"/>
    <cellStyle name="Percent 30 2" xfId="1390" xr:uid="{00000000-0005-0000-0000-0000D8060000}"/>
    <cellStyle name="Percent 31" xfId="522" xr:uid="{00000000-0005-0000-0000-0000D9060000}"/>
    <cellStyle name="Percent 31 2" xfId="1393" xr:uid="{00000000-0005-0000-0000-0000DA060000}"/>
    <cellStyle name="Percent 32" xfId="525" xr:uid="{00000000-0005-0000-0000-0000DB060000}"/>
    <cellStyle name="Percent 32 2" xfId="1396" xr:uid="{00000000-0005-0000-0000-0000DC060000}"/>
    <cellStyle name="Percent 33" xfId="528" xr:uid="{00000000-0005-0000-0000-0000DD060000}"/>
    <cellStyle name="Percent 33 2" xfId="1399" xr:uid="{00000000-0005-0000-0000-0000DE060000}"/>
    <cellStyle name="Percent 34" xfId="531" xr:uid="{00000000-0005-0000-0000-0000DF060000}"/>
    <cellStyle name="Percent 34 2" xfId="1402" xr:uid="{00000000-0005-0000-0000-0000E0060000}"/>
    <cellStyle name="Percent 35" xfId="534" xr:uid="{00000000-0005-0000-0000-0000E1060000}"/>
    <cellStyle name="Percent 35 2" xfId="1405" xr:uid="{00000000-0005-0000-0000-0000E2060000}"/>
    <cellStyle name="Percent 36" xfId="537" xr:uid="{00000000-0005-0000-0000-0000E3060000}"/>
    <cellStyle name="Percent 36 2" xfId="1408" xr:uid="{00000000-0005-0000-0000-0000E4060000}"/>
    <cellStyle name="Percent 37" xfId="728" xr:uid="{00000000-0005-0000-0000-0000E5060000}"/>
    <cellStyle name="Percent 38" xfId="901" xr:uid="{00000000-0005-0000-0000-0000E6060000}"/>
    <cellStyle name="Percent 39" xfId="896" xr:uid="{00000000-0005-0000-0000-0000E7060000}"/>
    <cellStyle name="Percent 4" xfId="441" xr:uid="{00000000-0005-0000-0000-0000E8060000}"/>
    <cellStyle name="Percent 4 2" xfId="820" xr:uid="{00000000-0005-0000-0000-0000E9060000}"/>
    <cellStyle name="Percent 4 2 2" xfId="1241" xr:uid="{00000000-0005-0000-0000-0000EA060000}"/>
    <cellStyle name="Percent 4 2 3" xfId="1424" xr:uid="{00000000-0005-0000-0000-0000EB060000}"/>
    <cellStyle name="Percent 4 3" xfId="1070" xr:uid="{00000000-0005-0000-0000-0000EC060000}"/>
    <cellStyle name="Percent 4 3 2" xfId="2057" xr:uid="{00000000-0005-0000-0000-0000ED060000}"/>
    <cellStyle name="Percent 4 4" xfId="1072" xr:uid="{00000000-0005-0000-0000-0000EE060000}"/>
    <cellStyle name="Percent 4 4 2" xfId="1466" xr:uid="{00000000-0005-0000-0000-0000EF060000}"/>
    <cellStyle name="Percent 4 5" xfId="1190" xr:uid="{00000000-0005-0000-0000-0000F0060000}"/>
    <cellStyle name="Percent 4 6" xfId="1312" xr:uid="{00000000-0005-0000-0000-0000F1060000}"/>
    <cellStyle name="Percent 40" xfId="1043" xr:uid="{00000000-0005-0000-0000-0000F2060000}"/>
    <cellStyle name="Percent 41" xfId="945" xr:uid="{00000000-0005-0000-0000-0000F3060000}"/>
    <cellStyle name="Percent 42" xfId="1074" xr:uid="{00000000-0005-0000-0000-0000F4060000}"/>
    <cellStyle name="Percent 43" xfId="949" xr:uid="{00000000-0005-0000-0000-0000F5060000}"/>
    <cellStyle name="Percent 44" xfId="1031" xr:uid="{00000000-0005-0000-0000-0000F6060000}"/>
    <cellStyle name="Percent 45" xfId="955" xr:uid="{00000000-0005-0000-0000-0000F7060000}"/>
    <cellStyle name="Percent 46" xfId="1024" xr:uid="{00000000-0005-0000-0000-0000F8060000}"/>
    <cellStyle name="Percent 47" xfId="961" xr:uid="{00000000-0005-0000-0000-0000F9060000}"/>
    <cellStyle name="Percent 48" xfId="1125" xr:uid="{00000000-0005-0000-0000-0000FA060000}"/>
    <cellStyle name="Percent 49" xfId="910" xr:uid="{00000000-0005-0000-0000-0000FB060000}"/>
    <cellStyle name="Percent 5" xfId="444" xr:uid="{00000000-0005-0000-0000-0000FC060000}"/>
    <cellStyle name="Percent 5 2" xfId="1198" xr:uid="{00000000-0005-0000-0000-0000FD060000}"/>
    <cellStyle name="Percent 5 3" xfId="1315" xr:uid="{00000000-0005-0000-0000-0000FE060000}"/>
    <cellStyle name="Percent 5 3 2" xfId="2058" xr:uid="{00000000-0005-0000-0000-0000FF060000}"/>
    <cellStyle name="Percent 5 4" xfId="2059" xr:uid="{00000000-0005-0000-0000-000000070000}"/>
    <cellStyle name="Percent 50" xfId="1078" xr:uid="{00000000-0005-0000-0000-000001070000}"/>
    <cellStyle name="Percent 51" xfId="1108" xr:uid="{00000000-0005-0000-0000-000002070000}"/>
    <cellStyle name="Percent 52" xfId="1041" xr:uid="{00000000-0005-0000-0000-000003070000}"/>
    <cellStyle name="Percent 53" xfId="1158" xr:uid="{00000000-0005-0000-0000-000004070000}"/>
    <cellStyle name="Percent 54" xfId="1046" xr:uid="{00000000-0005-0000-0000-000005070000}"/>
    <cellStyle name="Percent 55" xfId="1250" xr:uid="{00000000-0005-0000-0000-000006070000}"/>
    <cellStyle name="Percent 56" xfId="1145" xr:uid="{00000000-0005-0000-0000-000007070000}"/>
    <cellStyle name="Percent 57" xfId="1295" xr:uid="{00000000-0005-0000-0000-000008070000}"/>
    <cellStyle name="Percent 6" xfId="447" xr:uid="{00000000-0005-0000-0000-000009070000}"/>
    <cellStyle name="Percent 6 2" xfId="1162" xr:uid="{00000000-0005-0000-0000-00000A070000}"/>
    <cellStyle name="Percent 6 3" xfId="1318" xr:uid="{00000000-0005-0000-0000-00000B070000}"/>
    <cellStyle name="Percent 7" xfId="450" xr:uid="{00000000-0005-0000-0000-00000C070000}"/>
    <cellStyle name="Percent 7 2" xfId="1199" xr:uid="{00000000-0005-0000-0000-00000D070000}"/>
    <cellStyle name="Percent 7 3" xfId="1321" xr:uid="{00000000-0005-0000-0000-00000E070000}"/>
    <cellStyle name="Percent 8" xfId="453" xr:uid="{00000000-0005-0000-0000-00000F070000}"/>
    <cellStyle name="Percent 8 2" xfId="1163" xr:uid="{00000000-0005-0000-0000-000010070000}"/>
    <cellStyle name="Percent 8 3" xfId="1324" xr:uid="{00000000-0005-0000-0000-000011070000}"/>
    <cellStyle name="Percent 8 4" xfId="1498" xr:uid="{00000000-0005-0000-0000-000012070000}"/>
    <cellStyle name="Percent 9" xfId="456" xr:uid="{00000000-0005-0000-0000-000013070000}"/>
    <cellStyle name="Percent 9 2" xfId="1200" xr:uid="{00000000-0005-0000-0000-000014070000}"/>
    <cellStyle name="Percent 9 3" xfId="1327" xr:uid="{00000000-0005-0000-0000-000015070000}"/>
    <cellStyle name="Percent1" xfId="735" xr:uid="{00000000-0005-0000-0000-000016070000}"/>
    <cellStyle name="Percentage" xfId="296" xr:uid="{00000000-0005-0000-0000-000017070000}"/>
    <cellStyle name="Percentage (2dp)" xfId="297" xr:uid="{00000000-0005-0000-0000-000018070000}"/>
    <cellStyle name="Percentage (2dp) 2" xfId="1298" xr:uid="{00000000-0005-0000-0000-000019070000}"/>
    <cellStyle name="Percentage 2" xfId="1297" xr:uid="{00000000-0005-0000-0000-00001A070000}"/>
    <cellStyle name="Percentage_Copy of ESA5 ForecastScaling" xfId="298" xr:uid="{00000000-0005-0000-0000-00001B070000}"/>
    <cellStyle name="PercentChange" xfId="299" xr:uid="{00000000-0005-0000-0000-00001C070000}"/>
    <cellStyle name="PercentChange 2" xfId="736" xr:uid="{00000000-0005-0000-0000-00001D070000}"/>
    <cellStyle name="PercentChange 3" xfId="2060" xr:uid="{00000000-0005-0000-0000-00001E070000}"/>
    <cellStyle name="PercentChange 3 2" xfId="2061" xr:uid="{00000000-0005-0000-0000-00001F070000}"/>
    <cellStyle name="PercentChange 4" xfId="2062" xr:uid="{00000000-0005-0000-0000-000020070000}"/>
    <cellStyle name="PercentPresentation" xfId="300" xr:uid="{00000000-0005-0000-0000-000021070000}"/>
    <cellStyle name="PercentPresentation 2" xfId="2063" xr:uid="{00000000-0005-0000-0000-000022070000}"/>
    <cellStyle name="PercentPresentation 2 2" xfId="2064" xr:uid="{00000000-0005-0000-0000-000023070000}"/>
    <cellStyle name="PercentSales" xfId="301" xr:uid="{00000000-0005-0000-0000-000024070000}"/>
    <cellStyle name="PercentSales 2" xfId="737" xr:uid="{00000000-0005-0000-0000-000025070000}"/>
    <cellStyle name="PercentSales 2 2" xfId="2065" xr:uid="{00000000-0005-0000-0000-000026070000}"/>
    <cellStyle name="Percentual" xfId="2066" xr:uid="{00000000-0005-0000-0000-000027070000}"/>
    <cellStyle name="PerShare" xfId="302" xr:uid="{00000000-0005-0000-0000-000028070000}"/>
    <cellStyle name="PerShare 2" xfId="2067" xr:uid="{00000000-0005-0000-0000-000029070000}"/>
    <cellStyle name="PerShare 2 2" xfId="2068" xr:uid="{00000000-0005-0000-0000-00002A070000}"/>
    <cellStyle name="Ponto" xfId="2069" xr:uid="{00000000-0005-0000-0000-00002B070000}"/>
    <cellStyle name="POPS" xfId="303" xr:uid="{00000000-0005-0000-0000-00002C070000}"/>
    <cellStyle name="POPS 2" xfId="2070" xr:uid="{00000000-0005-0000-0000-00002D070000}"/>
    <cellStyle name="POPS 2 2" xfId="2071" xr:uid="{00000000-0005-0000-0000-00002E070000}"/>
    <cellStyle name="Porcentaje" xfId="2072" xr:uid="{00000000-0005-0000-0000-00002F070000}"/>
    <cellStyle name="Porcentual_Modelo_19-06" xfId="2073" xr:uid="{00000000-0005-0000-0000-000030070000}"/>
    <cellStyle name="Pourcentage [0]" xfId="304" xr:uid="{00000000-0005-0000-0000-000031070000}"/>
    <cellStyle name="Pourcentage [00]" xfId="305" xr:uid="{00000000-0005-0000-0000-000032070000}"/>
    <cellStyle name="Pourcentage [00] 2" xfId="2074" xr:uid="{00000000-0005-0000-0000-000033070000}"/>
    <cellStyle name="Pourcentage [00] 3" xfId="2075" xr:uid="{00000000-0005-0000-0000-000034070000}"/>
    <cellStyle name="Pourcentage [00] 3 2" xfId="2076" xr:uid="{00000000-0005-0000-0000-000035070000}"/>
    <cellStyle name="Pourcentage_BASCULER" xfId="306" xr:uid="{00000000-0005-0000-0000-000036070000}"/>
    <cellStyle name="Presentation" xfId="307" xr:uid="{00000000-0005-0000-0000-000037070000}"/>
    <cellStyle name="Presentation 2" xfId="2077" xr:uid="{00000000-0005-0000-0000-000038070000}"/>
    <cellStyle name="Presentation 2 2" xfId="2078" xr:uid="{00000000-0005-0000-0000-000039070000}"/>
    <cellStyle name="PresentationZero" xfId="308" xr:uid="{00000000-0005-0000-0000-00003A070000}"/>
    <cellStyle name="PresentationZero 2" xfId="2079" xr:uid="{00000000-0005-0000-0000-00003B070000}"/>
    <cellStyle name="PresentationZero 2 2" xfId="2080" xr:uid="{00000000-0005-0000-0000-00003C070000}"/>
    <cellStyle name="Price" xfId="309" xr:uid="{00000000-0005-0000-0000-00003D070000}"/>
    <cellStyle name="Price 2" xfId="2081" xr:uid="{00000000-0005-0000-0000-00003E070000}"/>
    <cellStyle name="Price 2 2" xfId="2082" xr:uid="{00000000-0005-0000-0000-00003F070000}"/>
    <cellStyle name="PROJECT" xfId="738" xr:uid="{00000000-0005-0000-0000-000040070000}"/>
    <cellStyle name="PROJECT R" xfId="739" xr:uid="{00000000-0005-0000-0000-000041070000}"/>
    <cellStyle name="Protected" xfId="2083" xr:uid="{00000000-0005-0000-0000-000042070000}"/>
    <cellStyle name="PSChar" xfId="2084" xr:uid="{00000000-0005-0000-0000-000043070000}"/>
    <cellStyle name="Pub percent" xfId="310" xr:uid="{00000000-0005-0000-0000-000044070000}"/>
    <cellStyle name="Pub percent 2" xfId="2085" xr:uid="{00000000-0005-0000-0000-000045070000}"/>
    <cellStyle name="Pub percent 3" xfId="2086" xr:uid="{00000000-0005-0000-0000-000046070000}"/>
    <cellStyle name="Pub percent 3 2" xfId="2087" xr:uid="{00000000-0005-0000-0000-000047070000}"/>
    <cellStyle name="Purple" xfId="740" xr:uid="{00000000-0005-0000-0000-000048070000}"/>
    <cellStyle name="r" xfId="311" xr:uid="{00000000-0005-0000-0000-000049070000}"/>
    <cellStyle name="r 2" xfId="2088" xr:uid="{00000000-0005-0000-0000-00004A070000}"/>
    <cellStyle name="r 2 2" xfId="2089" xr:uid="{00000000-0005-0000-0000-00004B070000}"/>
    <cellStyle name="r_Canal Digital" xfId="312" xr:uid="{00000000-0005-0000-0000-00004C070000}"/>
    <cellStyle name="r_Canal Digital 2" xfId="2090" xr:uid="{00000000-0005-0000-0000-00004D070000}"/>
    <cellStyle name="r_Canal Digital 2 2" xfId="2091" xr:uid="{00000000-0005-0000-0000-00004E070000}"/>
    <cellStyle name="r_Canal Digital_Deutsche" xfId="313" xr:uid="{00000000-0005-0000-0000-00004F070000}"/>
    <cellStyle name="r_Canal Digital_Fixed" xfId="314" xr:uid="{00000000-0005-0000-0000-000050070000}"/>
    <cellStyle name="r_Canal Digital_Fixed 2" xfId="2092" xr:uid="{00000000-0005-0000-0000-000051070000}"/>
    <cellStyle name="r_Canal Digital_Fixed 2 2" xfId="2093" xr:uid="{00000000-0005-0000-0000-000052070000}"/>
    <cellStyle name="r_Canal Digital_Fixed_Deutsche" xfId="315" xr:uid="{00000000-0005-0000-0000-000053070000}"/>
    <cellStyle name="r_Canal Digital_Fixed_Innsamling" xfId="316" xr:uid="{00000000-0005-0000-0000-000054070000}"/>
    <cellStyle name="r_Canal Digital_Fixed_TNOR_preQ410a" xfId="2094" xr:uid="{00000000-0005-0000-0000-000055070000}"/>
    <cellStyle name="r_Canal Digital_Fixed_TNOR_preQ410a 2" xfId="2095" xr:uid="{00000000-0005-0000-0000-000056070000}"/>
    <cellStyle name="r_Canal Digital_Group" xfId="317" xr:uid="{00000000-0005-0000-0000-000057070000}"/>
    <cellStyle name="r_Canal Digital_Group 2" xfId="2096" xr:uid="{00000000-0005-0000-0000-000058070000}"/>
    <cellStyle name="r_Canal Digital_Group 2 2" xfId="2097" xr:uid="{00000000-0005-0000-0000-000059070000}"/>
    <cellStyle name="r_Canal Digital_Group_Deutsche" xfId="318" xr:uid="{00000000-0005-0000-0000-00005A070000}"/>
    <cellStyle name="r_Canal Digital_Group_Innsamling" xfId="319" xr:uid="{00000000-0005-0000-0000-00005B070000}"/>
    <cellStyle name="r_Canal Digital_Group_TNOR_preQ410a" xfId="2098" xr:uid="{00000000-0005-0000-0000-00005C070000}"/>
    <cellStyle name="r_Canal Digital_Group_TNOR_preQ410a 2" xfId="2099" xr:uid="{00000000-0005-0000-0000-00005D070000}"/>
    <cellStyle name="r_Canal Digital_Innsamling" xfId="320" xr:uid="{00000000-0005-0000-0000-00005E070000}"/>
    <cellStyle name="r_Canal Digital_Mobile" xfId="321" xr:uid="{00000000-0005-0000-0000-00005F070000}"/>
    <cellStyle name="r_Canal Digital_Mobile 2" xfId="2100" xr:uid="{00000000-0005-0000-0000-000060070000}"/>
    <cellStyle name="r_Canal Digital_Mobile 2 2" xfId="2101" xr:uid="{00000000-0005-0000-0000-000061070000}"/>
    <cellStyle name="r_Canal Digital_Mobile_Deutsche" xfId="322" xr:uid="{00000000-0005-0000-0000-000062070000}"/>
    <cellStyle name="r_Canal Digital_Mobile_Innsamling" xfId="323" xr:uid="{00000000-0005-0000-0000-000063070000}"/>
    <cellStyle name="r_Canal Digital_Mobile_TNOR_preQ410a" xfId="2102" xr:uid="{00000000-0005-0000-0000-000064070000}"/>
    <cellStyle name="r_Canal Digital_Mobile_TNOR_preQ410a 2" xfId="2103" xr:uid="{00000000-0005-0000-0000-000065070000}"/>
    <cellStyle name="r_Canal Digital_Special items" xfId="324" xr:uid="{00000000-0005-0000-0000-000066070000}"/>
    <cellStyle name="r_Canal Digital_Special items 2" xfId="2104" xr:uid="{00000000-0005-0000-0000-000067070000}"/>
    <cellStyle name="r_Canal Digital_Special items 2 2" xfId="2105" xr:uid="{00000000-0005-0000-0000-000068070000}"/>
    <cellStyle name="r_Canal Digital_Special items_Deutsche" xfId="325" xr:uid="{00000000-0005-0000-0000-000069070000}"/>
    <cellStyle name="r_Canal Digital_Special items_Innsamling" xfId="326" xr:uid="{00000000-0005-0000-0000-00006A070000}"/>
    <cellStyle name="r_Canal Digital_Special items_TNOR_preQ410a" xfId="2106" xr:uid="{00000000-0005-0000-0000-00006B070000}"/>
    <cellStyle name="r_Canal Digital_Special items_TNOR_preQ410a 2" xfId="2107" xr:uid="{00000000-0005-0000-0000-00006C070000}"/>
    <cellStyle name="r_Canal Digital_TNOR_preQ410a" xfId="2108" xr:uid="{00000000-0005-0000-0000-00006D070000}"/>
    <cellStyle name="r_Canal Digital_TNOR_preQ410a 2" xfId="2109" xr:uid="{00000000-0005-0000-0000-00006E070000}"/>
    <cellStyle name="r_tel" xfId="327" xr:uid="{00000000-0005-0000-0000-00006F070000}"/>
    <cellStyle name="r_tel 2" xfId="2110" xr:uid="{00000000-0005-0000-0000-000070070000}"/>
    <cellStyle name="r_tel 2 2" xfId="2111" xr:uid="{00000000-0005-0000-0000-000071070000}"/>
    <cellStyle name="r_tel.xls Chart 680" xfId="328" xr:uid="{00000000-0005-0000-0000-000072070000}"/>
    <cellStyle name="r_tel.xls Chart 680 2" xfId="2112" xr:uid="{00000000-0005-0000-0000-000073070000}"/>
    <cellStyle name="r_tel.xls Chart 680 2 2" xfId="2113" xr:uid="{00000000-0005-0000-0000-000074070000}"/>
    <cellStyle name="r_tel.xls Chart 680_TNOR_preQ410a" xfId="2114" xr:uid="{00000000-0005-0000-0000-000075070000}"/>
    <cellStyle name="r_tel.xls Chart 680_TNOR_preQ410a 2" xfId="2115" xr:uid="{00000000-0005-0000-0000-000076070000}"/>
    <cellStyle name="r_tel_TNOR_preQ410a" xfId="2116" xr:uid="{00000000-0005-0000-0000-000077070000}"/>
    <cellStyle name="r_tel_TNOR_preQ410a 2" xfId="2117" xr:uid="{00000000-0005-0000-0000-000078070000}"/>
    <cellStyle name="r_Telenor" xfId="329" xr:uid="{00000000-0005-0000-0000-000079070000}"/>
    <cellStyle name="r_Telenor 2" xfId="2118" xr:uid="{00000000-0005-0000-0000-00007A070000}"/>
    <cellStyle name="r_Telenor 2 2" xfId="2119" xr:uid="{00000000-0005-0000-0000-00007B070000}"/>
    <cellStyle name="r_Telenor_TNOR_preQ410a" xfId="2120" xr:uid="{00000000-0005-0000-0000-00007C070000}"/>
    <cellStyle name="r_Telenor_TNOR_preQ410a 2" xfId="2121" xr:uid="{00000000-0005-0000-0000-00007D070000}"/>
    <cellStyle name="r_TNOR_preQ410a" xfId="2122" xr:uid="{00000000-0005-0000-0000-00007E070000}"/>
    <cellStyle name="r_TNOR_preQ410a 2" xfId="2123" xr:uid="{00000000-0005-0000-0000-00007F070000}"/>
    <cellStyle name="Rating header" xfId="2124" xr:uid="{00000000-0005-0000-0000-000080070000}"/>
    <cellStyle name="RatioX" xfId="330" xr:uid="{00000000-0005-0000-0000-000081070000}"/>
    <cellStyle name="RatioX 2" xfId="741" xr:uid="{00000000-0005-0000-0000-000082070000}"/>
    <cellStyle name="RatioX 3" xfId="2125" xr:uid="{00000000-0005-0000-0000-000083070000}"/>
    <cellStyle name="RatioX 3 2" xfId="2126" xr:uid="{00000000-0005-0000-0000-000084070000}"/>
    <cellStyle name="RatioX 4" xfId="2127" xr:uid="{00000000-0005-0000-0000-000085070000}"/>
    <cellStyle name="RED" xfId="742" xr:uid="{00000000-0005-0000-0000-000086070000}"/>
    <cellStyle name="Red font" xfId="331" xr:uid="{00000000-0005-0000-0000-000087070000}"/>
    <cellStyle name="Red Text" xfId="743" xr:uid="{00000000-0005-0000-0000-000088070000}"/>
    <cellStyle name="Ref Numbers" xfId="744" xr:uid="{00000000-0005-0000-0000-000089070000}"/>
    <cellStyle name="Reference" xfId="745" xr:uid="{00000000-0005-0000-0000-00008A070000}"/>
    <cellStyle name="Report" xfId="332" xr:uid="{00000000-0005-0000-0000-00008B070000}"/>
    <cellStyle name="Report 2" xfId="2128" xr:uid="{00000000-0005-0000-0000-00008C070000}"/>
    <cellStyle name="Report 2 2" xfId="2129" xr:uid="{00000000-0005-0000-0000-00008D070000}"/>
    <cellStyle name="Restruct" xfId="746" xr:uid="{00000000-0005-0000-0000-00008E070000}"/>
    <cellStyle name="results" xfId="747" xr:uid="{00000000-0005-0000-0000-00008F070000}"/>
    <cellStyle name="results 2" xfId="1192" xr:uid="{00000000-0005-0000-0000-000090070000}"/>
    <cellStyle name="Right" xfId="333" xr:uid="{00000000-0005-0000-0000-000091070000}"/>
    <cellStyle name="Right 2" xfId="748" xr:uid="{00000000-0005-0000-0000-000092070000}"/>
    <cellStyle name="RM" xfId="2130" xr:uid="{00000000-0005-0000-0000-000093070000}"/>
    <cellStyle name="Rmess" xfId="334" xr:uid="{00000000-0005-0000-0000-000094070000}"/>
    <cellStyle name="Rmess 2" xfId="2131" xr:uid="{00000000-0005-0000-0000-000095070000}"/>
    <cellStyle name="Rmess 3" xfId="2132" xr:uid="{00000000-0005-0000-0000-000096070000}"/>
    <cellStyle name="Rmess 3 2" xfId="2133" xr:uid="{00000000-0005-0000-0000-000097070000}"/>
    <cellStyle name="Rnumber" xfId="335" xr:uid="{00000000-0005-0000-0000-000098070000}"/>
    <cellStyle name="Rnumber 0d" xfId="336" xr:uid="{00000000-0005-0000-0000-000099070000}"/>
    <cellStyle name="Rnumber 0d 2" xfId="2134" xr:uid="{00000000-0005-0000-0000-00009A070000}"/>
    <cellStyle name="Rnumber 0d 3" xfId="2135" xr:uid="{00000000-0005-0000-0000-00009B070000}"/>
    <cellStyle name="Rnumber 0d 3 2" xfId="2136" xr:uid="{00000000-0005-0000-0000-00009C070000}"/>
    <cellStyle name="Rnumber 2" xfId="2137" xr:uid="{00000000-0005-0000-0000-00009D070000}"/>
    <cellStyle name="Rnumber 3" xfId="2138" xr:uid="{00000000-0005-0000-0000-00009E070000}"/>
    <cellStyle name="Rnumber 3 2" xfId="2139" xr:uid="{00000000-0005-0000-0000-00009F070000}"/>
    <cellStyle name="Rnumber 4" xfId="2140" xr:uid="{00000000-0005-0000-0000-0000A0070000}"/>
    <cellStyle name="Rnumber 4 2" xfId="2141" xr:uid="{00000000-0005-0000-0000-0000A1070000}"/>
    <cellStyle name="Rnumber_eurosubs10" xfId="337" xr:uid="{00000000-0005-0000-0000-0000A2070000}"/>
    <cellStyle name="robs" xfId="2142" xr:uid="{00000000-0005-0000-0000-0000A3070000}"/>
    <cellStyle name="Row and Column Total" xfId="338" xr:uid="{00000000-0005-0000-0000-0000A4070000}"/>
    <cellStyle name="Row and Column Total 2" xfId="2143" xr:uid="{00000000-0005-0000-0000-0000A5070000}"/>
    <cellStyle name="Row and Column Total 3" xfId="2144" xr:uid="{00000000-0005-0000-0000-0000A6070000}"/>
    <cellStyle name="Row and Column Total 3 2" xfId="2145" xr:uid="{00000000-0005-0000-0000-0000A7070000}"/>
    <cellStyle name="Row Heading" xfId="339" xr:uid="{00000000-0005-0000-0000-0000A8070000}"/>
    <cellStyle name="Row Heading (No Wrap)" xfId="340" xr:uid="{00000000-0005-0000-0000-0000A9070000}"/>
    <cellStyle name="Row Heading (No Wrap) 2" xfId="2146" xr:uid="{00000000-0005-0000-0000-0000AA070000}"/>
    <cellStyle name="Row Heading (No Wrap) 3" xfId="2147" xr:uid="{00000000-0005-0000-0000-0000AB070000}"/>
    <cellStyle name="Row Heading (No Wrap) 3 2" xfId="2148" xr:uid="{00000000-0005-0000-0000-0000AC070000}"/>
    <cellStyle name="Row Heading 2" xfId="2149" xr:uid="{00000000-0005-0000-0000-0000AD070000}"/>
    <cellStyle name="Row Heading 3" xfId="2150" xr:uid="{00000000-0005-0000-0000-0000AE070000}"/>
    <cellStyle name="Row Heading 3 2" xfId="2151" xr:uid="{00000000-0005-0000-0000-0000AF070000}"/>
    <cellStyle name="Row Heading 4" xfId="2152" xr:uid="{00000000-0005-0000-0000-0000B0070000}"/>
    <cellStyle name="Row Heading 4 2" xfId="2153" xr:uid="{00000000-0005-0000-0000-0000B1070000}"/>
    <cellStyle name="Row Heading 5" xfId="2154" xr:uid="{00000000-0005-0000-0000-0000B2070000}"/>
    <cellStyle name="Row Heading 5 2" xfId="2155" xr:uid="{00000000-0005-0000-0000-0000B3070000}"/>
    <cellStyle name="Row Heading 6" xfId="2156" xr:uid="{00000000-0005-0000-0000-0000B4070000}"/>
    <cellStyle name="Row Heading 6 2" xfId="2157" xr:uid="{00000000-0005-0000-0000-0000B5070000}"/>
    <cellStyle name="Row Ignore" xfId="341" xr:uid="{00000000-0005-0000-0000-0000B6070000}"/>
    <cellStyle name="row ignroe" xfId="2158" xr:uid="{00000000-0005-0000-0000-0000B7070000}"/>
    <cellStyle name="Row label" xfId="342" xr:uid="{00000000-0005-0000-0000-0000B8070000}"/>
    <cellStyle name="Row label (indent)" xfId="343" xr:uid="{00000000-0005-0000-0000-0000B9070000}"/>
    <cellStyle name="Row label (indent) 2" xfId="1299" xr:uid="{00000000-0005-0000-0000-0000BA070000}"/>
    <cellStyle name="Row Normal Indent" xfId="2159" xr:uid="{00000000-0005-0000-0000-0000BB070000}"/>
    <cellStyle name="Row Sub total" xfId="344" xr:uid="{00000000-0005-0000-0000-0000BC070000}"/>
    <cellStyle name="Row Title 1" xfId="345" xr:uid="{00000000-0005-0000-0000-0000BD070000}"/>
    <cellStyle name="Row Title 1 2" xfId="2160" xr:uid="{00000000-0005-0000-0000-0000BE070000}"/>
    <cellStyle name="Row Title 1 2 2" xfId="2161" xr:uid="{00000000-0005-0000-0000-0000BF070000}"/>
    <cellStyle name="Row Title 1 3" xfId="2162" xr:uid="{00000000-0005-0000-0000-0000C0070000}"/>
    <cellStyle name="Row Title 1 4" xfId="2163" xr:uid="{00000000-0005-0000-0000-0000C1070000}"/>
    <cellStyle name="Row Title 2" xfId="346" xr:uid="{00000000-0005-0000-0000-0000C2070000}"/>
    <cellStyle name="Row Title 2 2" xfId="2164" xr:uid="{00000000-0005-0000-0000-0000C3070000}"/>
    <cellStyle name="Row Title 2 2 2" xfId="2165" xr:uid="{00000000-0005-0000-0000-0000C4070000}"/>
    <cellStyle name="Row Title 2 3" xfId="2166" xr:uid="{00000000-0005-0000-0000-0000C5070000}"/>
    <cellStyle name="Row Title 2 4" xfId="2167" xr:uid="{00000000-0005-0000-0000-0000C6070000}"/>
    <cellStyle name="Row Title 3" xfId="347" xr:uid="{00000000-0005-0000-0000-0000C7070000}"/>
    <cellStyle name="Row Title 3 2" xfId="2168" xr:uid="{00000000-0005-0000-0000-0000C8070000}"/>
    <cellStyle name="Row Title 3 2 2" xfId="2169" xr:uid="{00000000-0005-0000-0000-0000C9070000}"/>
    <cellStyle name="Row Title 3 3" xfId="2170" xr:uid="{00000000-0005-0000-0000-0000CA070000}"/>
    <cellStyle name="Row Title 3 4" xfId="2171" xr:uid="{00000000-0005-0000-0000-0000CB070000}"/>
    <cellStyle name="Row Title 4" xfId="2172" xr:uid="{00000000-0005-0000-0000-0000CC070000}"/>
    <cellStyle name="Row Title 4 Indent" xfId="2173" xr:uid="{00000000-0005-0000-0000-0000CD070000}"/>
    <cellStyle name="Row Total" xfId="348" xr:uid="{00000000-0005-0000-0000-0000CE070000}"/>
    <cellStyle name="Row Total 2" xfId="2174" xr:uid="{00000000-0005-0000-0000-0000CF070000}"/>
    <cellStyle name="Row Total 3" xfId="2175" xr:uid="{00000000-0005-0000-0000-0000D0070000}"/>
    <cellStyle name="Row Total 3 2" xfId="2176" xr:uid="{00000000-0005-0000-0000-0000D1070000}"/>
    <cellStyle name="Row Total 4" xfId="2177" xr:uid="{00000000-0005-0000-0000-0000D2070000}"/>
    <cellStyle name="Saisie" xfId="349" xr:uid="{00000000-0005-0000-0000-0000D3070000}"/>
    <cellStyle name="Saisie 2" xfId="2178" xr:uid="{00000000-0005-0000-0000-0000D4070000}"/>
    <cellStyle name="Saisie 3" xfId="2179" xr:uid="{00000000-0005-0000-0000-0000D5070000}"/>
    <cellStyle name="Saisie 3 2" xfId="2180" xr:uid="{00000000-0005-0000-0000-0000D6070000}"/>
    <cellStyle name="Salomon Logo" xfId="350" xr:uid="{00000000-0005-0000-0000-0000D7070000}"/>
    <cellStyle name="Salomon Logo 2" xfId="2181" xr:uid="{00000000-0005-0000-0000-0000D8070000}"/>
    <cellStyle name="Salomon Logo 2 2" xfId="2182" xr:uid="{00000000-0005-0000-0000-0000D9070000}"/>
    <cellStyle name="SAPBEXaggData" xfId="2183" xr:uid="{00000000-0005-0000-0000-0000DA070000}"/>
    <cellStyle name="SAPBEXaggDataEmph" xfId="2184" xr:uid="{00000000-0005-0000-0000-0000DB070000}"/>
    <cellStyle name="SAPBEXaggItem" xfId="2185" xr:uid="{00000000-0005-0000-0000-0000DC070000}"/>
    <cellStyle name="SAPBEXaggItemX" xfId="2186" xr:uid="{00000000-0005-0000-0000-0000DD070000}"/>
    <cellStyle name="SAPBEXchaText" xfId="2187" xr:uid="{00000000-0005-0000-0000-0000DE070000}"/>
    <cellStyle name="SAPBEXexcBad7" xfId="2188" xr:uid="{00000000-0005-0000-0000-0000DF070000}"/>
    <cellStyle name="SAPBEXexcBad8" xfId="2189" xr:uid="{00000000-0005-0000-0000-0000E0070000}"/>
    <cellStyle name="SAPBEXexcBad9" xfId="2190" xr:uid="{00000000-0005-0000-0000-0000E1070000}"/>
    <cellStyle name="SAPBEXexcCritical4" xfId="2191" xr:uid="{00000000-0005-0000-0000-0000E2070000}"/>
    <cellStyle name="SAPBEXexcCritical5" xfId="2192" xr:uid="{00000000-0005-0000-0000-0000E3070000}"/>
    <cellStyle name="SAPBEXexcCritical6" xfId="2193" xr:uid="{00000000-0005-0000-0000-0000E4070000}"/>
    <cellStyle name="SAPBEXexcGood1" xfId="2194" xr:uid="{00000000-0005-0000-0000-0000E5070000}"/>
    <cellStyle name="SAPBEXexcGood2" xfId="2195" xr:uid="{00000000-0005-0000-0000-0000E6070000}"/>
    <cellStyle name="SAPBEXexcGood3" xfId="2196" xr:uid="{00000000-0005-0000-0000-0000E7070000}"/>
    <cellStyle name="SAPBEXfilterDrill" xfId="2197" xr:uid="{00000000-0005-0000-0000-0000E8070000}"/>
    <cellStyle name="SAPBEXfilterItem" xfId="2198" xr:uid="{00000000-0005-0000-0000-0000E9070000}"/>
    <cellStyle name="SAPBEXfilterText" xfId="2199" xr:uid="{00000000-0005-0000-0000-0000EA070000}"/>
    <cellStyle name="SAPBEXformats" xfId="2200" xr:uid="{00000000-0005-0000-0000-0000EB070000}"/>
    <cellStyle name="SAPBEXheaderItem" xfId="2201" xr:uid="{00000000-0005-0000-0000-0000EC070000}"/>
    <cellStyle name="SAPBEXheaderText" xfId="2202" xr:uid="{00000000-0005-0000-0000-0000ED070000}"/>
    <cellStyle name="SAPBEXHLevel0" xfId="2203" xr:uid="{00000000-0005-0000-0000-0000EE070000}"/>
    <cellStyle name="SAPBEXHLevel0X" xfId="2204" xr:uid="{00000000-0005-0000-0000-0000EF070000}"/>
    <cellStyle name="SAPBEXHLevel1" xfId="2205" xr:uid="{00000000-0005-0000-0000-0000F0070000}"/>
    <cellStyle name="SAPBEXHLevel1X" xfId="2206" xr:uid="{00000000-0005-0000-0000-0000F1070000}"/>
    <cellStyle name="SAPBEXHLevel2" xfId="2207" xr:uid="{00000000-0005-0000-0000-0000F2070000}"/>
    <cellStyle name="SAPBEXHLevel2X" xfId="2208" xr:uid="{00000000-0005-0000-0000-0000F3070000}"/>
    <cellStyle name="SAPBEXHLevel3" xfId="2209" xr:uid="{00000000-0005-0000-0000-0000F4070000}"/>
    <cellStyle name="SAPBEXHLevel3X" xfId="2210" xr:uid="{00000000-0005-0000-0000-0000F5070000}"/>
    <cellStyle name="SAPBEXresData" xfId="2211" xr:uid="{00000000-0005-0000-0000-0000F6070000}"/>
    <cellStyle name="SAPBEXresDataEmph" xfId="2212" xr:uid="{00000000-0005-0000-0000-0000F7070000}"/>
    <cellStyle name="SAPBEXresItem" xfId="2213" xr:uid="{00000000-0005-0000-0000-0000F8070000}"/>
    <cellStyle name="SAPBEXresItemX" xfId="2214" xr:uid="{00000000-0005-0000-0000-0000F9070000}"/>
    <cellStyle name="SAPBEXstdData" xfId="2215" xr:uid="{00000000-0005-0000-0000-0000FA070000}"/>
    <cellStyle name="SAPBEXstdDataEmph" xfId="2216" xr:uid="{00000000-0005-0000-0000-0000FB070000}"/>
    <cellStyle name="SAPBEXstdItem" xfId="2217" xr:uid="{00000000-0005-0000-0000-0000FC070000}"/>
    <cellStyle name="SAPBEXstdItemX" xfId="2218" xr:uid="{00000000-0005-0000-0000-0000FD070000}"/>
    <cellStyle name="SAPBEXtitle" xfId="2219" xr:uid="{00000000-0005-0000-0000-0000FE070000}"/>
    <cellStyle name="SAPBEXundefined" xfId="2220" xr:uid="{00000000-0005-0000-0000-0000FF070000}"/>
    <cellStyle name="SB_Normal" xfId="749" xr:uid="{00000000-0005-0000-0000-000000080000}"/>
    <cellStyle name="ScripFactor" xfId="351" xr:uid="{00000000-0005-0000-0000-000001080000}"/>
    <cellStyle name="ScripFactor 2" xfId="750" xr:uid="{00000000-0005-0000-0000-000002080000}"/>
    <cellStyle name="ScripFactor 3" xfId="2221" xr:uid="{00000000-0005-0000-0000-000003080000}"/>
    <cellStyle name="ScripFactor 3 2" xfId="2222" xr:uid="{00000000-0005-0000-0000-000004080000}"/>
    <cellStyle name="ScripFactor 4" xfId="2223" xr:uid="{00000000-0005-0000-0000-000005080000}"/>
    <cellStyle name="ScripFactor 5" xfId="2224" xr:uid="{00000000-0005-0000-0000-000006080000}"/>
    <cellStyle name="Section name" xfId="2225" xr:uid="{00000000-0005-0000-0000-000007080000}"/>
    <cellStyle name="Section Title" xfId="352" xr:uid="{00000000-0005-0000-0000-000008080000}"/>
    <cellStyle name="Section Title 2" xfId="2226" xr:uid="{00000000-0005-0000-0000-000009080000}"/>
    <cellStyle name="Section Title 3" xfId="2227" xr:uid="{00000000-0005-0000-0000-00000A080000}"/>
    <cellStyle name="Section Title 3 2" xfId="2228" xr:uid="{00000000-0005-0000-0000-00000B080000}"/>
    <cellStyle name="SectionHeading" xfId="353" xr:uid="{00000000-0005-0000-0000-00000C080000}"/>
    <cellStyle name="SectionHeading 2" xfId="751" xr:uid="{00000000-0005-0000-0000-00000D080000}"/>
    <cellStyle name="SectionHeading 3" xfId="2229" xr:uid="{00000000-0005-0000-0000-00000E080000}"/>
    <cellStyle name="SectionHeading 3 2" xfId="2230" xr:uid="{00000000-0005-0000-0000-00000F080000}"/>
    <cellStyle name="Separador de milhares_Balancete_TSD_2003" xfId="2231" xr:uid="{00000000-0005-0000-0000-000010080000}"/>
    <cellStyle name="Separador de milhar㳥s_gerencial 99 Telesp Celular.xls Gráfico 1" xfId="2232" xr:uid="{00000000-0005-0000-0000-000011080000}"/>
    <cellStyle name="ShadedCells_Database" xfId="752" xr:uid="{00000000-0005-0000-0000-000012080000}"/>
    <cellStyle name="Share" xfId="753" xr:uid="{00000000-0005-0000-0000-000013080000}"/>
    <cellStyle name="Share 2" xfId="1193" xr:uid="{00000000-0005-0000-0000-000014080000}"/>
    <cellStyle name="Shares" xfId="354" xr:uid="{00000000-0005-0000-0000-000015080000}"/>
    <cellStyle name="Shares 2" xfId="754" xr:uid="{00000000-0005-0000-0000-000016080000}"/>
    <cellStyle name="Shares 2 2" xfId="2233" xr:uid="{00000000-0005-0000-0000-000017080000}"/>
    <cellStyle name="Sheet Title" xfId="755" xr:uid="{00000000-0005-0000-0000-000018080000}"/>
    <cellStyle name="Single Accounting" xfId="355" xr:uid="{00000000-0005-0000-0000-000019080000}"/>
    <cellStyle name="Small Number" xfId="356" xr:uid="{00000000-0005-0000-0000-00001A080000}"/>
    <cellStyle name="Small Number 2" xfId="2234" xr:uid="{00000000-0005-0000-0000-00001B080000}"/>
    <cellStyle name="Small Number 3" xfId="2235" xr:uid="{00000000-0005-0000-0000-00001C080000}"/>
    <cellStyle name="Small Number 3 2" xfId="2236" xr:uid="{00000000-0005-0000-0000-00001D080000}"/>
    <cellStyle name="Small Percentage" xfId="357" xr:uid="{00000000-0005-0000-0000-00001E080000}"/>
    <cellStyle name="Small Percentage 2" xfId="2237" xr:uid="{00000000-0005-0000-0000-00001F080000}"/>
    <cellStyle name="Small Percentage 3" xfId="2238" xr:uid="{00000000-0005-0000-0000-000020080000}"/>
    <cellStyle name="Small Percentage 3 2" xfId="2239" xr:uid="{00000000-0005-0000-0000-000021080000}"/>
    <cellStyle name="Source" xfId="756" xr:uid="{00000000-0005-0000-0000-000022080000}"/>
    <cellStyle name="Source Line" xfId="757" xr:uid="{00000000-0005-0000-0000-000023080000}"/>
    <cellStyle name="Sous titre" xfId="358" xr:uid="{00000000-0005-0000-0000-000024080000}"/>
    <cellStyle name="Spreadsheet title" xfId="2240" xr:uid="{00000000-0005-0000-0000-000025080000}"/>
    <cellStyle name="SS1000" xfId="758" xr:uid="{00000000-0005-0000-0000-000026080000}"/>
    <cellStyle name="Standaard_KPN" xfId="359" xr:uid="{00000000-0005-0000-0000-000027080000}"/>
    <cellStyle name="Standard" xfId="360" xr:uid="{00000000-0005-0000-0000-000028080000}"/>
    <cellStyle name="Standard 2" xfId="2241" xr:uid="{00000000-0005-0000-0000-000029080000}"/>
    <cellStyle name="Standard 3" xfId="2242" xr:uid="{00000000-0005-0000-0000-00002A080000}"/>
    <cellStyle name="Standard 3 2" xfId="2243" xr:uid="{00000000-0005-0000-0000-00002B080000}"/>
    <cellStyle name="Strange" xfId="361" xr:uid="{00000000-0005-0000-0000-00002C080000}"/>
    <cellStyle name="Strange 2" xfId="759" xr:uid="{00000000-0005-0000-0000-00002D080000}"/>
    <cellStyle name="STYL1 - Style1" xfId="362" xr:uid="{00000000-0005-0000-0000-00002E080000}"/>
    <cellStyle name="Style 1" xfId="363" xr:uid="{00000000-0005-0000-0000-00002F080000}"/>
    <cellStyle name="Style 1 2" xfId="760" xr:uid="{00000000-0005-0000-0000-000030080000}"/>
    <cellStyle name="Style 1 3" xfId="2244" xr:uid="{00000000-0005-0000-0000-000031080000}"/>
    <cellStyle name="Style 1 3 2" xfId="2245" xr:uid="{00000000-0005-0000-0000-000032080000}"/>
    <cellStyle name="Style 1 4" xfId="2246" xr:uid="{00000000-0005-0000-0000-000033080000}"/>
    <cellStyle name="Style 1 5" xfId="2247" xr:uid="{00000000-0005-0000-0000-000034080000}"/>
    <cellStyle name="Style 2" xfId="2248" xr:uid="{00000000-0005-0000-0000-000035080000}"/>
    <cellStyle name="Style D" xfId="761" xr:uid="{00000000-0005-0000-0000-000036080000}"/>
    <cellStyle name="Style D green" xfId="762" xr:uid="{00000000-0005-0000-0000-000037080000}"/>
    <cellStyle name="Style D_BPCitigroupWIP" xfId="763" xr:uid="{00000000-0005-0000-0000-000038080000}"/>
    <cellStyle name="Style E" xfId="764" xr:uid="{00000000-0005-0000-0000-000039080000}"/>
    <cellStyle name="Style G" xfId="765" xr:uid="{00000000-0005-0000-0000-00003A080000}"/>
    <cellStyle name="Sub Category Title" xfId="766" xr:uid="{00000000-0005-0000-0000-00003B080000}"/>
    <cellStyle name="Sub total" xfId="767" xr:uid="{00000000-0005-0000-0000-00003C080000}"/>
    <cellStyle name="Sub total 2" xfId="1418" xr:uid="{00000000-0005-0000-0000-00003D080000}"/>
    <cellStyle name="Subhead" xfId="364" xr:uid="{00000000-0005-0000-0000-00003E080000}"/>
    <cellStyle name="Subhead 2" xfId="768" xr:uid="{00000000-0005-0000-0000-00003F080000}"/>
    <cellStyle name="subhead 2 2" xfId="2249" xr:uid="{00000000-0005-0000-0000-000040080000}"/>
    <cellStyle name="subhead 3" xfId="2250" xr:uid="{00000000-0005-0000-0000-000041080000}"/>
    <cellStyle name="Subhead 4" xfId="2251" xr:uid="{00000000-0005-0000-0000-000042080000}"/>
    <cellStyle name="Subhead 5" xfId="2252" xr:uid="{00000000-0005-0000-0000-000043080000}"/>
    <cellStyle name="Subtitle" xfId="769" xr:uid="{00000000-0005-0000-0000-000044080000}"/>
    <cellStyle name="Sub-titulo" xfId="2253" xr:uid="{00000000-0005-0000-0000-000045080000}"/>
    <cellStyle name="Sub-titulo 2" xfId="2254" xr:uid="{00000000-0005-0000-0000-000046080000}"/>
    <cellStyle name="Sub-titulo_Analise PDD 2003 " xfId="2255" xr:uid="{00000000-0005-0000-0000-000047080000}"/>
    <cellStyle name="Subtotal" xfId="2256" xr:uid="{00000000-0005-0000-0000-000048080000}"/>
    <cellStyle name="Sub-total" xfId="2257" xr:uid="{00000000-0005-0000-0000-000049080000}"/>
    <cellStyle name="Sub-total row" xfId="365" xr:uid="{00000000-0005-0000-0000-00004A080000}"/>
    <cellStyle name="Subtotal_Informe Orcamento 2002" xfId="2258" xr:uid="{00000000-0005-0000-0000-00004B080000}"/>
    <cellStyle name="subtots" xfId="770" xr:uid="{00000000-0005-0000-0000-00004C080000}"/>
    <cellStyle name="SymbolBlue" xfId="771" xr:uid="{00000000-0005-0000-0000-00004D080000}"/>
    <cellStyle name="SymbolBlue 2" xfId="1419" xr:uid="{00000000-0005-0000-0000-00004E080000}"/>
    <cellStyle name="Table" xfId="366" xr:uid="{00000000-0005-0000-0000-00004F080000}"/>
    <cellStyle name="Table - ColumnHeading Number" xfId="2259" xr:uid="{00000000-0005-0000-0000-000050080000}"/>
    <cellStyle name="Table - ColumnHeading Text" xfId="2260" xr:uid="{00000000-0005-0000-0000-000051080000}"/>
    <cellStyle name="Table - Heading Left" xfId="2261" xr:uid="{00000000-0005-0000-0000-000052080000}"/>
    <cellStyle name="Table - Number" xfId="2262" xr:uid="{00000000-0005-0000-0000-000053080000}"/>
    <cellStyle name="Table - Number Subtotal" xfId="2263" xr:uid="{00000000-0005-0000-0000-000054080000}"/>
    <cellStyle name="Table - Number Total" xfId="2264" xr:uid="{00000000-0005-0000-0000-000055080000}"/>
    <cellStyle name="Table - Text" xfId="2265" xr:uid="{00000000-0005-0000-0000-000056080000}"/>
    <cellStyle name="Table - Text Bold" xfId="2266" xr:uid="{00000000-0005-0000-0000-000057080000}"/>
    <cellStyle name="Table - Text Subtotal" xfId="2267" xr:uid="{00000000-0005-0000-0000-000058080000}"/>
    <cellStyle name="Table - Text Total" xfId="2268" xr:uid="{00000000-0005-0000-0000-000059080000}"/>
    <cellStyle name="Table 2" xfId="2269" xr:uid="{00000000-0005-0000-0000-00005A080000}"/>
    <cellStyle name="Table 2 2" xfId="2270" xr:uid="{00000000-0005-0000-0000-00005B080000}"/>
    <cellStyle name="Table end" xfId="772" xr:uid="{00000000-0005-0000-0000-00005C080000}"/>
    <cellStyle name="Table finish row" xfId="367" xr:uid="{00000000-0005-0000-0000-00005D080000}"/>
    <cellStyle name="Table finish row 2" xfId="1300" xr:uid="{00000000-0005-0000-0000-00005E080000}"/>
    <cellStyle name="Table Head" xfId="368" xr:uid="{00000000-0005-0000-0000-00005F080000}"/>
    <cellStyle name="Table head 2" xfId="773" xr:uid="{00000000-0005-0000-0000-000060080000}"/>
    <cellStyle name="Table Head 2 2" xfId="2271" xr:uid="{00000000-0005-0000-0000-000061080000}"/>
    <cellStyle name="Table Head 3" xfId="2272" xr:uid="{00000000-0005-0000-0000-000062080000}"/>
    <cellStyle name="Table Head 4" xfId="2273" xr:uid="{00000000-0005-0000-0000-000063080000}"/>
    <cellStyle name="Table Head 5" xfId="2274" xr:uid="{00000000-0005-0000-0000-000064080000}"/>
    <cellStyle name="Table Head Aligned" xfId="369" xr:uid="{00000000-0005-0000-0000-000065080000}"/>
    <cellStyle name="Table Head Aligned 2" xfId="774" xr:uid="{00000000-0005-0000-0000-000066080000}"/>
    <cellStyle name="Table Head Blue" xfId="370" xr:uid="{00000000-0005-0000-0000-000067080000}"/>
    <cellStyle name="Table Head Blue 2" xfId="775" xr:uid="{00000000-0005-0000-0000-000068080000}"/>
    <cellStyle name="Table Head Blue 3" xfId="2275" xr:uid="{00000000-0005-0000-0000-000069080000}"/>
    <cellStyle name="Table Head Blue 3 2" xfId="2276" xr:uid="{00000000-0005-0000-0000-00006A080000}"/>
    <cellStyle name="Table Head Blue 4" xfId="2277" xr:uid="{00000000-0005-0000-0000-00006B080000}"/>
    <cellStyle name="Table Head Green" xfId="371" xr:uid="{00000000-0005-0000-0000-00006C080000}"/>
    <cellStyle name="Table Head Green 2" xfId="776" xr:uid="{00000000-0005-0000-0000-00006D080000}"/>
    <cellStyle name="Table Head Green 3" xfId="2278" xr:uid="{00000000-0005-0000-0000-00006E080000}"/>
    <cellStyle name="Table Head Green 3 2" xfId="2279" xr:uid="{00000000-0005-0000-0000-00006F080000}"/>
    <cellStyle name="Table Head Green 4" xfId="2280" xr:uid="{00000000-0005-0000-0000-000070080000}"/>
    <cellStyle name="Table head_AMT Model New 11-16-2011" xfId="1051" xr:uid="{00000000-0005-0000-0000-000071080000}"/>
    <cellStyle name="Table Heading" xfId="777" xr:uid="{00000000-0005-0000-0000-000072080000}"/>
    <cellStyle name="table numbers 1" xfId="372" xr:uid="{00000000-0005-0000-0000-000073080000}"/>
    <cellStyle name="Table numbers 2" xfId="373" xr:uid="{00000000-0005-0000-0000-000074080000}"/>
    <cellStyle name="Table shading" xfId="374" xr:uid="{00000000-0005-0000-0000-000075080000}"/>
    <cellStyle name="Table shading 2" xfId="1301" xr:uid="{00000000-0005-0000-0000-000076080000}"/>
    <cellStyle name="Table Source" xfId="375" xr:uid="{00000000-0005-0000-0000-000077080000}"/>
    <cellStyle name="Table Source 2" xfId="2281" xr:uid="{00000000-0005-0000-0000-000078080000}"/>
    <cellStyle name="Table Source 2 2" xfId="2282" xr:uid="{00000000-0005-0000-0000-000079080000}"/>
    <cellStyle name="Table sub head" xfId="2283" xr:uid="{00000000-0005-0000-0000-00007A080000}"/>
    <cellStyle name="Table Text" xfId="376" xr:uid="{00000000-0005-0000-0000-00007B080000}"/>
    <cellStyle name="Table Text 2" xfId="2284" xr:uid="{00000000-0005-0000-0000-00007C080000}"/>
    <cellStyle name="Table Text 2 2" xfId="2285" xr:uid="{00000000-0005-0000-0000-00007D080000}"/>
    <cellStyle name="Table Title" xfId="377" xr:uid="{00000000-0005-0000-0000-00007E080000}"/>
    <cellStyle name="Table Title 2" xfId="778" xr:uid="{00000000-0005-0000-0000-00007F080000}"/>
    <cellStyle name="Table Title 2 2" xfId="2286" xr:uid="{00000000-0005-0000-0000-000080080000}"/>
    <cellStyle name="Table Title 3" xfId="2287" xr:uid="{00000000-0005-0000-0000-000081080000}"/>
    <cellStyle name="Table Title 4" xfId="2288" xr:uid="{00000000-0005-0000-0000-000082080000}"/>
    <cellStyle name="Table Title 5" xfId="2289" xr:uid="{00000000-0005-0000-0000-000083080000}"/>
    <cellStyle name="Table unfinish row" xfId="378" xr:uid="{00000000-0005-0000-0000-000084080000}"/>
    <cellStyle name="Table unfinish row 2" xfId="1302" xr:uid="{00000000-0005-0000-0000-000085080000}"/>
    <cellStyle name="Table Units" xfId="379" xr:uid="{00000000-0005-0000-0000-000086080000}"/>
    <cellStyle name="Table Units 2" xfId="779" xr:uid="{00000000-0005-0000-0000-000087080000}"/>
    <cellStyle name="Table Units 2 2" xfId="2290" xr:uid="{00000000-0005-0000-0000-000088080000}"/>
    <cellStyle name="Table Units 3" xfId="2291" xr:uid="{00000000-0005-0000-0000-000089080000}"/>
    <cellStyle name="Table Units 4" xfId="2292" xr:uid="{00000000-0005-0000-0000-00008A080000}"/>
    <cellStyle name="Table Units 5" xfId="2293" xr:uid="{00000000-0005-0000-0000-00008B080000}"/>
    <cellStyle name="Table unshading" xfId="380" xr:uid="{00000000-0005-0000-0000-00008C080000}"/>
    <cellStyle name="Table unshading 2" xfId="1303" xr:uid="{00000000-0005-0000-0000-00008D080000}"/>
    <cellStyle name="Table_AMT Model New 11-16-2011" xfId="1052" xr:uid="{00000000-0005-0000-0000-00008E080000}"/>
    <cellStyle name="TableBody" xfId="780" xr:uid="{00000000-0005-0000-0000-00008F080000}"/>
    <cellStyle name="TableBodyR" xfId="781" xr:uid="{00000000-0005-0000-0000-000090080000}"/>
    <cellStyle name="TableBorder" xfId="381" xr:uid="{00000000-0005-0000-0000-000091080000}"/>
    <cellStyle name="TableBorder 2" xfId="2294" xr:uid="{00000000-0005-0000-0000-000092080000}"/>
    <cellStyle name="TableBorder 3" xfId="2295" xr:uid="{00000000-0005-0000-0000-000093080000}"/>
    <cellStyle name="TableBorder 3 2" xfId="2296" xr:uid="{00000000-0005-0000-0000-000094080000}"/>
    <cellStyle name="TableColHeads" xfId="782" xr:uid="{00000000-0005-0000-0000-000095080000}"/>
    <cellStyle name="TableFootnotes" xfId="382" xr:uid="{00000000-0005-0000-0000-000096080000}"/>
    <cellStyle name="TableFootnotes 2" xfId="2297" xr:uid="{00000000-0005-0000-0000-000097080000}"/>
    <cellStyle name="TableFootnotes 2 2" xfId="2298" xr:uid="{00000000-0005-0000-0000-000098080000}"/>
    <cellStyle name="TableTitleFormat" xfId="383" xr:uid="{00000000-0005-0000-0000-000099080000}"/>
    <cellStyle name="TableTitleFormat 2" xfId="2299" xr:uid="{00000000-0005-0000-0000-00009A080000}"/>
    <cellStyle name="TableTitleFormat 2 2" xfId="2300" xr:uid="{00000000-0005-0000-0000-00009B080000}"/>
    <cellStyle name="TableTitleFormat 3" xfId="2301" xr:uid="{00000000-0005-0000-0000-00009C080000}"/>
    <cellStyle name="Test [green]" xfId="384" xr:uid="{00000000-0005-0000-0000-00009D080000}"/>
    <cellStyle name="Test [green] 2" xfId="783" xr:uid="{00000000-0005-0000-0000-00009E080000}"/>
    <cellStyle name="Test [green] 2 2" xfId="2302" xr:uid="{00000000-0005-0000-0000-00009F080000}"/>
    <cellStyle name="test a style" xfId="385" xr:uid="{00000000-0005-0000-0000-0000A0080000}"/>
    <cellStyle name="Text" xfId="386" xr:uid="{00000000-0005-0000-0000-0000A1080000}"/>
    <cellStyle name="Text 1" xfId="387" xr:uid="{00000000-0005-0000-0000-0000A2080000}"/>
    <cellStyle name="Text 1 2" xfId="2303" xr:uid="{00000000-0005-0000-0000-0000A3080000}"/>
    <cellStyle name="Text 1 2 2" xfId="2304" xr:uid="{00000000-0005-0000-0000-0000A4080000}"/>
    <cellStyle name="Text 2" xfId="388" xr:uid="{00000000-0005-0000-0000-0000A5080000}"/>
    <cellStyle name="Text 2 2" xfId="2305" xr:uid="{00000000-0005-0000-0000-0000A6080000}"/>
    <cellStyle name="Text 2 2 2" xfId="2306" xr:uid="{00000000-0005-0000-0000-0000A7080000}"/>
    <cellStyle name="Text 3" xfId="1304" xr:uid="{00000000-0005-0000-0000-0000A8080000}"/>
    <cellStyle name="Text Head 1" xfId="389" xr:uid="{00000000-0005-0000-0000-0000A9080000}"/>
    <cellStyle name="Text Head 1 2" xfId="2307" xr:uid="{00000000-0005-0000-0000-0000AA080000}"/>
    <cellStyle name="Text Head 1 2 2" xfId="2308" xr:uid="{00000000-0005-0000-0000-0000AB080000}"/>
    <cellStyle name="Text Head 2" xfId="390" xr:uid="{00000000-0005-0000-0000-0000AC080000}"/>
    <cellStyle name="Text Head 2 2" xfId="2309" xr:uid="{00000000-0005-0000-0000-0000AD080000}"/>
    <cellStyle name="Text Head 2 2 2" xfId="2310" xr:uid="{00000000-0005-0000-0000-0000AE080000}"/>
    <cellStyle name="Text Indent 1" xfId="391" xr:uid="{00000000-0005-0000-0000-0000AF080000}"/>
    <cellStyle name="Text Indent 1 2" xfId="2311" xr:uid="{00000000-0005-0000-0000-0000B0080000}"/>
    <cellStyle name="Text Indent 1 2 2" xfId="2312" xr:uid="{00000000-0005-0000-0000-0000B1080000}"/>
    <cellStyle name="Text Indent 2" xfId="392" xr:uid="{00000000-0005-0000-0000-0000B2080000}"/>
    <cellStyle name="Text Indent 2 2" xfId="2313" xr:uid="{00000000-0005-0000-0000-0000B3080000}"/>
    <cellStyle name="Text Indent 2 2 2" xfId="2314" xr:uid="{00000000-0005-0000-0000-0000B4080000}"/>
    <cellStyle name="TFCF" xfId="393" xr:uid="{00000000-0005-0000-0000-0000B5080000}"/>
    <cellStyle name="TFCF 2" xfId="784" xr:uid="{00000000-0005-0000-0000-0000B6080000}"/>
    <cellStyle name="TFCF 2 2" xfId="2315" xr:uid="{00000000-0005-0000-0000-0000B7080000}"/>
    <cellStyle name="threedecplace" xfId="785" xr:uid="{00000000-0005-0000-0000-0000B8080000}"/>
    <cellStyle name="Time Strip" xfId="394" xr:uid="{00000000-0005-0000-0000-0000B9080000}"/>
    <cellStyle name="Time Strip 2" xfId="2316" xr:uid="{00000000-0005-0000-0000-0000BA080000}"/>
    <cellStyle name="Time Strip 2 2" xfId="2317" xr:uid="{00000000-0005-0000-0000-0000BB080000}"/>
    <cellStyle name="times" xfId="395" xr:uid="{00000000-0005-0000-0000-0000BC080000}"/>
    <cellStyle name="Times 10" xfId="396" xr:uid="{00000000-0005-0000-0000-0000BD080000}"/>
    <cellStyle name="Times 10 2" xfId="2318" xr:uid="{00000000-0005-0000-0000-0000BE080000}"/>
    <cellStyle name="Times 12" xfId="397" xr:uid="{00000000-0005-0000-0000-0000BF080000}"/>
    <cellStyle name="times 2" xfId="2319" xr:uid="{00000000-0005-0000-0000-0000C0080000}"/>
    <cellStyle name="times 2 2" xfId="2320" xr:uid="{00000000-0005-0000-0000-0000C1080000}"/>
    <cellStyle name="times 3" xfId="2321" xr:uid="{00000000-0005-0000-0000-0000C2080000}"/>
    <cellStyle name="times 3 2" xfId="2322" xr:uid="{00000000-0005-0000-0000-0000C3080000}"/>
    <cellStyle name="times_Deutsche" xfId="398" xr:uid="{00000000-0005-0000-0000-0000C4080000}"/>
    <cellStyle name="Title" xfId="399" builtinId="15" customBuiltin="1"/>
    <cellStyle name="Title 2" xfId="890" xr:uid="{00000000-0005-0000-0000-0000C6080000}"/>
    <cellStyle name="Title 2 2" xfId="2323" xr:uid="{00000000-0005-0000-0000-0000C7080000}"/>
    <cellStyle name="Title 2 3" xfId="2324" xr:uid="{00000000-0005-0000-0000-0000C8080000}"/>
    <cellStyle name="Title 2 3 2" xfId="2325" xr:uid="{00000000-0005-0000-0000-0000C9080000}"/>
    <cellStyle name="Title 3" xfId="1054" xr:uid="{00000000-0005-0000-0000-0000CA080000}"/>
    <cellStyle name="Title 4" xfId="1305" xr:uid="{00000000-0005-0000-0000-0000CB080000}"/>
    <cellStyle name="Title 5" xfId="2326" xr:uid="{00000000-0005-0000-0000-0000CC080000}"/>
    <cellStyle name="Title 6" xfId="2327" xr:uid="{00000000-0005-0000-0000-0000CD080000}"/>
    <cellStyle name="Title 7" xfId="2328" xr:uid="{00000000-0005-0000-0000-0000CE080000}"/>
    <cellStyle name="Title Heading" xfId="400" xr:uid="{00000000-0005-0000-0000-0000CF080000}"/>
    <cellStyle name="Title Heading 2" xfId="2329" xr:uid="{00000000-0005-0000-0000-0000D0080000}"/>
    <cellStyle name="Title Heading 3" xfId="2330" xr:uid="{00000000-0005-0000-0000-0000D1080000}"/>
    <cellStyle name="Title Heading 3 2" xfId="2331" xr:uid="{00000000-0005-0000-0000-0000D2080000}"/>
    <cellStyle name="Title II" xfId="401" xr:uid="{00000000-0005-0000-0000-0000D3080000}"/>
    <cellStyle name="Title II 2" xfId="2332" xr:uid="{00000000-0005-0000-0000-0000D4080000}"/>
    <cellStyle name="Title II 2 2" xfId="2333" xr:uid="{00000000-0005-0000-0000-0000D5080000}"/>
    <cellStyle name="Title Line" xfId="786" xr:uid="{00000000-0005-0000-0000-0000D6080000}"/>
    <cellStyle name="title1" xfId="402" xr:uid="{00000000-0005-0000-0000-0000D7080000}"/>
    <cellStyle name="Title1 2" xfId="787" xr:uid="{00000000-0005-0000-0000-0000D8080000}"/>
    <cellStyle name="title1 2 2" xfId="2334" xr:uid="{00000000-0005-0000-0000-0000D9080000}"/>
    <cellStyle name="Title2" xfId="403" xr:uid="{00000000-0005-0000-0000-0000DA080000}"/>
    <cellStyle name="Title2 2" xfId="788" xr:uid="{00000000-0005-0000-0000-0000DB080000}"/>
    <cellStyle name="Title2 2 2" xfId="2335" xr:uid="{00000000-0005-0000-0000-0000DC080000}"/>
    <cellStyle name="TitleII" xfId="404" xr:uid="{00000000-0005-0000-0000-0000DD080000}"/>
    <cellStyle name="TitleII 2" xfId="2336" xr:uid="{00000000-0005-0000-0000-0000DE080000}"/>
    <cellStyle name="TitleII 2 2" xfId="2337" xr:uid="{00000000-0005-0000-0000-0000DF080000}"/>
    <cellStyle name="Titles" xfId="405" xr:uid="{00000000-0005-0000-0000-0000E0080000}"/>
    <cellStyle name="Titles 2" xfId="789" xr:uid="{00000000-0005-0000-0000-0000E1080000}"/>
    <cellStyle name="Titles 3" xfId="2338" xr:uid="{00000000-0005-0000-0000-0000E2080000}"/>
    <cellStyle name="Titles 3 2" xfId="2339" xr:uid="{00000000-0005-0000-0000-0000E3080000}"/>
    <cellStyle name="Titre" xfId="406" xr:uid="{00000000-0005-0000-0000-0000E4080000}"/>
    <cellStyle name="Título 1" xfId="2340" xr:uid="{00000000-0005-0000-0000-0000E5080000}"/>
    <cellStyle name="Título 2" xfId="2341" xr:uid="{00000000-0005-0000-0000-0000E6080000}"/>
    <cellStyle name="Titulo1" xfId="2342" xr:uid="{00000000-0005-0000-0000-0000E7080000}"/>
    <cellStyle name="Titulo2" xfId="2343" xr:uid="{00000000-0005-0000-0000-0000E8080000}"/>
    <cellStyle name="Titulo-Seccion" xfId="2344" xr:uid="{00000000-0005-0000-0000-0000E9080000}"/>
    <cellStyle name="TOC 1" xfId="407" xr:uid="{00000000-0005-0000-0000-0000EA080000}"/>
    <cellStyle name="TOC 1 2" xfId="2345" xr:uid="{00000000-0005-0000-0000-0000EB080000}"/>
    <cellStyle name="TOC 1 2 2" xfId="2346" xr:uid="{00000000-0005-0000-0000-0000EC080000}"/>
    <cellStyle name="TOC 2" xfId="408" xr:uid="{00000000-0005-0000-0000-0000ED080000}"/>
    <cellStyle name="TOC 2 2" xfId="2347" xr:uid="{00000000-0005-0000-0000-0000EE080000}"/>
    <cellStyle name="TOC 2 2 2" xfId="2348" xr:uid="{00000000-0005-0000-0000-0000EF080000}"/>
    <cellStyle name="tom" xfId="409" xr:uid="{00000000-0005-0000-0000-0000F0080000}"/>
    <cellStyle name="tom 2" xfId="790" xr:uid="{00000000-0005-0000-0000-0000F1080000}"/>
    <cellStyle name="tom 2 2" xfId="2349" xr:uid="{00000000-0005-0000-0000-0000F2080000}"/>
    <cellStyle name="Top Row" xfId="791" xr:uid="{00000000-0005-0000-0000-0000F3080000}"/>
    <cellStyle name="TopGrey" xfId="792" xr:uid="{00000000-0005-0000-0000-0000F4080000}"/>
    <cellStyle name="Topline" xfId="410" xr:uid="{00000000-0005-0000-0000-0000F5080000}"/>
    <cellStyle name="Topline 2" xfId="1306" xr:uid="{00000000-0005-0000-0000-0000F6080000}"/>
    <cellStyle name="Total" xfId="411" builtinId="25" customBuiltin="1"/>
    <cellStyle name="Total 2" xfId="891" xr:uid="{00000000-0005-0000-0000-0000F8080000}"/>
    <cellStyle name="Total 3" xfId="1057" xr:uid="{00000000-0005-0000-0000-0000F9080000}"/>
    <cellStyle name="Total 3 2" xfId="1462" xr:uid="{00000000-0005-0000-0000-0000FA080000}"/>
    <cellStyle name="Total 4" xfId="1307" xr:uid="{00000000-0005-0000-0000-0000FB080000}"/>
    <cellStyle name="Total row" xfId="412" xr:uid="{00000000-0005-0000-0000-0000FC080000}"/>
    <cellStyle name="Total Row 2" xfId="793" xr:uid="{00000000-0005-0000-0000-0000FD080000}"/>
    <cellStyle name="Total row 3" xfId="2350" xr:uid="{00000000-0005-0000-0000-0000FE080000}"/>
    <cellStyle name="Tusenskille_Korrigeringer for å nettoføre VØT" xfId="413" xr:uid="{00000000-0005-0000-0000-0000FF080000}"/>
    <cellStyle name="Tusental (0)_1998-Q2" xfId="414" xr:uid="{00000000-0005-0000-0000-000000090000}"/>
    <cellStyle name="Tusental_1998-Q4-NORGE" xfId="415" xr:uid="{00000000-0005-0000-0000-000001090000}"/>
    <cellStyle name="twodecplace" xfId="794" xr:uid="{00000000-0005-0000-0000-000002090000}"/>
    <cellStyle name="Twodig" xfId="795" xr:uid="{00000000-0005-0000-0000-000003090000}"/>
    <cellStyle name="Ugly" xfId="796" xr:uid="{00000000-0005-0000-0000-000004090000}"/>
    <cellStyle name="Ugly 2" xfId="1195" xr:uid="{00000000-0005-0000-0000-000005090000}"/>
    <cellStyle name="ul" xfId="416" xr:uid="{00000000-0005-0000-0000-000006090000}"/>
    <cellStyle name="ul 2" xfId="2351" xr:uid="{00000000-0005-0000-0000-000007090000}"/>
    <cellStyle name="ul 2 2" xfId="2352" xr:uid="{00000000-0005-0000-0000-000008090000}"/>
    <cellStyle name="Underline" xfId="797" xr:uid="{00000000-0005-0000-0000-000009090000}"/>
    <cellStyle name="Unhighlight" xfId="417" xr:uid="{00000000-0005-0000-0000-00000A090000}"/>
    <cellStyle name="Unhighlight 2" xfId="1308" xr:uid="{00000000-0005-0000-0000-00000B090000}"/>
    <cellStyle name="Unit" xfId="418" xr:uid="{00000000-0005-0000-0000-00000C090000}"/>
    <cellStyle name="Unit 2" xfId="2353" xr:uid="{00000000-0005-0000-0000-00000D090000}"/>
    <cellStyle name="Unit 2 2" xfId="2354" xr:uid="{00000000-0005-0000-0000-00000E090000}"/>
    <cellStyle name="units" xfId="419" xr:uid="{00000000-0005-0000-0000-00000F090000}"/>
    <cellStyle name="units 2" xfId="2355" xr:uid="{00000000-0005-0000-0000-000010090000}"/>
    <cellStyle name="units 2 2" xfId="2356" xr:uid="{00000000-0005-0000-0000-000011090000}"/>
    <cellStyle name="Untotal row" xfId="420" xr:uid="{00000000-0005-0000-0000-000012090000}"/>
    <cellStyle name="Untotal row 2" xfId="1309" xr:uid="{00000000-0005-0000-0000-000013090000}"/>
    <cellStyle name="Update" xfId="798" xr:uid="{00000000-0005-0000-0000-000014090000}"/>
    <cellStyle name="Upload Only" xfId="421" xr:uid="{00000000-0005-0000-0000-000015090000}"/>
    <cellStyle name="Upload Only 2" xfId="799" xr:uid="{00000000-0005-0000-0000-000016090000}"/>
    <cellStyle name="Upload Only 3" xfId="2357" xr:uid="{00000000-0005-0000-0000-000017090000}"/>
    <cellStyle name="Upload Only 3 2" xfId="2358" xr:uid="{00000000-0005-0000-0000-000018090000}"/>
    <cellStyle name="Validation" xfId="800" xr:uid="{00000000-0005-0000-0000-000019090000}"/>
    <cellStyle name="Valuta (0)" xfId="2359" xr:uid="{00000000-0005-0000-0000-00001A090000}"/>
    <cellStyle name="Warning Text 2" xfId="892" xr:uid="{00000000-0005-0000-0000-00001B090000}"/>
    <cellStyle name="Warning Text 3" xfId="2360" xr:uid="{00000000-0005-0000-0000-00001C090000}"/>
    <cellStyle name="web_ normal" xfId="422" xr:uid="{00000000-0005-0000-0000-00001D090000}"/>
    <cellStyle name="White" xfId="423" xr:uid="{00000000-0005-0000-0000-00001E090000}"/>
    <cellStyle name="White 2" xfId="801" xr:uid="{00000000-0005-0000-0000-00001F090000}"/>
    <cellStyle name="WhitePattern1" xfId="2361" xr:uid="{00000000-0005-0000-0000-000020090000}"/>
    <cellStyle name="WholeNumber" xfId="424" xr:uid="{00000000-0005-0000-0000-000021090000}"/>
    <cellStyle name="WholeNumber 2" xfId="2362" xr:uid="{00000000-0005-0000-0000-000022090000}"/>
    <cellStyle name="WholeNumber 2 2" xfId="2363" xr:uid="{00000000-0005-0000-0000-000023090000}"/>
    <cellStyle name="WingdingsBlack" xfId="803" xr:uid="{00000000-0005-0000-0000-000024090000}"/>
    <cellStyle name="WingdingsBlack 2" xfId="1421" xr:uid="{00000000-0005-0000-0000-000025090000}"/>
    <cellStyle name="WingdingsRed" xfId="804" xr:uid="{00000000-0005-0000-0000-000026090000}"/>
    <cellStyle name="WingdingsRed 2" xfId="1422" xr:uid="{00000000-0005-0000-0000-000027090000}"/>
    <cellStyle name="WingdingsWhite" xfId="805" xr:uid="{00000000-0005-0000-0000-000028090000}"/>
    <cellStyle name="WingdingsWhite 2" xfId="1423" xr:uid="{00000000-0005-0000-0000-000029090000}"/>
    <cellStyle name="WP" xfId="806" xr:uid="{00000000-0005-0000-0000-00002A090000}"/>
    <cellStyle name="WP Header" xfId="425" xr:uid="{00000000-0005-0000-0000-00002B090000}"/>
    <cellStyle name="WP Header 2" xfId="2364" xr:uid="{00000000-0005-0000-0000-00002C090000}"/>
    <cellStyle name="WP Header 3" xfId="2365" xr:uid="{00000000-0005-0000-0000-00002D090000}"/>
    <cellStyle name="WP Header 3 2" xfId="2366" xr:uid="{00000000-0005-0000-0000-00002E090000}"/>
    <cellStyle name="x Men" xfId="807" xr:uid="{00000000-0005-0000-0000-00002F090000}"/>
    <cellStyle name="x Men 2" xfId="1196" xr:uid="{00000000-0005-0000-0000-000030090000}"/>
    <cellStyle name="Year" xfId="426" xr:uid="{00000000-0005-0000-0000-000031090000}"/>
    <cellStyle name="Year 2" xfId="808" xr:uid="{00000000-0005-0000-0000-000032090000}"/>
    <cellStyle name="Year 3" xfId="2367" xr:uid="{00000000-0005-0000-0000-000033090000}"/>
    <cellStyle name="Year 4" xfId="2368" xr:uid="{00000000-0005-0000-0000-000034090000}"/>
    <cellStyle name="years" xfId="809" xr:uid="{00000000-0005-0000-0000-000035090000}"/>
    <cellStyle name="Yen" xfId="427" xr:uid="{00000000-0005-0000-0000-000036090000}"/>
    <cellStyle name="Zero" xfId="810" xr:uid="{00000000-0005-0000-0000-000037090000}"/>
    <cellStyle name="Zero 2" xfId="1197" xr:uid="{00000000-0005-0000-0000-000038090000}"/>
    <cellStyle name="Βασικό_cosmote us gaap 30.12.2000TEST1" xfId="2369" xr:uid="{00000000-0005-0000-0000-000039090000}"/>
    <cellStyle name="똿뗦먛귟 [0.00]_PRODUCT DETAIL Q1_x0013_" xfId="428" xr:uid="{00000000-0005-0000-0000-00003A090000}"/>
    <cellStyle name="똿뗦먛귟_PRODUCT DETAIL Q1TAIL" xfId="429" xr:uid="{00000000-0005-0000-0000-00003B090000}"/>
    <cellStyle name="믅됞 [0.00]_PRODUCT DETAIL Q1Q3" xfId="430" xr:uid="{00000000-0005-0000-0000-00003C090000}"/>
    <cellStyle name="믅됞_PRODUCT DETAIL Q1TA" xfId="431" xr:uid="{00000000-0005-0000-0000-00003D090000}"/>
    <cellStyle name="뷭?_BOOKSHIP_상세일정 (2) (2) " xfId="432" xr:uid="{00000000-0005-0000-0000-00003E090000}"/>
    <cellStyle name="콤마 [0]_97년도 프로젝트 현황 (2)OMMENTS_총무" xfId="433" xr:uid="{00000000-0005-0000-0000-00003F090000}"/>
    <cellStyle name="콤마_97년도 프로젝트 현황 (2) (2)OMMENT" xfId="434" xr:uid="{00000000-0005-0000-0000-000040090000}"/>
    <cellStyle name="통화 [0]_97년도 프로젝트 현황 (2)OMMENT" xfId="435" xr:uid="{00000000-0005-0000-0000-000041090000}"/>
    <cellStyle name="통화_97년도 프로젝트 현황 (2) (2)OMMENT" xfId="436" xr:uid="{00000000-0005-0000-0000-000042090000}"/>
    <cellStyle name="표준_97년 프로젝트 현황) (2) (2)" xfId="437" xr:uid="{00000000-0005-0000-0000-000043090000}"/>
    <cellStyle name="標準_Financial Analysis_BP-Monthly(Final)_BP-ver.2.0_991204(Heavy_PP)" xfId="2370" xr:uid="{00000000-0005-0000-0000-000044090000}"/>
  </cellStyles>
  <dxfs count="4">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1F5395"/>
      <rgbColor rgb="00969696"/>
      <rgbColor rgb="00003366"/>
      <rgbColor rgb="00339966"/>
      <rgbColor rgb="00003300"/>
      <rgbColor rgb="00333300"/>
      <rgbColor rgb="00993300"/>
      <rgbColor rgb="00993366"/>
      <rgbColor rgb="00333399"/>
      <rgbColor rgb="00333333"/>
    </indexedColors>
    <mruColors>
      <color rgb="FF99CCFF"/>
      <color rgb="FF666699"/>
      <color rgb="FFCCECFF"/>
      <color rgb="FFFFFFCC"/>
      <color rgb="FF0000FF"/>
      <color rgb="FFFF9966"/>
      <color rgb="FF88A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theme" Target="theme/theme1.xml"/><Relationship Id="rId156"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heetMetadata" Target="metadata.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charts/_rels/chart1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7.1428679743121323E-2"/>
          <c:w val="0.53225858849171148"/>
          <c:h val="0.81987701966017612"/>
        </c:manualLayout>
      </c:layout>
      <c:radarChart>
        <c:radarStyle val="marker"/>
        <c:varyColors val="0"/>
        <c:ser>
          <c:idx val="0"/>
          <c:order val="0"/>
          <c:tx>
            <c:strRef>
              <c:f>AAF!$W$24</c:f>
              <c:strCache>
                <c:ptCount val="1"/>
                <c:pt idx="0">
                  <c:v>AMX</c:v>
                </c:pt>
              </c:strCache>
            </c:strRef>
          </c:tx>
          <c:spPr>
            <a:ln w="25400">
              <a:solidFill>
                <a:srgbClr val="263238"/>
              </a:solidFill>
              <a:prstDash val="solid"/>
            </a:ln>
            <a:effectLst/>
          </c:spPr>
          <c:marker>
            <c:symbol val="diamond"/>
            <c:size val="6"/>
            <c:spPr>
              <a:solidFill>
                <a:srgbClr val="263238"/>
              </a:solidFill>
              <a:ln w="6350">
                <a:noFill/>
              </a:ln>
            </c:spPr>
          </c:marker>
          <c:cat>
            <c:strRef>
              <c:f>AAF!$V$25:$V$34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AAF!$W$25:$W$34</c:f>
              <c:numCache>
                <c:formatCode>0%</c:formatCode>
                <c:ptCount val="10"/>
                <c:pt idx="0">
                  <c:v>0.74085686551653407</c:v>
                </c:pt>
                <c:pt idx="1">
                  <c:v>0.71894012594919265</c:v>
                </c:pt>
                <c:pt idx="2">
                  <c:v>0.5500614579819656</c:v>
                </c:pt>
                <c:pt idx="3">
                  <c:v>0.30433220679324563</c:v>
                </c:pt>
                <c:pt idx="4">
                  <c:v>0.67624544175490453</c:v>
                </c:pt>
                <c:pt idx="5">
                  <c:v>0.5837366036549767</c:v>
                </c:pt>
                <c:pt idx="6">
                  <c:v>0.19026685845891492</c:v>
                </c:pt>
                <c:pt idx="7">
                  <c:v>-0.40250403271788643</c:v>
                </c:pt>
                <c:pt idx="8">
                  <c:v>-2.1088949000072534</c:v>
                </c:pt>
                <c:pt idx="9">
                  <c:v>5.2557760615779223</c:v>
                </c:pt>
              </c:numCache>
            </c:numRef>
          </c:val>
          <c:extLst>
            <c:ext xmlns:c16="http://schemas.microsoft.com/office/drawing/2014/chart" uri="{C3380CC4-5D6E-409C-BE32-E72D297353CC}">
              <c16:uniqueId val="{00000000-CD3C-4E1F-8917-599838078678}"/>
            </c:ext>
          </c:extLst>
        </c:ser>
        <c:ser>
          <c:idx val="1"/>
          <c:order val="1"/>
          <c:tx>
            <c:strRef>
              <c:f>AAF!$X$24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AAF!$V$25:$V$34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AAF!$X$25:$X$34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D3C-4E1F-8917-599838078678}"/>
            </c:ext>
          </c:extLst>
        </c:ser>
        <c:dLbls>
          <c:showLegendKey val="0"/>
          <c:showVal val="0"/>
          <c:showCatName val="0"/>
          <c:showSerName val="0"/>
          <c:showPercent val="0"/>
          <c:showBubbleSize val="0"/>
        </c:dLbls>
        <c:axId val="342873984"/>
        <c:axId val="342876160"/>
      </c:radarChart>
      <c:catAx>
        <c:axId val="3428739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876160"/>
        <c:crosses val="autoZero"/>
        <c:auto val="0"/>
        <c:lblAlgn val="ctr"/>
        <c:lblOffset val="100"/>
        <c:noMultiLvlLbl val="0"/>
      </c:catAx>
      <c:valAx>
        <c:axId val="3428761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8739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BHIN!$W$24</c:f>
              <c:strCache>
                <c:ptCount val="1"/>
                <c:pt idx="0">
                  <c:v>Bharti Infratel</c:v>
                </c:pt>
              </c:strCache>
            </c:strRef>
          </c:tx>
          <c:spPr>
            <a:ln w="25400">
              <a:solidFill>
                <a:srgbClr val="263238"/>
              </a:solidFill>
              <a:prstDash val="solid"/>
            </a:ln>
            <a:effectLst/>
          </c:spPr>
          <c:marker>
            <c:symbol val="diamond"/>
            <c:size val="6"/>
            <c:spPr>
              <a:solidFill>
                <a:srgbClr val="263238"/>
              </a:solidFill>
              <a:ln w="6350">
                <a:noFill/>
              </a:ln>
            </c:spPr>
          </c:marker>
          <c:cat>
            <c:strRef>
              <c:f>BHIN!$V$25:$V$34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BHIN!$W$25:$W$34</c:f>
              <c:numCache>
                <c:formatCode>0%</c:formatCode>
                <c:ptCount val="10"/>
                <c:pt idx="0">
                  <c:v>2.1845028412119718</c:v>
                </c:pt>
                <c:pt idx="1">
                  <c:v>1.3542478026260887</c:v>
                </c:pt>
                <c:pt idx="2">
                  <c:v>1.2357730133807547</c:v>
                </c:pt>
                <c:pt idx="3">
                  <c:v>-7.1459692060046294</c:v>
                </c:pt>
                <c:pt idx="4">
                  <c:v>13.804071296825503</c:v>
                </c:pt>
                <c:pt idx="5">
                  <c:v>1.658867332958103</c:v>
                </c:pt>
                <c:pt idx="6">
                  <c:v>2.4150340151119289</c:v>
                </c:pt>
                <c:pt idx="7">
                  <c:v>0.88291374097943309</c:v>
                </c:pt>
                <c:pt idx="8">
                  <c:v>0</c:v>
                </c:pt>
                <c:pt idx="9">
                  <c:v>0.41407284276020989</c:v>
                </c:pt>
              </c:numCache>
            </c:numRef>
          </c:val>
          <c:extLst>
            <c:ext xmlns:c16="http://schemas.microsoft.com/office/drawing/2014/chart" uri="{C3380CC4-5D6E-409C-BE32-E72D297353CC}">
              <c16:uniqueId val="{00000000-E797-4D6B-81C5-82723E44B8BA}"/>
            </c:ext>
          </c:extLst>
        </c:ser>
        <c:ser>
          <c:idx val="1"/>
          <c:order val="1"/>
          <c:tx>
            <c:strRef>
              <c:f>BHIN!$X$24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BHIN!$V$25:$V$34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BHIN!$X$25:$X$34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797-4D6B-81C5-82723E44B8BA}"/>
            </c:ext>
          </c:extLst>
        </c:ser>
        <c:dLbls>
          <c:showLegendKey val="0"/>
          <c:showVal val="0"/>
          <c:showCatName val="0"/>
          <c:showSerName val="0"/>
          <c:showPercent val="0"/>
          <c:showBubbleSize val="0"/>
        </c:dLbls>
        <c:axId val="358625664"/>
        <c:axId val="358627584"/>
      </c:radarChart>
      <c:catAx>
        <c:axId val="358625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627584"/>
        <c:crosses val="autoZero"/>
        <c:auto val="0"/>
        <c:lblAlgn val="ctr"/>
        <c:lblOffset val="100"/>
        <c:noMultiLvlLbl val="0"/>
      </c:catAx>
      <c:valAx>
        <c:axId val="3586275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625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78061378193732"/>
          <c:y val="6.8750000000000019E-2"/>
          <c:w val="0.47772477642382488"/>
          <c:h val="0.71769986457449353"/>
        </c:manualLayout>
      </c:layout>
      <c:radarChart>
        <c:radarStyle val="marker"/>
        <c:varyColors val="0"/>
        <c:ser>
          <c:idx val="0"/>
          <c:order val="0"/>
          <c:tx>
            <c:strRef>
              <c:f>'AGG DM ASIA'!$W$23</c:f>
              <c:strCache>
                <c:ptCount val="1"/>
                <c:pt idx="0">
                  <c:v>Developed Asia</c:v>
                </c:pt>
              </c:strCache>
            </c:strRef>
          </c:tx>
          <c:spPr>
            <a:ln w="25400">
              <a:solidFill>
                <a:srgbClr val="263238"/>
              </a:solidFill>
              <a:prstDash val="solid"/>
            </a:ln>
            <a:effectLst/>
          </c:spPr>
          <c:marker>
            <c:symbol val="diamond"/>
            <c:size val="6"/>
            <c:spPr>
              <a:solidFill>
                <a:srgbClr val="263238"/>
              </a:solidFill>
              <a:ln w="6350">
                <a:noFill/>
              </a:ln>
            </c:spPr>
          </c:marker>
          <c:cat>
            <c:strRef>
              <c:f>'AGG DM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ASIA'!$W$24:$W$33</c:f>
              <c:numCache>
                <c:formatCode>0%</c:formatCode>
                <c:ptCount val="10"/>
                <c:pt idx="0">
                  <c:v>0.79345637519361523</c:v>
                </c:pt>
                <c:pt idx="1">
                  <c:v>1.0215752643443374</c:v>
                </c:pt>
                <c:pt idx="2">
                  <c:v>1.0964284039059993</c:v>
                </c:pt>
                <c:pt idx="3">
                  <c:v>1.090850421771193</c:v>
                </c:pt>
                <c:pt idx="4">
                  <c:v>1.0266980599668065</c:v>
                </c:pt>
                <c:pt idx="5">
                  <c:v>0.86721740149136051</c:v>
                </c:pt>
                <c:pt idx="6">
                  <c:v>1.1185933837121567</c:v>
                </c:pt>
                <c:pt idx="7">
                  <c:v>1.0774447994002498</c:v>
                </c:pt>
                <c:pt idx="8">
                  <c:v>0.95025229483131268</c:v>
                </c:pt>
                <c:pt idx="9">
                  <c:v>1.1185933837121567</c:v>
                </c:pt>
              </c:numCache>
            </c:numRef>
          </c:val>
          <c:extLst>
            <c:ext xmlns:c16="http://schemas.microsoft.com/office/drawing/2014/chart" uri="{C3380CC4-5D6E-409C-BE32-E72D297353CC}">
              <c16:uniqueId val="{00000000-706F-4A4B-85CD-50628975A80A}"/>
            </c:ext>
          </c:extLst>
        </c:ser>
        <c:ser>
          <c:idx val="1"/>
          <c:order val="1"/>
          <c:tx>
            <c:strRef>
              <c:f>'AGG DM ASIA'!$X$23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'AGG DM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ASIA'!$X$24:$X$33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06F-4A4B-85CD-50628975A80A}"/>
            </c:ext>
          </c:extLst>
        </c:ser>
        <c:dLbls>
          <c:showLegendKey val="0"/>
          <c:showVal val="0"/>
          <c:showCatName val="0"/>
          <c:showSerName val="0"/>
          <c:showPercent val="0"/>
          <c:showBubbleSize val="0"/>
        </c:dLbls>
        <c:axId val="355212288"/>
        <c:axId val="355218560"/>
      </c:radarChart>
      <c:catAx>
        <c:axId val="3552122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5218560"/>
        <c:crosses val="autoZero"/>
        <c:auto val="0"/>
        <c:lblAlgn val="ctr"/>
        <c:lblOffset val="100"/>
        <c:noMultiLvlLbl val="0"/>
      </c:catAx>
      <c:valAx>
        <c:axId val="3552185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2122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14953230237954"/>
          <c:y val="6.8750000000000019E-2"/>
          <c:w val="0.49935585790338188"/>
          <c:h val="0.7501968691566967"/>
        </c:manualLayout>
      </c:layout>
      <c:radarChart>
        <c:radarStyle val="marker"/>
        <c:varyColors val="0"/>
        <c:ser>
          <c:idx val="0"/>
          <c:order val="0"/>
          <c:tx>
            <c:strRef>
              <c:f>'LATAM INCUMB'!$W$23</c:f>
              <c:strCache>
                <c:ptCount val="1"/>
                <c:pt idx="0">
                  <c:v>LatAm incumbents</c:v>
                </c:pt>
              </c:strCache>
            </c:strRef>
          </c:tx>
          <c:spPr>
            <a:ln w="25400">
              <a:solidFill>
                <a:srgbClr val="263238"/>
              </a:solidFill>
              <a:prstDash val="solid"/>
            </a:ln>
            <a:effectLst/>
          </c:spPr>
          <c:marker>
            <c:symbol val="diamond"/>
            <c:size val="6"/>
            <c:spPr>
              <a:solidFill>
                <a:srgbClr val="263238"/>
              </a:solidFill>
              <a:ln w="6350">
                <a:noFill/>
              </a:ln>
            </c:spPr>
          </c:marker>
          <c:cat>
            <c:strRef>
              <c:f>'LATAM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INCUMB'!$W$24:$W$33</c:f>
              <c:numCache>
                <c:formatCode>0%</c:formatCode>
                <c:ptCount val="10"/>
                <c:pt idx="0">
                  <c:v>1.7739291144569265</c:v>
                </c:pt>
                <c:pt idx="1">
                  <c:v>1.4163895473026031</c:v>
                </c:pt>
                <c:pt idx="2">
                  <c:v>1.1287583173517808</c:v>
                </c:pt>
                <c:pt idx="3">
                  <c:v>1.2278645430726389</c:v>
                </c:pt>
                <c:pt idx="4">
                  <c:v>1.3956850454852199</c:v>
                </c:pt>
                <c:pt idx="5">
                  <c:v>1.9141669872193168</c:v>
                </c:pt>
                <c:pt idx="6">
                  <c:v>1.5120046548142658</c:v>
                </c:pt>
                <c:pt idx="7">
                  <c:v>1.0087061625482678</c:v>
                </c:pt>
                <c:pt idx="8">
                  <c:v>1.4266806049878982</c:v>
                </c:pt>
                <c:pt idx="9">
                  <c:v>1.5120046548142658</c:v>
                </c:pt>
              </c:numCache>
            </c:numRef>
          </c:val>
          <c:extLst>
            <c:ext xmlns:c16="http://schemas.microsoft.com/office/drawing/2014/chart" uri="{C3380CC4-5D6E-409C-BE32-E72D297353CC}">
              <c16:uniqueId val="{00000000-97A4-46ED-A43D-DA2286A816F4}"/>
            </c:ext>
          </c:extLst>
        </c:ser>
        <c:ser>
          <c:idx val="1"/>
          <c:order val="1"/>
          <c:tx>
            <c:strRef>
              <c:f>'LATAM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'LATAM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7A4-46ED-A43D-DA2286A816F4}"/>
            </c:ext>
          </c:extLst>
        </c:ser>
        <c:dLbls>
          <c:showLegendKey val="0"/>
          <c:showVal val="0"/>
          <c:showCatName val="0"/>
          <c:showSerName val="0"/>
          <c:showPercent val="0"/>
          <c:showBubbleSize val="0"/>
        </c:dLbls>
        <c:axId val="355269248"/>
        <c:axId val="356422400"/>
      </c:radarChart>
      <c:catAx>
        <c:axId val="3552692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6422400"/>
        <c:crosses val="autoZero"/>
        <c:auto val="0"/>
        <c:lblAlgn val="ctr"/>
        <c:lblOffset val="100"/>
        <c:noMultiLvlLbl val="0"/>
      </c:catAx>
      <c:valAx>
        <c:axId val="3564224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2692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2098693938293805"/>
          <c:h val="0.78269387373890265"/>
        </c:manualLayout>
      </c:layout>
      <c:radarChart>
        <c:radarStyle val="marker"/>
        <c:varyColors val="0"/>
        <c:ser>
          <c:idx val="0"/>
          <c:order val="0"/>
          <c:tx>
            <c:strRef>
              <c:f>'LATAM CELLULAR'!$W$23</c:f>
              <c:strCache>
                <c:ptCount val="1"/>
                <c:pt idx="0">
                  <c:v>LatAm cellular</c:v>
                </c:pt>
              </c:strCache>
            </c:strRef>
          </c:tx>
          <c:spPr>
            <a:ln w="25400">
              <a:solidFill>
                <a:srgbClr val="263238"/>
              </a:solidFill>
              <a:prstDash val="solid"/>
            </a:ln>
            <a:effectLst/>
          </c:spPr>
          <c:marker>
            <c:symbol val="diamond"/>
            <c:size val="6"/>
            <c:spPr>
              <a:solidFill>
                <a:srgbClr val="263238"/>
              </a:solidFill>
              <a:ln w="6350">
                <a:noFill/>
              </a:ln>
            </c:spPr>
          </c:marker>
          <c:cat>
            <c:strRef>
              <c:f>'LATAM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'LATAM CELLULAR'!$W$24:$W$33</c:f>
              <c:numCache>
                <c:formatCode>0%</c:formatCode>
                <c:ptCount val="10"/>
                <c:pt idx="0">
                  <c:v>0.91538055759087689</c:v>
                </c:pt>
                <c:pt idx="1">
                  <c:v>0.82659433179956732</c:v>
                </c:pt>
                <c:pt idx="2">
                  <c:v>0.74413471813849086</c:v>
                </c:pt>
                <c:pt idx="3">
                  <c:v>0.72965064474054497</c:v>
                </c:pt>
                <c:pt idx="4">
                  <c:v>1.1973441655234343</c:v>
                </c:pt>
                <c:pt idx="5">
                  <c:v>0.51198077195111757</c:v>
                </c:pt>
                <c:pt idx="6">
                  <c:v>0.46068426700847104</c:v>
                </c:pt>
                <c:pt idx="7">
                  <c:v>0.50887325516574999</c:v>
                </c:pt>
                <c:pt idx="8">
                  <c:v>0.8644864854534059</c:v>
                </c:pt>
                <c:pt idx="9">
                  <c:v>0.46068426700847098</c:v>
                </c:pt>
              </c:numCache>
            </c:numRef>
          </c:val>
          <c:extLst>
            <c:ext xmlns:c16="http://schemas.microsoft.com/office/drawing/2014/chart" uri="{C3380CC4-5D6E-409C-BE32-E72D297353CC}">
              <c16:uniqueId val="{00000000-B02F-4CF0-83C7-B14F5823FF49}"/>
            </c:ext>
          </c:extLst>
        </c:ser>
        <c:ser>
          <c:idx val="1"/>
          <c:order val="1"/>
          <c:tx>
            <c:strRef>
              <c:f>'LATAM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'LATAM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'LATAM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02F-4CF0-83C7-B14F5823FF49}"/>
            </c:ext>
          </c:extLst>
        </c:ser>
        <c:dLbls>
          <c:showLegendKey val="0"/>
          <c:showVal val="0"/>
          <c:showCatName val="0"/>
          <c:showSerName val="0"/>
          <c:showPercent val="0"/>
          <c:showBubbleSize val="0"/>
        </c:dLbls>
        <c:axId val="353306880"/>
        <c:axId val="353317248"/>
      </c:radarChart>
      <c:catAx>
        <c:axId val="3533068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317248"/>
        <c:crosses val="autoZero"/>
        <c:auto val="0"/>
        <c:lblAlgn val="ctr"/>
        <c:lblOffset val="100"/>
        <c:noMultiLvlLbl val="0"/>
      </c:catAx>
      <c:valAx>
        <c:axId val="353317248"/>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306880"/>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19509329203551"/>
          <c:y val="6.8750000000000019E-2"/>
          <c:w val="0.45197586208062596"/>
          <c:h val="0.71914035231660978"/>
        </c:manualLayout>
      </c:layout>
      <c:radarChart>
        <c:radarStyle val="marker"/>
        <c:varyColors val="0"/>
        <c:ser>
          <c:idx val="0"/>
          <c:order val="0"/>
          <c:tx>
            <c:strRef>
              <c:f>'LATAM ALTNET &amp; CABLE'!$W$23</c:f>
              <c:strCache>
                <c:ptCount val="1"/>
                <c:pt idx="0">
                  <c:v>W. Europe Altnet</c:v>
                </c:pt>
              </c:strCache>
            </c:strRef>
          </c:tx>
          <c:spPr>
            <a:ln w="25400">
              <a:solidFill>
                <a:srgbClr val="263238"/>
              </a:solidFill>
              <a:prstDash val="solid"/>
            </a:ln>
            <a:effectLst/>
          </c:spPr>
          <c:marker>
            <c:symbol val="diamond"/>
            <c:size val="6"/>
            <c:spPr>
              <a:solidFill>
                <a:srgbClr val="263238"/>
              </a:solidFill>
              <a:ln w="6350">
                <a:noFill/>
              </a:ln>
            </c:spPr>
          </c:marker>
          <c:cat>
            <c:strRef>
              <c:f>'LATAM ALTNET &amp; CABLE'!$V$24:$V$33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ALTNET &amp; CABLE'!$W$24:$W$33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4F20-45DE-A99D-1DAAEBBA5952}"/>
            </c:ext>
          </c:extLst>
        </c:ser>
        <c:ser>
          <c:idx val="1"/>
          <c:order val="1"/>
          <c:tx>
            <c:strRef>
              <c:f>'LATAM ALTNET &amp; CABLE'!$X$23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'LATAM ALTNET &amp; CABLE'!$V$24:$V$33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ALTNET &amp; CABLE'!$X$24:$X$33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F20-45DE-A99D-1DAAEBBA5952}"/>
            </c:ext>
          </c:extLst>
        </c:ser>
        <c:dLbls>
          <c:showLegendKey val="0"/>
          <c:showVal val="0"/>
          <c:showCatName val="0"/>
          <c:showSerName val="0"/>
          <c:showPercent val="0"/>
          <c:showBubbleSize val="0"/>
        </c:dLbls>
        <c:axId val="353449856"/>
        <c:axId val="353452032"/>
      </c:radarChart>
      <c:catAx>
        <c:axId val="3534498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452032"/>
        <c:crosses val="autoZero"/>
        <c:auto val="0"/>
        <c:lblAlgn val="ctr"/>
        <c:lblOffset val="100"/>
        <c:noMultiLvlLbl val="0"/>
      </c:catAx>
      <c:valAx>
        <c:axId val="35345203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4498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53403329185326"/>
          <c:y val="8.1250000000000003E-2"/>
          <c:w val="0.46857180571626927"/>
          <c:h val="0.70394908973203407"/>
        </c:manualLayout>
      </c:layout>
      <c:radarChart>
        <c:radarStyle val="marker"/>
        <c:varyColors val="0"/>
        <c:ser>
          <c:idx val="0"/>
          <c:order val="0"/>
          <c:tx>
            <c:strRef>
              <c:f>'LATAM AGG'!$W$23</c:f>
              <c:strCache>
                <c:ptCount val="1"/>
                <c:pt idx="0">
                  <c:v>LatAm sector</c:v>
                </c:pt>
              </c:strCache>
            </c:strRef>
          </c:tx>
          <c:spPr>
            <a:ln w="25400">
              <a:solidFill>
                <a:srgbClr val="263238"/>
              </a:solidFill>
              <a:prstDash val="solid"/>
            </a:ln>
            <a:effectLst/>
          </c:spPr>
          <c:marker>
            <c:symbol val="diamond"/>
            <c:size val="6"/>
            <c:spPr>
              <a:solidFill>
                <a:srgbClr val="263238"/>
              </a:solidFill>
              <a:ln w="6350">
                <a:noFill/>
              </a:ln>
            </c:spPr>
          </c:marker>
          <c:cat>
            <c:strRef>
              <c:f>'LATAM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AGG'!$W$24:$W$33</c:f>
              <c:numCache>
                <c:formatCode>0%</c:formatCode>
                <c:ptCount val="10"/>
                <c:pt idx="0">
                  <c:v>1.0460620368532447</c:v>
                </c:pt>
                <c:pt idx="1">
                  <c:v>0.91587075952552754</c:v>
                </c:pt>
                <c:pt idx="2">
                  <c:v>0.81930432150458021</c:v>
                </c:pt>
                <c:pt idx="3">
                  <c:v>0.891464518059222</c:v>
                </c:pt>
                <c:pt idx="4">
                  <c:v>1.0333128978882937</c:v>
                </c:pt>
                <c:pt idx="5">
                  <c:v>0.99737031368623053</c:v>
                </c:pt>
                <c:pt idx="6">
                  <c:v>0.87870563018315018</c:v>
                </c:pt>
                <c:pt idx="7">
                  <c:v>0.69983580955686131</c:v>
                </c:pt>
                <c:pt idx="8">
                  <c:v>1.1942699805944834</c:v>
                </c:pt>
                <c:pt idx="9">
                  <c:v>0.87870563018315018</c:v>
                </c:pt>
              </c:numCache>
            </c:numRef>
          </c:val>
          <c:extLst>
            <c:ext xmlns:c16="http://schemas.microsoft.com/office/drawing/2014/chart" uri="{C3380CC4-5D6E-409C-BE32-E72D297353CC}">
              <c16:uniqueId val="{00000000-5891-4655-B508-84DE9833A1CB}"/>
            </c:ext>
          </c:extLst>
        </c:ser>
        <c:ser>
          <c:idx val="1"/>
          <c:order val="1"/>
          <c:tx>
            <c:strRef>
              <c:f>'LATAM AGG'!$X$23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'LATAM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AGG'!$X$24:$X$33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891-4655-B508-84DE9833A1CB}"/>
            </c:ext>
          </c:extLst>
        </c:ser>
        <c:dLbls>
          <c:showLegendKey val="0"/>
          <c:showVal val="0"/>
          <c:showCatName val="0"/>
          <c:showSerName val="0"/>
          <c:showPercent val="0"/>
          <c:showBubbleSize val="0"/>
        </c:dLbls>
        <c:axId val="356513280"/>
        <c:axId val="356515200"/>
      </c:radarChart>
      <c:catAx>
        <c:axId val="3565132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6515200"/>
        <c:crosses val="autoZero"/>
        <c:auto val="0"/>
        <c:lblAlgn val="ctr"/>
        <c:lblOffset val="100"/>
        <c:noMultiLvlLbl val="0"/>
      </c:catAx>
      <c:valAx>
        <c:axId val="3565152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65132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193572204168706"/>
          <c:y val="8.4375000000000006E-2"/>
          <c:w val="0.55645216069588022"/>
          <c:h val="0.86250000000000004"/>
        </c:manualLayout>
      </c:layout>
      <c:radarChart>
        <c:radarStyle val="marker"/>
        <c:varyColors val="0"/>
        <c:ser>
          <c:idx val="0"/>
          <c:order val="0"/>
          <c:tx>
            <c:strRef>
              <c:f>'EMEA INCUMB'!$W$23</c:f>
              <c:strCache>
                <c:ptCount val="1"/>
                <c:pt idx="0">
                  <c:v>EMEA incumbents</c:v>
                </c:pt>
              </c:strCache>
            </c:strRef>
          </c:tx>
          <c:spPr>
            <a:ln w="25400">
              <a:solidFill>
                <a:srgbClr val="263238"/>
              </a:solidFill>
              <a:prstDash val="solid"/>
            </a:ln>
            <a:effectLst/>
          </c:spPr>
          <c:marker>
            <c:symbol val="diamond"/>
            <c:size val="6"/>
            <c:spPr>
              <a:solidFill>
                <a:srgbClr val="263238"/>
              </a:solidFill>
              <a:ln w="6350">
                <a:noFill/>
              </a:ln>
            </c:spPr>
          </c:marker>
          <c:cat>
            <c:strRef>
              <c:f>'EMEA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INCUMB'!$W$24:$W$33</c:f>
              <c:numCache>
                <c:formatCode>0%</c:formatCode>
                <c:ptCount val="10"/>
                <c:pt idx="0">
                  <c:v>0.38957280920227416</c:v>
                </c:pt>
                <c:pt idx="1">
                  <c:v>0.45852590068240345</c:v>
                </c:pt>
                <c:pt idx="2">
                  <c:v>0.45020735258780703</c:v>
                </c:pt>
                <c:pt idx="3">
                  <c:v>0.46146662659592991</c:v>
                </c:pt>
                <c:pt idx="4">
                  <c:v>0.43162712120869862</c:v>
                </c:pt>
                <c:pt idx="5">
                  <c:v>0.35143505637743416</c:v>
                </c:pt>
                <c:pt idx="6">
                  <c:v>0.42182781424752497</c:v>
                </c:pt>
                <c:pt idx="7">
                  <c:v>0.31354765726265543</c:v>
                </c:pt>
                <c:pt idx="8">
                  <c:v>0.31773584492710522</c:v>
                </c:pt>
                <c:pt idx="9">
                  <c:v>0.42182781424752497</c:v>
                </c:pt>
              </c:numCache>
            </c:numRef>
          </c:val>
          <c:extLst>
            <c:ext xmlns:c16="http://schemas.microsoft.com/office/drawing/2014/chart" uri="{C3380CC4-5D6E-409C-BE32-E72D297353CC}">
              <c16:uniqueId val="{00000000-EE05-455A-A08A-3B4C91D92598}"/>
            </c:ext>
          </c:extLst>
        </c:ser>
        <c:ser>
          <c:idx val="1"/>
          <c:order val="1"/>
          <c:tx>
            <c:strRef>
              <c:f>'EMEA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'EMEA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E05-455A-A08A-3B4C91D92598}"/>
            </c:ext>
          </c:extLst>
        </c:ser>
        <c:dLbls>
          <c:showLegendKey val="0"/>
          <c:showVal val="0"/>
          <c:showCatName val="0"/>
          <c:showSerName val="0"/>
          <c:showPercent val="0"/>
          <c:showBubbleSize val="0"/>
        </c:dLbls>
        <c:axId val="358167680"/>
        <c:axId val="358169600"/>
      </c:radarChart>
      <c:catAx>
        <c:axId val="3581676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169600"/>
        <c:crosses val="autoZero"/>
        <c:auto val="0"/>
        <c:lblAlgn val="ctr"/>
        <c:lblOffset val="100"/>
        <c:noMultiLvlLbl val="0"/>
      </c:catAx>
      <c:valAx>
        <c:axId val="358169600"/>
        <c:scaling>
          <c:orientation val="minMax"/>
          <c:max val="4"/>
          <c:min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1676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45369550074777"/>
          <c:y val="5.9375000000000004E-2"/>
          <c:w val="0.45623237460184352"/>
          <c:h val="0.72591290406319475"/>
        </c:manualLayout>
      </c:layout>
      <c:radarChart>
        <c:radarStyle val="marker"/>
        <c:varyColors val="0"/>
        <c:ser>
          <c:idx val="0"/>
          <c:order val="0"/>
          <c:tx>
            <c:strRef>
              <c:f>'EMEA CELLULAR'!$W$23</c:f>
              <c:strCache>
                <c:ptCount val="1"/>
                <c:pt idx="0">
                  <c:v>EMEA cellular</c:v>
                </c:pt>
              </c:strCache>
            </c:strRef>
          </c:tx>
          <c:spPr>
            <a:ln w="25400">
              <a:solidFill>
                <a:srgbClr val="263238"/>
              </a:solidFill>
              <a:prstDash val="solid"/>
            </a:ln>
            <a:effectLst/>
          </c:spPr>
          <c:marker>
            <c:symbol val="diamond"/>
            <c:size val="6"/>
            <c:spPr>
              <a:solidFill>
                <a:srgbClr val="263238"/>
              </a:solidFill>
              <a:ln w="6350">
                <a:noFill/>
              </a:ln>
            </c:spPr>
          </c:marker>
          <c:cat>
            <c:strRef>
              <c:f>'EMEA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'EMEA CELLULAR'!$W$24:$W$33</c:f>
              <c:numCache>
                <c:formatCode>0%</c:formatCode>
                <c:ptCount val="10"/>
                <c:pt idx="0">
                  <c:v>1.437105288167019</c:v>
                </c:pt>
                <c:pt idx="1">
                  <c:v>1.3273666845676726</c:v>
                </c:pt>
                <c:pt idx="2">
                  <c:v>1.3197419063316569</c:v>
                </c:pt>
                <c:pt idx="3">
                  <c:v>1.3046810460301406</c:v>
                </c:pt>
                <c:pt idx="4">
                  <c:v>1.9186620274080155</c:v>
                </c:pt>
                <c:pt idx="5">
                  <c:v>1.6291649102299597</c:v>
                </c:pt>
                <c:pt idx="6">
                  <c:v>1.4554384222604968</c:v>
                </c:pt>
                <c:pt idx="7">
                  <c:v>1.5135103928346152</c:v>
                </c:pt>
                <c:pt idx="8">
                  <c:v>1.9494903149735865</c:v>
                </c:pt>
                <c:pt idx="9">
                  <c:v>1.4554384222604968</c:v>
                </c:pt>
              </c:numCache>
            </c:numRef>
          </c:val>
          <c:extLst>
            <c:ext xmlns:c16="http://schemas.microsoft.com/office/drawing/2014/chart" uri="{C3380CC4-5D6E-409C-BE32-E72D297353CC}">
              <c16:uniqueId val="{00000000-59A5-4089-86DD-1520E36439E1}"/>
            </c:ext>
          </c:extLst>
        </c:ser>
        <c:ser>
          <c:idx val="1"/>
          <c:order val="1"/>
          <c:tx>
            <c:strRef>
              <c:f>'EMEA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'EMEA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'EMEA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9A5-4089-86DD-1520E36439E1}"/>
            </c:ext>
          </c:extLst>
        </c:ser>
        <c:dLbls>
          <c:showLegendKey val="0"/>
          <c:showVal val="0"/>
          <c:showCatName val="0"/>
          <c:showSerName val="0"/>
          <c:showPercent val="0"/>
          <c:showBubbleSize val="0"/>
        </c:dLbls>
        <c:axId val="358023936"/>
        <c:axId val="358025856"/>
      </c:radarChart>
      <c:catAx>
        <c:axId val="3580239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025856"/>
        <c:crosses val="autoZero"/>
        <c:auto val="0"/>
        <c:lblAlgn val="ctr"/>
        <c:lblOffset val="100"/>
        <c:noMultiLvlLbl val="0"/>
      </c:catAx>
      <c:valAx>
        <c:axId val="358025856"/>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023936"/>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01460736712993"/>
          <c:y val="8.1250000000000003E-2"/>
          <c:w val="0.48209123164099216"/>
          <c:h val="0.72425971759591379"/>
        </c:manualLayout>
      </c:layout>
      <c:radarChart>
        <c:radarStyle val="marker"/>
        <c:varyColors val="0"/>
        <c:ser>
          <c:idx val="0"/>
          <c:order val="0"/>
          <c:tx>
            <c:strRef>
              <c:f>'EMEA AGG'!$W$23</c:f>
              <c:strCache>
                <c:ptCount val="1"/>
                <c:pt idx="0">
                  <c:v>EMEA sector</c:v>
                </c:pt>
              </c:strCache>
            </c:strRef>
          </c:tx>
          <c:spPr>
            <a:ln w="25400">
              <a:solidFill>
                <a:srgbClr val="263238"/>
              </a:solidFill>
              <a:prstDash val="solid"/>
            </a:ln>
            <a:effectLst/>
          </c:spPr>
          <c:marker>
            <c:symbol val="diamond"/>
            <c:size val="6"/>
            <c:spPr>
              <a:solidFill>
                <a:srgbClr val="263238"/>
              </a:solidFill>
              <a:ln w="6350">
                <a:noFill/>
              </a:ln>
            </c:spPr>
          </c:marker>
          <c:cat>
            <c:strRef>
              <c:f>'EMEA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AGG'!$W$24:$W$33</c:f>
              <c:numCache>
                <c:formatCode>0%</c:formatCode>
                <c:ptCount val="10"/>
                <c:pt idx="0">
                  <c:v>1.8284448804879543</c:v>
                </c:pt>
                <c:pt idx="1">
                  <c:v>1.6073570753253406</c:v>
                </c:pt>
                <c:pt idx="2">
                  <c:v>1.498390267130677</c:v>
                </c:pt>
                <c:pt idx="3">
                  <c:v>1.458436441629928</c:v>
                </c:pt>
                <c:pt idx="4">
                  <c:v>2.1281891965165873</c:v>
                </c:pt>
                <c:pt idx="5">
                  <c:v>1.9893157122340581</c:v>
                </c:pt>
                <c:pt idx="6">
                  <c:v>1.7772539397322662</c:v>
                </c:pt>
                <c:pt idx="7">
                  <c:v>1.663445679752128</c:v>
                </c:pt>
                <c:pt idx="8">
                  <c:v>1.958742497762886</c:v>
                </c:pt>
                <c:pt idx="9">
                  <c:v>1.7772539397322664</c:v>
                </c:pt>
              </c:numCache>
            </c:numRef>
          </c:val>
          <c:extLst>
            <c:ext xmlns:c16="http://schemas.microsoft.com/office/drawing/2014/chart" uri="{C3380CC4-5D6E-409C-BE32-E72D297353CC}">
              <c16:uniqueId val="{00000000-487C-4BC3-8AAC-E2DE0C8E850A}"/>
            </c:ext>
          </c:extLst>
        </c:ser>
        <c:ser>
          <c:idx val="1"/>
          <c:order val="1"/>
          <c:tx>
            <c:strRef>
              <c:f>'EMEA AGG'!$X$23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'EMEA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AGG'!$X$24:$X$33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87C-4BC3-8AAC-E2DE0C8E850A}"/>
            </c:ext>
          </c:extLst>
        </c:ser>
        <c:dLbls>
          <c:showLegendKey val="0"/>
          <c:showVal val="0"/>
          <c:showCatName val="0"/>
          <c:showSerName val="0"/>
          <c:showPercent val="0"/>
          <c:showBubbleSize val="0"/>
        </c:dLbls>
        <c:axId val="358101376"/>
        <c:axId val="358103296"/>
      </c:radarChart>
      <c:catAx>
        <c:axId val="3581013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103296"/>
        <c:crosses val="autoZero"/>
        <c:auto val="0"/>
        <c:lblAlgn val="ctr"/>
        <c:lblOffset val="100"/>
        <c:noMultiLvlLbl val="0"/>
      </c:catAx>
      <c:valAx>
        <c:axId val="3581032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1013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3473023419378"/>
          <c:y val="9.6875000000000044E-2"/>
          <c:w val="0.47392920422806722"/>
          <c:h val="0.75407039069025483"/>
        </c:manualLayout>
      </c:layout>
      <c:radarChart>
        <c:radarStyle val="marker"/>
        <c:varyColors val="0"/>
        <c:ser>
          <c:idx val="0"/>
          <c:order val="0"/>
          <c:tx>
            <c:strRef>
              <c:f>'EM ASIA INCUMB'!$W$23</c:f>
              <c:strCache>
                <c:ptCount val="1"/>
                <c:pt idx="0">
                  <c:v>EM Asia incumbents</c:v>
                </c:pt>
              </c:strCache>
            </c:strRef>
          </c:tx>
          <c:spPr>
            <a:ln w="25400">
              <a:solidFill>
                <a:srgbClr val="263238"/>
              </a:solidFill>
              <a:prstDash val="solid"/>
            </a:ln>
            <a:effectLst/>
          </c:spPr>
          <c:marker>
            <c:symbol val="diamond"/>
            <c:size val="6"/>
            <c:spPr>
              <a:solidFill>
                <a:srgbClr val="263238"/>
              </a:solidFill>
              <a:ln w="6350">
                <a:noFill/>
              </a:ln>
            </c:spPr>
          </c:marker>
          <c:cat>
            <c:strRef>
              <c:f>'EM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ASIA INCUMB'!$W$24:$W$33</c:f>
              <c:numCache>
                <c:formatCode>0%</c:formatCode>
                <c:ptCount val="10"/>
                <c:pt idx="0">
                  <c:v>0.70494630785493351</c:v>
                </c:pt>
                <c:pt idx="1">
                  <c:v>0.78072408303907426</c:v>
                </c:pt>
                <c:pt idx="2">
                  <c:v>0.9075651528090376</c:v>
                </c:pt>
                <c:pt idx="3">
                  <c:v>0.85225536812324343</c:v>
                </c:pt>
                <c:pt idx="4">
                  <c:v>0.78790263033099317</c:v>
                </c:pt>
                <c:pt idx="5">
                  <c:v>0.68636449599566707</c:v>
                </c:pt>
                <c:pt idx="6">
                  <c:v>0.82849373728230991</c:v>
                </c:pt>
                <c:pt idx="7">
                  <c:v>1.0079363435988782</c:v>
                </c:pt>
                <c:pt idx="8">
                  <c:v>0.87161885595400024</c:v>
                </c:pt>
                <c:pt idx="9">
                  <c:v>0.82849373728230991</c:v>
                </c:pt>
              </c:numCache>
            </c:numRef>
          </c:val>
          <c:extLst>
            <c:ext xmlns:c16="http://schemas.microsoft.com/office/drawing/2014/chart" uri="{C3380CC4-5D6E-409C-BE32-E72D297353CC}">
              <c16:uniqueId val="{00000000-7D12-456B-9C46-35BF4C01A319}"/>
            </c:ext>
          </c:extLst>
        </c:ser>
        <c:ser>
          <c:idx val="1"/>
          <c:order val="1"/>
          <c:tx>
            <c:strRef>
              <c:f>'EM ASIA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'EM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ASIA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D12-456B-9C46-35BF4C01A319}"/>
            </c:ext>
          </c:extLst>
        </c:ser>
        <c:dLbls>
          <c:showLegendKey val="0"/>
          <c:showVal val="0"/>
          <c:showCatName val="0"/>
          <c:showSerName val="0"/>
          <c:showPercent val="0"/>
          <c:showBubbleSize val="0"/>
        </c:dLbls>
        <c:axId val="355016704"/>
        <c:axId val="355018624"/>
      </c:radarChart>
      <c:catAx>
        <c:axId val="35501670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5018624"/>
        <c:crosses val="autoZero"/>
        <c:auto val="0"/>
        <c:lblAlgn val="ctr"/>
        <c:lblOffset val="100"/>
        <c:noMultiLvlLbl val="0"/>
      </c:catAx>
      <c:valAx>
        <c:axId val="35501862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01670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37149572754312"/>
          <c:y val="5.9375000000000004E-2"/>
          <c:w val="0.47502089123888097"/>
          <c:h val="0.71363773900171501"/>
        </c:manualLayout>
      </c:layout>
      <c:radarChart>
        <c:radarStyle val="marker"/>
        <c:varyColors val="0"/>
        <c:ser>
          <c:idx val="0"/>
          <c:order val="0"/>
          <c:tx>
            <c:strRef>
              <c:f>'EM ASIA CELLULAR'!$W$23</c:f>
              <c:strCache>
                <c:ptCount val="1"/>
                <c:pt idx="0">
                  <c:v>Asia cellular</c:v>
                </c:pt>
              </c:strCache>
            </c:strRef>
          </c:tx>
          <c:spPr>
            <a:ln w="25400">
              <a:solidFill>
                <a:srgbClr val="263238"/>
              </a:solidFill>
              <a:prstDash val="solid"/>
            </a:ln>
            <a:effectLst/>
          </c:spPr>
          <c:marker>
            <c:symbol val="diamond"/>
            <c:size val="6"/>
            <c:spPr>
              <a:solidFill>
                <a:srgbClr val="263238"/>
              </a:solidFill>
              <a:ln w="6350">
                <a:noFill/>
              </a:ln>
            </c:spPr>
          </c:marker>
          <c:cat>
            <c:strRef>
              <c:f>'EM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'EM ASIA CELLULAR'!$W$24:$W$33</c:f>
              <c:numCache>
                <c:formatCode>0%</c:formatCode>
                <c:ptCount val="10"/>
                <c:pt idx="0">
                  <c:v>0.93635097081791163</c:v>
                </c:pt>
                <c:pt idx="1">
                  <c:v>0.95431417716694988</c:v>
                </c:pt>
                <c:pt idx="2">
                  <c:v>0.96188576999736874</c:v>
                </c:pt>
                <c:pt idx="3">
                  <c:v>0.96516419012878263</c:v>
                </c:pt>
                <c:pt idx="4">
                  <c:v>0.88992876825968492</c:v>
                </c:pt>
                <c:pt idx="5">
                  <c:v>0.96025502535120444</c:v>
                </c:pt>
                <c:pt idx="6">
                  <c:v>0.97169127037708503</c:v>
                </c:pt>
                <c:pt idx="7">
                  <c:v>0.9498695203365779</c:v>
                </c:pt>
                <c:pt idx="8">
                  <c:v>0.90170497866087285</c:v>
                </c:pt>
                <c:pt idx="9">
                  <c:v>0.97230443834974656</c:v>
                </c:pt>
              </c:numCache>
            </c:numRef>
          </c:val>
          <c:extLst>
            <c:ext xmlns:c16="http://schemas.microsoft.com/office/drawing/2014/chart" uri="{C3380CC4-5D6E-409C-BE32-E72D297353CC}">
              <c16:uniqueId val="{00000000-81FD-4F65-B962-B58ACB1C6C11}"/>
            </c:ext>
          </c:extLst>
        </c:ser>
        <c:ser>
          <c:idx val="1"/>
          <c:order val="1"/>
          <c:tx>
            <c:strRef>
              <c:f>'EM ASIA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'EM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'EM ASIA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81FD-4F65-B962-B58ACB1C6C11}"/>
            </c:ext>
          </c:extLst>
        </c:ser>
        <c:dLbls>
          <c:showLegendKey val="0"/>
          <c:showVal val="0"/>
          <c:showCatName val="0"/>
          <c:showSerName val="0"/>
          <c:showPercent val="0"/>
          <c:showBubbleSize val="0"/>
        </c:dLbls>
        <c:axId val="355128832"/>
        <c:axId val="355130752"/>
      </c:radarChart>
      <c:catAx>
        <c:axId val="3551288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5130752"/>
        <c:crosses val="autoZero"/>
        <c:auto val="0"/>
        <c:lblAlgn val="ctr"/>
        <c:lblOffset val="100"/>
        <c:noMultiLvlLbl val="0"/>
      </c:catAx>
      <c:valAx>
        <c:axId val="3551307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1288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9.2024539877300623E-2"/>
          <c:w val="0.47379078899830385"/>
          <c:h val="0.72085889570552164"/>
        </c:manualLayout>
      </c:layout>
      <c:radarChart>
        <c:radarStyle val="marker"/>
        <c:varyColors val="0"/>
        <c:ser>
          <c:idx val="0"/>
          <c:order val="0"/>
          <c:tx>
            <c:strRef>
              <c:f>BT!$W$24</c:f>
              <c:strCache>
                <c:ptCount val="1"/>
                <c:pt idx="0">
                  <c:v>BT</c:v>
                </c:pt>
              </c:strCache>
            </c:strRef>
          </c:tx>
          <c:spPr>
            <a:ln w="25400">
              <a:solidFill>
                <a:srgbClr val="263238"/>
              </a:solidFill>
              <a:prstDash val="solid"/>
            </a:ln>
            <a:effectLst/>
          </c:spPr>
          <c:marker>
            <c:symbol val="diamond"/>
            <c:size val="6"/>
            <c:spPr>
              <a:solidFill>
                <a:srgbClr val="263238"/>
              </a:solidFill>
              <a:ln w="6350">
                <a:noFill/>
              </a:ln>
            </c:spPr>
          </c:marker>
          <c:cat>
            <c:strRef>
              <c:f>BT!$V$25:$V$34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BT!$W$25:$W$34</c:f>
              <c:numCache>
                <c:formatCode>0%</c:formatCode>
                <c:ptCount val="10"/>
                <c:pt idx="0">
                  <c:v>0.72952375040511086</c:v>
                </c:pt>
                <c:pt idx="1">
                  <c:v>0.71892193291004924</c:v>
                </c:pt>
                <c:pt idx="2">
                  <c:v>1.230889905748312</c:v>
                </c:pt>
                <c:pt idx="3">
                  <c:v>1.1580159004231629</c:v>
                </c:pt>
                <c:pt idx="4">
                  <c:v>0.87373670728989372</c:v>
                </c:pt>
                <c:pt idx="5">
                  <c:v>0.47459290360977141</c:v>
                </c:pt>
                <c:pt idx="6">
                  <c:v>0.75718815660158389</c:v>
                </c:pt>
                <c:pt idx="7">
                  <c:v>0.50492695565862367</c:v>
                </c:pt>
                <c:pt idx="8">
                  <c:v>1.253857754019003</c:v>
                </c:pt>
                <c:pt idx="9">
                  <c:v>1.3206757016488551</c:v>
                </c:pt>
              </c:numCache>
            </c:numRef>
          </c:val>
          <c:extLst>
            <c:ext xmlns:c16="http://schemas.microsoft.com/office/drawing/2014/chart" uri="{C3380CC4-5D6E-409C-BE32-E72D297353CC}">
              <c16:uniqueId val="{00000000-D998-41E1-A8B5-946D1A29D914}"/>
            </c:ext>
          </c:extLst>
        </c:ser>
        <c:ser>
          <c:idx val="1"/>
          <c:order val="1"/>
          <c:tx>
            <c:strRef>
              <c:f>BT!$X$24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BT!$V$25:$V$34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998-41E1-A8B5-946D1A29D914}"/>
            </c:ext>
          </c:extLst>
        </c:ser>
        <c:dLbls>
          <c:showLegendKey val="0"/>
          <c:showVal val="0"/>
          <c:showCatName val="0"/>
          <c:showSerName val="0"/>
          <c:showPercent val="0"/>
          <c:showBubbleSize val="0"/>
        </c:dLbls>
        <c:axId val="358813056"/>
        <c:axId val="358815232"/>
      </c:radarChart>
      <c:catAx>
        <c:axId val="358813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815232"/>
        <c:crosses val="autoZero"/>
        <c:auto val="0"/>
        <c:lblAlgn val="ctr"/>
        <c:lblOffset val="100"/>
        <c:noMultiLvlLbl val="0"/>
      </c:catAx>
      <c:valAx>
        <c:axId val="35881523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813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660683699724044"/>
          <c:y val="8.1250000000000003E-2"/>
          <c:w val="0.48749900201088181"/>
          <c:h val="0.73238396874146239"/>
        </c:manualLayout>
      </c:layout>
      <c:radarChart>
        <c:radarStyle val="marker"/>
        <c:varyColors val="0"/>
        <c:ser>
          <c:idx val="0"/>
          <c:order val="0"/>
          <c:tx>
            <c:strRef>
              <c:f>'AGG EM ASIA'!$W$23</c:f>
              <c:strCache>
                <c:ptCount val="1"/>
                <c:pt idx="0">
                  <c:v>LatAm sector</c:v>
                </c:pt>
              </c:strCache>
            </c:strRef>
          </c:tx>
          <c:spPr>
            <a:ln w="25400">
              <a:solidFill>
                <a:srgbClr val="263238"/>
              </a:solidFill>
              <a:prstDash val="solid"/>
            </a:ln>
            <a:effectLst/>
          </c:spPr>
          <c:marker>
            <c:symbol val="diamond"/>
            <c:size val="6"/>
            <c:spPr>
              <a:solidFill>
                <a:srgbClr val="263238"/>
              </a:solidFill>
              <a:ln w="6350">
                <a:noFill/>
              </a:ln>
            </c:spPr>
          </c:marker>
          <c:cat>
            <c:strRef>
              <c:f>'AGG EM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 ASIA'!$W$24:$W$33</c:f>
              <c:numCache>
                <c:formatCode>0%</c:formatCode>
                <c:ptCount val="10"/>
                <c:pt idx="0">
                  <c:v>0.90875505428493308</c:v>
                </c:pt>
                <c:pt idx="1">
                  <c:v>0.95022590494417869</c:v>
                </c:pt>
                <c:pt idx="2">
                  <c:v>0.98809764316192472</c:v>
                </c:pt>
                <c:pt idx="3">
                  <c:v>0.96850457251855193</c:v>
                </c:pt>
                <c:pt idx="4">
                  <c:v>0.89865425981126479</c:v>
                </c:pt>
                <c:pt idx="5">
                  <c:v>0.91093041118056883</c:v>
                </c:pt>
                <c:pt idx="6">
                  <c:v>0.95767979548997195</c:v>
                </c:pt>
                <c:pt idx="7">
                  <c:v>0.99701669014356076</c:v>
                </c:pt>
                <c:pt idx="8">
                  <c:v>0.89907887542984899</c:v>
                </c:pt>
                <c:pt idx="9">
                  <c:v>0.95767979548997184</c:v>
                </c:pt>
              </c:numCache>
            </c:numRef>
          </c:val>
          <c:extLst>
            <c:ext xmlns:c16="http://schemas.microsoft.com/office/drawing/2014/chart" uri="{C3380CC4-5D6E-409C-BE32-E72D297353CC}">
              <c16:uniqueId val="{00000000-1B66-46F9-A7A4-003631B06056}"/>
            </c:ext>
          </c:extLst>
        </c:ser>
        <c:ser>
          <c:idx val="1"/>
          <c:order val="1"/>
          <c:tx>
            <c:strRef>
              <c:f>'AGG EM ASIA'!$X$23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'AGG EM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 ASIA'!$X$24:$X$33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B66-46F9-A7A4-003631B06056}"/>
            </c:ext>
          </c:extLst>
        </c:ser>
        <c:dLbls>
          <c:showLegendKey val="0"/>
          <c:showVal val="0"/>
          <c:showCatName val="0"/>
          <c:showSerName val="0"/>
          <c:showPercent val="0"/>
          <c:showBubbleSize val="0"/>
        </c:dLbls>
        <c:axId val="358458112"/>
        <c:axId val="358460032"/>
      </c:radarChart>
      <c:catAx>
        <c:axId val="3584581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460032"/>
        <c:crosses val="autoZero"/>
        <c:auto val="0"/>
        <c:lblAlgn val="ctr"/>
        <c:lblOffset val="100"/>
        <c:noMultiLvlLbl val="0"/>
      </c:catAx>
      <c:valAx>
        <c:axId val="35846003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45811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27852678709282"/>
          <c:y val="0.10937500000000012"/>
          <c:w val="0.48899635827117416"/>
          <c:h val="0.7346334907220412"/>
        </c:manualLayout>
      </c:layout>
      <c:radarChart>
        <c:radarStyle val="marker"/>
        <c:varyColors val="0"/>
        <c:ser>
          <c:idx val="0"/>
          <c:order val="0"/>
          <c:tx>
            <c:strRef>
              <c:f>'AGG ASIA INCUMB'!$W$23</c:f>
              <c:strCache>
                <c:ptCount val="1"/>
                <c:pt idx="0">
                  <c:v>Asia incumbents</c:v>
                </c:pt>
              </c:strCache>
            </c:strRef>
          </c:tx>
          <c:spPr>
            <a:ln w="25400">
              <a:solidFill>
                <a:srgbClr val="263238"/>
              </a:solidFill>
              <a:prstDash val="solid"/>
            </a:ln>
            <a:effectLst/>
          </c:spPr>
          <c:marker>
            <c:symbol val="diamond"/>
            <c:size val="6"/>
            <c:spPr>
              <a:solidFill>
                <a:srgbClr val="263238"/>
              </a:solidFill>
              <a:ln w="6350">
                <a:noFill/>
              </a:ln>
            </c:spPr>
          </c:marker>
          <c:cat>
            <c:strRef>
              <c:f>'AGG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 INCUMB'!$W$24:$W$33</c:f>
              <c:numCache>
                <c:formatCode>0%</c:formatCode>
                <c:ptCount val="10"/>
                <c:pt idx="0">
                  <c:v>1.2946696479038349</c:v>
                </c:pt>
                <c:pt idx="1">
                  <c:v>1.4633625887683588</c:v>
                </c:pt>
                <c:pt idx="2">
                  <c:v>1.5957068755887298</c:v>
                </c:pt>
                <c:pt idx="3">
                  <c:v>1.5792869697932344</c:v>
                </c:pt>
                <c:pt idx="4">
                  <c:v>1.1704201753555645</c:v>
                </c:pt>
                <c:pt idx="5">
                  <c:v>1.2569834621241129</c:v>
                </c:pt>
                <c:pt idx="6">
                  <c:v>1.2633595726259261</c:v>
                </c:pt>
                <c:pt idx="7">
                  <c:v>1.0365557273039654</c:v>
                </c:pt>
                <c:pt idx="8">
                  <c:v>0.97585506432985836</c:v>
                </c:pt>
                <c:pt idx="9">
                  <c:v>1.2633595726259261</c:v>
                </c:pt>
              </c:numCache>
            </c:numRef>
          </c:val>
          <c:extLst>
            <c:ext xmlns:c16="http://schemas.microsoft.com/office/drawing/2014/chart" uri="{C3380CC4-5D6E-409C-BE32-E72D297353CC}">
              <c16:uniqueId val="{00000000-17BA-448F-AD3F-ACFAD2C46594}"/>
            </c:ext>
          </c:extLst>
        </c:ser>
        <c:ser>
          <c:idx val="1"/>
          <c:order val="1"/>
          <c:tx>
            <c:strRef>
              <c:f>'AGG ASIA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'AGG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7BA-448F-AD3F-ACFAD2C46594}"/>
            </c:ext>
          </c:extLst>
        </c:ser>
        <c:dLbls>
          <c:showLegendKey val="0"/>
          <c:showVal val="0"/>
          <c:showCatName val="0"/>
          <c:showSerName val="0"/>
          <c:showPercent val="0"/>
          <c:showBubbleSize val="0"/>
        </c:dLbls>
        <c:axId val="357835136"/>
        <c:axId val="357837056"/>
      </c:radarChart>
      <c:catAx>
        <c:axId val="3578351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7837056"/>
        <c:crosses val="autoZero"/>
        <c:auto val="0"/>
        <c:lblAlgn val="ctr"/>
        <c:lblOffset val="100"/>
        <c:noMultiLvlLbl val="0"/>
      </c:catAx>
      <c:valAx>
        <c:axId val="3578370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78351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99726843725038"/>
          <c:y val="9.0625000000000289E-2"/>
          <c:w val="0.48422921707620592"/>
          <c:h val="0.72747167547007274"/>
        </c:manualLayout>
      </c:layout>
      <c:radarChart>
        <c:radarStyle val="marker"/>
        <c:varyColors val="0"/>
        <c:ser>
          <c:idx val="0"/>
          <c:order val="0"/>
          <c:tx>
            <c:strRef>
              <c:f>'AGG ASIA CELLULAR'!$W$23</c:f>
              <c:strCache>
                <c:ptCount val="1"/>
                <c:pt idx="0">
                  <c:v>ASIA cellular</c:v>
                </c:pt>
              </c:strCache>
            </c:strRef>
          </c:tx>
          <c:spPr>
            <a:ln w="25400">
              <a:solidFill>
                <a:srgbClr val="263238"/>
              </a:solidFill>
              <a:prstDash val="solid"/>
            </a:ln>
            <a:effectLst/>
          </c:spPr>
          <c:marker>
            <c:symbol val="diamond"/>
            <c:size val="6"/>
            <c:spPr>
              <a:solidFill>
                <a:srgbClr val="263238"/>
              </a:solidFill>
              <a:ln w="6350">
                <a:noFill/>
              </a:ln>
            </c:spPr>
          </c:marker>
          <c:cat>
            <c:strRef>
              <c:f>'AGG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'AGG ASIA CELLULAR'!$W$24:$W$33</c:f>
              <c:numCache>
                <c:formatCode>0%</c:formatCode>
                <c:ptCount val="10"/>
                <c:pt idx="0">
                  <c:v>0.90071900744201128</c:v>
                </c:pt>
                <c:pt idx="1">
                  <c:v>1.0111960359183747</c:v>
                </c:pt>
                <c:pt idx="2">
                  <c:v>0.98559674559947053</c:v>
                </c:pt>
                <c:pt idx="3">
                  <c:v>1.0098827735767404</c:v>
                </c:pt>
                <c:pt idx="4">
                  <c:v>0.96395003130778933</c:v>
                </c:pt>
                <c:pt idx="5">
                  <c:v>1.1104084998808912</c:v>
                </c:pt>
                <c:pt idx="6">
                  <c:v>0.77441963891157795</c:v>
                </c:pt>
                <c:pt idx="7">
                  <c:v>0.98504009585027219</c:v>
                </c:pt>
                <c:pt idx="8">
                  <c:v>0.96975893422330595</c:v>
                </c:pt>
                <c:pt idx="9">
                  <c:v>0.78296757795398775</c:v>
                </c:pt>
              </c:numCache>
            </c:numRef>
          </c:val>
          <c:extLst>
            <c:ext xmlns:c16="http://schemas.microsoft.com/office/drawing/2014/chart" uri="{C3380CC4-5D6E-409C-BE32-E72D297353CC}">
              <c16:uniqueId val="{00000000-5C27-441B-A309-09DFD0DA1126}"/>
            </c:ext>
          </c:extLst>
        </c:ser>
        <c:ser>
          <c:idx val="1"/>
          <c:order val="1"/>
          <c:tx>
            <c:strRef>
              <c:f>'AGG ASIA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'AGG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'AGG ASIA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C27-441B-A309-09DFD0DA1126}"/>
            </c:ext>
          </c:extLst>
        </c:ser>
        <c:dLbls>
          <c:showLegendKey val="0"/>
          <c:showVal val="0"/>
          <c:showCatName val="0"/>
          <c:showSerName val="0"/>
          <c:showPercent val="0"/>
          <c:showBubbleSize val="0"/>
        </c:dLbls>
        <c:axId val="357916672"/>
        <c:axId val="357918592"/>
      </c:radarChart>
      <c:catAx>
        <c:axId val="3579166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7918592"/>
        <c:crosses val="autoZero"/>
        <c:auto val="0"/>
        <c:lblAlgn val="ctr"/>
        <c:lblOffset val="100"/>
        <c:noMultiLvlLbl val="0"/>
      </c:catAx>
      <c:valAx>
        <c:axId val="3579185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79166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71849255207434"/>
          <c:y val="8.1250000000000003E-2"/>
          <c:w val="0.46055340226466407"/>
          <c:h val="0.69190280836810791"/>
        </c:manualLayout>
      </c:layout>
      <c:radarChart>
        <c:radarStyle val="marker"/>
        <c:varyColors val="0"/>
        <c:ser>
          <c:idx val="0"/>
          <c:order val="0"/>
          <c:tx>
            <c:strRef>
              <c:f>'AGG ASIA'!$W$23</c:f>
              <c:strCache>
                <c:ptCount val="1"/>
                <c:pt idx="0">
                  <c:v>Asia sector</c:v>
                </c:pt>
              </c:strCache>
            </c:strRef>
          </c:tx>
          <c:spPr>
            <a:ln w="25400">
              <a:solidFill>
                <a:srgbClr val="263238"/>
              </a:solidFill>
              <a:prstDash val="solid"/>
            </a:ln>
            <a:effectLst/>
          </c:spPr>
          <c:marker>
            <c:symbol val="diamond"/>
            <c:size val="6"/>
            <c:spPr>
              <a:solidFill>
                <a:srgbClr val="263238"/>
              </a:solidFill>
              <a:ln w="6350">
                <a:noFill/>
              </a:ln>
            </c:spPr>
          </c:marker>
          <c:cat>
            <c:strRef>
              <c:f>'AGG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ASIA'!$W$24:$W$33</c:f>
              <c:numCache>
                <c:formatCode>0%</c:formatCode>
                <c:ptCount val="10"/>
                <c:pt idx="0">
                  <c:v>0.99389428787359591</c:v>
                </c:pt>
                <c:pt idx="1">
                  <c:v>1.123673276422624</c:v>
                </c:pt>
                <c:pt idx="2">
                  <c:v>1.1413088291112212</c:v>
                </c:pt>
                <c:pt idx="3">
                  <c:v>1.1538783071959369</c:v>
                </c:pt>
                <c:pt idx="4">
                  <c:v>1.0025127301966377</c:v>
                </c:pt>
                <c:pt idx="5">
                  <c:v>1.0944657421524016</c:v>
                </c:pt>
                <c:pt idx="6">
                  <c:v>0.92827646910872208</c:v>
                </c:pt>
                <c:pt idx="7">
                  <c:v>0.99220680481253754</c:v>
                </c:pt>
                <c:pt idx="8">
                  <c:v>0.95982622312656374</c:v>
                </c:pt>
                <c:pt idx="9">
                  <c:v>0.92827646910872208</c:v>
                </c:pt>
              </c:numCache>
            </c:numRef>
          </c:val>
          <c:extLst>
            <c:ext xmlns:c16="http://schemas.microsoft.com/office/drawing/2014/chart" uri="{C3380CC4-5D6E-409C-BE32-E72D297353CC}">
              <c16:uniqueId val="{00000000-B610-4339-A4A6-278FC9F82A99}"/>
            </c:ext>
          </c:extLst>
        </c:ser>
        <c:ser>
          <c:idx val="1"/>
          <c:order val="1"/>
          <c:tx>
            <c:strRef>
              <c:f>'AGG ASIA'!$X$23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'AGG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610-4339-A4A6-278FC9F82A99}"/>
            </c:ext>
          </c:extLst>
        </c:ser>
        <c:dLbls>
          <c:showLegendKey val="0"/>
          <c:showVal val="0"/>
          <c:showCatName val="0"/>
          <c:showSerName val="0"/>
          <c:showPercent val="0"/>
          <c:showBubbleSize val="0"/>
        </c:dLbls>
        <c:axId val="358558720"/>
        <c:axId val="358560896"/>
      </c:radarChart>
      <c:catAx>
        <c:axId val="35855872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560896"/>
        <c:crosses val="autoZero"/>
        <c:auto val="0"/>
        <c:lblAlgn val="ctr"/>
        <c:lblOffset val="100"/>
        <c:noMultiLvlLbl val="0"/>
      </c:catAx>
      <c:valAx>
        <c:axId val="358560896"/>
        <c:scaling>
          <c:orientation val="minMax"/>
          <c:max val="1.5"/>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558720"/>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0818468174538"/>
          <c:y val="0.11874999999999998"/>
          <c:w val="0.48973130407105026"/>
          <c:h val="0.73573762123205866"/>
        </c:manualLayout>
      </c:layout>
      <c:radarChart>
        <c:radarStyle val="marker"/>
        <c:varyColors val="0"/>
        <c:ser>
          <c:idx val="0"/>
          <c:order val="0"/>
          <c:tx>
            <c:strRef>
              <c:f>'AGG DM INCUMB'!$W$23</c:f>
              <c:strCache>
                <c:ptCount val="1"/>
                <c:pt idx="0">
                  <c:v>DM sector</c:v>
                </c:pt>
              </c:strCache>
            </c:strRef>
          </c:tx>
          <c:spPr>
            <a:ln w="25400">
              <a:solidFill>
                <a:srgbClr val="263238"/>
              </a:solidFill>
              <a:prstDash val="solid"/>
            </a:ln>
            <a:effectLst/>
          </c:spPr>
          <c:marker>
            <c:symbol val="diamond"/>
            <c:size val="6"/>
            <c:spPr>
              <a:solidFill>
                <a:srgbClr val="263238"/>
              </a:solidFill>
              <a:ln w="6350">
                <a:noFill/>
              </a:ln>
            </c:spPr>
          </c:marker>
          <c:cat>
            <c:strRef>
              <c:f>'AGG DM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INCUMB'!$W$24:$W$33</c:f>
              <c:numCache>
                <c:formatCode>_(* #,##0.00_);_(* \(#,##0.00\);_(* "-"??_);_(@_)</c:formatCode>
                <c:ptCount val="10"/>
                <c:pt idx="0">
                  <c:v>0.96527570788150507</c:v>
                </c:pt>
                <c:pt idx="1">
                  <c:v>0.96801444081008603</c:v>
                </c:pt>
                <c:pt idx="2">
                  <c:v>0.97103867888056838</c:v>
                </c:pt>
                <c:pt idx="3">
                  <c:v>0.97900698897436622</c:v>
                </c:pt>
                <c:pt idx="4">
                  <c:v>1.0255240713795311</c:v>
                </c:pt>
                <c:pt idx="5">
                  <c:v>0.91032462340061304</c:v>
                </c:pt>
                <c:pt idx="6">
                  <c:v>1.2663735887509862</c:v>
                </c:pt>
                <c:pt idx="7">
                  <c:v>0.92480476259616451</c:v>
                </c:pt>
                <c:pt idx="8" formatCode="0%">
                  <c:v>0.91746507118796772</c:v>
                </c:pt>
                <c:pt idx="9" formatCode="0%">
                  <c:v>1.2663735887509862</c:v>
                </c:pt>
              </c:numCache>
            </c:numRef>
          </c:val>
          <c:extLst>
            <c:ext xmlns:c16="http://schemas.microsoft.com/office/drawing/2014/chart" uri="{C3380CC4-5D6E-409C-BE32-E72D297353CC}">
              <c16:uniqueId val="{00000000-EA9A-422B-B570-6E09230B3BB9}"/>
            </c:ext>
          </c:extLst>
        </c:ser>
        <c:ser>
          <c:idx val="1"/>
          <c:order val="1"/>
          <c:tx>
            <c:strRef>
              <c:f>'AGG DM INCUMB'!$X$23</c:f>
              <c:strCache>
                <c:ptCount val="1"/>
                <c:pt idx="0">
                  <c:v>DM Incumbent sector</c:v>
                </c:pt>
              </c:strCache>
            </c:strRef>
          </c:tx>
          <c:spPr>
            <a:ln w="25400">
              <a:solidFill>
                <a:srgbClr val="799098"/>
              </a:solidFill>
              <a:prstDash val="solid"/>
            </a:ln>
            <a:effectLst/>
          </c:spPr>
          <c:marker>
            <c:symbol val="diamond"/>
            <c:size val="6"/>
            <c:spPr>
              <a:solidFill>
                <a:srgbClr val="799098"/>
              </a:solidFill>
              <a:ln w="6350">
                <a:noFill/>
              </a:ln>
            </c:spPr>
          </c:marker>
          <c:cat>
            <c:strRef>
              <c:f>'AGG DM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A9A-422B-B570-6E09230B3BB9}"/>
            </c:ext>
          </c:extLst>
        </c:ser>
        <c:dLbls>
          <c:showLegendKey val="0"/>
          <c:showVal val="0"/>
          <c:showCatName val="0"/>
          <c:showSerName val="0"/>
          <c:showPercent val="0"/>
          <c:showBubbleSize val="0"/>
        </c:dLbls>
        <c:axId val="358800000"/>
        <c:axId val="358945536"/>
      </c:radarChart>
      <c:catAx>
        <c:axId val="3588000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945536"/>
        <c:crosses val="autoZero"/>
        <c:auto val="0"/>
        <c:lblAlgn val="ctr"/>
        <c:lblOffset val="100"/>
        <c:noMultiLvlLbl val="0"/>
      </c:catAx>
      <c:valAx>
        <c:axId val="358945536"/>
        <c:scaling>
          <c:orientation val="minMax"/>
        </c:scaling>
        <c:delete val="0"/>
        <c:axPos val="l"/>
        <c:numFmt formatCode="0%" sourceLinked="0"/>
        <c:majorTickMark val="cross"/>
        <c:minorTickMark val="none"/>
        <c:tickLblPos val="nextTo"/>
        <c:spPr>
          <a:ln w="3175">
            <a:solidFill>
              <a:srgbClr val="B3B3B3"/>
            </a:solidFill>
            <a:prstDash val="solid"/>
          </a:ln>
        </c:spPr>
        <c:txPr>
          <a:bodyPr rot="0" vert="horz"/>
          <a:lstStyle/>
          <a:p>
            <a:pPr>
              <a:defRPr/>
            </a:pPr>
            <a:endParaRPr lang="en-US"/>
          </a:p>
        </c:txPr>
        <c:crossAx val="3588000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0818468174538"/>
          <c:y val="0.11874999999999998"/>
          <c:w val="0.48973130407105026"/>
          <c:h val="0.73573762123205866"/>
        </c:manualLayout>
      </c:layout>
      <c:radarChart>
        <c:radarStyle val="marker"/>
        <c:varyColors val="0"/>
        <c:ser>
          <c:idx val="0"/>
          <c:order val="0"/>
          <c:tx>
            <c:strRef>
              <c:f>'AGG DM CELLULAR'!$W$23</c:f>
              <c:strCache>
                <c:ptCount val="1"/>
                <c:pt idx="0">
                  <c:v>DM sector</c:v>
                </c:pt>
              </c:strCache>
            </c:strRef>
          </c:tx>
          <c:spPr>
            <a:ln w="25400">
              <a:solidFill>
                <a:srgbClr val="263238"/>
              </a:solidFill>
              <a:prstDash val="solid"/>
            </a:ln>
            <a:effectLst/>
          </c:spPr>
          <c:marker>
            <c:symbol val="diamond"/>
            <c:size val="6"/>
            <c:spPr>
              <a:solidFill>
                <a:srgbClr val="263238"/>
              </a:solidFill>
              <a:ln w="6350">
                <a:noFill/>
              </a:ln>
            </c:spPr>
          </c:marker>
          <c:cat>
            <c:strRef>
              <c:f>'AGG DM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CELLULAR'!$W$24:$W$33</c:f>
              <c:numCache>
                <c:formatCode>_(* #,##0.00_);_(* \(#,##0.00\);_(* "-"??_);_(@_)</c:formatCode>
                <c:ptCount val="10"/>
                <c:pt idx="0">
                  <c:v>0.7457160626248498</c:v>
                </c:pt>
                <c:pt idx="1">
                  <c:v>0.81750702355708194</c:v>
                </c:pt>
                <c:pt idx="2">
                  <c:v>0.92508025162558782</c:v>
                </c:pt>
                <c:pt idx="3">
                  <c:v>0.91782193373133802</c:v>
                </c:pt>
                <c:pt idx="4">
                  <c:v>0.85275143038803169</c:v>
                </c:pt>
                <c:pt idx="5">
                  <c:v>1.0620329331200984</c:v>
                </c:pt>
                <c:pt idx="6">
                  <c:v>0.9151665675308116</c:v>
                </c:pt>
                <c:pt idx="7">
                  <c:v>1.2375272403577833</c:v>
                </c:pt>
                <c:pt idx="8" formatCode="0%">
                  <c:v>1.059748833451448</c:v>
                </c:pt>
                <c:pt idx="9" formatCode="0%">
                  <c:v>0.9151665675308116</c:v>
                </c:pt>
              </c:numCache>
            </c:numRef>
          </c:val>
          <c:extLst>
            <c:ext xmlns:c16="http://schemas.microsoft.com/office/drawing/2014/chart" uri="{C3380CC4-5D6E-409C-BE32-E72D297353CC}">
              <c16:uniqueId val="{00000000-D475-484F-B09A-61EACEBFD39E}"/>
            </c:ext>
          </c:extLst>
        </c:ser>
        <c:ser>
          <c:idx val="1"/>
          <c:order val="1"/>
          <c:tx>
            <c:strRef>
              <c:f>'AGG DM CELLULAR'!$X$23</c:f>
              <c:strCache>
                <c:ptCount val="1"/>
                <c:pt idx="0">
                  <c:v>DM Incumbent sector</c:v>
                </c:pt>
              </c:strCache>
            </c:strRef>
          </c:tx>
          <c:spPr>
            <a:ln w="25400">
              <a:solidFill>
                <a:srgbClr val="799098"/>
              </a:solidFill>
              <a:prstDash val="solid"/>
            </a:ln>
            <a:effectLst/>
          </c:spPr>
          <c:marker>
            <c:symbol val="diamond"/>
            <c:size val="6"/>
            <c:spPr>
              <a:solidFill>
                <a:srgbClr val="799098"/>
              </a:solidFill>
              <a:ln w="6350">
                <a:noFill/>
              </a:ln>
            </c:spPr>
          </c:marker>
          <c:cat>
            <c:strRef>
              <c:f>'AGG DM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475-484F-B09A-61EACEBFD39E}"/>
            </c:ext>
          </c:extLst>
        </c:ser>
        <c:dLbls>
          <c:showLegendKey val="0"/>
          <c:showVal val="0"/>
          <c:showCatName val="0"/>
          <c:showSerName val="0"/>
          <c:showPercent val="0"/>
          <c:showBubbleSize val="0"/>
        </c:dLbls>
        <c:axId val="358996224"/>
        <c:axId val="360001920"/>
      </c:radarChart>
      <c:catAx>
        <c:axId val="3589962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60001920"/>
        <c:crosses val="autoZero"/>
        <c:auto val="0"/>
        <c:lblAlgn val="ctr"/>
        <c:lblOffset val="100"/>
        <c:noMultiLvlLbl val="0"/>
      </c:catAx>
      <c:valAx>
        <c:axId val="360001920"/>
        <c:scaling>
          <c:orientation val="minMax"/>
        </c:scaling>
        <c:delete val="0"/>
        <c:axPos val="l"/>
        <c:numFmt formatCode="0%" sourceLinked="0"/>
        <c:majorTickMark val="cross"/>
        <c:minorTickMark val="none"/>
        <c:tickLblPos val="nextTo"/>
        <c:spPr>
          <a:ln w="3175">
            <a:solidFill>
              <a:srgbClr val="B3B3B3"/>
            </a:solidFill>
            <a:prstDash val="solid"/>
          </a:ln>
        </c:spPr>
        <c:txPr>
          <a:bodyPr rot="0" vert="horz"/>
          <a:lstStyle/>
          <a:p>
            <a:pPr>
              <a:defRPr/>
            </a:pPr>
            <a:endParaRPr lang="en-US"/>
          </a:p>
        </c:txPr>
        <c:crossAx val="3589962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0818468174538"/>
          <c:y val="0.11874999999999998"/>
          <c:w val="0.48973130407105026"/>
          <c:h val="0.73573762123205866"/>
        </c:manualLayout>
      </c:layout>
      <c:radarChart>
        <c:radarStyle val="marker"/>
        <c:varyColors val="0"/>
        <c:ser>
          <c:idx val="0"/>
          <c:order val="0"/>
          <c:tx>
            <c:strRef>
              <c:f>'AGG DM'!$W$23</c:f>
              <c:strCache>
                <c:ptCount val="1"/>
                <c:pt idx="0">
                  <c:v>EM sector</c:v>
                </c:pt>
              </c:strCache>
            </c:strRef>
          </c:tx>
          <c:spPr>
            <a:ln w="25400">
              <a:solidFill>
                <a:srgbClr val="263238"/>
              </a:solidFill>
              <a:prstDash val="solid"/>
            </a:ln>
            <a:effectLst/>
          </c:spPr>
          <c:marker>
            <c:symbol val="diamond"/>
            <c:size val="6"/>
            <c:spPr>
              <a:solidFill>
                <a:srgbClr val="263238"/>
              </a:solidFill>
              <a:ln w="6350">
                <a:noFill/>
              </a:ln>
            </c:spPr>
          </c:marker>
          <c:cat>
            <c:strRef>
              <c:f>'AGG DM'!$V$24:$V$33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DM'!$W$24:$W$33</c:f>
              <c:numCache>
                <c:formatCode>_-* #,##0.0_-;\-* #,##0.0_-;_-* "-"?_-;_-@_-</c:formatCode>
                <c:ptCount val="10"/>
                <c:pt idx="0">
                  <c:v>1.4344777253192598</c:v>
                </c:pt>
                <c:pt idx="1">
                  <c:v>1.4607615755736452</c:v>
                </c:pt>
                <c:pt idx="2">
                  <c:v>1.317348152141367</c:v>
                </c:pt>
                <c:pt idx="3">
                  <c:v>1.4275210724224352</c:v>
                </c:pt>
                <c:pt idx="4">
                  <c:v>1.1574637129251657</c:v>
                </c:pt>
                <c:pt idx="5">
                  <c:v>1.7351236905381724</c:v>
                </c:pt>
                <c:pt idx="6">
                  <c:v>0.78578170815660631</c:v>
                </c:pt>
                <c:pt idx="7">
                  <c:v>0.91342669095725881</c:v>
                </c:pt>
                <c:pt idx="8" formatCode="0%">
                  <c:v>1.140573841815018</c:v>
                </c:pt>
                <c:pt idx="9" formatCode="0%">
                  <c:v>0.7857817081566062</c:v>
                </c:pt>
              </c:numCache>
            </c:numRef>
          </c:val>
          <c:extLst>
            <c:ext xmlns:c16="http://schemas.microsoft.com/office/drawing/2014/chart" uri="{C3380CC4-5D6E-409C-BE32-E72D297353CC}">
              <c16:uniqueId val="{00000000-F963-4EFE-82CA-4557A353CA68}"/>
            </c:ext>
          </c:extLst>
        </c:ser>
        <c:ser>
          <c:idx val="1"/>
          <c:order val="1"/>
          <c:tx>
            <c:strRef>
              <c:f>'AGG DM'!$X$23</c:f>
              <c:strCache>
                <c:ptCount val="1"/>
                <c:pt idx="0">
                  <c:v>W.European telecoms sector</c:v>
                </c:pt>
              </c:strCache>
            </c:strRef>
          </c:tx>
          <c:spPr>
            <a:ln w="25400">
              <a:solidFill>
                <a:srgbClr val="799098"/>
              </a:solidFill>
              <a:prstDash val="solid"/>
            </a:ln>
            <a:effectLst/>
          </c:spPr>
          <c:marker>
            <c:symbol val="diamond"/>
            <c:size val="6"/>
            <c:spPr>
              <a:solidFill>
                <a:srgbClr val="799098"/>
              </a:solidFill>
              <a:ln w="6350">
                <a:noFill/>
              </a:ln>
            </c:spPr>
          </c:marker>
          <c:cat>
            <c:strRef>
              <c:f>'AGG DM'!$V$24:$V$33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963-4EFE-82CA-4557A353CA68}"/>
            </c:ext>
          </c:extLst>
        </c:ser>
        <c:dLbls>
          <c:showLegendKey val="0"/>
          <c:showVal val="0"/>
          <c:showCatName val="0"/>
          <c:showSerName val="0"/>
          <c:showPercent val="0"/>
          <c:showBubbleSize val="0"/>
        </c:dLbls>
        <c:axId val="359774080"/>
        <c:axId val="359776256"/>
      </c:radarChart>
      <c:catAx>
        <c:axId val="3597740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776256"/>
        <c:crosses val="autoZero"/>
        <c:auto val="0"/>
        <c:lblAlgn val="ctr"/>
        <c:lblOffset val="100"/>
        <c:noMultiLvlLbl val="0"/>
      </c:catAx>
      <c:valAx>
        <c:axId val="359776256"/>
        <c:scaling>
          <c:orientation val="minMax"/>
        </c:scaling>
        <c:delete val="0"/>
        <c:axPos val="l"/>
        <c:numFmt formatCode="0%" sourceLinked="0"/>
        <c:majorTickMark val="cross"/>
        <c:minorTickMark val="none"/>
        <c:tickLblPos val="nextTo"/>
        <c:spPr>
          <a:ln w="3175">
            <a:solidFill>
              <a:srgbClr val="B3B3B3"/>
            </a:solidFill>
            <a:prstDash val="solid"/>
          </a:ln>
        </c:spPr>
        <c:txPr>
          <a:bodyPr rot="0" vert="horz"/>
          <a:lstStyle/>
          <a:p>
            <a:pPr>
              <a:defRPr/>
            </a:pPr>
            <a:endParaRPr lang="en-US"/>
          </a:p>
        </c:txPr>
        <c:crossAx val="3597740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14743809528477"/>
          <c:y val="6.8750000000000019E-2"/>
          <c:w val="0.42495797300427557"/>
          <c:h val="0.66300519133812996"/>
        </c:manualLayout>
      </c:layout>
      <c:radarChart>
        <c:radarStyle val="marker"/>
        <c:varyColors val="0"/>
        <c:ser>
          <c:idx val="0"/>
          <c:order val="0"/>
          <c:tx>
            <c:strRef>
              <c:f>'EM INCUMB'!$W$23</c:f>
              <c:strCache>
                <c:ptCount val="1"/>
                <c:pt idx="0">
                  <c:v>EM incumbents</c:v>
                </c:pt>
              </c:strCache>
            </c:strRef>
          </c:tx>
          <c:spPr>
            <a:ln w="25400">
              <a:solidFill>
                <a:srgbClr val="263238"/>
              </a:solidFill>
              <a:prstDash val="solid"/>
            </a:ln>
            <a:effectLst/>
          </c:spPr>
          <c:marker>
            <c:symbol val="diamond"/>
            <c:size val="6"/>
            <c:spPr>
              <a:solidFill>
                <a:srgbClr val="263238"/>
              </a:solidFill>
              <a:ln w="6350">
                <a:noFill/>
              </a:ln>
            </c:spPr>
          </c:marker>
          <c:cat>
            <c:strRef>
              <c:f>'EM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INCUMB'!$W$24:$W$33</c:f>
              <c:numCache>
                <c:formatCode>0%</c:formatCode>
                <c:ptCount val="10"/>
                <c:pt idx="0">
                  <c:v>0.56426999762303187</c:v>
                </c:pt>
                <c:pt idx="1">
                  <c:v>0.62505410913197157</c:v>
                </c:pt>
                <c:pt idx="2">
                  <c:v>0.69726893291694758</c:v>
                </c:pt>
                <c:pt idx="3">
                  <c:v>0.71970923324780922</c:v>
                </c:pt>
                <c:pt idx="4">
                  <c:v>0.70604266549052697</c:v>
                </c:pt>
                <c:pt idx="5">
                  <c:v>0.58568938930955727</c:v>
                </c:pt>
                <c:pt idx="6">
                  <c:v>0.6750453790515103</c:v>
                </c:pt>
                <c:pt idx="7">
                  <c:v>0.77562802497945194</c:v>
                </c:pt>
                <c:pt idx="8">
                  <c:v>0.88229119047535276</c:v>
                </c:pt>
                <c:pt idx="9">
                  <c:v>0.6750453790515103</c:v>
                </c:pt>
              </c:numCache>
            </c:numRef>
          </c:val>
          <c:extLst>
            <c:ext xmlns:c16="http://schemas.microsoft.com/office/drawing/2014/chart" uri="{C3380CC4-5D6E-409C-BE32-E72D297353CC}">
              <c16:uniqueId val="{00000000-2209-42CD-AE70-3D20949BDEE8}"/>
            </c:ext>
          </c:extLst>
        </c:ser>
        <c:ser>
          <c:idx val="1"/>
          <c:order val="1"/>
          <c:tx>
            <c:strRef>
              <c:f>'EM INCUMB'!$X$23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209-42CD-AE70-3D20949BDEE8}"/>
            </c:ext>
          </c:extLst>
        </c:ser>
        <c:dLbls>
          <c:showLegendKey val="0"/>
          <c:showVal val="0"/>
          <c:showCatName val="0"/>
          <c:showSerName val="0"/>
          <c:showPercent val="0"/>
          <c:showBubbleSize val="0"/>
        </c:dLbls>
        <c:axId val="359261696"/>
        <c:axId val="359263616"/>
      </c:radarChart>
      <c:catAx>
        <c:axId val="3592616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263616"/>
        <c:crosses val="autoZero"/>
        <c:auto val="0"/>
        <c:lblAlgn val="ctr"/>
        <c:lblOffset val="100"/>
        <c:noMultiLvlLbl val="0"/>
      </c:catAx>
      <c:valAx>
        <c:axId val="359263616"/>
        <c:scaling>
          <c:orientation val="minMax"/>
          <c:max val="1.2"/>
          <c:min val="0.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261696"/>
        <c:crosses val="autoZero"/>
        <c:crossBetween val="between"/>
        <c:majorUnit val="0.2"/>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53256967120791"/>
          <c:y val="8.4375000000000006E-2"/>
          <c:w val="0.44556495476010699"/>
          <c:h val="0.69062500000000127"/>
        </c:manualLayout>
      </c:layout>
      <c:radarChart>
        <c:radarStyle val="marker"/>
        <c:varyColors val="0"/>
        <c:ser>
          <c:idx val="0"/>
          <c:order val="0"/>
          <c:tx>
            <c:strRef>
              <c:f>'EM CELLULAR'!$W$23</c:f>
              <c:strCache>
                <c:ptCount val="1"/>
                <c:pt idx="0">
                  <c:v>EM cellular</c:v>
                </c:pt>
              </c:strCache>
            </c:strRef>
          </c:tx>
          <c:spPr>
            <a:ln w="25400">
              <a:solidFill>
                <a:srgbClr val="263238"/>
              </a:solidFill>
              <a:prstDash val="solid"/>
            </a:ln>
            <a:effectLst/>
          </c:spPr>
          <c:marker>
            <c:symbol val="diamond"/>
            <c:size val="6"/>
            <c:spPr>
              <a:solidFill>
                <a:srgbClr val="263238"/>
              </a:solidFill>
              <a:ln w="6350">
                <a:noFill/>
              </a:ln>
            </c:spPr>
          </c:marker>
          <c:cat>
            <c:strRef>
              <c:f>'EM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CELLULAR'!$W$24:$W$33</c:f>
              <c:numCache>
                <c:formatCode>0%</c:formatCode>
                <c:ptCount val="10"/>
                <c:pt idx="0">
                  <c:v>1.3584381668579277</c:v>
                </c:pt>
                <c:pt idx="1">
                  <c:v>1.2612960141504341</c:v>
                </c:pt>
                <c:pt idx="2">
                  <c:v>1.1737373908522464</c:v>
                </c:pt>
                <c:pt idx="3">
                  <c:v>1.151688181709706</c:v>
                </c:pt>
                <c:pt idx="4">
                  <c:v>1.1698512492125628</c:v>
                </c:pt>
                <c:pt idx="5">
                  <c:v>1.3201729126303172</c:v>
                </c:pt>
                <c:pt idx="6">
                  <c:v>1.2689187375795326</c:v>
                </c:pt>
                <c:pt idx="7">
                  <c:v>1.1525959058969142</c:v>
                </c:pt>
                <c:pt idx="8">
                  <c:v>1.0549785974003552</c:v>
                </c:pt>
                <c:pt idx="9">
                  <c:v>1.2689187375795328</c:v>
                </c:pt>
              </c:numCache>
            </c:numRef>
          </c:val>
          <c:extLst>
            <c:ext xmlns:c16="http://schemas.microsoft.com/office/drawing/2014/chart" uri="{C3380CC4-5D6E-409C-BE32-E72D297353CC}">
              <c16:uniqueId val="{00000000-F1D4-4B51-AAA9-D97E24E8B2C6}"/>
            </c:ext>
          </c:extLst>
        </c:ser>
        <c:ser>
          <c:idx val="1"/>
          <c:order val="1"/>
          <c:tx>
            <c:strRef>
              <c:f>'EM CELLULAR'!$X$23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1D4-4B51-AAA9-D97E24E8B2C6}"/>
            </c:ext>
          </c:extLst>
        </c:ser>
        <c:dLbls>
          <c:showLegendKey val="0"/>
          <c:showVal val="0"/>
          <c:showCatName val="0"/>
          <c:showSerName val="0"/>
          <c:showPercent val="0"/>
          <c:showBubbleSize val="0"/>
        </c:dLbls>
        <c:axId val="359441536"/>
        <c:axId val="359443456"/>
      </c:radarChart>
      <c:catAx>
        <c:axId val="3594415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443456"/>
        <c:crosses val="autoZero"/>
        <c:auto val="0"/>
        <c:lblAlgn val="ctr"/>
        <c:lblOffset val="100"/>
        <c:noMultiLvlLbl val="0"/>
      </c:catAx>
      <c:valAx>
        <c:axId val="3594434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4415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53256967120791"/>
          <c:y val="8.4375000000000006E-2"/>
          <c:w val="0.44556495476010699"/>
          <c:h val="0.69062500000000127"/>
        </c:manualLayout>
      </c:layout>
      <c:radarChart>
        <c:radarStyle val="marker"/>
        <c:varyColors val="0"/>
        <c:ser>
          <c:idx val="0"/>
          <c:order val="0"/>
          <c:tx>
            <c:strRef>
              <c:f>'EM ALTNET &amp; CABLE'!$W$23</c:f>
              <c:strCache>
                <c:ptCount val="1"/>
                <c:pt idx="0">
                  <c:v>EM cellular</c:v>
                </c:pt>
              </c:strCache>
            </c:strRef>
          </c:tx>
          <c:spPr>
            <a:ln w="25400">
              <a:solidFill>
                <a:srgbClr val="263238"/>
              </a:solidFill>
              <a:prstDash val="solid"/>
            </a:ln>
            <a:effectLst/>
          </c:spPr>
          <c:marker>
            <c:symbol val="diamond"/>
            <c:size val="6"/>
            <c:spPr>
              <a:solidFill>
                <a:srgbClr val="263238"/>
              </a:solidFill>
              <a:ln w="6350">
                <a:noFill/>
              </a:ln>
            </c:spPr>
          </c:marker>
          <c:cat>
            <c:strRef>
              <c:f>'EM ALTNET &amp; CABLE'!$V$24:$V$33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ALTNET &amp; CABLE'!$W$24:$W$33</c:f>
              <c:numCache>
                <c:formatCode>0%</c:formatCode>
                <c:ptCount val="10"/>
                <c:pt idx="0">
                  <c:v>1.1125321810534832</c:v>
                </c:pt>
                <c:pt idx="1">
                  <c:v>0.96003096283038092</c:v>
                </c:pt>
                <c:pt idx="2">
                  <c:v>1.0812799916737703</c:v>
                </c:pt>
                <c:pt idx="3">
                  <c:v>1.1439910858433568</c:v>
                </c:pt>
                <c:pt idx="4">
                  <c:v>0.90426612826853592</c:v>
                </c:pt>
                <c:pt idx="5">
                  <c:v>1.0507554043822334</c:v>
                </c:pt>
                <c:pt idx="6">
                  <c:v>0.19035283294245736</c:v>
                </c:pt>
                <c:pt idx="7">
                  <c:v>0.27766426980506737</c:v>
                </c:pt>
                <c:pt idx="8">
                  <c:v>1.1296204105080774</c:v>
                </c:pt>
                <c:pt idx="9">
                  <c:v>0.19035283294245736</c:v>
                </c:pt>
              </c:numCache>
            </c:numRef>
          </c:val>
          <c:extLst>
            <c:ext xmlns:c16="http://schemas.microsoft.com/office/drawing/2014/chart" uri="{C3380CC4-5D6E-409C-BE32-E72D297353CC}">
              <c16:uniqueId val="{00000000-E564-4C08-A559-947FDE7020A0}"/>
            </c:ext>
          </c:extLst>
        </c:ser>
        <c:ser>
          <c:idx val="1"/>
          <c:order val="1"/>
          <c:tx>
            <c:strRef>
              <c:f>'EM ALTNET &amp; CABLE'!$X$23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 ALTNET &amp; CABLE'!$V$24:$V$33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ALTNET &amp; CABLE'!$X$24:$X$33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564-4C08-A559-947FDE7020A0}"/>
            </c:ext>
          </c:extLst>
        </c:ser>
        <c:dLbls>
          <c:showLegendKey val="0"/>
          <c:showVal val="0"/>
          <c:showCatName val="0"/>
          <c:showSerName val="0"/>
          <c:showPercent val="0"/>
          <c:showBubbleSize val="0"/>
        </c:dLbls>
        <c:axId val="359916288"/>
        <c:axId val="359918208"/>
      </c:radarChart>
      <c:catAx>
        <c:axId val="3599162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918208"/>
        <c:crosses val="autoZero"/>
        <c:auto val="0"/>
        <c:lblAlgn val="ctr"/>
        <c:lblOffset val="100"/>
        <c:noMultiLvlLbl val="0"/>
      </c:catAx>
      <c:valAx>
        <c:axId val="359918208"/>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916288"/>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CCI!$W$24</c:f>
              <c:strCache>
                <c:ptCount val="1"/>
                <c:pt idx="0">
                  <c:v>CCI</c:v>
                </c:pt>
              </c:strCache>
            </c:strRef>
          </c:tx>
          <c:spPr>
            <a:ln w="25400">
              <a:solidFill>
                <a:srgbClr val="263238"/>
              </a:solidFill>
              <a:prstDash val="solid"/>
            </a:ln>
            <a:effectLst/>
          </c:spPr>
          <c:marker>
            <c:symbol val="diamond"/>
            <c:size val="6"/>
            <c:spPr>
              <a:solidFill>
                <a:srgbClr val="263238"/>
              </a:solidFill>
              <a:ln w="6350">
                <a:noFill/>
              </a:ln>
            </c:spPr>
          </c:marker>
          <c:cat>
            <c:strRef>
              <c:f>CCI!$V$25:$V$34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CCI!$W$25:$W$34</c:f>
              <c:numCache>
                <c:formatCode>0%</c:formatCode>
                <c:ptCount val="10"/>
                <c:pt idx="0">
                  <c:v>0.80729803809515022</c:v>
                </c:pt>
                <c:pt idx="1">
                  <c:v>0.83010608457283586</c:v>
                </c:pt>
                <c:pt idx="2">
                  <c:v>0.95561326678007352</c:v>
                </c:pt>
                <c:pt idx="3">
                  <c:v>0.95561326678007341</c:v>
                </c:pt>
                <c:pt idx="4">
                  <c:v>0.75520192477292181</c:v>
                </c:pt>
                <c:pt idx="5">
                  <c:v>0.67036913338013016</c:v>
                </c:pt>
                <c:pt idx="6">
                  <c:v>0.94437041792809839</c:v>
                </c:pt>
                <c:pt idx="7">
                  <c:v>0.74138180595892966</c:v>
                </c:pt>
                <c:pt idx="8">
                  <c:v>1.7183494272885413</c:v>
                </c:pt>
                <c:pt idx="9">
                  <c:v>1.0589065275826302</c:v>
                </c:pt>
              </c:numCache>
            </c:numRef>
          </c:val>
          <c:extLst>
            <c:ext xmlns:c16="http://schemas.microsoft.com/office/drawing/2014/chart" uri="{C3380CC4-5D6E-409C-BE32-E72D297353CC}">
              <c16:uniqueId val="{00000000-ADE3-49FD-AA6F-B7F6D4D7BBC5}"/>
            </c:ext>
          </c:extLst>
        </c:ser>
        <c:ser>
          <c:idx val="1"/>
          <c:order val="1"/>
          <c:tx>
            <c:strRef>
              <c:f>CCI!$X$24</c:f>
              <c:strCache>
                <c:ptCount val="1"/>
                <c:pt idx="0">
                  <c:v>Agg. US Towers</c:v>
                </c:pt>
              </c:strCache>
            </c:strRef>
          </c:tx>
          <c:spPr>
            <a:ln w="25400">
              <a:solidFill>
                <a:srgbClr val="799098"/>
              </a:solidFill>
              <a:prstDash val="solid"/>
            </a:ln>
            <a:effectLst/>
          </c:spPr>
          <c:marker>
            <c:symbol val="diamond"/>
            <c:size val="6"/>
            <c:spPr>
              <a:solidFill>
                <a:srgbClr val="799098"/>
              </a:solidFill>
              <a:ln w="6350">
                <a:noFill/>
              </a:ln>
            </c:spPr>
          </c:marker>
          <c:cat>
            <c:strRef>
              <c:f>CCI!$V$25:$V$34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CCI!$X$25:$X$34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DE3-49FD-AA6F-B7F6D4D7BBC5}"/>
            </c:ext>
          </c:extLst>
        </c:ser>
        <c:dLbls>
          <c:showLegendKey val="0"/>
          <c:showVal val="0"/>
          <c:showCatName val="0"/>
          <c:showSerName val="0"/>
          <c:showPercent val="0"/>
          <c:showBubbleSize val="0"/>
        </c:dLbls>
        <c:axId val="358845440"/>
        <c:axId val="358876288"/>
      </c:radarChart>
      <c:catAx>
        <c:axId val="3588454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876288"/>
        <c:crosses val="autoZero"/>
        <c:auto val="0"/>
        <c:lblAlgn val="ctr"/>
        <c:lblOffset val="100"/>
        <c:noMultiLvlLbl val="0"/>
      </c:catAx>
      <c:valAx>
        <c:axId val="35887628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8454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19509329203551"/>
          <c:y val="6.8750000000000019E-2"/>
          <c:w val="0.45197586208062596"/>
          <c:h val="0.71914035231660978"/>
        </c:manualLayout>
      </c:layout>
      <c:radarChart>
        <c:radarStyle val="marker"/>
        <c:varyColors val="0"/>
        <c:ser>
          <c:idx val="0"/>
          <c:order val="0"/>
          <c:tx>
            <c:strRef>
              <c:f>'EM TOWERS'!$W$23</c:f>
              <c:strCache>
                <c:ptCount val="1"/>
                <c:pt idx="0">
                  <c:v>EM Towers</c:v>
                </c:pt>
              </c:strCache>
            </c:strRef>
          </c:tx>
          <c:spPr>
            <a:ln w="25400">
              <a:solidFill>
                <a:srgbClr val="263238"/>
              </a:solidFill>
              <a:prstDash val="solid"/>
            </a:ln>
            <a:effectLst/>
          </c:spPr>
          <c:marker>
            <c:symbol val="diamond"/>
            <c:size val="6"/>
            <c:spPr>
              <a:solidFill>
                <a:srgbClr val="263238"/>
              </a:solidFill>
              <a:ln w="6350">
                <a:noFill/>
              </a:ln>
            </c:spPr>
          </c:marker>
          <c:cat>
            <c:strRef>
              <c:f>'EM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TOWERS'!$W$24:$W$33</c:f>
              <c:numCache>
                <c:formatCode>0%</c:formatCode>
                <c:ptCount val="10"/>
                <c:pt idx="0">
                  <c:v>1.7770792639723112</c:v>
                </c:pt>
                <c:pt idx="1">
                  <c:v>0.93829502882405202</c:v>
                </c:pt>
                <c:pt idx="2">
                  <c:v>0.71532598198099095</c:v>
                </c:pt>
                <c:pt idx="3">
                  <c:v>0.65202107315215452</c:v>
                </c:pt>
                <c:pt idx="4">
                  <c:v>0</c:v>
                </c:pt>
                <c:pt idx="5">
                  <c:v>0</c:v>
                </c:pt>
                <c:pt idx="6">
                  <c:v>0.40378138176366912</c:v>
                </c:pt>
                <c:pt idx="7">
                  <c:v>0.825456362448449</c:v>
                </c:pt>
                <c:pt idx="8">
                  <c:v>1.3706200409998439</c:v>
                </c:pt>
                <c:pt idx="9">
                  <c:v>0.40378138176366912</c:v>
                </c:pt>
              </c:numCache>
            </c:numRef>
          </c:val>
          <c:extLst>
            <c:ext xmlns:c16="http://schemas.microsoft.com/office/drawing/2014/chart" uri="{C3380CC4-5D6E-409C-BE32-E72D297353CC}">
              <c16:uniqueId val="{00000000-2564-4BE1-820B-ABF83F0782F1}"/>
            </c:ext>
          </c:extLst>
        </c:ser>
        <c:ser>
          <c:idx val="1"/>
          <c:order val="1"/>
          <c:tx>
            <c:strRef>
              <c:f>'EM TOWERS'!$X$23</c:f>
              <c:strCache>
                <c:ptCount val="1"/>
                <c:pt idx="0">
                  <c:v>EM Aggregate</c:v>
                </c:pt>
              </c:strCache>
            </c:strRef>
          </c:tx>
          <c:spPr>
            <a:ln w="25400">
              <a:solidFill>
                <a:srgbClr val="799098"/>
              </a:solidFill>
              <a:prstDash val="solid"/>
            </a:ln>
            <a:effectLst/>
          </c:spPr>
          <c:marker>
            <c:symbol val="diamond"/>
            <c:size val="6"/>
            <c:spPr>
              <a:solidFill>
                <a:srgbClr val="799098"/>
              </a:solidFill>
              <a:ln w="6350">
                <a:noFill/>
              </a:ln>
            </c:spPr>
          </c:marker>
          <c:cat>
            <c:strRef>
              <c:f>'EM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TOWERS'!$X$24:$X$33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564-4BE1-820B-ABF83F0782F1}"/>
            </c:ext>
          </c:extLst>
        </c:ser>
        <c:dLbls>
          <c:showLegendKey val="0"/>
          <c:showVal val="0"/>
          <c:showCatName val="0"/>
          <c:showSerName val="0"/>
          <c:showPercent val="0"/>
          <c:showBubbleSize val="0"/>
        </c:dLbls>
        <c:axId val="353080832"/>
        <c:axId val="353082752"/>
      </c:radarChart>
      <c:catAx>
        <c:axId val="3530808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082752"/>
        <c:crosses val="autoZero"/>
        <c:auto val="0"/>
        <c:lblAlgn val="ctr"/>
        <c:lblOffset val="100"/>
        <c:noMultiLvlLbl val="0"/>
      </c:catAx>
      <c:valAx>
        <c:axId val="353082752"/>
        <c:scaling>
          <c:orientation val="minMax"/>
          <c:max val="4"/>
          <c:min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0808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39153002643205"/>
          <c:y val="0.10625000000000002"/>
          <c:w val="0.45983399848199175"/>
          <c:h val="0.69082202708382356"/>
        </c:manualLayout>
      </c:layout>
      <c:radarChart>
        <c:radarStyle val="marker"/>
        <c:varyColors val="0"/>
        <c:ser>
          <c:idx val="0"/>
          <c:order val="0"/>
          <c:tx>
            <c:strRef>
              <c:f>'AGG EM'!$W$23</c:f>
              <c:strCache>
                <c:ptCount val="1"/>
                <c:pt idx="0">
                  <c:v>EM sector</c:v>
                </c:pt>
              </c:strCache>
            </c:strRef>
          </c:tx>
          <c:spPr>
            <a:ln w="25400">
              <a:solidFill>
                <a:srgbClr val="263238"/>
              </a:solidFill>
              <a:prstDash val="solid"/>
            </a:ln>
            <a:effectLst/>
          </c:spPr>
          <c:marker>
            <c:symbol val="diamond"/>
            <c:size val="6"/>
            <c:spPr>
              <a:solidFill>
                <a:srgbClr val="263238"/>
              </a:solidFill>
              <a:ln w="6350">
                <a:noFill/>
              </a:ln>
            </c:spPr>
          </c:marker>
          <c:cat>
            <c:strRef>
              <c:f>'AGG EM'!$V$24:$V$33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EM'!$W$24:$W$33</c:f>
              <c:numCache>
                <c:formatCode>_-* #,##0.0_-;\-* #,##0.0_-;_-* "-"?_-;_-@_-</c:formatCode>
                <c:ptCount val="10"/>
                <c:pt idx="0">
                  <c:v>0.69711783065675581</c:v>
                </c:pt>
                <c:pt idx="1">
                  <c:v>0.68457441427927568</c:v>
                </c:pt>
                <c:pt idx="2">
                  <c:v>0.75910077254405883</c:v>
                </c:pt>
                <c:pt idx="3">
                  <c:v>0.70051505320551788</c:v>
                </c:pt>
                <c:pt idx="4">
                  <c:v>0.86395797020087983</c:v>
                </c:pt>
                <c:pt idx="5">
                  <c:v>0.57632778887932556</c:v>
                </c:pt>
                <c:pt idx="6">
                  <c:v>1.272618068885742</c:v>
                </c:pt>
                <c:pt idx="7">
                  <c:v>1.0947786066465974</c:v>
                </c:pt>
                <c:pt idx="8" formatCode="0%">
                  <c:v>0.8767516519655405</c:v>
                </c:pt>
                <c:pt idx="9" formatCode="0%">
                  <c:v>1.272618068885742</c:v>
                </c:pt>
              </c:numCache>
            </c:numRef>
          </c:val>
          <c:extLst>
            <c:ext xmlns:c16="http://schemas.microsoft.com/office/drawing/2014/chart" uri="{C3380CC4-5D6E-409C-BE32-E72D297353CC}">
              <c16:uniqueId val="{00000000-74BA-4914-892D-73F262633CF6}"/>
            </c:ext>
          </c:extLst>
        </c:ser>
        <c:ser>
          <c:idx val="1"/>
          <c:order val="1"/>
          <c:tx>
            <c:strRef>
              <c:f>'AGG EM'!$X$23</c:f>
              <c:strCache>
                <c:ptCount val="1"/>
                <c:pt idx="0">
                  <c:v>DM sector</c:v>
                </c:pt>
              </c:strCache>
            </c:strRef>
          </c:tx>
          <c:spPr>
            <a:ln w="25400">
              <a:solidFill>
                <a:srgbClr val="799098"/>
              </a:solidFill>
              <a:prstDash val="solid"/>
            </a:ln>
            <a:effectLst/>
          </c:spPr>
          <c:marker>
            <c:symbol val="diamond"/>
            <c:size val="6"/>
            <c:spPr>
              <a:solidFill>
                <a:srgbClr val="799098"/>
              </a:solidFill>
              <a:ln w="6350">
                <a:noFill/>
              </a:ln>
            </c:spPr>
          </c:marker>
          <c:cat>
            <c:strRef>
              <c:f>'AGG EM'!$V$24:$V$33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4BA-4914-892D-73F262633CF6}"/>
            </c:ext>
          </c:extLst>
        </c:ser>
        <c:dLbls>
          <c:showLegendKey val="0"/>
          <c:showVal val="0"/>
          <c:showCatName val="0"/>
          <c:showSerName val="0"/>
          <c:showPercent val="0"/>
          <c:showBubbleSize val="0"/>
        </c:dLbls>
        <c:axId val="360079744"/>
        <c:axId val="360081664"/>
      </c:radarChart>
      <c:catAx>
        <c:axId val="3600797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60081664"/>
        <c:crosses val="autoZero"/>
        <c:auto val="0"/>
        <c:lblAlgn val="ctr"/>
        <c:lblOffset val="100"/>
        <c:noMultiLvlLbl val="0"/>
      </c:catAx>
      <c:valAx>
        <c:axId val="360081664"/>
        <c:scaling>
          <c:orientation val="minMax"/>
        </c:scaling>
        <c:delete val="0"/>
        <c:axPos val="l"/>
        <c:numFmt formatCode="_-* #,##0.0_-;\-* #,##0.0_-;_-* &quot;-&quot;?_-;_-@_-" sourceLinked="1"/>
        <c:majorTickMark val="cross"/>
        <c:minorTickMark val="none"/>
        <c:tickLblPos val="nextTo"/>
        <c:spPr>
          <a:ln w="3175">
            <a:solidFill>
              <a:srgbClr val="B3B3B3"/>
            </a:solidFill>
            <a:prstDash val="solid"/>
          </a:ln>
        </c:spPr>
        <c:txPr>
          <a:bodyPr rot="0" vert="horz"/>
          <a:lstStyle/>
          <a:p>
            <a:pPr>
              <a:defRPr/>
            </a:pPr>
            <a:endParaRPr lang="en-US"/>
          </a:p>
        </c:txPr>
        <c:crossAx val="3600797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4-F77B-49DD-913D-FBADE3F2E44A}"/>
              </c:ext>
            </c:extLst>
          </c:dPt>
          <c:dPt>
            <c:idx val="1"/>
            <c:bubble3D val="0"/>
            <c:spPr>
              <a:solidFill>
                <a:srgbClr val="799098"/>
              </a:solidFill>
              <a:ln w="25400">
                <a:noFill/>
              </a:ln>
              <a:effectLst/>
            </c:spPr>
            <c:extLst>
              <c:ext xmlns:c16="http://schemas.microsoft.com/office/drawing/2014/chart" uri="{C3380CC4-5D6E-409C-BE32-E72D297353CC}">
                <c16:uniqueId val="{00000005-F77B-49DD-913D-FBADE3F2E44A}"/>
              </c:ext>
            </c:extLst>
          </c:dPt>
          <c:dPt>
            <c:idx val="2"/>
            <c:bubble3D val="0"/>
            <c:spPr>
              <a:solidFill>
                <a:srgbClr val="F9663E"/>
              </a:solidFill>
              <a:ln w="25400">
                <a:noFill/>
              </a:ln>
              <a:effectLst/>
            </c:spPr>
            <c:extLst>
              <c:ext xmlns:c16="http://schemas.microsoft.com/office/drawing/2014/chart" uri="{C3380CC4-5D6E-409C-BE32-E72D297353CC}">
                <c16:uniqueId val="{00000006-F77B-49DD-913D-FBADE3F2E44A}"/>
              </c:ext>
            </c:extLst>
          </c:dPt>
          <c:dPt>
            <c:idx val="3"/>
            <c:bubble3D val="0"/>
            <c:spPr>
              <a:solidFill>
                <a:srgbClr val="C7FE02"/>
              </a:solidFill>
              <a:ln w="25400">
                <a:noFill/>
              </a:ln>
              <a:effectLst/>
            </c:spPr>
            <c:extLst>
              <c:ext xmlns:c16="http://schemas.microsoft.com/office/drawing/2014/chart" uri="{C3380CC4-5D6E-409C-BE32-E72D297353CC}">
                <c16:uniqueId val="{00000007-F77B-49DD-913D-FBADE3F2E44A}"/>
              </c:ext>
            </c:extLst>
          </c:dPt>
          <c:dPt>
            <c:idx val="4"/>
            <c:bubble3D val="0"/>
            <c:spPr>
              <a:solidFill>
                <a:srgbClr val="00C994"/>
              </a:solidFill>
              <a:ln w="25400">
                <a:noFill/>
              </a:ln>
              <a:effectLst/>
            </c:spPr>
            <c:extLst>
              <c:ext xmlns:c16="http://schemas.microsoft.com/office/drawing/2014/chart" uri="{C3380CC4-5D6E-409C-BE32-E72D297353CC}">
                <c16:uniqueId val="{00000008-F77B-49DD-913D-FBADE3F2E44A}"/>
              </c:ext>
            </c:extLst>
          </c:dPt>
          <c:dPt>
            <c:idx val="5"/>
            <c:bubble3D val="0"/>
            <c:spPr>
              <a:solidFill>
                <a:srgbClr val="465A63"/>
              </a:solidFill>
              <a:ln w="25400">
                <a:noFill/>
              </a:ln>
              <a:effectLst/>
            </c:spPr>
            <c:extLst>
              <c:ext xmlns:c16="http://schemas.microsoft.com/office/drawing/2014/chart" uri="{C3380CC4-5D6E-409C-BE32-E72D297353CC}">
                <c16:uniqueId val="{00000009-F77B-49DD-913D-FBADE3F2E44A}"/>
              </c:ext>
            </c:extLst>
          </c:dPt>
          <c:dPt>
            <c:idx val="6"/>
            <c:bubble3D val="0"/>
            <c:spPr>
              <a:solidFill>
                <a:srgbClr val="B0BEC5"/>
              </a:solidFill>
              <a:ln w="25400">
                <a:noFill/>
              </a:ln>
              <a:effectLst/>
            </c:spPr>
            <c:extLst>
              <c:ext xmlns:c16="http://schemas.microsoft.com/office/drawing/2014/chart" uri="{C3380CC4-5D6E-409C-BE32-E72D297353CC}">
                <c16:uniqueId val="{0000000A-F77B-49DD-913D-FBADE3F2E44A}"/>
              </c:ext>
            </c:extLst>
          </c:dPt>
          <c:dPt>
            <c:idx val="7"/>
            <c:bubble3D val="0"/>
            <c:spPr>
              <a:solidFill>
                <a:srgbClr val="F19375"/>
              </a:solidFill>
              <a:ln w="25400">
                <a:noFill/>
              </a:ln>
              <a:effectLst/>
            </c:spPr>
            <c:extLst>
              <c:ext xmlns:c16="http://schemas.microsoft.com/office/drawing/2014/chart" uri="{C3380CC4-5D6E-409C-BE32-E72D297353CC}">
                <c16:uniqueId val="{0000000B-F77B-49DD-913D-FBADE3F2E44A}"/>
              </c:ext>
            </c:extLst>
          </c:dPt>
          <c:dPt>
            <c:idx val="8"/>
            <c:bubble3D val="0"/>
            <c:spPr>
              <a:solidFill>
                <a:srgbClr val="E3F982"/>
              </a:solidFill>
              <a:ln w="25400">
                <a:noFill/>
              </a:ln>
              <a:effectLst/>
            </c:spPr>
            <c:extLst>
              <c:ext xmlns:c16="http://schemas.microsoft.com/office/drawing/2014/chart" uri="{C3380CC4-5D6E-409C-BE32-E72D297353CC}">
                <c16:uniqueId val="{0000000C-F77B-49DD-913D-FBADE3F2E44A}"/>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4-F77B-49DD-913D-FBADE3F2E44A}"/>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5-F77B-49DD-913D-FBADE3F2E44A}"/>
                </c:ext>
              </c:extLst>
            </c:dLbl>
            <c:dLbl>
              <c:idx val="5"/>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9-F77B-49DD-913D-FBADE3F2E44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Arial Narrow"/>
                    <a:ea typeface="Arial Narrow"/>
                    <a:cs typeface="Arial Narrow"/>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AXISOP!$T$48:$T$56</c:f>
              <c:strCache>
                <c:ptCount val="9"/>
                <c:pt idx="0">
                  <c:v>Malaysia</c:v>
                </c:pt>
                <c:pt idx="1">
                  <c:v>XL Axiata</c:v>
                </c:pt>
                <c:pt idx="2">
                  <c:v>Sri Lanka</c:v>
                </c:pt>
                <c:pt idx="3">
                  <c:v>Bangladesh</c:v>
                </c:pt>
                <c:pt idx="4">
                  <c:v>Nepal</c:v>
                </c:pt>
                <c:pt idx="5">
                  <c:v>Cambodia</c:v>
                </c:pt>
                <c:pt idx="6">
                  <c:v>Other</c:v>
                </c:pt>
                <c:pt idx="7">
                  <c:v>Mobileone (Singapore)</c:v>
                </c:pt>
                <c:pt idx="8">
                  <c:v>IDEA Cellular</c:v>
                </c:pt>
              </c:strCache>
            </c:strRef>
          </c:cat>
          <c:val>
            <c:numRef>
              <c:f>AXISOP!$X$48:$X$56</c:f>
              <c:numCache>
                <c:formatCode>0.0%</c:formatCode>
                <c:ptCount val="9"/>
                <c:pt idx="0">
                  <c:v>0.21619774150752116</c:v>
                </c:pt>
                <c:pt idx="1">
                  <c:v>0.22918869875245498</c:v>
                </c:pt>
                <c:pt idx="2">
                  <c:v>9.6835063637659383E-2</c:v>
                </c:pt>
                <c:pt idx="3">
                  <c:v>6.4558011370594678E-2</c:v>
                </c:pt>
                <c:pt idx="4">
                  <c:v>4.313423324596323E-2</c:v>
                </c:pt>
                <c:pt idx="5">
                  <c:v>2.0213298185228157E-2</c:v>
                </c:pt>
                <c:pt idx="6">
                  <c:v>0.14253685616576622</c:v>
                </c:pt>
                <c:pt idx="7">
                  <c:v>0</c:v>
                </c:pt>
                <c:pt idx="8">
                  <c:v>0</c:v>
                </c:pt>
              </c:numCache>
            </c:numRef>
          </c:val>
          <c:extLst>
            <c:ext xmlns:c16="http://schemas.microsoft.com/office/drawing/2014/chart" uri="{C3380CC4-5D6E-409C-BE32-E72D297353CC}">
              <c16:uniqueId val="{00000000-F77B-49DD-913D-FBADE3F2E44A}"/>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A034-46DB-8EB7-D97E4DA6C701}"/>
              </c:ext>
            </c:extLst>
          </c:dPt>
          <c:dPt>
            <c:idx val="1"/>
            <c:bubble3D val="0"/>
            <c:spPr>
              <a:solidFill>
                <a:srgbClr val="799098"/>
              </a:solidFill>
              <a:ln w="25400">
                <a:noFill/>
              </a:ln>
              <a:effectLst/>
            </c:spPr>
            <c:extLst>
              <c:ext xmlns:c16="http://schemas.microsoft.com/office/drawing/2014/chart" uri="{C3380CC4-5D6E-409C-BE32-E72D297353CC}">
                <c16:uniqueId val="{00000002-A034-46DB-8EB7-D97E4DA6C701}"/>
              </c:ext>
            </c:extLst>
          </c:dPt>
          <c:dPt>
            <c:idx val="2"/>
            <c:bubble3D val="0"/>
            <c:spPr>
              <a:solidFill>
                <a:srgbClr val="F9663E"/>
              </a:solidFill>
              <a:ln w="25400">
                <a:noFill/>
              </a:ln>
              <a:effectLst/>
            </c:spPr>
            <c:extLst>
              <c:ext xmlns:c16="http://schemas.microsoft.com/office/drawing/2014/chart" uri="{C3380CC4-5D6E-409C-BE32-E72D297353CC}">
                <c16:uniqueId val="{00000003-A034-46DB-8EB7-D97E4DA6C701}"/>
              </c:ext>
            </c:extLst>
          </c:dPt>
          <c:dPt>
            <c:idx val="3"/>
            <c:bubble3D val="0"/>
            <c:spPr>
              <a:solidFill>
                <a:srgbClr val="C7FE02"/>
              </a:solidFill>
              <a:ln w="25400">
                <a:noFill/>
              </a:ln>
              <a:effectLst/>
            </c:spPr>
            <c:extLst>
              <c:ext xmlns:c16="http://schemas.microsoft.com/office/drawing/2014/chart" uri="{C3380CC4-5D6E-409C-BE32-E72D297353CC}">
                <c16:uniqueId val="{00000004-A034-46DB-8EB7-D97E4DA6C701}"/>
              </c:ext>
            </c:extLst>
          </c:dPt>
          <c:dPt>
            <c:idx val="4"/>
            <c:bubble3D val="0"/>
            <c:spPr>
              <a:solidFill>
                <a:srgbClr val="00C994"/>
              </a:solidFill>
              <a:ln w="25400">
                <a:noFill/>
              </a:ln>
              <a:effectLst/>
            </c:spPr>
            <c:extLst>
              <c:ext xmlns:c16="http://schemas.microsoft.com/office/drawing/2014/chart" uri="{C3380CC4-5D6E-409C-BE32-E72D297353CC}">
                <c16:uniqueId val="{00000005-A034-46DB-8EB7-D97E4DA6C701}"/>
              </c:ext>
            </c:extLst>
          </c:dPt>
          <c:dPt>
            <c:idx val="5"/>
            <c:bubble3D val="0"/>
            <c:spPr>
              <a:solidFill>
                <a:srgbClr val="465A63"/>
              </a:solidFill>
              <a:ln w="25400">
                <a:noFill/>
              </a:ln>
              <a:effectLst/>
            </c:spPr>
            <c:extLst>
              <c:ext xmlns:c16="http://schemas.microsoft.com/office/drawing/2014/chart" uri="{C3380CC4-5D6E-409C-BE32-E72D297353CC}">
                <c16:uniqueId val="{00000006-A034-46DB-8EB7-D97E4DA6C701}"/>
              </c:ext>
            </c:extLst>
          </c:dPt>
          <c:dPt>
            <c:idx val="6"/>
            <c:bubble3D val="0"/>
            <c:spPr>
              <a:solidFill>
                <a:srgbClr val="B0BEC5"/>
              </a:solidFill>
              <a:ln w="25400">
                <a:noFill/>
              </a:ln>
              <a:effectLst/>
            </c:spPr>
            <c:extLst>
              <c:ext xmlns:c16="http://schemas.microsoft.com/office/drawing/2014/chart" uri="{C3380CC4-5D6E-409C-BE32-E72D297353CC}">
                <c16:uniqueId val="{00000007-A034-46DB-8EB7-D97E4DA6C701}"/>
              </c:ext>
            </c:extLst>
          </c:dPt>
          <c:dPt>
            <c:idx val="7"/>
            <c:bubble3D val="0"/>
            <c:spPr>
              <a:solidFill>
                <a:srgbClr val="F19375"/>
              </a:solidFill>
              <a:ln w="25400">
                <a:noFill/>
              </a:ln>
              <a:effectLst/>
            </c:spPr>
            <c:extLst>
              <c:ext xmlns:c16="http://schemas.microsoft.com/office/drawing/2014/chart" uri="{C3380CC4-5D6E-409C-BE32-E72D297353CC}">
                <c16:uniqueId val="{00000008-A034-46DB-8EB7-D97E4DA6C701}"/>
              </c:ext>
            </c:extLst>
          </c:dPt>
          <c:dPt>
            <c:idx val="8"/>
            <c:bubble3D val="0"/>
            <c:spPr>
              <a:solidFill>
                <a:srgbClr val="E3F982"/>
              </a:solidFill>
              <a:ln w="25400">
                <a:noFill/>
              </a:ln>
              <a:effectLst/>
            </c:spPr>
            <c:extLst>
              <c:ext xmlns:c16="http://schemas.microsoft.com/office/drawing/2014/chart" uri="{C3380CC4-5D6E-409C-BE32-E72D297353CC}">
                <c16:uniqueId val="{00000009-A034-46DB-8EB7-D97E4DA6C70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1-A034-46DB-8EB7-D97E4DA6C701}"/>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2-A034-46DB-8EB7-D97E4DA6C701}"/>
                </c:ext>
              </c:extLst>
            </c:dLbl>
            <c:dLbl>
              <c:idx val="5"/>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034-46DB-8EB7-D97E4DA6C7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Arial Narrow"/>
                    <a:ea typeface="Arial Narrow"/>
                    <a:cs typeface="Arial Narrow"/>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BHARTSOP!$T$42:$T$50</c:f>
              <c:strCache>
                <c:ptCount val="9"/>
                <c:pt idx="0">
                  <c:v>Indian Mobile</c:v>
                </c:pt>
                <c:pt idx="1">
                  <c:v>South Asian Mobile</c:v>
                </c:pt>
                <c:pt idx="2">
                  <c:v>Digital TV</c:v>
                </c:pt>
                <c:pt idx="3">
                  <c:v>Home services</c:v>
                </c:pt>
                <c:pt idx="4">
                  <c:v>Enterprise</c:v>
                </c:pt>
                <c:pt idx="5">
                  <c:v>Infratel</c:v>
                </c:pt>
                <c:pt idx="6">
                  <c:v>Africa</c:v>
                </c:pt>
                <c:pt idx="7">
                  <c:v>Bangladesh (ROBI)</c:v>
                </c:pt>
                <c:pt idx="8">
                  <c:v>Overhead</c:v>
                </c:pt>
              </c:strCache>
            </c:strRef>
          </c:cat>
          <c:val>
            <c:numRef>
              <c:f>BHARTSOP!$X$42:$X$50</c:f>
              <c:numCache>
                <c:formatCode>0.0%</c:formatCode>
                <c:ptCount val="9"/>
                <c:pt idx="0">
                  <c:v>0.67223829584795225</c:v>
                </c:pt>
                <c:pt idx="1">
                  <c:v>-3.9357380669427484E-4</c:v>
                </c:pt>
                <c:pt idx="2">
                  <c:v>4.3374228391439236E-2</c:v>
                </c:pt>
                <c:pt idx="3">
                  <c:v>2.0253117253242362E-2</c:v>
                </c:pt>
                <c:pt idx="4">
                  <c:v>0.12906507172079479</c:v>
                </c:pt>
                <c:pt idx="5">
                  <c:v>7.2656672249528403E-2</c:v>
                </c:pt>
                <c:pt idx="6">
                  <c:v>7.5288440722208139E-2</c:v>
                </c:pt>
                <c:pt idx="7">
                  <c:v>2.4007025111790598E-3</c:v>
                </c:pt>
                <c:pt idx="8">
                  <c:v>-1.4882954889650033E-2</c:v>
                </c:pt>
              </c:numCache>
            </c:numRef>
          </c:val>
          <c:extLst>
            <c:ext xmlns:c16="http://schemas.microsoft.com/office/drawing/2014/chart" uri="{C3380CC4-5D6E-409C-BE32-E72D297353CC}">
              <c16:uniqueId val="{00000000-A034-46DB-8EB7-D97E4DA6C70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08340612871371"/>
          <c:y val="8.8700630794068355E-2"/>
          <c:w val="0.6917293233082723"/>
          <c:h val="0.6917293233082723"/>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C4B9-439A-AA69-B54B8596768F}"/>
              </c:ext>
            </c:extLst>
          </c:dPt>
          <c:dPt>
            <c:idx val="1"/>
            <c:bubble3D val="0"/>
            <c:spPr>
              <a:solidFill>
                <a:srgbClr val="F9663E"/>
              </a:solidFill>
              <a:ln w="25400">
                <a:noFill/>
              </a:ln>
              <a:effectLst/>
            </c:spPr>
            <c:extLst>
              <c:ext xmlns:c16="http://schemas.microsoft.com/office/drawing/2014/chart" uri="{C3380CC4-5D6E-409C-BE32-E72D297353CC}">
                <c16:uniqueId val="{00000003-C4B9-439A-AA69-B54B8596768F}"/>
              </c:ext>
            </c:extLst>
          </c:dPt>
          <c:dPt>
            <c:idx val="2"/>
            <c:bubble3D val="0"/>
            <c:spPr>
              <a:solidFill>
                <a:srgbClr val="C7FE02"/>
              </a:solidFill>
              <a:ln w="25400">
                <a:noFill/>
              </a:ln>
              <a:effectLst/>
            </c:spPr>
            <c:extLst>
              <c:ext xmlns:c16="http://schemas.microsoft.com/office/drawing/2014/chart" uri="{C3380CC4-5D6E-409C-BE32-E72D297353CC}">
                <c16:uniqueId val="{00000005-C4B9-439A-AA69-B54B8596768F}"/>
              </c:ext>
            </c:extLst>
          </c:dPt>
          <c:dLbls>
            <c:dLbl>
              <c:idx val="0"/>
              <c:layout>
                <c:manualLayout>
                  <c:x val="-1.4038411749935861E-2"/>
                  <c:y val="1.721826473378492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B9-439A-AA69-B54B8596768F}"/>
                </c:ext>
              </c:extLst>
            </c:dLbl>
            <c:dLbl>
              <c:idx val="1"/>
              <c:layout>
                <c:manualLayout>
                  <c:x val="-2.2246684767561792E-3"/>
                  <c:y val="-2.7452856881314248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B9-439A-AA69-B54B8596768F}"/>
                </c:ext>
              </c:extLst>
            </c:dLbl>
            <c:dLbl>
              <c:idx val="2"/>
              <c:layout>
                <c:manualLayout>
                  <c:x val="1.7989668197549935E-2"/>
                  <c:y val="-2.8564236140006284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B9-439A-AA69-B54B8596768F}"/>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ELISASOP!$T$39:$T$41</c:f>
              <c:strCache>
                <c:ptCount val="3"/>
                <c:pt idx="0">
                  <c:v>Finnish mobile</c:v>
                </c:pt>
                <c:pt idx="1">
                  <c:v>Estonia mobile</c:v>
                </c:pt>
                <c:pt idx="2">
                  <c:v>Wireline</c:v>
                </c:pt>
              </c:strCache>
            </c:strRef>
          </c:cat>
          <c:val>
            <c:numRef>
              <c:f>ELISASOP!$X$39:$X$41</c:f>
              <c:numCache>
                <c:formatCode>0.0%</c:formatCode>
                <c:ptCount val="3"/>
                <c:pt idx="0">
                  <c:v>0.74241099682097622</c:v>
                </c:pt>
                <c:pt idx="1">
                  <c:v>9.2864368374441231E-2</c:v>
                </c:pt>
                <c:pt idx="2">
                  <c:v>0.25758900317902383</c:v>
                </c:pt>
              </c:numCache>
            </c:numRef>
          </c:val>
          <c:extLst>
            <c:ext xmlns:c16="http://schemas.microsoft.com/office/drawing/2014/chart" uri="{C3380CC4-5D6E-409C-BE32-E72D297353CC}">
              <c16:uniqueId val="{00000006-C4B9-439A-AA69-B54B8596768F}"/>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35157957606873"/>
          <c:y val="0.13319793767583291"/>
          <c:w val="0.65789473684210709"/>
          <c:h val="0.6034482758620685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92AC-40A7-9DFA-F22CD5F86242}"/>
              </c:ext>
            </c:extLst>
          </c:dPt>
          <c:dPt>
            <c:idx val="1"/>
            <c:bubble3D val="0"/>
            <c:spPr>
              <a:solidFill>
                <a:srgbClr val="799098"/>
              </a:solidFill>
              <a:ln w="25400">
                <a:noFill/>
              </a:ln>
              <a:effectLst/>
            </c:spPr>
            <c:extLst>
              <c:ext xmlns:c16="http://schemas.microsoft.com/office/drawing/2014/chart" uri="{C3380CC4-5D6E-409C-BE32-E72D297353CC}">
                <c16:uniqueId val="{00000002-92AC-40A7-9DFA-F22CD5F86242}"/>
              </c:ext>
            </c:extLst>
          </c:dPt>
          <c:dLbls>
            <c:dLbl>
              <c:idx val="0"/>
              <c:layout>
                <c:manualLayout>
                  <c:x val="-1.7098612542264972E-2"/>
                  <c:y val="-1.8132158063282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AC-40A7-9DFA-F22CD5F86242}"/>
                </c:ext>
              </c:extLst>
            </c:dLbl>
            <c:dLbl>
              <c:idx val="1"/>
              <c:layout>
                <c:manualLayout>
                  <c:x val="8.0827369754493273E-3"/>
                  <c:y val="2.5282121069051391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AC-40A7-9DFA-F22CD5F86242}"/>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IDEASOP!$T$36:$T$37</c:f>
              <c:strCache>
                <c:ptCount val="2"/>
                <c:pt idx="0">
                  <c:v>Mobile</c:v>
                </c:pt>
                <c:pt idx="1">
                  <c:v>Indus</c:v>
                </c:pt>
              </c:strCache>
            </c:strRef>
          </c:cat>
          <c:val>
            <c:numRef>
              <c:f>IDEASOP!$X$36:$X$37</c:f>
              <c:numCache>
                <c:formatCode>0.0%</c:formatCode>
                <c:ptCount val="2"/>
                <c:pt idx="0">
                  <c:v>0.56709032286189187</c:v>
                </c:pt>
                <c:pt idx="1">
                  <c:v>0.43290967713810813</c:v>
                </c:pt>
              </c:numCache>
            </c:numRef>
          </c:val>
          <c:extLst>
            <c:ext xmlns:c16="http://schemas.microsoft.com/office/drawing/2014/chart" uri="{C3380CC4-5D6E-409C-BE32-E72D297353CC}">
              <c16:uniqueId val="{00000003-92AC-40A7-9DFA-F22CD5F86242}"/>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92666371125611"/>
          <c:y val="0.11603977211053276"/>
          <c:w val="0.68545681422797267"/>
          <c:h val="0.5559885664627987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0C0F-4C79-B5AB-AE4B7D4DDC3B}"/>
              </c:ext>
            </c:extLst>
          </c:dPt>
          <c:dPt>
            <c:idx val="1"/>
            <c:bubble3D val="0"/>
            <c:spPr>
              <a:solidFill>
                <a:srgbClr val="F9663E"/>
              </a:solidFill>
              <a:ln w="25400">
                <a:noFill/>
              </a:ln>
              <a:effectLst/>
            </c:spPr>
            <c:extLst>
              <c:ext xmlns:c16="http://schemas.microsoft.com/office/drawing/2014/chart" uri="{C3380CC4-5D6E-409C-BE32-E72D297353CC}">
                <c16:uniqueId val="{00000003-0C0F-4C79-B5AB-AE4B7D4DDC3B}"/>
              </c:ext>
            </c:extLst>
          </c:dPt>
          <c:dPt>
            <c:idx val="2"/>
            <c:bubble3D val="0"/>
            <c:spPr>
              <a:solidFill>
                <a:srgbClr val="C7FE02"/>
              </a:solidFill>
              <a:ln w="25400">
                <a:noFill/>
              </a:ln>
              <a:effectLst/>
            </c:spPr>
            <c:extLst>
              <c:ext xmlns:c16="http://schemas.microsoft.com/office/drawing/2014/chart" uri="{C3380CC4-5D6E-409C-BE32-E72D297353CC}">
                <c16:uniqueId val="{00000005-0C0F-4C79-B5AB-AE4B7D4DDC3B}"/>
              </c:ext>
            </c:extLst>
          </c:dPt>
          <c:dLbls>
            <c:dLbl>
              <c:idx val="0"/>
              <c:layout>
                <c:manualLayout>
                  <c:x val="-2.2457698877351977E-3"/>
                  <c:y val="2.6344716599857911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F-4C79-B5AB-AE4B7D4DDC3B}"/>
                </c:ext>
              </c:extLst>
            </c:dLbl>
            <c:dLbl>
              <c:idx val="1"/>
              <c:layout>
                <c:manualLayout>
                  <c:x val="-2.2227555821533782E-2"/>
                  <c:y val="-1.1370778904118483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0F-4C79-B5AB-AE4B7D4DDC3B}"/>
                </c:ext>
              </c:extLst>
            </c:dLbl>
            <c:dLbl>
              <c:idx val="2"/>
              <c:layout>
                <c:manualLayout>
                  <c:x val="1.3919115176927901E-3"/>
                  <c:y val="-2.59198173093149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0F-4C79-B5AB-AE4B7D4DDC3B}"/>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KPNSOP!$T$54:$T$56</c:f>
              <c:strCache>
                <c:ptCount val="3"/>
                <c:pt idx="0">
                  <c:v>Domestic Mobile</c:v>
                </c:pt>
                <c:pt idx="1">
                  <c:v>Domestic wireline</c:v>
                </c:pt>
                <c:pt idx="2">
                  <c:v>Other</c:v>
                </c:pt>
              </c:strCache>
            </c:strRef>
          </c:cat>
          <c:val>
            <c:numRef>
              <c:f>KPNSOP!$X$54:$X$56</c:f>
              <c:numCache>
                <c:formatCode>0.0%</c:formatCode>
                <c:ptCount val="3"/>
                <c:pt idx="0">
                  <c:v>0.35203783712864201</c:v>
                </c:pt>
                <c:pt idx="1">
                  <c:v>0.64796216287135799</c:v>
                </c:pt>
                <c:pt idx="2">
                  <c:v>0</c:v>
                </c:pt>
              </c:numCache>
            </c:numRef>
          </c:val>
          <c:extLst>
            <c:ext xmlns:c16="http://schemas.microsoft.com/office/drawing/2014/chart" uri="{C3380CC4-5D6E-409C-BE32-E72D297353CC}">
              <c16:uniqueId val="{00000006-0C0F-4C79-B5AB-AE4B7D4DDC3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0C0F-4C79-B5AB-AE4B7D4DDC3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A-0C0F-4C79-B5AB-AE4B7D4DDC3B}"/>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KPNSOP!$T$54:$T$56</c:f>
              <c:strCache>
                <c:ptCount val="3"/>
                <c:pt idx="0">
                  <c:v>Domestic Mobile</c:v>
                </c:pt>
                <c:pt idx="1">
                  <c:v>Domestic wireline</c:v>
                </c:pt>
                <c:pt idx="2">
                  <c:v>Other</c:v>
                </c:pt>
              </c:strCache>
            </c:strRef>
          </c:cat>
          <c:val>
            <c:numRef>
              <c:f>KPNSOP!$X$54:$X$56</c:f>
              <c:numCache>
                <c:formatCode>0.0%</c:formatCode>
                <c:ptCount val="3"/>
                <c:pt idx="0">
                  <c:v>0.35203783712864201</c:v>
                </c:pt>
                <c:pt idx="1">
                  <c:v>0.64796216287135799</c:v>
                </c:pt>
                <c:pt idx="2">
                  <c:v>0</c:v>
                </c:pt>
              </c:numCache>
            </c:numRef>
          </c:val>
          <c:extLst>
            <c:ext xmlns:c16="http://schemas.microsoft.com/office/drawing/2014/chart" uri="{C3380CC4-5D6E-409C-BE32-E72D297353CC}">
              <c16:uniqueId val="{0000000B-0C0F-4C79-B5AB-AE4B7D4DDC3B}"/>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381667509226498"/>
          <c:y val="0.10188698018680016"/>
          <c:w val="0.5265026751992371"/>
          <c:h val="0.56226518695678607"/>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92DA-4E2D-B0C8-2976A9E8A265}"/>
              </c:ext>
            </c:extLst>
          </c:dPt>
          <c:dPt>
            <c:idx val="1"/>
            <c:bubble3D val="0"/>
            <c:spPr>
              <a:solidFill>
                <a:srgbClr val="799098"/>
              </a:solidFill>
              <a:ln w="25400">
                <a:noFill/>
              </a:ln>
              <a:effectLst/>
            </c:spPr>
            <c:extLst>
              <c:ext xmlns:c16="http://schemas.microsoft.com/office/drawing/2014/chart" uri="{C3380CC4-5D6E-409C-BE32-E72D297353CC}">
                <c16:uniqueId val="{00000003-92DA-4E2D-B0C8-2976A9E8A265}"/>
              </c:ext>
            </c:extLst>
          </c:dPt>
          <c:dPt>
            <c:idx val="2"/>
            <c:bubble3D val="0"/>
            <c:spPr>
              <a:solidFill>
                <a:srgbClr val="F9663E"/>
              </a:solidFill>
              <a:ln w="25400">
                <a:noFill/>
              </a:ln>
              <a:effectLst/>
            </c:spPr>
            <c:extLst>
              <c:ext xmlns:c16="http://schemas.microsoft.com/office/drawing/2014/chart" uri="{C3380CC4-5D6E-409C-BE32-E72D297353CC}">
                <c16:uniqueId val="{00000005-92DA-4E2D-B0C8-2976A9E8A265}"/>
              </c:ext>
            </c:extLst>
          </c:dPt>
          <c:dPt>
            <c:idx val="3"/>
            <c:bubble3D val="0"/>
            <c:spPr>
              <a:solidFill>
                <a:srgbClr val="C7FE02"/>
              </a:solidFill>
              <a:ln w="25400">
                <a:noFill/>
              </a:ln>
              <a:effectLst/>
            </c:spPr>
            <c:extLst>
              <c:ext xmlns:c16="http://schemas.microsoft.com/office/drawing/2014/chart" uri="{C3380CC4-5D6E-409C-BE32-E72D297353CC}">
                <c16:uniqueId val="{00000007-92DA-4E2D-B0C8-2976A9E8A265}"/>
              </c:ext>
            </c:extLst>
          </c:dPt>
          <c:dPt>
            <c:idx val="4"/>
            <c:bubble3D val="0"/>
            <c:spPr>
              <a:solidFill>
                <a:srgbClr val="00C994"/>
              </a:solidFill>
              <a:ln w="25400">
                <a:noFill/>
              </a:ln>
              <a:effectLst/>
            </c:spPr>
            <c:extLst>
              <c:ext xmlns:c16="http://schemas.microsoft.com/office/drawing/2014/chart" uri="{C3380CC4-5D6E-409C-BE32-E72D297353CC}">
                <c16:uniqueId val="{00000009-92DA-4E2D-B0C8-2976A9E8A265}"/>
              </c:ext>
            </c:extLst>
          </c:dPt>
          <c:dPt>
            <c:idx val="5"/>
            <c:bubble3D val="0"/>
            <c:spPr>
              <a:solidFill>
                <a:srgbClr val="465A63"/>
              </a:solidFill>
              <a:ln w="25400">
                <a:noFill/>
              </a:ln>
              <a:effectLst/>
            </c:spPr>
            <c:extLst>
              <c:ext xmlns:c16="http://schemas.microsoft.com/office/drawing/2014/chart" uri="{C3380CC4-5D6E-409C-BE32-E72D297353CC}">
                <c16:uniqueId val="{0000000B-92DA-4E2D-B0C8-2976A9E8A265}"/>
              </c:ext>
            </c:extLst>
          </c:dPt>
          <c:dPt>
            <c:idx val="6"/>
            <c:bubble3D val="0"/>
            <c:spPr>
              <a:solidFill>
                <a:srgbClr val="B0BEC5"/>
              </a:solidFill>
              <a:ln w="25400">
                <a:noFill/>
              </a:ln>
              <a:effectLst/>
            </c:spPr>
            <c:extLst>
              <c:ext xmlns:c16="http://schemas.microsoft.com/office/drawing/2014/chart" uri="{C3380CC4-5D6E-409C-BE32-E72D297353CC}">
                <c16:uniqueId val="{0000000D-92DA-4E2D-B0C8-2976A9E8A265}"/>
              </c:ext>
            </c:extLst>
          </c:dPt>
          <c:dPt>
            <c:idx val="7"/>
            <c:bubble3D val="0"/>
            <c:spPr>
              <a:solidFill>
                <a:srgbClr val="F19375"/>
              </a:solidFill>
              <a:ln w="25400">
                <a:noFill/>
              </a:ln>
              <a:effectLst/>
            </c:spPr>
            <c:extLst>
              <c:ext xmlns:c16="http://schemas.microsoft.com/office/drawing/2014/chart" uri="{C3380CC4-5D6E-409C-BE32-E72D297353CC}">
                <c16:uniqueId val="{0000000F-92DA-4E2D-B0C8-2976A9E8A265}"/>
              </c:ext>
            </c:extLst>
          </c:dPt>
          <c:dLbls>
            <c:dLbl>
              <c:idx val="0"/>
              <c:layout>
                <c:manualLayout>
                  <c:x val="-4.4424849965598199E-3"/>
                  <c:y val="1.1157866996144494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DA-4E2D-B0C8-2976A9E8A265}"/>
                </c:ext>
              </c:extLst>
            </c:dLbl>
            <c:dLbl>
              <c:idx val="1"/>
              <c:layout>
                <c:manualLayout>
                  <c:x val="1.076297279991922E-2"/>
                  <c:y val="-8.5396134910217074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DA-4E2D-B0C8-2976A9E8A265}"/>
                </c:ext>
              </c:extLst>
            </c:dLbl>
            <c:dLbl>
              <c:idx val="2"/>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92DA-4E2D-B0C8-2976A9E8A265}"/>
                </c:ext>
              </c:extLst>
            </c:dLbl>
            <c:dLbl>
              <c:idx val="3"/>
              <c:layout>
                <c:manualLayout>
                  <c:x val="2.7196275680711249E-3"/>
                  <c:y val="1.331989410619157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DA-4E2D-B0C8-2976A9E8A265}"/>
                </c:ext>
              </c:extLst>
            </c:dLbl>
            <c:dLbl>
              <c:idx val="4"/>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92DA-4E2D-B0C8-2976A9E8A265}"/>
                </c:ext>
              </c:extLst>
            </c:dLbl>
            <c:dLbl>
              <c:idx val="5"/>
              <c:layout>
                <c:manualLayout>
                  <c:x val="3.9108569594204029E-2"/>
                  <c:y val="2.9601666099093255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DA-4E2D-B0C8-2976A9E8A265}"/>
                </c:ext>
              </c:extLst>
            </c:dLbl>
            <c:dLbl>
              <c:idx val="6"/>
              <c:layout>
                <c:manualLayout>
                  <c:x val="2.0130674956768575E-2"/>
                  <c:y val="2.0961771787548409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DA-4E2D-B0C8-2976A9E8A265}"/>
                </c:ext>
              </c:extLst>
            </c:dLbl>
            <c:dLbl>
              <c:idx val="7"/>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F-92DA-4E2D-B0C8-2976A9E8A265}"/>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MTNSOP!$T$45:$T$51</c:f>
              <c:strCache>
                <c:ptCount val="7"/>
                <c:pt idx="0">
                  <c:v>South Africa</c:v>
                </c:pt>
                <c:pt idx="1">
                  <c:v>Nigeria</c:v>
                </c:pt>
                <c:pt idx="2">
                  <c:v>Ghana</c:v>
                </c:pt>
                <c:pt idx="3">
                  <c:v>Iran</c:v>
                </c:pt>
                <c:pt idx="4">
                  <c:v>Syria</c:v>
                </c:pt>
                <c:pt idx="5">
                  <c:v>Other Large Opco</c:v>
                </c:pt>
                <c:pt idx="6">
                  <c:v>Small Opco</c:v>
                </c:pt>
              </c:strCache>
            </c:strRef>
          </c:cat>
          <c:val>
            <c:numRef>
              <c:f>MTNSOP!$X$45:$X$51</c:f>
              <c:numCache>
                <c:formatCode>0.0%</c:formatCode>
                <c:ptCount val="7"/>
                <c:pt idx="0">
                  <c:v>0.3895778569247651</c:v>
                </c:pt>
                <c:pt idx="1">
                  <c:v>0.2280827377346003</c:v>
                </c:pt>
                <c:pt idx="2">
                  <c:v>8.6488803471361425E-2</c:v>
                </c:pt>
                <c:pt idx="3">
                  <c:v>0.14214825711893186</c:v>
                </c:pt>
                <c:pt idx="4">
                  <c:v>1.0970986364242361E-2</c:v>
                </c:pt>
                <c:pt idx="5">
                  <c:v>0.11980080310332858</c:v>
                </c:pt>
                <c:pt idx="6">
                  <c:v>2.2930555282770351E-2</c:v>
                </c:pt>
              </c:numCache>
            </c:numRef>
          </c:val>
          <c:extLst>
            <c:ext xmlns:c16="http://schemas.microsoft.com/office/drawing/2014/chart" uri="{C3380CC4-5D6E-409C-BE32-E72D297353CC}">
              <c16:uniqueId val="{00000010-92DA-4E2D-B0C8-2976A9E8A265}"/>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12-92DA-4E2D-B0C8-2976A9E8A26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14-92DA-4E2D-B0C8-2976A9E8A265}"/>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MTNSOP!$T$45:$T$51</c:f>
              <c:strCache>
                <c:ptCount val="7"/>
                <c:pt idx="0">
                  <c:v>South Africa</c:v>
                </c:pt>
                <c:pt idx="1">
                  <c:v>Nigeria</c:v>
                </c:pt>
                <c:pt idx="2">
                  <c:v>Ghana</c:v>
                </c:pt>
                <c:pt idx="3">
                  <c:v>Iran</c:v>
                </c:pt>
                <c:pt idx="4">
                  <c:v>Syria</c:v>
                </c:pt>
                <c:pt idx="5">
                  <c:v>Other Large Opco</c:v>
                </c:pt>
                <c:pt idx="6">
                  <c:v>Small Opco</c:v>
                </c:pt>
              </c:strCache>
            </c:strRef>
          </c:cat>
          <c:val>
            <c:numRef>
              <c:f>MTNSOP!$X$45:$X$47</c:f>
              <c:numCache>
                <c:formatCode>0.0%</c:formatCode>
                <c:ptCount val="3"/>
                <c:pt idx="0">
                  <c:v>0.3895778569247651</c:v>
                </c:pt>
                <c:pt idx="1">
                  <c:v>0.2280827377346003</c:v>
                </c:pt>
                <c:pt idx="2">
                  <c:v>8.6488803471361425E-2</c:v>
                </c:pt>
              </c:numCache>
            </c:numRef>
          </c:val>
          <c:extLst>
            <c:ext xmlns:c16="http://schemas.microsoft.com/office/drawing/2014/chart" uri="{C3380CC4-5D6E-409C-BE32-E72D297353CC}">
              <c16:uniqueId val="{00000015-92DA-4E2D-B0C8-2976A9E8A265}"/>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92481203007519"/>
          <c:y val="0.10150375939849621"/>
          <c:w val="0.62030075187969924"/>
          <c:h val="0.62030075187969924"/>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E751-42F1-A74B-A5AE2F365BF2}"/>
              </c:ext>
            </c:extLst>
          </c:dPt>
          <c:dPt>
            <c:idx val="1"/>
            <c:bubble3D val="0"/>
            <c:spPr>
              <a:solidFill>
                <a:srgbClr val="799098"/>
              </a:solidFill>
              <a:ln w="25400">
                <a:noFill/>
              </a:ln>
              <a:effectLst/>
            </c:spPr>
            <c:extLst>
              <c:ext xmlns:c16="http://schemas.microsoft.com/office/drawing/2014/chart" uri="{C3380CC4-5D6E-409C-BE32-E72D297353CC}">
                <c16:uniqueId val="{00000003-E751-42F1-A74B-A5AE2F365BF2}"/>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E751-42F1-A74B-A5AE2F365BF2}"/>
              </c:ext>
            </c:extLst>
          </c:dPt>
          <c:dLbls>
            <c:dLbl>
              <c:idx val="0"/>
              <c:layout>
                <c:manualLayout>
                  <c:x val="-1.5596298806444316E-2"/>
                  <c:y val="-1.1210606870862453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51-42F1-A74B-A5AE2F365BF2}"/>
                </c:ext>
              </c:extLst>
            </c:dLbl>
            <c:dLbl>
              <c:idx val="1"/>
              <c:layout>
                <c:manualLayout>
                  <c:x val="1.0570220208321261E-3"/>
                  <c:y val="1.9342658491144565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51-42F1-A74B-A5AE2F365BF2}"/>
                </c:ext>
              </c:extLst>
            </c:dLbl>
            <c:dLbl>
              <c:idx val="3"/>
              <c:layout>
                <c:manualLayout>
                  <c:x val="4.7465256462875485E-2"/>
                  <c:y val="1.05810180528967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51-42F1-A74B-A5AE2F365BF2}"/>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OBELSOP!$T$40:$T$41</c:f>
              <c:strCache>
                <c:ptCount val="2"/>
                <c:pt idx="0">
                  <c:v>Belgium</c:v>
                </c:pt>
                <c:pt idx="1">
                  <c:v>Vox group (Luxembourg)</c:v>
                </c:pt>
              </c:strCache>
            </c:strRef>
          </c:cat>
          <c:val>
            <c:numRef>
              <c:f>OBELSOP!$X$40:$X$41</c:f>
              <c:numCache>
                <c:formatCode>0.0%</c:formatCode>
                <c:ptCount val="2"/>
                <c:pt idx="0">
                  <c:v>0.84743113536605508</c:v>
                </c:pt>
                <c:pt idx="1">
                  <c:v>2.3529893671241846E-2</c:v>
                </c:pt>
              </c:numCache>
            </c:numRef>
          </c:val>
          <c:extLst>
            <c:ext xmlns:c16="http://schemas.microsoft.com/office/drawing/2014/chart" uri="{C3380CC4-5D6E-409C-BE32-E72D297353CC}">
              <c16:uniqueId val="{00000007-E751-42F1-A74B-A5AE2F365BF2}"/>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61654135338345"/>
          <c:y val="8.6956689562533898E-2"/>
          <c:w val="0.60902255639097869"/>
          <c:h val="0.6403174413241136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A-BDC4-46AA-8F47-F5E8E0C4CF1D}"/>
              </c:ext>
            </c:extLst>
          </c:dPt>
          <c:dPt>
            <c:idx val="1"/>
            <c:bubble3D val="0"/>
            <c:spPr>
              <a:solidFill>
                <a:srgbClr val="799098"/>
              </a:solidFill>
              <a:ln w="25400">
                <a:noFill/>
              </a:ln>
              <a:effectLst/>
            </c:spPr>
            <c:extLst>
              <c:ext xmlns:c16="http://schemas.microsoft.com/office/drawing/2014/chart" uri="{C3380CC4-5D6E-409C-BE32-E72D297353CC}">
                <c16:uniqueId val="{00000001-7E30-4A80-A954-D844E8829F4A}"/>
              </c:ext>
            </c:extLst>
          </c:dPt>
          <c:dPt>
            <c:idx val="2"/>
            <c:bubble3D val="0"/>
            <c:spPr>
              <a:solidFill>
                <a:srgbClr val="F9663E"/>
              </a:solidFill>
              <a:ln w="25400">
                <a:noFill/>
              </a:ln>
              <a:effectLst/>
            </c:spPr>
            <c:extLst>
              <c:ext xmlns:c16="http://schemas.microsoft.com/office/drawing/2014/chart" uri="{C3380CC4-5D6E-409C-BE32-E72D297353CC}">
                <c16:uniqueId val="{00000003-7E30-4A80-A954-D844E8829F4A}"/>
              </c:ext>
            </c:extLst>
          </c:dPt>
          <c:dPt>
            <c:idx val="3"/>
            <c:bubble3D val="0"/>
            <c:spPr>
              <a:solidFill>
                <a:srgbClr val="C7FE02"/>
              </a:solidFill>
              <a:ln w="25400">
                <a:noFill/>
              </a:ln>
              <a:effectLst/>
            </c:spPr>
            <c:extLst>
              <c:ext xmlns:c16="http://schemas.microsoft.com/office/drawing/2014/chart" uri="{C3380CC4-5D6E-409C-BE32-E72D297353CC}">
                <c16:uniqueId val="{00000005-7E30-4A80-A954-D844E8829F4A}"/>
              </c:ext>
            </c:extLst>
          </c:dPt>
          <c:dPt>
            <c:idx val="4"/>
            <c:bubble3D val="0"/>
            <c:spPr>
              <a:solidFill>
                <a:srgbClr val="00C994"/>
              </a:solidFill>
              <a:ln w="25400">
                <a:noFill/>
              </a:ln>
              <a:effectLst/>
            </c:spPr>
            <c:extLst>
              <c:ext xmlns:c16="http://schemas.microsoft.com/office/drawing/2014/chart" uri="{C3380CC4-5D6E-409C-BE32-E72D297353CC}">
                <c16:uniqueId val="{00000007-7E30-4A80-A954-D844E8829F4A}"/>
              </c:ext>
            </c:extLst>
          </c:dPt>
          <c:dPt>
            <c:idx val="5"/>
            <c:bubble3D val="0"/>
            <c:spPr>
              <a:solidFill>
                <a:srgbClr val="465A63"/>
              </a:solidFill>
              <a:ln w="25400">
                <a:noFill/>
              </a:ln>
              <a:effectLst/>
            </c:spPr>
            <c:extLst>
              <c:ext xmlns:c16="http://schemas.microsoft.com/office/drawing/2014/chart" uri="{C3380CC4-5D6E-409C-BE32-E72D297353CC}">
                <c16:uniqueId val="{00000009-7E30-4A80-A954-D844E8829F4A}"/>
              </c:ext>
            </c:extLst>
          </c:dPt>
          <c:dLbls>
            <c:dLbl>
              <c:idx val="0"/>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A-BDC4-46AA-8F47-F5E8E0C4CF1D}"/>
                </c:ext>
              </c:extLst>
            </c:dLbl>
            <c:dLbl>
              <c:idx val="1"/>
              <c:layout>
                <c:manualLayout>
                  <c:x val="-2.0158686189772936E-2"/>
                  <c:y val="2.3216530270074886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30-4A80-A954-D844E8829F4A}"/>
                </c:ext>
              </c:extLst>
            </c:dLbl>
            <c:dLbl>
              <c:idx val="2"/>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7E30-4A80-A954-D844E8829F4A}"/>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7E30-4A80-A954-D844E8829F4A}"/>
                </c:ext>
              </c:extLst>
            </c:dLbl>
            <c:dLbl>
              <c:idx val="4"/>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7E30-4A80-A954-D844E8829F4A}"/>
                </c:ext>
              </c:extLst>
            </c:dLbl>
            <c:dLbl>
              <c:idx val="5"/>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7E30-4A80-A954-D844E8829F4A}"/>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ORASOP!$T$62:$T$67</c:f>
              <c:strCache>
                <c:ptCount val="6"/>
                <c:pt idx="0">
                  <c:v>Domestic wireline</c:v>
                </c:pt>
                <c:pt idx="1">
                  <c:v>Domestic mobile</c:v>
                </c:pt>
                <c:pt idx="2">
                  <c:v>Entreprise / ICSS</c:v>
                </c:pt>
                <c:pt idx="3">
                  <c:v>Europe</c:v>
                </c:pt>
                <c:pt idx="4">
                  <c:v>AME</c:v>
                </c:pt>
                <c:pt idx="5">
                  <c:v>Other</c:v>
                </c:pt>
              </c:strCache>
            </c:strRef>
          </c:cat>
          <c:val>
            <c:numRef>
              <c:f>ORASOP!$X$62:$X$67</c:f>
              <c:numCache>
                <c:formatCode>0.0%</c:formatCode>
                <c:ptCount val="6"/>
                <c:pt idx="0">
                  <c:v>0.28632793550937885</c:v>
                </c:pt>
                <c:pt idx="1">
                  <c:v>0.22323159734811907</c:v>
                </c:pt>
                <c:pt idx="2">
                  <c:v>3.1168286523799115E-2</c:v>
                </c:pt>
                <c:pt idx="3">
                  <c:v>0.11884219000174867</c:v>
                </c:pt>
                <c:pt idx="4">
                  <c:v>0.18150894849199464</c:v>
                </c:pt>
                <c:pt idx="5">
                  <c:v>0.15892104212495972</c:v>
                </c:pt>
              </c:numCache>
            </c:numRef>
          </c:val>
          <c:extLst>
            <c:ext xmlns:c16="http://schemas.microsoft.com/office/drawing/2014/chart" uri="{C3380CC4-5D6E-409C-BE32-E72D297353CC}">
              <c16:uniqueId val="{0000000A-7E30-4A80-A954-D844E8829F4A}"/>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ChinaTow!$W$24</c:f>
              <c:strCache>
                <c:ptCount val="1"/>
                <c:pt idx="0">
                  <c:v>China Tower</c:v>
                </c:pt>
              </c:strCache>
            </c:strRef>
          </c:tx>
          <c:spPr>
            <a:ln w="25400">
              <a:solidFill>
                <a:srgbClr val="263238"/>
              </a:solidFill>
              <a:prstDash val="solid"/>
            </a:ln>
            <a:effectLst/>
          </c:spPr>
          <c:marker>
            <c:symbol val="diamond"/>
            <c:size val="6"/>
            <c:spPr>
              <a:solidFill>
                <a:srgbClr val="263238"/>
              </a:solidFill>
              <a:ln w="6350">
                <a:noFill/>
              </a:ln>
            </c:spPr>
          </c:marker>
          <c:cat>
            <c:strRef>
              <c:f>ChinaTow!$V$25:$V$34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ChinaTow!$W$25:$W$34</c:f>
              <c:numCache>
                <c:formatCode>0%</c:formatCode>
                <c:ptCount val="10"/>
                <c:pt idx="0">
                  <c:v>1.269071460365939</c:v>
                </c:pt>
                <c:pt idx="1">
                  <c:v>0.61261025595530794</c:v>
                </c:pt>
                <c:pt idx="2">
                  <c:v>0.63452259988771165</c:v>
                </c:pt>
                <c:pt idx="3">
                  <c:v>0.48856005649689743</c:v>
                </c:pt>
                <c:pt idx="4">
                  <c:v>0.58377973772335923</c:v>
                </c:pt>
                <c:pt idx="5">
                  <c:v>0.41885108941958232</c:v>
                </c:pt>
                <c:pt idx="6">
                  <c:v>0.29603296613340724</c:v>
                </c:pt>
                <c:pt idx="7">
                  <c:v>0.75656993936916261</c:v>
                </c:pt>
                <c:pt idx="8">
                  <c:v>1.0500708068903737</c:v>
                </c:pt>
                <c:pt idx="9">
                  <c:v>3.3780021632771473</c:v>
                </c:pt>
              </c:numCache>
            </c:numRef>
          </c:val>
          <c:extLst>
            <c:ext xmlns:c16="http://schemas.microsoft.com/office/drawing/2014/chart" uri="{C3380CC4-5D6E-409C-BE32-E72D297353CC}">
              <c16:uniqueId val="{00000000-CE09-4B47-8129-0D0C4B4A700A}"/>
            </c:ext>
          </c:extLst>
        </c:ser>
        <c:ser>
          <c:idx val="1"/>
          <c:order val="1"/>
          <c:tx>
            <c:strRef>
              <c:f>ChinaTow!$X$24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ChinaTow!$V$25:$V$34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ChinaTow!$X$25:$X$34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E09-4B47-8129-0D0C4B4A700A}"/>
            </c:ext>
          </c:extLst>
        </c:ser>
        <c:dLbls>
          <c:showLegendKey val="0"/>
          <c:showVal val="0"/>
          <c:showCatName val="0"/>
          <c:showSerName val="0"/>
          <c:showPercent val="0"/>
          <c:showBubbleSize val="0"/>
        </c:dLbls>
        <c:axId val="359111296"/>
        <c:axId val="359117568"/>
      </c:radarChart>
      <c:catAx>
        <c:axId val="3591112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117568"/>
        <c:crosses val="autoZero"/>
        <c:auto val="0"/>
        <c:lblAlgn val="ctr"/>
        <c:lblOffset val="100"/>
        <c:noMultiLvlLbl val="0"/>
      </c:catAx>
      <c:valAx>
        <c:axId val="3591175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1112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57088241999874"/>
          <c:y val="7.8871456681185267E-2"/>
          <c:w val="0.65037593984962405"/>
          <c:h val="0.64312267657992694"/>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9DCC-451B-B3B6-506FF2C5D2A7}"/>
              </c:ext>
            </c:extLst>
          </c:dPt>
          <c:dPt>
            <c:idx val="1"/>
            <c:bubble3D val="0"/>
            <c:spPr>
              <a:solidFill>
                <a:srgbClr val="F9663E"/>
              </a:solidFill>
              <a:ln w="25400">
                <a:noFill/>
              </a:ln>
              <a:effectLst/>
            </c:spPr>
            <c:extLst>
              <c:ext xmlns:c16="http://schemas.microsoft.com/office/drawing/2014/chart" uri="{C3380CC4-5D6E-409C-BE32-E72D297353CC}">
                <c16:uniqueId val="{00000003-9DCC-451B-B3B6-506FF2C5D2A7}"/>
              </c:ext>
            </c:extLst>
          </c:dPt>
          <c:dPt>
            <c:idx val="2"/>
            <c:bubble3D val="0"/>
            <c:spPr>
              <a:solidFill>
                <a:srgbClr val="C7FE02"/>
              </a:solidFill>
              <a:ln w="25400">
                <a:noFill/>
              </a:ln>
              <a:effectLst/>
            </c:spPr>
            <c:extLst>
              <c:ext xmlns:c16="http://schemas.microsoft.com/office/drawing/2014/chart" uri="{C3380CC4-5D6E-409C-BE32-E72D297353CC}">
                <c16:uniqueId val="{00000005-9DCC-451B-B3B6-506FF2C5D2A7}"/>
              </c:ext>
            </c:extLst>
          </c:dPt>
          <c:dLbls>
            <c:dLbl>
              <c:idx val="0"/>
              <c:layout>
                <c:manualLayout>
                  <c:x val="-8.4395666988279633E-3"/>
                  <c:y val="-4.36475861854777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C-451B-B3B6-506FF2C5D2A7}"/>
                </c:ext>
              </c:extLst>
            </c:dLbl>
            <c:dLbl>
              <c:idx val="1"/>
              <c:layout>
                <c:manualLayout>
                  <c:x val="6.4237032876264923E-3"/>
                  <c:y val="-2.9667505739593282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C-451B-B3B6-506FF2C5D2A7}"/>
                </c:ext>
              </c:extLst>
            </c:dLbl>
            <c:dLbl>
              <c:idx val="2"/>
              <c:layout>
                <c:manualLayout>
                  <c:x val="1.6105803935243083E-2"/>
                  <c:y val="1.9100522316924332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C-451B-B3B6-506FF2C5D2A7}"/>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OTESOP!$T$45:$T$47</c:f>
              <c:strCache>
                <c:ptCount val="3"/>
                <c:pt idx="0">
                  <c:v>Domestic mobile</c:v>
                </c:pt>
                <c:pt idx="1">
                  <c:v>Domestic wireline</c:v>
                </c:pt>
                <c:pt idx="2">
                  <c:v>Other</c:v>
                </c:pt>
              </c:strCache>
            </c:strRef>
          </c:cat>
          <c:val>
            <c:numRef>
              <c:f>OTESOP!$X$45:$X$47</c:f>
              <c:numCache>
                <c:formatCode>0.0%</c:formatCode>
                <c:ptCount val="3"/>
                <c:pt idx="0">
                  <c:v>0.9461545322756183</c:v>
                </c:pt>
                <c:pt idx="1">
                  <c:v>0.85538336174763385</c:v>
                </c:pt>
                <c:pt idx="2">
                  <c:v>-0.80153789402325215</c:v>
                </c:pt>
              </c:numCache>
            </c:numRef>
          </c:val>
          <c:extLst>
            <c:ext xmlns:c16="http://schemas.microsoft.com/office/drawing/2014/chart" uri="{C3380CC4-5D6E-409C-BE32-E72D297353CC}">
              <c16:uniqueId val="{00000006-9DCC-451B-B3B6-506FF2C5D2A7}"/>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9DCC-451B-B3B6-506FF2C5D2A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A-9DCC-451B-B3B6-506FF2C5D2A7}"/>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OTESOP!$T$45:$T$47</c:f>
              <c:strCache>
                <c:ptCount val="3"/>
                <c:pt idx="0">
                  <c:v>Domestic mobile</c:v>
                </c:pt>
                <c:pt idx="1">
                  <c:v>Domestic wireline</c:v>
                </c:pt>
                <c:pt idx="2">
                  <c:v>Other</c:v>
                </c:pt>
              </c:strCache>
            </c:strRef>
          </c:cat>
          <c:val>
            <c:numRef>
              <c:f>OTESOP!$X$45:$X$47</c:f>
              <c:numCache>
                <c:formatCode>0.0%</c:formatCode>
                <c:ptCount val="3"/>
                <c:pt idx="0">
                  <c:v>0.9461545322756183</c:v>
                </c:pt>
                <c:pt idx="1">
                  <c:v>0.85538336174763385</c:v>
                </c:pt>
                <c:pt idx="2">
                  <c:v>-0.80153789402325215</c:v>
                </c:pt>
              </c:numCache>
            </c:numRef>
          </c:val>
          <c:extLst>
            <c:ext xmlns:c16="http://schemas.microsoft.com/office/drawing/2014/chart" uri="{C3380CC4-5D6E-409C-BE32-E72D297353CC}">
              <c16:uniqueId val="{0000000B-9DCC-451B-B3B6-506FF2C5D2A7}"/>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89473684210581"/>
          <c:y val="9.8039591144267788E-2"/>
          <c:w val="0.71804511278195493"/>
          <c:h val="0.74902247634220465"/>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4-23FA-4C2D-88F9-82F28EA75597}"/>
              </c:ext>
            </c:extLst>
          </c:dPt>
          <c:dPt>
            <c:idx val="1"/>
            <c:bubble3D val="0"/>
            <c:spPr>
              <a:solidFill>
                <a:srgbClr val="799098"/>
              </a:solidFill>
              <a:ln w="25400">
                <a:noFill/>
              </a:ln>
              <a:effectLst/>
            </c:spPr>
            <c:extLst>
              <c:ext xmlns:c16="http://schemas.microsoft.com/office/drawing/2014/chart" uri="{C3380CC4-5D6E-409C-BE32-E72D297353CC}">
                <c16:uniqueId val="{00000001-23FA-4C2D-88F9-82F28EA75597}"/>
              </c:ext>
            </c:extLst>
          </c:dPt>
          <c:dPt>
            <c:idx val="2"/>
            <c:bubble3D val="0"/>
            <c:spPr>
              <a:solidFill>
                <a:srgbClr val="F9663E"/>
              </a:solidFill>
              <a:ln w="25400">
                <a:noFill/>
              </a:ln>
              <a:effectLst/>
            </c:spPr>
            <c:extLst>
              <c:ext xmlns:c16="http://schemas.microsoft.com/office/drawing/2014/chart" uri="{C3380CC4-5D6E-409C-BE32-E72D297353CC}">
                <c16:uniqueId val="{00000003-23FA-4C2D-88F9-82F28EA75597}"/>
              </c:ext>
            </c:extLst>
          </c:dPt>
          <c:dPt>
            <c:idx val="3"/>
            <c:bubble3D val="0"/>
            <c:spPr>
              <a:solidFill>
                <a:srgbClr val="C7FE02"/>
              </a:solidFill>
              <a:ln w="25400">
                <a:noFill/>
              </a:ln>
              <a:effectLst/>
            </c:spPr>
            <c:extLst>
              <c:ext xmlns:c16="http://schemas.microsoft.com/office/drawing/2014/chart" uri="{C3380CC4-5D6E-409C-BE32-E72D297353CC}">
                <c16:uniqueId val="{00000008-A441-473C-98DB-D8DED9CF9FC3}"/>
              </c:ext>
            </c:extLst>
          </c:dPt>
          <c:dLbls>
            <c:dLbl>
              <c:idx val="0"/>
              <c:layout>
                <c:manualLayout>
                  <c:x val="-1.7971223129584411E-2"/>
                  <c:y val="-6.4657286691622564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FA-4C2D-88F9-82F28EA75597}"/>
                </c:ext>
              </c:extLst>
            </c:dLbl>
            <c:dLbl>
              <c:idx val="1"/>
              <c:layout>
                <c:manualLayout>
                  <c:x val="2.621609951372221E-2"/>
                  <c:y val="-5.8035368529753455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FA-4C2D-88F9-82F28EA75597}"/>
                </c:ext>
              </c:extLst>
            </c:dLbl>
            <c:dLbl>
              <c:idx val="2"/>
              <c:layout>
                <c:manualLayout>
                  <c:x val="2.7034661270690742E-2"/>
                  <c:y val="4.7760423389699375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FA-4C2D-88F9-82F28EA75597}"/>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A441-473C-98DB-D8DED9CF9FC3}"/>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PROXSOP!$T$51:$T$53</c:f>
              <c:strCache>
                <c:ptCount val="3"/>
                <c:pt idx="0">
                  <c:v>Domestic</c:v>
                </c:pt>
                <c:pt idx="1">
                  <c:v>BICS/Telesign</c:v>
                </c:pt>
                <c:pt idx="2">
                  <c:v>Fibre JVs</c:v>
                </c:pt>
              </c:strCache>
            </c:strRef>
          </c:cat>
          <c:val>
            <c:numRef>
              <c:f>PROXSOP!$X$51:$X$53</c:f>
              <c:numCache>
                <c:formatCode>0.0%</c:formatCode>
                <c:ptCount val="3"/>
                <c:pt idx="0">
                  <c:v>0.61426726476509763</c:v>
                </c:pt>
                <c:pt idx="1">
                  <c:v>0.32916546052976359</c:v>
                </c:pt>
                <c:pt idx="2">
                  <c:v>5.6567274705138816E-2</c:v>
                </c:pt>
              </c:numCache>
            </c:numRef>
          </c:val>
          <c:extLst>
            <c:ext xmlns:c16="http://schemas.microsoft.com/office/drawing/2014/chart" uri="{C3380CC4-5D6E-409C-BE32-E72D297353CC}">
              <c16:uniqueId val="{00000005-23FA-4C2D-88F9-82F28EA75597}"/>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7-23FA-4C2D-88F9-82F28EA7559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9-23FA-4C2D-88F9-82F28EA75597}"/>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PROXSOP!$T$51:$T$53</c:f>
              <c:strCache>
                <c:ptCount val="3"/>
                <c:pt idx="0">
                  <c:v>Domestic</c:v>
                </c:pt>
                <c:pt idx="1">
                  <c:v>BICS/Telesign</c:v>
                </c:pt>
                <c:pt idx="2">
                  <c:v>Fibre JVs</c:v>
                </c:pt>
              </c:strCache>
            </c:strRef>
          </c:cat>
          <c:val>
            <c:numRef>
              <c:f>PROXSOP!$X$51:$X$53</c:f>
              <c:numCache>
                <c:formatCode>0.0%</c:formatCode>
                <c:ptCount val="3"/>
                <c:pt idx="0">
                  <c:v>0.61426726476509763</c:v>
                </c:pt>
                <c:pt idx="1">
                  <c:v>0.32916546052976359</c:v>
                </c:pt>
                <c:pt idx="2">
                  <c:v>5.6567274705138816E-2</c:v>
                </c:pt>
              </c:numCache>
            </c:numRef>
          </c:val>
          <c:extLst>
            <c:ext xmlns:c16="http://schemas.microsoft.com/office/drawing/2014/chart" uri="{C3380CC4-5D6E-409C-BE32-E72D297353CC}">
              <c16:uniqueId val="{0000000A-23FA-4C2D-88F9-82F28EA75597}"/>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76691729323321"/>
          <c:y val="9.5022624434389164E-2"/>
          <c:w val="0.59774436090225425"/>
          <c:h val="0.71945701357466063"/>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C276-4EFF-A643-4A6D0C0F6139}"/>
              </c:ext>
            </c:extLst>
          </c:dPt>
          <c:dPt>
            <c:idx val="1"/>
            <c:bubble3D val="0"/>
            <c:spPr>
              <a:solidFill>
                <a:srgbClr val="799098"/>
              </a:solidFill>
              <a:ln w="25400">
                <a:noFill/>
              </a:ln>
              <a:effectLst/>
            </c:spPr>
            <c:extLst>
              <c:ext xmlns:c16="http://schemas.microsoft.com/office/drawing/2014/chart" uri="{C3380CC4-5D6E-409C-BE32-E72D297353CC}">
                <c16:uniqueId val="{00000003-C276-4EFF-A643-4A6D0C0F6139}"/>
              </c:ext>
            </c:extLst>
          </c:dPt>
          <c:dLbls>
            <c:dLbl>
              <c:idx val="0"/>
              <c:layout>
                <c:manualLayout>
                  <c:x val="-1.4251376472677759E-2"/>
                  <c:y val="-3.360066322323626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76-4EFF-A643-4A6D0C0F6139}"/>
                </c:ext>
              </c:extLst>
            </c:dLbl>
            <c:dLbl>
              <c:idx val="1"/>
              <c:layout>
                <c:manualLayout>
                  <c:x val="1.1742545339727321E-2"/>
                  <c:y val="2.0366979014501008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76-4EFF-A643-4A6D0C0F6139}"/>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SWISSSOP!$T$40:$T$41</c:f>
              <c:strCache>
                <c:ptCount val="2"/>
                <c:pt idx="0">
                  <c:v>Switzerland</c:v>
                </c:pt>
                <c:pt idx="1">
                  <c:v>Italy</c:v>
                </c:pt>
              </c:strCache>
            </c:strRef>
          </c:cat>
          <c:val>
            <c:numRef>
              <c:f>SWISSSOP!$X$40:$X$41</c:f>
              <c:numCache>
                <c:formatCode>0.0%</c:formatCode>
                <c:ptCount val="2"/>
                <c:pt idx="0">
                  <c:v>0.74862783169405611</c:v>
                </c:pt>
                <c:pt idx="1">
                  <c:v>0.25137216830594383</c:v>
                </c:pt>
              </c:numCache>
            </c:numRef>
          </c:val>
          <c:extLst>
            <c:ext xmlns:c16="http://schemas.microsoft.com/office/drawing/2014/chart" uri="{C3380CC4-5D6E-409C-BE32-E72D297353CC}">
              <c16:uniqueId val="{00000004-C276-4EFF-A643-4A6D0C0F6139}"/>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2-498E-45C2-B77A-F6C463FF2E47}"/>
              </c:ext>
            </c:extLst>
          </c:dPt>
          <c:dPt>
            <c:idx val="1"/>
            <c:bubble3D val="0"/>
            <c:spPr>
              <a:solidFill>
                <a:srgbClr val="799098"/>
              </a:solidFill>
              <a:ln w="25400">
                <a:noFill/>
              </a:ln>
              <a:effectLst/>
            </c:spPr>
            <c:extLst>
              <c:ext xmlns:c16="http://schemas.microsoft.com/office/drawing/2014/chart" uri="{C3380CC4-5D6E-409C-BE32-E72D297353CC}">
                <c16:uniqueId val="{00000003-498E-45C2-B77A-F6C463FF2E47}"/>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98E-45C2-B77A-F6C463FF2E47}"/>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3-498E-45C2-B77A-F6C463FF2E4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Arial Narrow"/>
                    <a:ea typeface="Arial Narrow"/>
                    <a:cs typeface="Arial Narrow"/>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TEFSOP!$T$56:$T$57</c:f>
              <c:strCache>
                <c:ptCount val="2"/>
                <c:pt idx="0">
                  <c:v>Europe</c:v>
                </c:pt>
                <c:pt idx="1">
                  <c:v>Latam</c:v>
                </c:pt>
              </c:strCache>
            </c:strRef>
          </c:cat>
          <c:val>
            <c:numRef>
              <c:f>TEFSOP!$X$56:$X$57</c:f>
              <c:numCache>
                <c:formatCode>0.0%</c:formatCode>
                <c:ptCount val="2"/>
                <c:pt idx="0">
                  <c:v>0.63043523495583131</c:v>
                </c:pt>
                <c:pt idx="1">
                  <c:v>0.36956476504416869</c:v>
                </c:pt>
              </c:numCache>
            </c:numRef>
          </c:val>
          <c:extLst>
            <c:ext xmlns:c16="http://schemas.microsoft.com/office/drawing/2014/chart" uri="{C3380CC4-5D6E-409C-BE32-E72D297353CC}">
              <c16:uniqueId val="{00000000-498E-45C2-B77A-F6C463FF2E47}"/>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rtl="0">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421052631578938"/>
          <c:y val="9.2936802973977869E-2"/>
          <c:w val="0.60150375939849665"/>
          <c:h val="0.5947955390334576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7483-41B2-92F0-85D15F0E5615}"/>
              </c:ext>
            </c:extLst>
          </c:dPt>
          <c:dPt>
            <c:idx val="1"/>
            <c:bubble3D val="0"/>
            <c:spPr>
              <a:solidFill>
                <a:srgbClr val="799098"/>
              </a:solidFill>
              <a:ln w="25400">
                <a:noFill/>
              </a:ln>
              <a:effectLst/>
            </c:spPr>
            <c:extLst>
              <c:ext xmlns:c16="http://schemas.microsoft.com/office/drawing/2014/chart" uri="{C3380CC4-5D6E-409C-BE32-E72D297353CC}">
                <c16:uniqueId val="{00000003-7483-41B2-92F0-85D15F0E5615}"/>
              </c:ext>
            </c:extLst>
          </c:dPt>
          <c:dPt>
            <c:idx val="2"/>
            <c:bubble3D val="0"/>
            <c:spPr>
              <a:solidFill>
                <a:srgbClr val="F9663E"/>
              </a:solidFill>
              <a:ln w="25400">
                <a:noFill/>
              </a:ln>
              <a:effectLst/>
            </c:spPr>
            <c:extLst>
              <c:ext xmlns:c16="http://schemas.microsoft.com/office/drawing/2014/chart" uri="{C3380CC4-5D6E-409C-BE32-E72D297353CC}">
                <c16:uniqueId val="{00000005-7483-41B2-92F0-85D15F0E5615}"/>
              </c:ext>
            </c:extLst>
          </c:dPt>
          <c:dPt>
            <c:idx val="3"/>
            <c:bubble3D val="0"/>
            <c:spPr>
              <a:solidFill>
                <a:srgbClr val="C7FE02"/>
              </a:solidFill>
              <a:ln w="25400">
                <a:noFill/>
              </a:ln>
              <a:effectLst/>
            </c:spPr>
            <c:extLst>
              <c:ext xmlns:c16="http://schemas.microsoft.com/office/drawing/2014/chart" uri="{C3380CC4-5D6E-409C-BE32-E72D297353CC}">
                <c16:uniqueId val="{00000007-7483-41B2-92F0-85D15F0E5615}"/>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8-9DDE-4FAA-BCE1-B35E7DC3744B}"/>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9-9DDE-4FAA-BCE1-B35E7DC3744B}"/>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A-9DDE-4FAA-BCE1-B35E7DC3744B}"/>
              </c:ext>
            </c:extLst>
          </c:dPt>
          <c:dPt>
            <c:idx val="7"/>
            <c:bubble3D val="0"/>
            <c:spPr>
              <a:pattFill prst="wdDnDiag">
                <a:fgClr>
                  <a:srgbClr val="333399"/>
                </a:fgClr>
                <a:bgClr>
                  <a:srgbClr val="333399"/>
                </a:bgClr>
              </a:pattFill>
              <a:ln w="25400">
                <a:noFill/>
              </a:ln>
              <a:effectLst/>
            </c:spPr>
            <c:extLst>
              <c:ext xmlns:c16="http://schemas.microsoft.com/office/drawing/2014/chart" uri="{C3380CC4-5D6E-409C-BE32-E72D297353CC}">
                <c16:uniqueId val="{0000000B-9DDE-4FAA-BCE1-B35E7DC3744B}"/>
              </c:ext>
            </c:extLst>
          </c:dPt>
          <c:dLbls>
            <c:dLbl>
              <c:idx val="0"/>
              <c:layout>
                <c:manualLayout>
                  <c:x val="-6.2762412148762523E-3"/>
                  <c:y val="-3.3357104234093743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83-41B2-92F0-85D15F0E5615}"/>
                </c:ext>
              </c:extLst>
            </c:dLbl>
            <c:dLbl>
              <c:idx val="1"/>
              <c:layout>
                <c:manualLayout>
                  <c:x val="3.5831338220277918E-2"/>
                  <c:y val="-1.6650732326596505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83-41B2-92F0-85D15F0E5615}"/>
                </c:ext>
              </c:extLst>
            </c:dLbl>
            <c:dLbl>
              <c:idx val="2"/>
              <c:layout>
                <c:manualLayout>
                  <c:x val="2.0089955258556419E-2"/>
                  <c:y val="-9.1145256488561806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83-41B2-92F0-85D15F0E5615}"/>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7483-41B2-92F0-85D15F0E5615}"/>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TELE2SOP!$T$45:$T$48</c:f>
              <c:strCache>
                <c:ptCount val="4"/>
                <c:pt idx="0">
                  <c:v>Sweden</c:v>
                </c:pt>
                <c:pt idx="1">
                  <c:v>Lithuania</c:v>
                </c:pt>
                <c:pt idx="2">
                  <c:v>Latvia</c:v>
                </c:pt>
                <c:pt idx="3">
                  <c:v>Estonia</c:v>
                </c:pt>
              </c:strCache>
            </c:strRef>
          </c:cat>
          <c:val>
            <c:numRef>
              <c:f>TELE2SOP!$X$45:$X$48</c:f>
              <c:numCache>
                <c:formatCode>0.0%</c:formatCode>
                <c:ptCount val="4"/>
                <c:pt idx="0">
                  <c:v>0.66137201986975003</c:v>
                </c:pt>
                <c:pt idx="1">
                  <c:v>0.23928693844496829</c:v>
                </c:pt>
                <c:pt idx="2">
                  <c:v>8.566956855687935E-2</c:v>
                </c:pt>
                <c:pt idx="3">
                  <c:v>1.3671473128402349E-2</c:v>
                </c:pt>
              </c:numCache>
            </c:numRef>
          </c:val>
          <c:extLst>
            <c:ext xmlns:c16="http://schemas.microsoft.com/office/drawing/2014/chart" uri="{C3380CC4-5D6E-409C-BE32-E72D297353CC}">
              <c16:uniqueId val="{00000008-7483-41B2-92F0-85D15F0E5615}"/>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85516529331388"/>
          <c:y val="0.10582167473225559"/>
          <c:w val="0.67302340811923533"/>
          <c:h val="0.63027799349823443"/>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C55B-4C73-9D11-5833F6BA802A}"/>
              </c:ext>
            </c:extLst>
          </c:dPt>
          <c:dPt>
            <c:idx val="1"/>
            <c:bubble3D val="0"/>
            <c:spPr>
              <a:solidFill>
                <a:srgbClr val="F9663E"/>
              </a:solidFill>
              <a:ln w="25400">
                <a:noFill/>
              </a:ln>
              <a:effectLst/>
            </c:spPr>
            <c:extLst>
              <c:ext xmlns:c16="http://schemas.microsoft.com/office/drawing/2014/chart" uri="{C3380CC4-5D6E-409C-BE32-E72D297353CC}">
                <c16:uniqueId val="{00000003-C55B-4C73-9D11-5833F6BA802A}"/>
              </c:ext>
            </c:extLst>
          </c:dPt>
          <c:dPt>
            <c:idx val="2"/>
            <c:bubble3D val="0"/>
            <c:spPr>
              <a:solidFill>
                <a:srgbClr val="C7FE02"/>
              </a:solidFill>
              <a:ln w="25400">
                <a:noFill/>
              </a:ln>
              <a:effectLst/>
            </c:spPr>
            <c:extLst>
              <c:ext xmlns:c16="http://schemas.microsoft.com/office/drawing/2014/chart" uri="{C3380CC4-5D6E-409C-BE32-E72D297353CC}">
                <c16:uniqueId val="{00000005-C55B-4C73-9D11-5833F6BA802A}"/>
              </c:ext>
            </c:extLst>
          </c:dPt>
          <c:dPt>
            <c:idx val="3"/>
            <c:bubble3D val="0"/>
            <c:spPr>
              <a:solidFill>
                <a:srgbClr val="C7FE02"/>
              </a:solidFill>
              <a:ln w="25400">
                <a:noFill/>
              </a:ln>
              <a:effectLst/>
            </c:spPr>
            <c:extLst>
              <c:ext xmlns:c16="http://schemas.microsoft.com/office/drawing/2014/chart" uri="{C3380CC4-5D6E-409C-BE32-E72D297353CC}">
                <c16:uniqueId val="{00000008-1EFE-41CA-ACC2-2BBA98B4786C}"/>
              </c:ext>
            </c:extLst>
          </c:dPt>
          <c:dLbls>
            <c:dLbl>
              <c:idx val="0"/>
              <c:layout>
                <c:manualLayout>
                  <c:x val="-2.6974267221218259E-2"/>
                  <c:y val="-4.3215333332472995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5B-4C73-9D11-5833F6BA802A}"/>
                </c:ext>
              </c:extLst>
            </c:dLbl>
            <c:dLbl>
              <c:idx val="1"/>
              <c:layout>
                <c:manualLayout>
                  <c:x val="3.9748471836949982E-2"/>
                  <c:y val="2.8713864085989312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5B-4C73-9D11-5833F6BA802A}"/>
                </c:ext>
              </c:extLst>
            </c:dLbl>
            <c:dLbl>
              <c:idx val="2"/>
              <c:layout>
                <c:manualLayout>
                  <c:x val="2.1353200354791151E-2"/>
                  <c:y val="1.4573307677979708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5B-4C73-9D11-5833F6BA802A}"/>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EFE-41CA-ACC2-2BBA98B4786C}"/>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TISOP!$T$41:$T$43</c:f>
              <c:strCache>
                <c:ptCount val="3"/>
                <c:pt idx="0">
                  <c:v>Italy (ex. FiberCop)</c:v>
                </c:pt>
                <c:pt idx="1">
                  <c:v>FiberCop</c:v>
                </c:pt>
                <c:pt idx="2">
                  <c:v>Brazil</c:v>
                </c:pt>
              </c:strCache>
            </c:strRef>
          </c:cat>
          <c:val>
            <c:numRef>
              <c:f>TISOP!$X$41:$X$43</c:f>
              <c:numCache>
                <c:formatCode>0.0%</c:formatCode>
                <c:ptCount val="3"/>
                <c:pt idx="0">
                  <c:v>-0.51757034604302243</c:v>
                </c:pt>
                <c:pt idx="1">
                  <c:v>0.47011635038539734</c:v>
                </c:pt>
                <c:pt idx="2">
                  <c:v>1.047453995657625</c:v>
                </c:pt>
              </c:numCache>
            </c:numRef>
          </c:val>
          <c:extLst>
            <c:ext xmlns:c16="http://schemas.microsoft.com/office/drawing/2014/chart" uri="{C3380CC4-5D6E-409C-BE32-E72D297353CC}">
              <c16:uniqueId val="{00000006-C55B-4C73-9D11-5833F6BA802A}"/>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C55B-4C73-9D11-5833F6BA802A}"/>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TISOP!$T$41:$T$43</c:f>
              <c:strCache>
                <c:ptCount val="3"/>
                <c:pt idx="0">
                  <c:v>Italy (ex. FiberCop)</c:v>
                </c:pt>
                <c:pt idx="1">
                  <c:v>FiberCop</c:v>
                </c:pt>
                <c:pt idx="2">
                  <c:v>Brazil</c:v>
                </c:pt>
              </c:strCache>
            </c:strRef>
          </c:cat>
          <c:val>
            <c:numRef>
              <c:f>TISOP!$X$43:$X$44</c:f>
              <c:numCache>
                <c:formatCode>0.0%</c:formatCode>
                <c:ptCount val="2"/>
                <c:pt idx="0">
                  <c:v>1.047453995657625</c:v>
                </c:pt>
                <c:pt idx="1">
                  <c:v>1</c:v>
                </c:pt>
              </c:numCache>
            </c:numRef>
          </c:val>
          <c:extLst>
            <c:ext xmlns:c16="http://schemas.microsoft.com/office/drawing/2014/chart" uri="{C3380CC4-5D6E-409C-BE32-E72D297353CC}">
              <c16:uniqueId val="{00000009-C55B-4C73-9D11-5833F6BA802A}"/>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3896473000047"/>
          <c:y val="0.10887096774193561"/>
          <c:w val="0.59923775800214196"/>
          <c:h val="0.63306451612903358"/>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D714-48F2-97A9-85796B2B67F0}"/>
              </c:ext>
            </c:extLst>
          </c:dPt>
          <c:dPt>
            <c:idx val="1"/>
            <c:bubble3D val="0"/>
            <c:spPr>
              <a:solidFill>
                <a:srgbClr val="F9663E"/>
              </a:solidFill>
              <a:ln w="25400">
                <a:noFill/>
              </a:ln>
              <a:effectLst/>
            </c:spPr>
            <c:extLst>
              <c:ext xmlns:c16="http://schemas.microsoft.com/office/drawing/2014/chart" uri="{C3380CC4-5D6E-409C-BE32-E72D297353CC}">
                <c16:uniqueId val="{00000003-D714-48F2-97A9-85796B2B67F0}"/>
              </c:ext>
            </c:extLst>
          </c:dPt>
          <c:dPt>
            <c:idx val="2"/>
            <c:bubble3D val="0"/>
            <c:spPr>
              <a:solidFill>
                <a:srgbClr val="C7FE02"/>
              </a:solidFill>
              <a:ln w="25400">
                <a:noFill/>
              </a:ln>
              <a:effectLst/>
            </c:spPr>
            <c:extLst>
              <c:ext xmlns:c16="http://schemas.microsoft.com/office/drawing/2014/chart" uri="{C3380CC4-5D6E-409C-BE32-E72D297353CC}">
                <c16:uniqueId val="{00000005-D714-48F2-97A9-85796B2B67F0}"/>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D714-48F2-97A9-85796B2B67F0}"/>
              </c:ext>
            </c:extLst>
          </c:dPt>
          <c:dLbls>
            <c:dLbl>
              <c:idx val="0"/>
              <c:layout>
                <c:manualLayout>
                  <c:x val="-1.2007078361522385E-3"/>
                  <c:y val="2.8063238789985852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14-48F2-97A9-85796B2B67F0}"/>
                </c:ext>
              </c:extLst>
            </c:dLbl>
            <c:dLbl>
              <c:idx val="1"/>
              <c:layout>
                <c:manualLayout>
                  <c:x val="-1.6782334788276603E-2"/>
                  <c:y val="-6.5261788193092495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14-48F2-97A9-85796B2B67F0}"/>
                </c:ext>
              </c:extLst>
            </c:dLbl>
            <c:dLbl>
              <c:idx val="2"/>
              <c:layout>
                <c:manualLayout>
                  <c:x val="1.8526947888200893E-2"/>
                  <c:y val="7.5108832447015768E-4"/>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14-48F2-97A9-85796B2B67F0}"/>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TNORSOP!$T$63:$T$65</c:f>
              <c:strCache>
                <c:ptCount val="3"/>
                <c:pt idx="0">
                  <c:v>Europe</c:v>
                </c:pt>
                <c:pt idx="1">
                  <c:v>Asia</c:v>
                </c:pt>
                <c:pt idx="2">
                  <c:v>Other</c:v>
                </c:pt>
              </c:strCache>
            </c:strRef>
          </c:cat>
          <c:val>
            <c:numRef>
              <c:f>TNORSOP!$X$63:$X$65</c:f>
              <c:numCache>
                <c:formatCode>0.0%</c:formatCode>
                <c:ptCount val="3"/>
                <c:pt idx="0">
                  <c:v>0.6826412779132196</c:v>
                </c:pt>
                <c:pt idx="1">
                  <c:v>0.22325590709282045</c:v>
                </c:pt>
                <c:pt idx="2">
                  <c:v>9.4102814993960004E-2</c:v>
                </c:pt>
              </c:numCache>
            </c:numRef>
          </c:val>
          <c:extLst>
            <c:ext xmlns:c16="http://schemas.microsoft.com/office/drawing/2014/chart" uri="{C3380CC4-5D6E-409C-BE32-E72D297353CC}">
              <c16:uniqueId val="{00000008-D714-48F2-97A9-85796B2B67F0}"/>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A-D714-48F2-97A9-85796B2B67F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C-D714-48F2-97A9-85796B2B67F0}"/>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TNORSOP!$T$63:$T$65</c:f>
              <c:strCache>
                <c:ptCount val="3"/>
                <c:pt idx="0">
                  <c:v>Europe</c:v>
                </c:pt>
                <c:pt idx="1">
                  <c:v>Asia</c:v>
                </c:pt>
                <c:pt idx="2">
                  <c:v>Other</c:v>
                </c:pt>
              </c:strCache>
            </c:strRef>
          </c:cat>
          <c:val>
            <c:numRef>
              <c:f>TNORSOP!$X$63:$X$65</c:f>
              <c:numCache>
                <c:formatCode>0.0%</c:formatCode>
                <c:ptCount val="3"/>
                <c:pt idx="0">
                  <c:v>0.6826412779132196</c:v>
                </c:pt>
                <c:pt idx="1">
                  <c:v>0.22325590709282045</c:v>
                </c:pt>
                <c:pt idx="2">
                  <c:v>9.4102814993960004E-2</c:v>
                </c:pt>
              </c:numCache>
            </c:numRef>
          </c:val>
          <c:extLst>
            <c:ext xmlns:c16="http://schemas.microsoft.com/office/drawing/2014/chart" uri="{C3380CC4-5D6E-409C-BE32-E72D297353CC}">
              <c16:uniqueId val="{0000000D-D714-48F2-97A9-85796B2B67F0}"/>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12244327447234"/>
          <c:y val="7.3529411764705885E-2"/>
          <c:w val="0.65267297209150821"/>
          <c:h val="0.62867647058823684"/>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EC4A-4B09-AB53-6A3918D8DD9C}"/>
              </c:ext>
            </c:extLst>
          </c:dPt>
          <c:dPt>
            <c:idx val="1"/>
            <c:bubble3D val="0"/>
            <c:spPr>
              <a:solidFill>
                <a:srgbClr val="F9663E"/>
              </a:solidFill>
              <a:ln w="25400">
                <a:noFill/>
              </a:ln>
              <a:effectLst/>
            </c:spPr>
            <c:extLst>
              <c:ext xmlns:c16="http://schemas.microsoft.com/office/drawing/2014/chart" uri="{C3380CC4-5D6E-409C-BE32-E72D297353CC}">
                <c16:uniqueId val="{00000003-EC4A-4B09-AB53-6A3918D8DD9C}"/>
              </c:ext>
            </c:extLst>
          </c:dPt>
          <c:dPt>
            <c:idx val="2"/>
            <c:bubble3D val="0"/>
            <c:spPr>
              <a:solidFill>
                <a:srgbClr val="C7FE02"/>
              </a:solidFill>
              <a:ln w="25400">
                <a:noFill/>
              </a:ln>
              <a:effectLst/>
            </c:spPr>
            <c:extLst>
              <c:ext xmlns:c16="http://schemas.microsoft.com/office/drawing/2014/chart" uri="{C3380CC4-5D6E-409C-BE32-E72D297353CC}">
                <c16:uniqueId val="{00000005-EC4A-4B09-AB53-6A3918D8DD9C}"/>
              </c:ext>
            </c:extLst>
          </c:dPt>
          <c:dLbls>
            <c:dLbl>
              <c:idx val="0"/>
              <c:layout>
                <c:manualLayout>
                  <c:x val="-3.7630239401893022E-2"/>
                  <c:y val="2.441005855159930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4A-4B09-AB53-6A3918D8DD9C}"/>
                </c:ext>
              </c:extLst>
            </c:dLbl>
            <c:dLbl>
              <c:idx val="1"/>
              <c:layout>
                <c:manualLayout>
                  <c:x val="1.1675813250616401E-2"/>
                  <c:y val="1.5664228837095787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4A-4B09-AB53-6A3918D8DD9C}"/>
                </c:ext>
              </c:extLst>
            </c:dLbl>
            <c:dLbl>
              <c:idx val="2"/>
              <c:layout>
                <c:manualLayout>
                  <c:x val="1.7259603913147219E-2"/>
                  <c:y val="1.4813788137067862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4A-4B09-AB53-6A3918D8DD9C}"/>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TSONSOP!$T$69:$T$71</c:f>
              <c:strCache>
                <c:ptCount val="3"/>
                <c:pt idx="0">
                  <c:v>Mobile</c:v>
                </c:pt>
                <c:pt idx="1">
                  <c:v>Fixed</c:v>
                </c:pt>
                <c:pt idx="2">
                  <c:v>Other</c:v>
                </c:pt>
              </c:strCache>
            </c:strRef>
          </c:cat>
          <c:val>
            <c:numRef>
              <c:f>TSONSOP!$X$69:$X$71</c:f>
              <c:numCache>
                <c:formatCode>0.0%</c:formatCode>
                <c:ptCount val="3"/>
                <c:pt idx="0">
                  <c:v>0.71864479430116335</c:v>
                </c:pt>
                <c:pt idx="1">
                  <c:v>0.38502389001225545</c:v>
                </c:pt>
                <c:pt idx="2">
                  <c:v>-0.1036686843134188</c:v>
                </c:pt>
              </c:numCache>
            </c:numRef>
          </c:val>
          <c:extLst>
            <c:ext xmlns:c16="http://schemas.microsoft.com/office/drawing/2014/chart" uri="{C3380CC4-5D6E-409C-BE32-E72D297353CC}">
              <c16:uniqueId val="{00000006-EC4A-4B09-AB53-6A3918D8DD9C}"/>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EC4A-4B09-AB53-6A3918D8DD9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A-EC4A-4B09-AB53-6A3918D8DD9C}"/>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TSONSOP!$T$69:$T$71</c:f>
              <c:strCache>
                <c:ptCount val="3"/>
                <c:pt idx="0">
                  <c:v>Mobile</c:v>
                </c:pt>
                <c:pt idx="1">
                  <c:v>Fixed</c:v>
                </c:pt>
                <c:pt idx="2">
                  <c:v>Other</c:v>
                </c:pt>
              </c:strCache>
            </c:strRef>
          </c:cat>
          <c:val>
            <c:numRef>
              <c:f>TSONSOP!$X$69:$X$71</c:f>
              <c:numCache>
                <c:formatCode>0.0%</c:formatCode>
                <c:ptCount val="3"/>
                <c:pt idx="0">
                  <c:v>0.71864479430116335</c:v>
                </c:pt>
                <c:pt idx="1">
                  <c:v>0.38502389001225545</c:v>
                </c:pt>
                <c:pt idx="2">
                  <c:v>-0.1036686843134188</c:v>
                </c:pt>
              </c:numCache>
            </c:numRef>
          </c:val>
          <c:extLst>
            <c:ext xmlns:c16="http://schemas.microsoft.com/office/drawing/2014/chart" uri="{C3380CC4-5D6E-409C-BE32-E72D297353CC}">
              <c16:uniqueId val="{0000000B-EC4A-4B09-AB53-6A3918D8DD9C}"/>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501695079091"/>
          <c:y val="7.9964967430658188E-2"/>
          <c:w val="0.65368532979817862"/>
          <c:h val="0.56948316734367832"/>
        </c:manualLayout>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94D4-43F2-BC20-49581323EA2D}"/>
              </c:ext>
            </c:extLst>
          </c:dPt>
          <c:dPt>
            <c:idx val="1"/>
            <c:bubble3D val="0"/>
            <c:spPr>
              <a:solidFill>
                <a:srgbClr val="799098"/>
              </a:solidFill>
              <a:ln w="25400">
                <a:noFill/>
              </a:ln>
              <a:effectLst/>
            </c:spPr>
            <c:extLst>
              <c:ext xmlns:c16="http://schemas.microsoft.com/office/drawing/2014/chart" uri="{C3380CC4-5D6E-409C-BE32-E72D297353CC}">
                <c16:uniqueId val="{00000003-94D4-43F2-BC20-49581323EA2D}"/>
              </c:ext>
            </c:extLst>
          </c:dPt>
          <c:dPt>
            <c:idx val="2"/>
            <c:bubble3D val="0"/>
            <c:spPr>
              <a:solidFill>
                <a:srgbClr val="F9663E"/>
              </a:solidFill>
              <a:ln w="25400">
                <a:noFill/>
              </a:ln>
              <a:effectLst/>
            </c:spPr>
            <c:extLst>
              <c:ext xmlns:c16="http://schemas.microsoft.com/office/drawing/2014/chart" uri="{C3380CC4-5D6E-409C-BE32-E72D297353CC}">
                <c16:uniqueId val="{00000005-94D4-43F2-BC20-49581323EA2D}"/>
              </c:ext>
            </c:extLst>
          </c:dPt>
          <c:dPt>
            <c:idx val="3"/>
            <c:bubble3D val="0"/>
            <c:spPr>
              <a:solidFill>
                <a:srgbClr val="C7FE02"/>
              </a:solidFill>
              <a:ln w="25400">
                <a:noFill/>
              </a:ln>
              <a:effectLst/>
            </c:spPr>
            <c:extLst>
              <c:ext xmlns:c16="http://schemas.microsoft.com/office/drawing/2014/chart" uri="{C3380CC4-5D6E-409C-BE32-E72D297353CC}">
                <c16:uniqueId val="{00000007-94D4-43F2-BC20-49581323EA2D}"/>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94D4-43F2-BC20-49581323EA2D}"/>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94D4-43F2-BC20-49581323EA2D}"/>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D-94D4-43F2-BC20-49581323EA2D}"/>
              </c:ext>
            </c:extLst>
          </c:dPt>
          <c:dLbls>
            <c:dLbl>
              <c:idx val="0"/>
              <c:spPr>
                <a:noFill/>
                <a:ln>
                  <a:noFill/>
                </a:ln>
                <a:effectLst/>
              </c:spPr>
              <c:txPr>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94D4-43F2-BC20-49581323EA2D}"/>
                </c:ext>
              </c:extLst>
            </c:dLbl>
            <c:dLbl>
              <c:idx val="1"/>
              <c:spPr>
                <a:noFill/>
                <a:ln>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94D4-43F2-BC20-49581323EA2D}"/>
                </c:ext>
              </c:extLst>
            </c:dLbl>
            <c:dLbl>
              <c:idx val="2"/>
              <c:spPr>
                <a:noFill/>
                <a:ln>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94D4-43F2-BC20-49581323EA2D}"/>
                </c:ext>
              </c:extLst>
            </c:dLbl>
            <c:dLbl>
              <c:idx val="3"/>
              <c:spPr>
                <a:noFill/>
                <a:ln>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94D4-43F2-BC20-49581323EA2D}"/>
                </c:ext>
              </c:extLst>
            </c:dLbl>
            <c:dLbl>
              <c:idx val="5"/>
              <c:layout>
                <c:manualLayout>
                  <c:x val="-3.571537691289596E-2"/>
                  <c:y val="1.218100220898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D4-43F2-BC20-49581323EA2D}"/>
                </c:ext>
              </c:extLst>
            </c:dLbl>
            <c:dLbl>
              <c:idx val="6"/>
              <c:layout>
                <c:manualLayout>
                  <c:x val="4.0441804493317794E-2"/>
                  <c:y val="8.6998840342356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D4-43F2-BC20-49581323EA2D}"/>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UTDISOP!$R$47:$R$50</c:f>
              <c:strCache>
                <c:ptCount val="4"/>
                <c:pt idx="0">
                  <c:v>Consumer Applications</c:v>
                </c:pt>
                <c:pt idx="1">
                  <c:v>Business Applications</c:v>
                </c:pt>
                <c:pt idx="2">
                  <c:v>Business Access (Versatel)</c:v>
                </c:pt>
                <c:pt idx="3">
                  <c:v>Consumer Access (Drillisch)</c:v>
                </c:pt>
              </c:strCache>
            </c:strRef>
          </c:cat>
          <c:val>
            <c:numRef>
              <c:f>UTDISOP!$X$47:$X$50</c:f>
              <c:numCache>
                <c:formatCode>0.0%</c:formatCode>
                <c:ptCount val="4"/>
                <c:pt idx="0">
                  <c:v>0.9094025404207795</c:v>
                </c:pt>
                <c:pt idx="1">
                  <c:v>0.10536382036909239</c:v>
                </c:pt>
                <c:pt idx="2">
                  <c:v>0.17781689776705487</c:v>
                </c:pt>
                <c:pt idx="3">
                  <c:v>0.43261409069253104</c:v>
                </c:pt>
              </c:numCache>
            </c:numRef>
          </c:val>
          <c:extLst>
            <c:ext xmlns:c16="http://schemas.microsoft.com/office/drawing/2014/chart" uri="{C3380CC4-5D6E-409C-BE32-E72D297353CC}">
              <c16:uniqueId val="{0000000E-94D4-43F2-BC20-49581323EA2D}"/>
            </c:ext>
          </c:extLst>
        </c:ser>
        <c:dLbls>
          <c:showLegendKey val="0"/>
          <c:showVal val="1"/>
          <c:showCatName val="0"/>
          <c:showSerName val="0"/>
          <c:showPercent val="0"/>
          <c:showBubbleSize val="0"/>
          <c:showLeaderLines val="1"/>
        </c:dLbls>
        <c:firstSliceAng val="0"/>
      </c:pieChart>
      <c:spPr>
        <a:noFill/>
        <a:ln w="25400">
          <a:noFill/>
        </a:ln>
      </c:spPr>
    </c:plotArea>
    <c:legend>
      <c:legendPos val="b"/>
      <c:overlay val="0"/>
      <c:spPr>
        <a:ln w="25400">
          <a:noFill/>
        </a:ln>
      </c:spPr>
    </c:legend>
    <c:plotVisOnly val="1"/>
    <c:dispBlanksAs val="zero"/>
    <c:showDLblsOverMax val="0"/>
  </c:chart>
  <c:spPr>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CHTR!$W$24</c:f>
              <c:strCache>
                <c:ptCount val="1"/>
                <c:pt idx="0">
                  <c:v>Charter</c:v>
                </c:pt>
              </c:strCache>
            </c:strRef>
          </c:tx>
          <c:spPr>
            <a:ln w="25400" cap="rnd">
              <a:solidFill>
                <a:srgbClr val="263238"/>
              </a:solidFill>
              <a:prstDash val="solid"/>
              <a:round/>
            </a:ln>
            <a:effectLst/>
          </c:spPr>
          <c:marker>
            <c:symbol val="diamond"/>
            <c:size val="6"/>
            <c:spPr>
              <a:solidFill>
                <a:srgbClr val="263238"/>
              </a:solidFill>
              <a:ln w="25400">
                <a:noFill/>
              </a:ln>
              <a:effectLst/>
            </c:spPr>
          </c:marker>
          <c:cat>
            <c:strRef>
              <c:f>CHTR!$V$25:$V$34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CHTR!$W$25:$W$34</c:f>
              <c:numCache>
                <c:formatCode>0%</c:formatCode>
                <c:ptCount val="10"/>
                <c:pt idx="0">
                  <c:v>1.3488347262276976</c:v>
                </c:pt>
                <c:pt idx="1">
                  <c:v>1.0804622911901516</c:v>
                </c:pt>
                <c:pt idx="2">
                  <c:v>1.1705955817659675</c:v>
                </c:pt>
                <c:pt idx="3">
                  <c:v>1.113700400567845</c:v>
                </c:pt>
                <c:pt idx="4">
                  <c:v>1.1526769784799171</c:v>
                </c:pt>
                <c:pt idx="5">
                  <c:v>1.1543288170601249</c:v>
                </c:pt>
                <c:pt idx="6">
                  <c:v>5.1030889792234619</c:v>
                </c:pt>
                <c:pt idx="7">
                  <c:v>1.0939605310461709</c:v>
                </c:pt>
                <c:pt idx="8">
                  <c:v>0</c:v>
                </c:pt>
                <c:pt idx="9">
                  <c:v>0.19595974204474292</c:v>
                </c:pt>
              </c:numCache>
            </c:numRef>
          </c:val>
          <c:extLst>
            <c:ext xmlns:c16="http://schemas.microsoft.com/office/drawing/2014/chart" uri="{C3380CC4-5D6E-409C-BE32-E72D297353CC}">
              <c16:uniqueId val="{00000000-4C42-4AF8-AA87-6D1B86DCC73F}"/>
            </c:ext>
          </c:extLst>
        </c:ser>
        <c:ser>
          <c:idx val="1"/>
          <c:order val="1"/>
          <c:tx>
            <c:strRef>
              <c:f>CHTR!$X$24</c:f>
              <c:strCache>
                <c:ptCount val="1"/>
                <c:pt idx="0">
                  <c:v>Agg. US CATV</c:v>
                </c:pt>
              </c:strCache>
            </c:strRef>
          </c:tx>
          <c:spPr>
            <a:ln w="25400" cap="rnd">
              <a:solidFill>
                <a:srgbClr val="799098"/>
              </a:solidFill>
              <a:prstDash val="solid"/>
              <a:round/>
            </a:ln>
            <a:effectLst/>
          </c:spPr>
          <c:marker>
            <c:symbol val="diamond"/>
            <c:size val="6"/>
            <c:spPr>
              <a:solidFill>
                <a:srgbClr val="799098"/>
              </a:solidFill>
              <a:ln w="25400">
                <a:noFill/>
              </a:ln>
              <a:effectLst/>
            </c:spPr>
          </c:marker>
          <c:cat>
            <c:strRef>
              <c:f>CHTR!$V$25:$V$34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CHTR!$X$25:$X$34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C42-4AF8-AA87-6D1B86DCC73F}"/>
            </c:ext>
          </c:extLst>
        </c:ser>
        <c:dLbls>
          <c:showLegendKey val="0"/>
          <c:showVal val="0"/>
          <c:showCatName val="0"/>
          <c:showSerName val="0"/>
          <c:showPercent val="0"/>
          <c:showBubbleSize val="0"/>
        </c:dLbls>
        <c:axId val="2076031568"/>
        <c:axId val="2076033648"/>
      </c:radarChart>
      <c:catAx>
        <c:axId val="2076031568"/>
        <c:scaling>
          <c:orientation val="minMax"/>
        </c:scaling>
        <c:delete val="0"/>
        <c:axPos val="b"/>
        <c:numFmt formatCode="General" sourceLinked="1"/>
        <c:majorTickMark val="none"/>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2076033648"/>
        <c:crosses val="autoZero"/>
        <c:auto val="1"/>
        <c:lblAlgn val="ctr"/>
        <c:lblOffset val="100"/>
        <c:noMultiLvlLbl val="0"/>
      </c:catAx>
      <c:valAx>
        <c:axId val="2076033648"/>
        <c:scaling>
          <c:orientation val="minMax"/>
        </c:scaling>
        <c:delete val="0"/>
        <c:axPos val="l"/>
        <c:numFmt formatCode="0%" sourceLinked="1"/>
        <c:majorTickMark val="none"/>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20760315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620994933092607"/>
          <c:y val="0.11692325258902152"/>
          <c:w val="0.44354882374309296"/>
          <c:h val="0.67692409393644049"/>
        </c:manualLayout>
      </c:layout>
      <c:radarChart>
        <c:radarStyle val="marker"/>
        <c:varyColors val="0"/>
        <c:ser>
          <c:idx val="0"/>
          <c:order val="0"/>
          <c:tx>
            <c:strRef>
              <c:f>CHUNG!$W$24</c:f>
              <c:strCache>
                <c:ptCount val="1"/>
                <c:pt idx="0">
                  <c:v>Chungwha</c:v>
                </c:pt>
              </c:strCache>
            </c:strRef>
          </c:tx>
          <c:spPr>
            <a:ln w="25400">
              <a:solidFill>
                <a:srgbClr val="263238"/>
              </a:solidFill>
              <a:prstDash val="solid"/>
            </a:ln>
            <a:effectLst/>
          </c:spPr>
          <c:marker>
            <c:symbol val="diamond"/>
            <c:size val="6"/>
            <c:spPr>
              <a:solidFill>
                <a:srgbClr val="263238"/>
              </a:solidFill>
              <a:ln w="6350">
                <a:noFill/>
              </a:ln>
            </c:spPr>
          </c:marker>
          <c:cat>
            <c:strRef>
              <c:f>CHUNG!$V$25:$V$34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CHUNG!$W$25:$W$34</c:f>
              <c:numCache>
                <c:formatCode>0%</c:formatCode>
                <c:ptCount val="10"/>
                <c:pt idx="0">
                  <c:v>3.080652327933441</c:v>
                </c:pt>
                <c:pt idx="1">
                  <c:v>2.2550085378783464</c:v>
                </c:pt>
                <c:pt idx="2">
                  <c:v>1.35140707947292</c:v>
                </c:pt>
                <c:pt idx="3">
                  <c:v>1.243185537609085</c:v>
                </c:pt>
                <c:pt idx="4">
                  <c:v>1.8888195115913176</c:v>
                </c:pt>
                <c:pt idx="5">
                  <c:v>1.9258870578043341</c:v>
                </c:pt>
                <c:pt idx="6">
                  <c:v>1.5012250321982201</c:v>
                </c:pt>
                <c:pt idx="7">
                  <c:v>2.0479888390947369</c:v>
                </c:pt>
                <c:pt idx="8">
                  <c:v>0.80946838758324391</c:v>
                </c:pt>
                <c:pt idx="9">
                  <c:v>0.66612265220205913</c:v>
                </c:pt>
              </c:numCache>
            </c:numRef>
          </c:val>
          <c:extLst>
            <c:ext xmlns:c16="http://schemas.microsoft.com/office/drawing/2014/chart" uri="{C3380CC4-5D6E-409C-BE32-E72D297353CC}">
              <c16:uniqueId val="{00000000-BE51-4234-85F3-45F1EBC208FE}"/>
            </c:ext>
          </c:extLst>
        </c:ser>
        <c:ser>
          <c:idx val="1"/>
          <c:order val="1"/>
          <c:tx>
            <c:strRef>
              <c:f>CHUNG!$X$24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CHUNG!$V$25:$V$34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CHUNG!$X$25:$X$34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E51-4234-85F3-45F1EBC208FE}"/>
            </c:ext>
          </c:extLst>
        </c:ser>
        <c:dLbls>
          <c:showLegendKey val="0"/>
          <c:showVal val="0"/>
          <c:showCatName val="0"/>
          <c:showSerName val="0"/>
          <c:showPercent val="0"/>
          <c:showBubbleSize val="0"/>
        </c:dLbls>
        <c:axId val="375224192"/>
        <c:axId val="375234560"/>
      </c:radarChart>
      <c:catAx>
        <c:axId val="3752241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5234560"/>
        <c:crosses val="autoZero"/>
        <c:auto val="0"/>
        <c:lblAlgn val="ctr"/>
        <c:lblOffset val="100"/>
        <c:noMultiLvlLbl val="0"/>
      </c:catAx>
      <c:valAx>
        <c:axId val="3752345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52241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0163771267579"/>
          <c:y val="0.10769246948988818"/>
          <c:w val="0.51814567137261314"/>
          <c:h val="0.79077041882574961"/>
        </c:manualLayout>
      </c:layout>
      <c:radarChart>
        <c:radarStyle val="marker"/>
        <c:varyColors val="0"/>
        <c:ser>
          <c:idx val="0"/>
          <c:order val="0"/>
          <c:tx>
            <c:strRef>
              <c:f>CMCSA!$W$24</c:f>
              <c:strCache>
                <c:ptCount val="1"/>
                <c:pt idx="0">
                  <c:v>CMCSA</c:v>
                </c:pt>
              </c:strCache>
            </c:strRef>
          </c:tx>
          <c:spPr>
            <a:ln w="25400">
              <a:solidFill>
                <a:srgbClr val="263238"/>
              </a:solidFill>
              <a:prstDash val="solid"/>
            </a:ln>
            <a:effectLst/>
          </c:spPr>
          <c:marker>
            <c:symbol val="diamond"/>
            <c:size val="6"/>
            <c:spPr>
              <a:solidFill>
                <a:srgbClr val="263238"/>
              </a:solidFill>
              <a:ln w="6350">
                <a:noFill/>
              </a:ln>
            </c:spPr>
          </c:marker>
          <c:cat>
            <c:strRef>
              <c:f>CMCSA!$V$25:$V$34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CMCSA!$W$25:$W$34</c:f>
              <c:numCache>
                <c:formatCode>0%</c:formatCode>
                <c:ptCount val="10"/>
                <c:pt idx="0">
                  <c:v>0.82111570123231226</c:v>
                </c:pt>
                <c:pt idx="1">
                  <c:v>0.85191057577951512</c:v>
                </c:pt>
                <c:pt idx="2">
                  <c:v>0.6734462354516989</c:v>
                </c:pt>
                <c:pt idx="3">
                  <c:v>0.64071431147210012</c:v>
                </c:pt>
                <c:pt idx="4">
                  <c:v>0.99569020442601941</c:v>
                </c:pt>
                <c:pt idx="5">
                  <c:v>1.0813581114743041</c:v>
                </c:pt>
                <c:pt idx="6">
                  <c:v>0.72788558621109256</c:v>
                </c:pt>
                <c:pt idx="7">
                  <c:v>0.89750070979920249</c:v>
                </c:pt>
                <c:pt idx="8">
                  <c:v>1.4263018403038987</c:v>
                </c:pt>
                <c:pt idx="9">
                  <c:v>1.3738422891506359</c:v>
                </c:pt>
              </c:numCache>
            </c:numRef>
          </c:val>
          <c:extLst>
            <c:ext xmlns:c16="http://schemas.microsoft.com/office/drawing/2014/chart" uri="{C3380CC4-5D6E-409C-BE32-E72D297353CC}">
              <c16:uniqueId val="{00000000-A78D-4090-9CDA-EBCD3E826271}"/>
            </c:ext>
          </c:extLst>
        </c:ser>
        <c:ser>
          <c:idx val="1"/>
          <c:order val="1"/>
          <c:tx>
            <c:strRef>
              <c:f>CMCSA!$X$24</c:f>
              <c:strCache>
                <c:ptCount val="1"/>
                <c:pt idx="0">
                  <c:v>Agg. US CATV</c:v>
                </c:pt>
              </c:strCache>
            </c:strRef>
          </c:tx>
          <c:spPr>
            <a:ln w="25400">
              <a:solidFill>
                <a:srgbClr val="799098"/>
              </a:solidFill>
              <a:prstDash val="solid"/>
            </a:ln>
            <a:effectLst/>
          </c:spPr>
          <c:marker>
            <c:symbol val="diamond"/>
            <c:size val="6"/>
            <c:spPr>
              <a:solidFill>
                <a:srgbClr val="799098"/>
              </a:solidFill>
              <a:ln w="6350">
                <a:noFill/>
              </a:ln>
            </c:spPr>
          </c:marker>
          <c:cat>
            <c:strRef>
              <c:f>CMCSA!$V$25:$V$34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CMCSA!$X$25:$X$34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78D-4090-9CDA-EBCD3E826271}"/>
            </c:ext>
          </c:extLst>
        </c:ser>
        <c:dLbls>
          <c:showLegendKey val="0"/>
          <c:showVal val="0"/>
          <c:showCatName val="0"/>
          <c:showSerName val="0"/>
          <c:showPercent val="0"/>
          <c:showBubbleSize val="0"/>
        </c:dLbls>
        <c:axId val="375961088"/>
        <c:axId val="375963008"/>
      </c:radarChart>
      <c:catAx>
        <c:axId val="3759610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5963008"/>
        <c:crosses val="autoZero"/>
        <c:auto val="0"/>
        <c:lblAlgn val="ctr"/>
        <c:lblOffset val="100"/>
        <c:noMultiLvlLbl val="0"/>
      </c:catAx>
      <c:valAx>
        <c:axId val="375963008"/>
        <c:scaling>
          <c:orientation val="minMax"/>
          <c:max val="1.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5961088"/>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CLNX!$W$24</c:f>
              <c:strCache>
                <c:ptCount val="1"/>
                <c:pt idx="0">
                  <c:v>Cellnex</c:v>
                </c:pt>
              </c:strCache>
            </c:strRef>
          </c:tx>
          <c:spPr>
            <a:ln w="25400">
              <a:solidFill>
                <a:srgbClr val="263238"/>
              </a:solidFill>
              <a:prstDash val="solid"/>
            </a:ln>
            <a:effectLst/>
          </c:spPr>
          <c:marker>
            <c:symbol val="diamond"/>
            <c:size val="6"/>
            <c:spPr>
              <a:solidFill>
                <a:srgbClr val="263238"/>
              </a:solidFill>
              <a:ln w="6350">
                <a:noFill/>
              </a:ln>
            </c:spPr>
          </c:marker>
          <c:cat>
            <c:strRef>
              <c:f>CLNX!$V$25:$V$32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CLNX!$W$25:$W$32</c:f>
              <c:numCache>
                <c:formatCode>0%</c:formatCode>
                <c:ptCount val="8"/>
                <c:pt idx="0">
                  <c:v>0.95220465742892235</c:v>
                </c:pt>
                <c:pt idx="1">
                  <c:v>1.0284348114334174</c:v>
                </c:pt>
                <c:pt idx="2">
                  <c:v>1.3648123310358764</c:v>
                </c:pt>
                <c:pt idx="3">
                  <c:v>1.3305959975781263</c:v>
                </c:pt>
                <c:pt idx="4">
                  <c:v>2.0991573539842294</c:v>
                </c:pt>
                <c:pt idx="5">
                  <c:v>-0.10052499243718868</c:v>
                </c:pt>
                <c:pt idx="6">
                  <c:v>0.11524076260584673</c:v>
                </c:pt>
                <c:pt idx="7">
                  <c:v>0.47638162908654091</c:v>
                </c:pt>
              </c:numCache>
            </c:numRef>
          </c:val>
          <c:extLst>
            <c:ext xmlns:c16="http://schemas.microsoft.com/office/drawing/2014/chart" uri="{C3380CC4-5D6E-409C-BE32-E72D297353CC}">
              <c16:uniqueId val="{00000000-1D62-4FF8-BC61-E9BD5EFFD5EE}"/>
            </c:ext>
          </c:extLst>
        </c:ser>
        <c:ser>
          <c:idx val="1"/>
          <c:order val="1"/>
          <c:tx>
            <c:strRef>
              <c:f>CLNX!$X$24</c:f>
              <c:strCache>
                <c:ptCount val="1"/>
                <c:pt idx="0">
                  <c:v>Agg. West Europ TOWER</c:v>
                </c:pt>
              </c:strCache>
            </c:strRef>
          </c:tx>
          <c:spPr>
            <a:ln w="25400">
              <a:solidFill>
                <a:srgbClr val="799098"/>
              </a:solidFill>
              <a:prstDash val="solid"/>
            </a:ln>
            <a:effectLst/>
          </c:spPr>
          <c:marker>
            <c:symbol val="diamond"/>
            <c:size val="6"/>
            <c:spPr>
              <a:solidFill>
                <a:srgbClr val="799098"/>
              </a:solidFill>
              <a:ln w="6350">
                <a:noFill/>
              </a:ln>
            </c:spPr>
          </c:marker>
          <c:cat>
            <c:strRef>
              <c:f>CLNX!$V$25:$V$32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CLNX!$X$25:$X$32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1D62-4FF8-BC61-E9BD5EFFD5EE}"/>
            </c:ext>
          </c:extLst>
        </c:ser>
        <c:dLbls>
          <c:showLegendKey val="0"/>
          <c:showVal val="0"/>
          <c:showCatName val="0"/>
          <c:showSerName val="0"/>
          <c:showPercent val="0"/>
          <c:showBubbleSize val="0"/>
        </c:dLbls>
        <c:axId val="376476800"/>
        <c:axId val="376478720"/>
      </c:radarChart>
      <c:catAx>
        <c:axId val="3764768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6478720"/>
        <c:crosses val="autoZero"/>
        <c:auto val="0"/>
        <c:lblAlgn val="ctr"/>
        <c:lblOffset val="100"/>
        <c:noMultiLvlLbl val="0"/>
      </c:catAx>
      <c:valAx>
        <c:axId val="3764787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64768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CNU!$W$24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CNU!$V$25:$V$34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CNU!$W$25:$W$34</c:f>
              <c:numCache>
                <c:formatCode>0%</c:formatCode>
                <c:ptCount val="10"/>
                <c:pt idx="0">
                  <c:v>4.1400200358200774</c:v>
                </c:pt>
                <c:pt idx="1">
                  <c:v>1.7857759235000177</c:v>
                </c:pt>
                <c:pt idx="2">
                  <c:v>-9.0746466732501023</c:v>
                </c:pt>
                <c:pt idx="3">
                  <c:v>-9.6444143353299818</c:v>
                </c:pt>
                <c:pt idx="4">
                  <c:v>1.2490586318719719</c:v>
                </c:pt>
                <c:pt idx="5">
                  <c:v>0.64964219408391222</c:v>
                </c:pt>
                <c:pt idx="6">
                  <c:v>-1.0670782033269537</c:v>
                </c:pt>
                <c:pt idx="7">
                  <c:v>7.377253609905841</c:v>
                </c:pt>
                <c:pt idx="8">
                  <c:v>0.59859831677334274</c:v>
                </c:pt>
                <c:pt idx="9">
                  <c:v>-0.93713843735368574</c:v>
                </c:pt>
              </c:numCache>
            </c:numRef>
          </c:val>
          <c:extLst>
            <c:ext xmlns:c16="http://schemas.microsoft.com/office/drawing/2014/chart" uri="{C3380CC4-5D6E-409C-BE32-E72D297353CC}">
              <c16:uniqueId val="{00000000-284D-475D-A94E-443DB87E9A07}"/>
            </c:ext>
          </c:extLst>
        </c:ser>
        <c:ser>
          <c:idx val="1"/>
          <c:order val="1"/>
          <c:tx>
            <c:strRef>
              <c:f>CNU!$X$24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CNU!$V$25:$V$34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CNU!$X$25:$X$34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84D-475D-A94E-443DB87E9A07}"/>
            </c:ext>
          </c:extLst>
        </c:ser>
        <c:dLbls>
          <c:showLegendKey val="0"/>
          <c:showVal val="0"/>
          <c:showCatName val="0"/>
          <c:showSerName val="0"/>
          <c:showPercent val="0"/>
          <c:showBubbleSize val="0"/>
        </c:dLbls>
        <c:axId val="376730368"/>
        <c:axId val="376732288"/>
      </c:radarChart>
      <c:catAx>
        <c:axId val="37673036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6732288"/>
        <c:crosses val="autoZero"/>
        <c:auto val="0"/>
        <c:lblAlgn val="ctr"/>
        <c:lblOffset val="100"/>
        <c:noMultiLvlLbl val="0"/>
      </c:catAx>
      <c:valAx>
        <c:axId val="37673228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673036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_CM!$W$24</c:f>
              <c:strCache>
                <c:ptCount val="1"/>
                <c:pt idx="0">
                  <c:v>CM</c:v>
                </c:pt>
              </c:strCache>
            </c:strRef>
          </c:tx>
          <c:spPr>
            <a:ln w="25400">
              <a:solidFill>
                <a:srgbClr val="263238"/>
              </a:solidFill>
              <a:prstDash val="solid"/>
            </a:ln>
            <a:effectLst/>
          </c:spPr>
          <c:marker>
            <c:symbol val="diamond"/>
            <c:size val="6"/>
            <c:spPr>
              <a:solidFill>
                <a:srgbClr val="263238"/>
              </a:solidFill>
              <a:ln w="6350">
                <a:noFill/>
              </a:ln>
            </c:spPr>
          </c:marker>
          <c:cat>
            <c:strRef>
              <c:f>_CM!$V$25:$V$34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_CM!$W$25:$W$34</c:f>
              <c:numCache>
                <c:formatCode>0%</c:formatCode>
                <c:ptCount val="10"/>
                <c:pt idx="0">
                  <c:v>0.56240092529814489</c:v>
                </c:pt>
                <c:pt idx="1">
                  <c:v>0.54244859004225598</c:v>
                </c:pt>
                <c:pt idx="2">
                  <c:v>0.56205860715022216</c:v>
                </c:pt>
                <c:pt idx="3">
                  <c:v>0.55796722179502578</c:v>
                </c:pt>
                <c:pt idx="4">
                  <c:v>0.48781117481057024</c:v>
                </c:pt>
                <c:pt idx="5">
                  <c:v>0.56200292654187678</c:v>
                </c:pt>
                <c:pt idx="6">
                  <c:v>0.92695082731651735</c:v>
                </c:pt>
                <c:pt idx="7">
                  <c:v>0.49729367228464111</c:v>
                </c:pt>
                <c:pt idx="8">
                  <c:v>1.6969741862051466</c:v>
                </c:pt>
                <c:pt idx="9">
                  <c:v>1.0788058767852411</c:v>
                </c:pt>
              </c:numCache>
            </c:numRef>
          </c:val>
          <c:extLst>
            <c:ext xmlns:c16="http://schemas.microsoft.com/office/drawing/2014/chart" uri="{C3380CC4-5D6E-409C-BE32-E72D297353CC}">
              <c16:uniqueId val="{00000000-016D-4A26-B1B8-685459B3C9AF}"/>
            </c:ext>
          </c:extLst>
        </c:ser>
        <c:ser>
          <c:idx val="1"/>
          <c:order val="1"/>
          <c:tx>
            <c:strRef>
              <c:f>_CM!$X$24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_CM!$V$25:$V$34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_CM!$X$25:$X$34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16D-4A26-B1B8-685459B3C9AF}"/>
            </c:ext>
          </c:extLst>
        </c:ser>
        <c:dLbls>
          <c:showLegendKey val="0"/>
          <c:showVal val="0"/>
          <c:showCatName val="0"/>
          <c:showSerName val="0"/>
          <c:showPercent val="0"/>
          <c:showBubbleSize val="0"/>
        </c:dLbls>
        <c:axId val="377692544"/>
        <c:axId val="377694464"/>
      </c:radarChart>
      <c:catAx>
        <c:axId val="3776925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7694464"/>
        <c:crosses val="autoZero"/>
        <c:auto val="0"/>
        <c:lblAlgn val="ctr"/>
        <c:lblOffset val="100"/>
        <c:noMultiLvlLbl val="0"/>
      </c:catAx>
      <c:valAx>
        <c:axId val="377694464"/>
        <c:scaling>
          <c:orientation val="minMax"/>
          <c:max val="2"/>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769254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652229768023741"/>
          <c:y val="8.4456860103731754E-2"/>
          <c:w val="0.46982486066478202"/>
          <c:h val="0.69585565881616962"/>
        </c:manualLayout>
      </c:layout>
      <c:radarChart>
        <c:radarStyle val="marker"/>
        <c:varyColors val="0"/>
        <c:ser>
          <c:idx val="0"/>
          <c:order val="0"/>
          <c:tx>
            <c:strRef>
              <c:f>ADVANCED!$W$24</c:f>
              <c:strCache>
                <c:ptCount val="1"/>
                <c:pt idx="0">
                  <c:v>AIS</c:v>
                </c:pt>
              </c:strCache>
            </c:strRef>
          </c:tx>
          <c:spPr>
            <a:ln w="25400">
              <a:solidFill>
                <a:srgbClr val="263238"/>
              </a:solidFill>
              <a:prstDash val="solid"/>
            </a:ln>
            <a:effectLst/>
          </c:spPr>
          <c:marker>
            <c:symbol val="diamond"/>
            <c:size val="6"/>
            <c:spPr>
              <a:solidFill>
                <a:srgbClr val="263238"/>
              </a:solidFill>
              <a:ln w="6350">
                <a:noFill/>
              </a:ln>
            </c:spPr>
          </c:marker>
          <c:cat>
            <c:strRef>
              <c:f>ADVANCED!$V$25:$V$34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ADVANCED!$W$25:$W$34</c:f>
              <c:numCache>
                <c:formatCode>0%</c:formatCode>
                <c:ptCount val="10"/>
                <c:pt idx="0">
                  <c:v>2.5806577175985561</c:v>
                </c:pt>
                <c:pt idx="1">
                  <c:v>1.7034893240064697</c:v>
                </c:pt>
                <c:pt idx="2">
                  <c:v>1.4663347511077582</c:v>
                </c:pt>
                <c:pt idx="3">
                  <c:v>1.3937185223967308</c:v>
                </c:pt>
                <c:pt idx="4">
                  <c:v>2.0812940969609257</c:v>
                </c:pt>
                <c:pt idx="5">
                  <c:v>2.4771735521278986</c:v>
                </c:pt>
                <c:pt idx="6">
                  <c:v>0.94006025311010255</c:v>
                </c:pt>
                <c:pt idx="7">
                  <c:v>1.2930815701772449</c:v>
                </c:pt>
                <c:pt idx="8">
                  <c:v>0.81162982117269178</c:v>
                </c:pt>
                <c:pt idx="9">
                  <c:v>1.0637616011224731</c:v>
                </c:pt>
              </c:numCache>
            </c:numRef>
          </c:val>
          <c:extLst>
            <c:ext xmlns:c16="http://schemas.microsoft.com/office/drawing/2014/chart" uri="{C3380CC4-5D6E-409C-BE32-E72D297353CC}">
              <c16:uniqueId val="{00000000-2228-4FCE-8895-2827E3AD9E50}"/>
            </c:ext>
          </c:extLst>
        </c:ser>
        <c:ser>
          <c:idx val="1"/>
          <c:order val="1"/>
          <c:tx>
            <c:strRef>
              <c:f>ADVANCED!$X$24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ADVANCED!$V$25:$V$34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ADVANCED!$X$25:$X$34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228-4FCE-8895-2827E3AD9E50}"/>
            </c:ext>
          </c:extLst>
        </c:ser>
        <c:dLbls>
          <c:showLegendKey val="0"/>
          <c:showVal val="0"/>
          <c:showCatName val="0"/>
          <c:showSerName val="0"/>
          <c:showPercent val="0"/>
          <c:showBubbleSize val="0"/>
        </c:dLbls>
        <c:axId val="342354560"/>
        <c:axId val="342373120"/>
      </c:radarChart>
      <c:catAx>
        <c:axId val="3423545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373120"/>
        <c:crosses val="autoZero"/>
        <c:auto val="0"/>
        <c:lblAlgn val="ctr"/>
        <c:lblOffset val="100"/>
        <c:noMultiLvlLbl val="0"/>
      </c:catAx>
      <c:valAx>
        <c:axId val="342373120"/>
        <c:scaling>
          <c:orientation val="minMax"/>
          <c:max val="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354560"/>
        <c:crosses val="autoZero"/>
        <c:crossBetween val="between"/>
        <c:majorUnit val="1"/>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07055397877495"/>
          <c:y val="9.3167843143201895E-2"/>
          <c:w val="0.47214174056077879"/>
          <c:h val="0.71263839726456324"/>
        </c:manualLayout>
      </c:layout>
      <c:radarChart>
        <c:radarStyle val="marker"/>
        <c:varyColors val="0"/>
        <c:ser>
          <c:idx val="0"/>
          <c:order val="0"/>
          <c:tx>
            <c:strRef>
              <c:f>_CT!$W$24</c:f>
              <c:strCache>
                <c:ptCount val="1"/>
                <c:pt idx="0">
                  <c:v>CT</c:v>
                </c:pt>
              </c:strCache>
            </c:strRef>
          </c:tx>
          <c:spPr>
            <a:ln w="25400">
              <a:solidFill>
                <a:srgbClr val="263238"/>
              </a:solidFill>
              <a:prstDash val="solid"/>
            </a:ln>
            <a:effectLst/>
          </c:spPr>
          <c:marker>
            <c:symbol val="diamond"/>
            <c:size val="6"/>
            <c:spPr>
              <a:solidFill>
                <a:srgbClr val="263238"/>
              </a:solidFill>
              <a:ln w="6350">
                <a:noFill/>
              </a:ln>
            </c:spPr>
          </c:marker>
          <c:cat>
            <c:strRef>
              <c:f>_CT!$V$25:$V$34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_CT!$W$25:$W$34</c:f>
              <c:numCache>
                <c:formatCode>0%</c:formatCode>
                <c:ptCount val="10"/>
                <c:pt idx="0">
                  <c:v>0.33146439804223204</c:v>
                </c:pt>
                <c:pt idx="1">
                  <c:v>0.34224616134043773</c:v>
                </c:pt>
                <c:pt idx="2">
                  <c:v>0.48318174034158917</c:v>
                </c:pt>
                <c:pt idx="3">
                  <c:v>0.46313932896542709</c:v>
                </c:pt>
                <c:pt idx="4">
                  <c:v>0.46406052266670289</c:v>
                </c:pt>
                <c:pt idx="5">
                  <c:v>0.34573022257378921</c:v>
                </c:pt>
                <c:pt idx="6">
                  <c:v>0.77977385829474377</c:v>
                </c:pt>
                <c:pt idx="7">
                  <c:v>0.89490029304516772</c:v>
                </c:pt>
                <c:pt idx="8">
                  <c:v>1.2574712014970115</c:v>
                </c:pt>
                <c:pt idx="9">
                  <c:v>1.2824230889028005</c:v>
                </c:pt>
              </c:numCache>
            </c:numRef>
          </c:val>
          <c:extLst>
            <c:ext xmlns:c16="http://schemas.microsoft.com/office/drawing/2014/chart" uri="{C3380CC4-5D6E-409C-BE32-E72D297353CC}">
              <c16:uniqueId val="{00000000-393D-453E-AC89-DB049841EB9B}"/>
            </c:ext>
          </c:extLst>
        </c:ser>
        <c:ser>
          <c:idx val="1"/>
          <c:order val="1"/>
          <c:tx>
            <c:strRef>
              <c:f>_CT!$X$24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_CT!$V$25:$V$34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93D-453E-AC89-DB049841EB9B}"/>
            </c:ext>
          </c:extLst>
        </c:ser>
        <c:dLbls>
          <c:showLegendKey val="0"/>
          <c:showVal val="0"/>
          <c:showCatName val="0"/>
          <c:showSerName val="0"/>
          <c:showPercent val="0"/>
          <c:showBubbleSize val="0"/>
        </c:dLbls>
        <c:axId val="379486592"/>
        <c:axId val="379488512"/>
      </c:radarChart>
      <c:catAx>
        <c:axId val="3794865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9488512"/>
        <c:crosses val="autoZero"/>
        <c:auto val="0"/>
        <c:lblAlgn val="ctr"/>
        <c:lblOffset val="100"/>
        <c:noMultiLvlLbl val="0"/>
      </c:catAx>
      <c:valAx>
        <c:axId val="37948851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94865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8096272225101"/>
          <c:y val="0.10869581700040198"/>
          <c:w val="0.41330685848788262"/>
          <c:h val="0.63664692814521084"/>
        </c:manualLayout>
      </c:layout>
      <c:radarChart>
        <c:radarStyle val="marker"/>
        <c:varyColors val="0"/>
        <c:ser>
          <c:idx val="0"/>
          <c:order val="0"/>
          <c:tx>
            <c:strRef>
              <c:f>_CU!$W$24</c:f>
              <c:strCache>
                <c:ptCount val="1"/>
                <c:pt idx="0">
                  <c:v>CU</c:v>
                </c:pt>
              </c:strCache>
            </c:strRef>
          </c:tx>
          <c:spPr>
            <a:ln w="25400">
              <a:solidFill>
                <a:srgbClr val="263238"/>
              </a:solidFill>
              <a:prstDash val="solid"/>
            </a:ln>
            <a:effectLst/>
          </c:spPr>
          <c:marker>
            <c:symbol val="diamond"/>
            <c:size val="6"/>
            <c:spPr>
              <a:solidFill>
                <a:srgbClr val="263238"/>
              </a:solidFill>
              <a:ln w="6350">
                <a:noFill/>
              </a:ln>
            </c:spPr>
          </c:marker>
          <c:cat>
            <c:strRef>
              <c:f>_CU!$V$25:$V$34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_CU!$W$25:$W$34</c:f>
              <c:numCache>
                <c:formatCode>0%</c:formatCode>
                <c:ptCount val="10"/>
                <c:pt idx="0">
                  <c:v>0.18371110444459512</c:v>
                </c:pt>
                <c:pt idx="1">
                  <c:v>0.18866504736567793</c:v>
                </c:pt>
                <c:pt idx="2">
                  <c:v>0.28487610940392949</c:v>
                </c:pt>
                <c:pt idx="3">
                  <c:v>0.2569929613132752</c:v>
                </c:pt>
                <c:pt idx="4">
                  <c:v>0.2160006579016496</c:v>
                </c:pt>
                <c:pt idx="5">
                  <c:v>0.16009258479975946</c:v>
                </c:pt>
                <c:pt idx="6">
                  <c:v>0.40577438715273922</c:v>
                </c:pt>
                <c:pt idx="7">
                  <c:v>0.74597481658992415</c:v>
                </c:pt>
                <c:pt idx="8">
                  <c:v>1.2866029680470981</c:v>
                </c:pt>
                <c:pt idx="9">
                  <c:v>2.4644236592084008</c:v>
                </c:pt>
              </c:numCache>
            </c:numRef>
          </c:val>
          <c:extLst>
            <c:ext xmlns:c16="http://schemas.microsoft.com/office/drawing/2014/chart" uri="{C3380CC4-5D6E-409C-BE32-E72D297353CC}">
              <c16:uniqueId val="{00000000-3999-4E1E-AE09-7F7D5AD81DD3}"/>
            </c:ext>
          </c:extLst>
        </c:ser>
        <c:ser>
          <c:idx val="1"/>
          <c:order val="1"/>
          <c:tx>
            <c:strRef>
              <c:f>_CU!$X$24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_CU!$V$25:$V$34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_CU!$X$25:$X$34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999-4E1E-AE09-7F7D5AD81DD3}"/>
            </c:ext>
          </c:extLst>
        </c:ser>
        <c:dLbls>
          <c:showLegendKey val="0"/>
          <c:showVal val="0"/>
          <c:showCatName val="0"/>
          <c:showSerName val="0"/>
          <c:showPercent val="0"/>
          <c:showBubbleSize val="0"/>
        </c:dLbls>
        <c:axId val="412696576"/>
        <c:axId val="412698496"/>
      </c:radarChart>
      <c:catAx>
        <c:axId val="4126965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2698496"/>
        <c:crosses val="autoZero"/>
        <c:auto val="0"/>
        <c:lblAlgn val="ctr"/>
        <c:lblOffset val="100"/>
        <c:noMultiLvlLbl val="0"/>
      </c:catAx>
      <c:valAx>
        <c:axId val="4126984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26965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48417662016586"/>
          <c:y val="0.20615415588064284"/>
          <c:w val="0.35887132102850294"/>
          <c:h val="0.54769313054857582"/>
        </c:manualLayout>
      </c:layout>
      <c:radarChart>
        <c:radarStyle val="marker"/>
        <c:varyColors val="0"/>
        <c:ser>
          <c:idx val="0"/>
          <c:order val="0"/>
          <c:tx>
            <c:strRef>
              <c:f>DIGI!$W$24</c:f>
              <c:strCache>
                <c:ptCount val="1"/>
                <c:pt idx="0">
                  <c:v>DiGi</c:v>
                </c:pt>
              </c:strCache>
            </c:strRef>
          </c:tx>
          <c:spPr>
            <a:ln w="25400">
              <a:solidFill>
                <a:srgbClr val="263238"/>
              </a:solidFill>
              <a:prstDash val="solid"/>
            </a:ln>
            <a:effectLst/>
          </c:spPr>
          <c:marker>
            <c:symbol val="diamond"/>
            <c:size val="6"/>
            <c:spPr>
              <a:solidFill>
                <a:srgbClr val="263238"/>
              </a:solidFill>
              <a:ln w="6350">
                <a:noFill/>
              </a:ln>
            </c:spPr>
          </c:marker>
          <c:cat>
            <c:strRef>
              <c:f>DIGI!$V$25:$V$34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DIGI!$W$25:$W$34</c:f>
              <c:numCache>
                <c:formatCode>0%</c:formatCode>
                <c:ptCount val="10"/>
                <c:pt idx="0">
                  <c:v>2.1285717991135376</c:v>
                </c:pt>
                <c:pt idx="1">
                  <c:v>1.4313438116154644</c:v>
                </c:pt>
                <c:pt idx="2">
                  <c:v>1.0389965213818515</c:v>
                </c:pt>
                <c:pt idx="3">
                  <c:v>1.0639876736264109</c:v>
                </c:pt>
                <c:pt idx="4">
                  <c:v>1.2437083478897766</c:v>
                </c:pt>
                <c:pt idx="5">
                  <c:v>3.0531431140712182</c:v>
                </c:pt>
                <c:pt idx="6">
                  <c:v>0.77070697552035594</c:v>
                </c:pt>
                <c:pt idx="7">
                  <c:v>0.93336911625703178</c:v>
                </c:pt>
                <c:pt idx="8">
                  <c:v>0.91453423996115657</c:v>
                </c:pt>
                <c:pt idx="9">
                  <c:v>1.2975099898697986</c:v>
                </c:pt>
              </c:numCache>
            </c:numRef>
          </c:val>
          <c:extLst>
            <c:ext xmlns:c16="http://schemas.microsoft.com/office/drawing/2014/chart" uri="{C3380CC4-5D6E-409C-BE32-E72D297353CC}">
              <c16:uniqueId val="{00000000-0894-4623-88FB-C3E0E5356280}"/>
            </c:ext>
          </c:extLst>
        </c:ser>
        <c:ser>
          <c:idx val="1"/>
          <c:order val="1"/>
          <c:tx>
            <c:strRef>
              <c:f>DIGI!$X$24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DIGI!$V$25:$V$34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DIGI!$X$25:$X$34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894-4623-88FB-C3E0E5356280}"/>
            </c:ext>
          </c:extLst>
        </c:ser>
        <c:dLbls>
          <c:showLegendKey val="0"/>
          <c:showVal val="0"/>
          <c:showCatName val="0"/>
          <c:showSerName val="0"/>
          <c:showPercent val="0"/>
          <c:showBubbleSize val="0"/>
        </c:dLbls>
        <c:axId val="413248512"/>
        <c:axId val="413357184"/>
      </c:radarChart>
      <c:catAx>
        <c:axId val="4132485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3357184"/>
        <c:crosses val="autoZero"/>
        <c:auto val="0"/>
        <c:lblAlgn val="ctr"/>
        <c:lblOffset val="100"/>
        <c:noMultiLvlLbl val="0"/>
      </c:catAx>
      <c:valAx>
        <c:axId val="413357184"/>
        <c:scaling>
          <c:orientation val="minMax"/>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3248512"/>
        <c:crosses val="autoZero"/>
        <c:crossBetween val="between"/>
        <c:majorUnit val="1"/>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DRI!$W$24</c:f>
              <c:strCache>
                <c:ptCount val="1"/>
                <c:pt idx="0">
                  <c:v>Drillisch</c:v>
                </c:pt>
              </c:strCache>
            </c:strRef>
          </c:tx>
          <c:spPr>
            <a:ln w="25400">
              <a:solidFill>
                <a:srgbClr val="263238"/>
              </a:solidFill>
              <a:prstDash val="solid"/>
            </a:ln>
            <a:effectLst/>
          </c:spPr>
          <c:marker>
            <c:symbol val="diamond"/>
            <c:size val="6"/>
            <c:spPr>
              <a:solidFill>
                <a:srgbClr val="263238"/>
              </a:solidFill>
              <a:ln w="6350">
                <a:noFill/>
              </a:ln>
            </c:spPr>
          </c:marker>
          <c:cat>
            <c:strRef>
              <c:f>DRI!$V$25:$V$34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DRI!$W$25:$W$34</c:f>
              <c:numCache>
                <c:formatCode>0%</c:formatCode>
                <c:ptCount val="10"/>
                <c:pt idx="0">
                  <c:v>0.43613340676556028</c:v>
                </c:pt>
                <c:pt idx="1">
                  <c:v>1.140256924173773</c:v>
                </c:pt>
                <c:pt idx="2">
                  <c:v>0.80053218562720085</c:v>
                </c:pt>
                <c:pt idx="3">
                  <c:v>0.80712290641982909</c:v>
                </c:pt>
                <c:pt idx="4">
                  <c:v>0.73749207234719649</c:v>
                </c:pt>
                <c:pt idx="5">
                  <c:v>0.57069002532179847</c:v>
                </c:pt>
                <c:pt idx="6">
                  <c:v>-0.83034089249219334</c:v>
                </c:pt>
                <c:pt idx="7">
                  <c:v>0.43142921040879728</c:v>
                </c:pt>
                <c:pt idx="8">
                  <c:v>5.3918440417184757E-2</c:v>
                </c:pt>
                <c:pt idx="9">
                  <c:v>-1.2043246443019207</c:v>
                </c:pt>
              </c:numCache>
            </c:numRef>
          </c:val>
          <c:extLst>
            <c:ext xmlns:c16="http://schemas.microsoft.com/office/drawing/2014/chart" uri="{C3380CC4-5D6E-409C-BE32-E72D297353CC}">
              <c16:uniqueId val="{00000000-2608-432B-B923-0B1042645ACC}"/>
            </c:ext>
          </c:extLst>
        </c:ser>
        <c:ser>
          <c:idx val="1"/>
          <c:order val="1"/>
          <c:tx>
            <c:strRef>
              <c:f>DRI!$X$24</c:f>
              <c:strCache>
                <c:ptCount val="1"/>
                <c:pt idx="0">
                  <c:v>Agg.W.Eur.Altnet</c:v>
                </c:pt>
              </c:strCache>
            </c:strRef>
          </c:tx>
          <c:spPr>
            <a:ln w="25400">
              <a:solidFill>
                <a:srgbClr val="799098"/>
              </a:solidFill>
              <a:prstDash val="solid"/>
            </a:ln>
            <a:effectLst/>
          </c:spPr>
          <c:marker>
            <c:symbol val="diamond"/>
            <c:size val="6"/>
            <c:spPr>
              <a:solidFill>
                <a:srgbClr val="799098"/>
              </a:solidFill>
              <a:ln w="6350">
                <a:noFill/>
              </a:ln>
            </c:spPr>
          </c:marker>
          <c:cat>
            <c:strRef>
              <c:f>DRI!$V$25:$V$34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DRI!$X$25:$X$34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608-432B-B923-0B1042645ACC}"/>
            </c:ext>
          </c:extLst>
        </c:ser>
        <c:dLbls>
          <c:showLegendKey val="0"/>
          <c:showVal val="0"/>
          <c:showCatName val="0"/>
          <c:showSerName val="0"/>
          <c:showPercent val="0"/>
          <c:showBubbleSize val="0"/>
        </c:dLbls>
        <c:axId val="414317184"/>
        <c:axId val="414462720"/>
      </c:radarChart>
      <c:catAx>
        <c:axId val="4143171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4462720"/>
        <c:crosses val="autoZero"/>
        <c:auto val="0"/>
        <c:lblAlgn val="ctr"/>
        <c:lblOffset val="100"/>
        <c:noMultiLvlLbl val="0"/>
      </c:catAx>
      <c:valAx>
        <c:axId val="414462720"/>
        <c:scaling>
          <c:orientation val="minMax"/>
          <c:max val="5"/>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43171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9.6875000000000044E-2"/>
          <c:w val="0.48973141270944992"/>
          <c:h val="0.735737941084466"/>
        </c:manualLayout>
      </c:layout>
      <c:radarChart>
        <c:radarStyle val="marker"/>
        <c:varyColors val="0"/>
        <c:ser>
          <c:idx val="0"/>
          <c:order val="0"/>
          <c:tx>
            <c:strRef>
              <c:f>DT!$W$24</c:f>
              <c:strCache>
                <c:ptCount val="1"/>
                <c:pt idx="0">
                  <c:v>DT</c:v>
                </c:pt>
              </c:strCache>
            </c:strRef>
          </c:tx>
          <c:spPr>
            <a:ln w="25400">
              <a:solidFill>
                <a:srgbClr val="263238"/>
              </a:solidFill>
              <a:prstDash val="solid"/>
            </a:ln>
            <a:effectLst/>
          </c:spPr>
          <c:marker>
            <c:symbol val="diamond"/>
            <c:size val="6"/>
            <c:spPr>
              <a:solidFill>
                <a:srgbClr val="263238"/>
              </a:solidFill>
              <a:ln w="6350">
                <a:noFill/>
              </a:ln>
            </c:spPr>
          </c:marker>
          <c:cat>
            <c:strRef>
              <c:f>DT!$V$25:$V$34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DT!$W$25:$W$34</c:f>
              <c:numCache>
                <c:formatCode>0%</c:formatCode>
                <c:ptCount val="10"/>
                <c:pt idx="0">
                  <c:v>1.180936885588719</c:v>
                </c:pt>
                <c:pt idx="1">
                  <c:v>1.1316043904776063</c:v>
                </c:pt>
                <c:pt idx="2">
                  <c:v>0.98259987598682896</c:v>
                </c:pt>
                <c:pt idx="3">
                  <c:v>1.0079764223058991</c:v>
                </c:pt>
                <c:pt idx="4">
                  <c:v>1.1478224058945505</c:v>
                </c:pt>
                <c:pt idx="5">
                  <c:v>1.4794220057887502</c:v>
                </c:pt>
                <c:pt idx="6">
                  <c:v>0.90400887072576275</c:v>
                </c:pt>
                <c:pt idx="7">
                  <c:v>1.0196197868896011</c:v>
                </c:pt>
                <c:pt idx="8">
                  <c:v>0.66484631765258961</c:v>
                </c:pt>
                <c:pt idx="9">
                  <c:v>1.1061838355603444</c:v>
                </c:pt>
              </c:numCache>
            </c:numRef>
          </c:val>
          <c:extLst>
            <c:ext xmlns:c16="http://schemas.microsoft.com/office/drawing/2014/chart" uri="{C3380CC4-5D6E-409C-BE32-E72D297353CC}">
              <c16:uniqueId val="{00000000-D84C-468A-BB15-CFAE84D6B67A}"/>
            </c:ext>
          </c:extLst>
        </c:ser>
        <c:ser>
          <c:idx val="1"/>
          <c:order val="1"/>
          <c:tx>
            <c:strRef>
              <c:f>DT!$X$24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DT!$V$25:$V$34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84C-468A-BB15-CFAE84D6B67A}"/>
            </c:ext>
          </c:extLst>
        </c:ser>
        <c:dLbls>
          <c:showLegendKey val="0"/>
          <c:showVal val="0"/>
          <c:showCatName val="0"/>
          <c:showSerName val="0"/>
          <c:showPercent val="0"/>
          <c:showBubbleSize val="0"/>
        </c:dLbls>
        <c:axId val="414612096"/>
        <c:axId val="414638848"/>
      </c:radarChart>
      <c:catAx>
        <c:axId val="4146120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4638848"/>
        <c:crosses val="autoZero"/>
        <c:auto val="0"/>
        <c:lblAlgn val="ctr"/>
        <c:lblOffset val="100"/>
        <c:noMultiLvlLbl val="0"/>
      </c:catAx>
      <c:valAx>
        <c:axId val="41463884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46120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8096272225101"/>
          <c:y val="0.10869581700040198"/>
          <c:w val="0.41330685848788262"/>
          <c:h val="0.63664692814521084"/>
        </c:manualLayout>
      </c:layout>
      <c:radarChart>
        <c:radarStyle val="marker"/>
        <c:varyColors val="0"/>
        <c:ser>
          <c:idx val="0"/>
          <c:order val="0"/>
          <c:tx>
            <c:strRef>
              <c:f>ELISA!$W$24</c:f>
              <c:strCache>
                <c:ptCount val="1"/>
                <c:pt idx="0">
                  <c:v>Elisa</c:v>
                </c:pt>
              </c:strCache>
            </c:strRef>
          </c:tx>
          <c:spPr>
            <a:ln w="25400">
              <a:solidFill>
                <a:srgbClr val="263238"/>
              </a:solidFill>
              <a:prstDash val="solid"/>
            </a:ln>
            <a:effectLst/>
          </c:spPr>
          <c:marker>
            <c:symbol val="diamond"/>
            <c:size val="6"/>
            <c:spPr>
              <a:solidFill>
                <a:srgbClr val="263238"/>
              </a:solidFill>
              <a:ln w="6350">
                <a:noFill/>
              </a:ln>
            </c:spPr>
          </c:marker>
          <c:cat>
            <c:strRef>
              <c:f>ELISA!$V$25:$V$34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ELISA!$W$25:$W$34</c:f>
              <c:numCache>
                <c:formatCode>0%</c:formatCode>
                <c:ptCount val="10"/>
                <c:pt idx="0">
                  <c:v>2.0684248172720765</c:v>
                </c:pt>
                <c:pt idx="1">
                  <c:v>2.457724659371018</c:v>
                </c:pt>
                <c:pt idx="2">
                  <c:v>1.4584117617078554</c:v>
                </c:pt>
                <c:pt idx="3">
                  <c:v>1.277426293557236</c:v>
                </c:pt>
                <c:pt idx="4">
                  <c:v>4.134661537718423</c:v>
                </c:pt>
                <c:pt idx="5">
                  <c:v>3.3485486707152292</c:v>
                </c:pt>
                <c:pt idx="6">
                  <c:v>0.62382629323204208</c:v>
                </c:pt>
                <c:pt idx="7">
                  <c:v>1.0729305077553721</c:v>
                </c:pt>
                <c:pt idx="8">
                  <c:v>0.73060876415811549</c:v>
                </c:pt>
                <c:pt idx="9">
                  <c:v>1.6030103425410351</c:v>
                </c:pt>
              </c:numCache>
            </c:numRef>
          </c:val>
          <c:extLst>
            <c:ext xmlns:c16="http://schemas.microsoft.com/office/drawing/2014/chart" uri="{C3380CC4-5D6E-409C-BE32-E72D297353CC}">
              <c16:uniqueId val="{00000000-0364-42FB-A55A-AFBD8486FA8D}"/>
            </c:ext>
          </c:extLst>
        </c:ser>
        <c:ser>
          <c:idx val="1"/>
          <c:order val="1"/>
          <c:tx>
            <c:strRef>
              <c:f>ELISA!$X$24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ELISA!$V$25:$V$34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ELISA!$X$25:$X$34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364-42FB-A55A-AFBD8486FA8D}"/>
            </c:ext>
          </c:extLst>
        </c:ser>
        <c:dLbls>
          <c:showLegendKey val="0"/>
          <c:showVal val="0"/>
          <c:showCatName val="0"/>
          <c:showSerName val="0"/>
          <c:showPercent val="0"/>
          <c:showBubbleSize val="0"/>
        </c:dLbls>
        <c:axId val="415197824"/>
        <c:axId val="415200000"/>
      </c:radarChart>
      <c:catAx>
        <c:axId val="4151978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5200000"/>
        <c:crosses val="autoZero"/>
        <c:auto val="0"/>
        <c:lblAlgn val="ctr"/>
        <c:lblOffset val="100"/>
        <c:noMultiLvlLbl val="0"/>
      </c:catAx>
      <c:valAx>
        <c:axId val="4152000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51978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37668221010052"/>
          <c:y val="0.1408684799091747"/>
          <c:w val="0.4211078858475279"/>
          <c:h val="0.61287288979559962"/>
        </c:manualLayout>
      </c:layout>
      <c:radarChart>
        <c:radarStyle val="marker"/>
        <c:varyColors val="0"/>
        <c:ser>
          <c:idx val="0"/>
          <c:order val="0"/>
          <c:tx>
            <c:strRef>
              <c:f>ENTEL!$W$24</c:f>
              <c:strCache>
                <c:ptCount val="1"/>
                <c:pt idx="0">
                  <c:v>Entel</c:v>
                </c:pt>
              </c:strCache>
            </c:strRef>
          </c:tx>
          <c:spPr>
            <a:ln w="25400">
              <a:solidFill>
                <a:srgbClr val="263238"/>
              </a:solidFill>
              <a:prstDash val="solid"/>
            </a:ln>
            <a:effectLst/>
          </c:spPr>
          <c:marker>
            <c:symbol val="diamond"/>
            <c:size val="6"/>
            <c:spPr>
              <a:solidFill>
                <a:srgbClr val="263238"/>
              </a:solidFill>
              <a:ln w="6350">
                <a:noFill/>
              </a:ln>
            </c:spPr>
          </c:marker>
          <c:cat>
            <c:strRef>
              <c:f>ENTEL!$V$25:$V$34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ENTEL!$W$25:$W$34</c:f>
              <c:numCache>
                <c:formatCode>0%</c:formatCode>
                <c:ptCount val="10"/>
                <c:pt idx="0">
                  <c:v>0.47670585064893378</c:v>
                </c:pt>
                <c:pt idx="1">
                  <c:v>0.63174848440893827</c:v>
                </c:pt>
                <c:pt idx="2">
                  <c:v>0.90634864187039754</c:v>
                </c:pt>
                <c:pt idx="3">
                  <c:v>0.99015836840840099</c:v>
                </c:pt>
                <c:pt idx="4">
                  <c:v>0.37044981340267874</c:v>
                </c:pt>
                <c:pt idx="5">
                  <c:v>0.69085844562318344</c:v>
                </c:pt>
                <c:pt idx="6">
                  <c:v>0.70586976755002151</c:v>
                </c:pt>
                <c:pt idx="7">
                  <c:v>0.43920342991570294</c:v>
                </c:pt>
                <c:pt idx="8">
                  <c:v>0.86388506730001924</c:v>
                </c:pt>
                <c:pt idx="9">
                  <c:v>1.4166919252978698</c:v>
                </c:pt>
              </c:numCache>
            </c:numRef>
          </c:val>
          <c:extLst>
            <c:ext xmlns:c16="http://schemas.microsoft.com/office/drawing/2014/chart" uri="{C3380CC4-5D6E-409C-BE32-E72D297353CC}">
              <c16:uniqueId val="{00000000-6059-49C1-BC06-8C801756D38F}"/>
            </c:ext>
          </c:extLst>
        </c:ser>
        <c:ser>
          <c:idx val="1"/>
          <c:order val="1"/>
          <c:tx>
            <c:strRef>
              <c:f>ENTEL!$X$24</c:f>
              <c:strCache>
                <c:ptCount val="1"/>
                <c:pt idx="0">
                  <c:v>Agg. LatAm Cellular</c:v>
                </c:pt>
              </c:strCache>
            </c:strRef>
          </c:tx>
          <c:spPr>
            <a:ln w="25400">
              <a:solidFill>
                <a:srgbClr val="799098"/>
              </a:solidFill>
              <a:prstDash val="solid"/>
            </a:ln>
            <a:effectLst/>
          </c:spPr>
          <c:marker>
            <c:symbol val="diamond"/>
            <c:size val="6"/>
            <c:spPr>
              <a:solidFill>
                <a:srgbClr val="799098"/>
              </a:solidFill>
              <a:ln w="6350">
                <a:noFill/>
              </a:ln>
            </c:spPr>
          </c:marker>
          <c:cat>
            <c:strRef>
              <c:f>ENTEL!$V$25:$V$34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ENTEL!$X$25:$X$34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59-49C1-BC06-8C801756D38F}"/>
            </c:ext>
          </c:extLst>
        </c:ser>
        <c:dLbls>
          <c:showLegendKey val="0"/>
          <c:showVal val="0"/>
          <c:showCatName val="0"/>
          <c:showSerName val="0"/>
          <c:showPercent val="0"/>
          <c:showBubbleSize val="0"/>
        </c:dLbls>
        <c:axId val="422091392"/>
        <c:axId val="422105856"/>
      </c:radarChart>
      <c:catAx>
        <c:axId val="4220913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2105856"/>
        <c:crosses val="autoZero"/>
        <c:auto val="0"/>
        <c:lblAlgn val="ctr"/>
        <c:lblOffset val="100"/>
        <c:noMultiLvlLbl val="0"/>
      </c:catAx>
      <c:valAx>
        <c:axId val="4221058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20913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290358306253112"/>
          <c:y val="0.22461572207890937"/>
          <c:w val="0.31653256967120791"/>
          <c:h val="0.48307764885464166"/>
        </c:manualLayout>
      </c:layout>
      <c:radarChart>
        <c:radarStyle val="marker"/>
        <c:varyColors val="0"/>
        <c:ser>
          <c:idx val="0"/>
          <c:order val="0"/>
          <c:tx>
            <c:strRef>
              <c:f>FAR!$W$24</c:f>
              <c:strCache>
                <c:ptCount val="1"/>
                <c:pt idx="0">
                  <c:v>Far</c:v>
                </c:pt>
              </c:strCache>
            </c:strRef>
          </c:tx>
          <c:spPr>
            <a:ln w="25400">
              <a:solidFill>
                <a:srgbClr val="263238"/>
              </a:solidFill>
              <a:prstDash val="solid"/>
            </a:ln>
            <a:effectLst/>
          </c:spPr>
          <c:marker>
            <c:symbol val="diamond"/>
            <c:size val="6"/>
            <c:spPr>
              <a:solidFill>
                <a:srgbClr val="263238"/>
              </a:solidFill>
              <a:ln w="6350">
                <a:noFill/>
              </a:ln>
            </c:spPr>
          </c:marker>
          <c:cat>
            <c:strRef>
              <c:f>FAR!$V$25:$V$34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FAR!$W$25:$W$34</c:f>
              <c:numCache>
                <c:formatCode>0%</c:formatCode>
                <c:ptCount val="10"/>
                <c:pt idx="0">
                  <c:v>1.7700596493663618</c:v>
                </c:pt>
                <c:pt idx="1">
                  <c:v>1.708913147033984</c:v>
                </c:pt>
                <c:pt idx="2">
                  <c:v>1.2592666010829634</c:v>
                </c:pt>
                <c:pt idx="3">
                  <c:v>1.1794719012486341</c:v>
                </c:pt>
                <c:pt idx="4">
                  <c:v>1.7884179243166134</c:v>
                </c:pt>
                <c:pt idx="5">
                  <c:v>2.7075945005776898</c:v>
                </c:pt>
                <c:pt idx="6">
                  <c:v>0.94892397927390582</c:v>
                </c:pt>
                <c:pt idx="7">
                  <c:v>1.0941709467156147</c:v>
                </c:pt>
                <c:pt idx="8">
                  <c:v>0.92113843280367547</c:v>
                </c:pt>
                <c:pt idx="9">
                  <c:v>1.0538251976361441</c:v>
                </c:pt>
              </c:numCache>
            </c:numRef>
          </c:val>
          <c:extLst>
            <c:ext xmlns:c16="http://schemas.microsoft.com/office/drawing/2014/chart" uri="{C3380CC4-5D6E-409C-BE32-E72D297353CC}">
              <c16:uniqueId val="{00000000-B65F-45FF-8420-2E9015FD0AB3}"/>
            </c:ext>
          </c:extLst>
        </c:ser>
        <c:ser>
          <c:idx val="1"/>
          <c:order val="1"/>
          <c:tx>
            <c:strRef>
              <c:f>FAR!$X$24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FAR!$V$25:$V$34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FAR!$X$25:$X$34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65F-45FF-8420-2E9015FD0AB3}"/>
            </c:ext>
          </c:extLst>
        </c:ser>
        <c:dLbls>
          <c:showLegendKey val="0"/>
          <c:showVal val="0"/>
          <c:showCatName val="0"/>
          <c:showSerName val="0"/>
          <c:showPercent val="0"/>
          <c:showBubbleSize val="0"/>
        </c:dLbls>
        <c:axId val="422500992"/>
        <c:axId val="422929152"/>
      </c:radarChart>
      <c:catAx>
        <c:axId val="4225009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2929152"/>
        <c:crosses val="autoZero"/>
        <c:auto val="0"/>
        <c:lblAlgn val="ctr"/>
        <c:lblOffset val="100"/>
        <c:noMultiLvlLbl val="0"/>
      </c:catAx>
      <c:valAx>
        <c:axId val="4229291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2500992"/>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34031382078247"/>
          <c:y val="7.1428679743121323E-2"/>
          <c:w val="0.47869641399304225"/>
          <c:h val="0.75627286455834464"/>
        </c:manualLayout>
      </c:layout>
      <c:radarChart>
        <c:radarStyle val="marker"/>
        <c:varyColors val="0"/>
        <c:ser>
          <c:idx val="0"/>
          <c:order val="0"/>
          <c:tx>
            <c:strRef>
              <c:f>HKBN!$W$24</c:f>
              <c:strCache>
                <c:ptCount val="1"/>
                <c:pt idx="0">
                  <c:v>HKBN</c:v>
                </c:pt>
              </c:strCache>
            </c:strRef>
          </c:tx>
          <c:spPr>
            <a:ln w="25400">
              <a:solidFill>
                <a:srgbClr val="263238"/>
              </a:solidFill>
              <a:prstDash val="solid"/>
            </a:ln>
            <a:effectLst/>
          </c:spPr>
          <c:marker>
            <c:symbol val="diamond"/>
            <c:size val="6"/>
            <c:spPr>
              <a:solidFill>
                <a:srgbClr val="263238"/>
              </a:solidFill>
              <a:ln w="6350">
                <a:noFill/>
              </a:ln>
            </c:spPr>
          </c:marker>
          <c:cat>
            <c:strRef>
              <c:f>HKBN!$V$25:$V$34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HKBN!$W$25:$W$34</c:f>
              <c:numCache>
                <c:formatCode>0%</c:formatCode>
                <c:ptCount val="10"/>
                <c:pt idx="0">
                  <c:v>0.20983628466738807</c:v>
                </c:pt>
                <c:pt idx="1">
                  <c:v>0.29897438703257306</c:v>
                </c:pt>
                <c:pt idx="2">
                  <c:v>0.22527943507871273</c:v>
                </c:pt>
                <c:pt idx="3">
                  <c:v>0.21583658450655116</c:v>
                </c:pt>
                <c:pt idx="4">
                  <c:v>0.31453424824158221</c:v>
                </c:pt>
                <c:pt idx="5">
                  <c:v>0.53882386374514502</c:v>
                </c:pt>
                <c:pt idx="6">
                  <c:v>6.3143638855718179E-2</c:v>
                </c:pt>
                <c:pt idx="7">
                  <c:v>0.24882773042192233</c:v>
                </c:pt>
                <c:pt idx="8">
                  <c:v>33.244659383319849</c:v>
                </c:pt>
                <c:pt idx="9">
                  <c:v>15.836908010401142</c:v>
                </c:pt>
              </c:numCache>
            </c:numRef>
          </c:val>
          <c:extLst>
            <c:ext xmlns:c16="http://schemas.microsoft.com/office/drawing/2014/chart" uri="{C3380CC4-5D6E-409C-BE32-E72D297353CC}">
              <c16:uniqueId val="{00000000-AF6E-40C4-929D-0CA4A7FB30E8}"/>
            </c:ext>
          </c:extLst>
        </c:ser>
        <c:ser>
          <c:idx val="1"/>
          <c:order val="1"/>
          <c:tx>
            <c:strRef>
              <c:f>HKBN!$X$24</c:f>
              <c:strCache>
                <c:ptCount val="1"/>
              </c:strCache>
            </c:strRef>
          </c:tx>
          <c:spPr>
            <a:ln w="25400">
              <a:solidFill>
                <a:srgbClr val="799098"/>
              </a:solidFill>
              <a:prstDash val="solid"/>
            </a:ln>
            <a:effectLst/>
          </c:spPr>
          <c:marker>
            <c:symbol val="diamond"/>
            <c:size val="6"/>
            <c:spPr>
              <a:solidFill>
                <a:srgbClr val="799098"/>
              </a:solidFill>
              <a:ln w="6350">
                <a:noFill/>
              </a:ln>
            </c:spPr>
          </c:marker>
          <c:cat>
            <c:strRef>
              <c:f>HKBN!$V$25:$V$34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HKBN!$X$25:$X$34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F6E-40C4-929D-0CA4A7FB30E8}"/>
            </c:ext>
          </c:extLst>
        </c:ser>
        <c:dLbls>
          <c:showLegendKey val="0"/>
          <c:showVal val="0"/>
          <c:showCatName val="0"/>
          <c:showSerName val="0"/>
          <c:showPercent val="0"/>
          <c:showBubbleSize val="0"/>
        </c:dLbls>
        <c:axId val="423725696"/>
        <c:axId val="424030976"/>
      </c:radarChart>
      <c:catAx>
        <c:axId val="4237256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4030976"/>
        <c:crosses val="autoZero"/>
        <c:auto val="0"/>
        <c:lblAlgn val="ctr"/>
        <c:lblOffset val="100"/>
        <c:noMultiLvlLbl val="0"/>
      </c:catAx>
      <c:valAx>
        <c:axId val="424030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37256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35991816237784"/>
          <c:y val="0.11076939718959915"/>
          <c:w val="0.45162220199505188"/>
          <c:h val="0.70601516502562156"/>
        </c:manualLayout>
      </c:layout>
      <c:radarChart>
        <c:radarStyle val="marker"/>
        <c:varyColors val="0"/>
        <c:ser>
          <c:idx val="0"/>
          <c:order val="0"/>
          <c:tx>
            <c:strRef>
              <c:f>IDEA!$W$24</c:f>
              <c:strCache>
                <c:ptCount val="1"/>
                <c:pt idx="0">
                  <c:v>IDEA</c:v>
                </c:pt>
              </c:strCache>
            </c:strRef>
          </c:tx>
          <c:spPr>
            <a:ln w="25400">
              <a:solidFill>
                <a:srgbClr val="263238"/>
              </a:solidFill>
              <a:prstDash val="solid"/>
            </a:ln>
            <a:effectLst/>
          </c:spPr>
          <c:marker>
            <c:symbol val="diamond"/>
            <c:size val="6"/>
            <c:spPr>
              <a:solidFill>
                <a:srgbClr val="263238"/>
              </a:solidFill>
              <a:ln w="6350">
                <a:noFill/>
              </a:ln>
            </c:spPr>
          </c:marker>
          <c:cat>
            <c:strRef>
              <c:f>IDEA!$V$25:$V$34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IDEA!$W$25:$W$34</c:f>
              <c:numCache>
                <c:formatCode>0%</c:formatCode>
                <c:ptCount val="10"/>
                <c:pt idx="0">
                  <c:v>2.9886469428917932</c:v>
                </c:pt>
                <c:pt idx="1">
                  <c:v>2.4288805729235778</c:v>
                </c:pt>
                <c:pt idx="2">
                  <c:v>1.4128998867887341</c:v>
                </c:pt>
                <c:pt idx="3">
                  <c:v>1.5071714556969686</c:v>
                </c:pt>
                <c:pt idx="4">
                  <c:v>1.7915720206428596</c:v>
                </c:pt>
                <c:pt idx="5">
                  <c:v>0.64367353992736942</c:v>
                </c:pt>
                <c:pt idx="6">
                  <c:v>-0.32557373155827185</c:v>
                </c:pt>
                <c:pt idx="7">
                  <c:v>-0.10020078627697522</c:v>
                </c:pt>
                <c:pt idx="8">
                  <c:v>0</c:v>
                </c:pt>
                <c:pt idx="9">
                  <c:v>-3.0715008708281428</c:v>
                </c:pt>
              </c:numCache>
            </c:numRef>
          </c:val>
          <c:extLst>
            <c:ext xmlns:c16="http://schemas.microsoft.com/office/drawing/2014/chart" uri="{C3380CC4-5D6E-409C-BE32-E72D297353CC}">
              <c16:uniqueId val="{00000000-CB54-4F91-8411-758B1DD930A7}"/>
            </c:ext>
          </c:extLst>
        </c:ser>
        <c:ser>
          <c:idx val="1"/>
          <c:order val="1"/>
          <c:tx>
            <c:strRef>
              <c:f>IDEA!$X$24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IDEA!$V$25:$V$34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IDEA!$X$25:$X$34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B54-4F91-8411-758B1DD930A7}"/>
            </c:ext>
          </c:extLst>
        </c:ser>
        <c:dLbls>
          <c:showLegendKey val="0"/>
          <c:showVal val="0"/>
          <c:showCatName val="0"/>
          <c:showSerName val="0"/>
          <c:showPercent val="0"/>
          <c:showBubbleSize val="0"/>
        </c:dLbls>
        <c:axId val="424888960"/>
        <c:axId val="424899328"/>
      </c:radarChart>
      <c:catAx>
        <c:axId val="4248889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4899328"/>
        <c:crosses val="autoZero"/>
        <c:auto val="0"/>
        <c:lblAlgn val="ctr"/>
        <c:lblOffset val="100"/>
        <c:noMultiLvlLbl val="0"/>
      </c:catAx>
      <c:valAx>
        <c:axId val="4248993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48889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AMT!$W$24</c:f>
              <c:strCache>
                <c:ptCount val="1"/>
                <c:pt idx="0">
                  <c:v>AMT</c:v>
                </c:pt>
              </c:strCache>
            </c:strRef>
          </c:tx>
          <c:spPr>
            <a:ln w="25400">
              <a:solidFill>
                <a:srgbClr val="263238"/>
              </a:solidFill>
              <a:prstDash val="solid"/>
            </a:ln>
            <a:effectLst/>
          </c:spPr>
          <c:marker>
            <c:symbol val="diamond"/>
            <c:size val="6"/>
            <c:spPr>
              <a:solidFill>
                <a:srgbClr val="263238"/>
              </a:solidFill>
              <a:ln w="6350">
                <a:noFill/>
              </a:ln>
            </c:spPr>
          </c:marker>
          <c:cat>
            <c:strRef>
              <c:f>AMT!$V$25:$V$34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AMT!$W$25:$W$34</c:f>
              <c:numCache>
                <c:formatCode>0%</c:formatCode>
                <c:ptCount val="10"/>
                <c:pt idx="0">
                  <c:v>1.0769640116451775</c:v>
                </c:pt>
                <c:pt idx="1">
                  <c:v>1.0793567547814886</c:v>
                </c:pt>
                <c:pt idx="2">
                  <c:v>1.0359328240129793</c:v>
                </c:pt>
                <c:pt idx="3">
                  <c:v>1.035932824012979</c:v>
                </c:pt>
                <c:pt idx="4">
                  <c:v>0.95706803735538593</c:v>
                </c:pt>
                <c:pt idx="5">
                  <c:v>1.1062933568480027</c:v>
                </c:pt>
                <c:pt idx="6">
                  <c:v>1.0162654361984589</c:v>
                </c:pt>
                <c:pt idx="7">
                  <c:v>1.1243389801073993</c:v>
                </c:pt>
                <c:pt idx="8">
                  <c:v>0.84283229620289712</c:v>
                </c:pt>
                <c:pt idx="9">
                  <c:v>0.98399489383472216</c:v>
                </c:pt>
              </c:numCache>
            </c:numRef>
          </c:val>
          <c:extLst>
            <c:ext xmlns:c16="http://schemas.microsoft.com/office/drawing/2014/chart" uri="{C3380CC4-5D6E-409C-BE32-E72D297353CC}">
              <c16:uniqueId val="{00000000-76D8-4EB5-ABCE-E79856387B7D}"/>
            </c:ext>
          </c:extLst>
        </c:ser>
        <c:ser>
          <c:idx val="1"/>
          <c:order val="1"/>
          <c:tx>
            <c:strRef>
              <c:f>AMT!$X$24</c:f>
              <c:strCache>
                <c:ptCount val="1"/>
                <c:pt idx="0">
                  <c:v>Agg. US Towers</c:v>
                </c:pt>
              </c:strCache>
            </c:strRef>
          </c:tx>
          <c:spPr>
            <a:ln w="25400">
              <a:solidFill>
                <a:srgbClr val="799098"/>
              </a:solidFill>
              <a:prstDash val="solid"/>
            </a:ln>
            <a:effectLst/>
          </c:spPr>
          <c:marker>
            <c:symbol val="diamond"/>
            <c:size val="6"/>
            <c:spPr>
              <a:solidFill>
                <a:srgbClr val="799098"/>
              </a:solidFill>
              <a:ln w="6350">
                <a:noFill/>
              </a:ln>
            </c:spPr>
          </c:marker>
          <c:cat>
            <c:strRef>
              <c:f>AMT!$V$25:$V$34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6D8-4EB5-ABCE-E79856387B7D}"/>
            </c:ext>
          </c:extLst>
        </c:ser>
        <c:dLbls>
          <c:showLegendKey val="0"/>
          <c:showVal val="0"/>
          <c:showCatName val="0"/>
          <c:showSerName val="0"/>
          <c:showPercent val="0"/>
          <c:showBubbleSize val="0"/>
        </c:dLbls>
        <c:axId val="342673664"/>
        <c:axId val="342675840"/>
      </c:radarChart>
      <c:catAx>
        <c:axId val="342673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675840"/>
        <c:crosses val="autoZero"/>
        <c:auto val="0"/>
        <c:lblAlgn val="ctr"/>
        <c:lblOffset val="100"/>
        <c:noMultiLvlLbl val="0"/>
      </c:catAx>
      <c:valAx>
        <c:axId val="3426758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673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IHS!$W$24</c:f>
              <c:strCache>
                <c:ptCount val="1"/>
                <c:pt idx="0">
                  <c:v>IHS Towers</c:v>
                </c:pt>
              </c:strCache>
            </c:strRef>
          </c:tx>
          <c:spPr>
            <a:ln w="25400">
              <a:solidFill>
                <a:srgbClr val="263238"/>
              </a:solidFill>
              <a:prstDash val="solid"/>
            </a:ln>
            <a:effectLst/>
          </c:spPr>
          <c:marker>
            <c:symbol val="diamond"/>
            <c:size val="6"/>
            <c:spPr>
              <a:solidFill>
                <a:srgbClr val="263238"/>
              </a:solidFill>
              <a:ln w="6350">
                <a:noFill/>
              </a:ln>
            </c:spPr>
          </c:marker>
          <c:cat>
            <c:strRef>
              <c:f>IHS!$V$25:$V$34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IHS!$W$25:$W$34</c:f>
              <c:numCache>
                <c:formatCode>0%</c:formatCode>
                <c:ptCount val="10"/>
                <c:pt idx="0">
                  <c:v>0.7263504396098408</c:v>
                </c:pt>
                <c:pt idx="1">
                  <c:v>0.87513822216362969</c:v>
                </c:pt>
                <c:pt idx="2">
                  <c:v>0.95332493602438184</c:v>
                </c:pt>
                <c:pt idx="3">
                  <c:v>1.0548364585742767</c:v>
                </c:pt>
                <c:pt idx="4">
                  <c:v>0.87808965246069859</c:v>
                </c:pt>
                <c:pt idx="5">
                  <c:v>1.606148983739268</c:v>
                </c:pt>
                <c:pt idx="6">
                  <c:v>-0.4417245825709511</c:v>
                </c:pt>
                <c:pt idx="7">
                  <c:v>0.33693546014512693</c:v>
                </c:pt>
                <c:pt idx="8">
                  <c:v>0</c:v>
                </c:pt>
                <c:pt idx="9">
                  <c:v>-2.2638540834194507</c:v>
                </c:pt>
              </c:numCache>
            </c:numRef>
          </c:val>
          <c:extLst>
            <c:ext xmlns:c16="http://schemas.microsoft.com/office/drawing/2014/chart" uri="{C3380CC4-5D6E-409C-BE32-E72D297353CC}">
              <c16:uniqueId val="{00000000-BC46-4D15-85E3-8B762D4B00E7}"/>
            </c:ext>
          </c:extLst>
        </c:ser>
        <c:ser>
          <c:idx val="1"/>
          <c:order val="1"/>
          <c:tx>
            <c:strRef>
              <c:f>IHS!$X$24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IHS!$V$25:$V$34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IHS!$X$25:$X$34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C46-4D15-85E3-8B762D4B00E7}"/>
            </c:ext>
          </c:extLst>
        </c:ser>
        <c:dLbls>
          <c:showLegendKey val="0"/>
          <c:showVal val="0"/>
          <c:showCatName val="0"/>
          <c:showSerName val="0"/>
          <c:showPercent val="0"/>
          <c:showBubbleSize val="0"/>
        </c:dLbls>
        <c:axId val="358625664"/>
        <c:axId val="358627584"/>
      </c:radarChart>
      <c:catAx>
        <c:axId val="358625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627584"/>
        <c:crosses val="autoZero"/>
        <c:auto val="0"/>
        <c:lblAlgn val="ctr"/>
        <c:lblOffset val="100"/>
        <c:noMultiLvlLbl val="0"/>
      </c:catAx>
      <c:valAx>
        <c:axId val="3586275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625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INWIT!$W$24</c:f>
              <c:strCache>
                <c:ptCount val="1"/>
                <c:pt idx="0">
                  <c:v>INWIT</c:v>
                </c:pt>
              </c:strCache>
            </c:strRef>
          </c:tx>
          <c:spPr>
            <a:ln w="25400">
              <a:solidFill>
                <a:srgbClr val="263238"/>
              </a:solidFill>
              <a:prstDash val="solid"/>
            </a:ln>
            <a:effectLst/>
          </c:spPr>
          <c:marker>
            <c:symbol val="diamond"/>
            <c:size val="6"/>
            <c:spPr>
              <a:solidFill>
                <a:srgbClr val="263238"/>
              </a:solidFill>
              <a:ln w="6350">
                <a:noFill/>
              </a:ln>
            </c:spPr>
          </c:marker>
          <c:cat>
            <c:strRef>
              <c:f>INWIT!$V$25:$V$32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INWIT!$W$25:$W$32</c:f>
              <c:numCache>
                <c:formatCode>0%</c:formatCode>
                <c:ptCount val="8"/>
                <c:pt idx="0">
                  <c:v>1.1985197682902706</c:v>
                </c:pt>
                <c:pt idx="1">
                  <c:v>0.91639017951865409</c:v>
                </c:pt>
                <c:pt idx="2">
                  <c:v>0.53133169986694528</c:v>
                </c:pt>
                <c:pt idx="3">
                  <c:v>0.54948429023806011</c:v>
                </c:pt>
                <c:pt idx="4">
                  <c:v>0.4427791230883471</c:v>
                </c:pt>
                <c:pt idx="5">
                  <c:v>3.6614156323764482E-2</c:v>
                </c:pt>
                <c:pt idx="6">
                  <c:v>3.1264269803456446</c:v>
                </c:pt>
                <c:pt idx="7">
                  <c:v>2.2584623977415288</c:v>
                </c:pt>
              </c:numCache>
            </c:numRef>
          </c:val>
          <c:extLst>
            <c:ext xmlns:c16="http://schemas.microsoft.com/office/drawing/2014/chart" uri="{C3380CC4-5D6E-409C-BE32-E72D297353CC}">
              <c16:uniqueId val="{00000000-01AF-4C12-B987-F0891E247C5D}"/>
            </c:ext>
          </c:extLst>
        </c:ser>
        <c:ser>
          <c:idx val="1"/>
          <c:order val="1"/>
          <c:tx>
            <c:strRef>
              <c:f>INWIT!$X$24</c:f>
              <c:strCache>
                <c:ptCount val="1"/>
                <c:pt idx="0">
                  <c:v>Agg. W.Euro TOWER</c:v>
                </c:pt>
              </c:strCache>
            </c:strRef>
          </c:tx>
          <c:spPr>
            <a:ln w="25400">
              <a:solidFill>
                <a:srgbClr val="799098"/>
              </a:solidFill>
              <a:prstDash val="solid"/>
            </a:ln>
            <a:effectLst/>
          </c:spPr>
          <c:marker>
            <c:symbol val="diamond"/>
            <c:size val="6"/>
            <c:spPr>
              <a:solidFill>
                <a:srgbClr val="799098"/>
              </a:solidFill>
              <a:ln w="6350">
                <a:noFill/>
              </a:ln>
            </c:spPr>
          </c:marker>
          <c:cat>
            <c:strRef>
              <c:f>INWIT!$V$25:$V$32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INWIT!$X$25:$X$32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01AF-4C12-B987-F0891E247C5D}"/>
            </c:ext>
          </c:extLst>
        </c:ser>
        <c:dLbls>
          <c:showLegendKey val="0"/>
          <c:showVal val="0"/>
          <c:showCatName val="0"/>
          <c:showSerName val="0"/>
          <c:showPercent val="0"/>
          <c:showBubbleSize val="0"/>
        </c:dLbls>
        <c:axId val="425171584"/>
        <c:axId val="425218816"/>
      </c:radarChart>
      <c:catAx>
        <c:axId val="4251715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5218816"/>
        <c:crosses val="autoZero"/>
        <c:auto val="0"/>
        <c:lblAlgn val="ctr"/>
        <c:lblOffset val="100"/>
        <c:noMultiLvlLbl val="0"/>
      </c:catAx>
      <c:valAx>
        <c:axId val="425218816"/>
        <c:scaling>
          <c:orientation val="minMax"/>
          <c:max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51715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4680456031515"/>
          <c:y val="0.14769252958613224"/>
          <c:w val="0.3870971552666993"/>
          <c:h val="0.59077011834452875"/>
        </c:manualLayout>
      </c:layout>
      <c:radarChart>
        <c:radarStyle val="marker"/>
        <c:varyColors val="0"/>
        <c:ser>
          <c:idx val="0"/>
          <c:order val="0"/>
          <c:tx>
            <c:strRef>
              <c:f>INDO!$W$24</c:f>
              <c:strCache>
                <c:ptCount val="1"/>
                <c:pt idx="0">
                  <c:v>Indosat</c:v>
                </c:pt>
              </c:strCache>
            </c:strRef>
          </c:tx>
          <c:spPr>
            <a:ln w="25400">
              <a:solidFill>
                <a:srgbClr val="263238"/>
              </a:solidFill>
              <a:prstDash val="solid"/>
            </a:ln>
            <a:effectLst/>
          </c:spPr>
          <c:marker>
            <c:symbol val="diamond"/>
            <c:size val="6"/>
            <c:spPr>
              <a:solidFill>
                <a:srgbClr val="263238"/>
              </a:solidFill>
              <a:ln w="6350">
                <a:noFill/>
              </a:ln>
            </c:spPr>
          </c:marker>
          <c:cat>
            <c:strRef>
              <c:f>INDO!$V$25:$V$34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INDO!$W$25:$W$34</c:f>
              <c:numCache>
                <c:formatCode>0%</c:formatCode>
                <c:ptCount val="10"/>
                <c:pt idx="0">
                  <c:v>1.2381158343524532</c:v>
                </c:pt>
                <c:pt idx="1">
                  <c:v>0.8646474522735792</c:v>
                </c:pt>
                <c:pt idx="2">
                  <c:v>0.96279148543763038</c:v>
                </c:pt>
                <c:pt idx="3">
                  <c:v>1.056374641675204</c:v>
                </c:pt>
                <c:pt idx="4">
                  <c:v>1.117878062765735</c:v>
                </c:pt>
                <c:pt idx="5">
                  <c:v>0.61595802091934759</c:v>
                </c:pt>
                <c:pt idx="6">
                  <c:v>0.70366835844263853</c:v>
                </c:pt>
                <c:pt idx="7">
                  <c:v>0.91141562166268031</c:v>
                </c:pt>
                <c:pt idx="8">
                  <c:v>0.62440034988907578</c:v>
                </c:pt>
                <c:pt idx="9">
                  <c:v>1.4211240110514614</c:v>
                </c:pt>
              </c:numCache>
            </c:numRef>
          </c:val>
          <c:extLst>
            <c:ext xmlns:c16="http://schemas.microsoft.com/office/drawing/2014/chart" uri="{C3380CC4-5D6E-409C-BE32-E72D297353CC}">
              <c16:uniqueId val="{00000000-E5A3-4062-A3EF-138AAC091158}"/>
            </c:ext>
          </c:extLst>
        </c:ser>
        <c:ser>
          <c:idx val="1"/>
          <c:order val="1"/>
          <c:tx>
            <c:strRef>
              <c:f>INDO!$X$24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INDO!$V$25:$V$34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INDO!$X$25:$X$34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5A3-4062-A3EF-138AAC091158}"/>
            </c:ext>
          </c:extLst>
        </c:ser>
        <c:dLbls>
          <c:showLegendKey val="0"/>
          <c:showVal val="0"/>
          <c:showCatName val="0"/>
          <c:showSerName val="0"/>
          <c:showPercent val="0"/>
          <c:showBubbleSize val="0"/>
        </c:dLbls>
        <c:axId val="425286272"/>
        <c:axId val="425296640"/>
      </c:radarChart>
      <c:catAx>
        <c:axId val="4252862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5296640"/>
        <c:crosses val="autoZero"/>
        <c:auto val="0"/>
        <c:lblAlgn val="ctr"/>
        <c:lblOffset val="100"/>
        <c:noMultiLvlLbl val="0"/>
      </c:catAx>
      <c:valAx>
        <c:axId val="4252966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52862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1730190292979"/>
          <c:y val="0.14153867418671001"/>
          <c:w val="0.41154154785199476"/>
          <c:h val="0.64335759521585767"/>
        </c:manualLayout>
      </c:layout>
      <c:radarChart>
        <c:radarStyle val="marker"/>
        <c:varyColors val="0"/>
        <c:ser>
          <c:idx val="0"/>
          <c:order val="0"/>
          <c:tx>
            <c:strRef>
              <c:f>KDDI!$W$24</c:f>
              <c:strCache>
                <c:ptCount val="1"/>
                <c:pt idx="0">
                  <c:v>KDDI</c:v>
                </c:pt>
              </c:strCache>
            </c:strRef>
          </c:tx>
          <c:spPr>
            <a:ln w="25400">
              <a:solidFill>
                <a:srgbClr val="263238"/>
              </a:solidFill>
              <a:prstDash val="solid"/>
            </a:ln>
            <a:effectLst/>
          </c:spPr>
          <c:marker>
            <c:symbol val="diamond"/>
            <c:size val="6"/>
            <c:spPr>
              <a:solidFill>
                <a:srgbClr val="263238"/>
              </a:solidFill>
              <a:ln w="6350">
                <a:noFill/>
              </a:ln>
            </c:spPr>
          </c:marker>
          <c:cat>
            <c:strRef>
              <c:f>KDDI!$V$25:$V$34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KDDI!$W$25:$W$34</c:f>
              <c:numCache>
                <c:formatCode>0%</c:formatCode>
                <c:ptCount val="10"/>
                <c:pt idx="0">
                  <c:v>0.93944598071996877</c:v>
                </c:pt>
                <c:pt idx="1">
                  <c:v>1.0588812195396187</c:v>
                </c:pt>
                <c:pt idx="2">
                  <c:v>0.99855875902473112</c:v>
                </c:pt>
                <c:pt idx="3">
                  <c:v>1.2450326161412879</c:v>
                </c:pt>
                <c:pt idx="4">
                  <c:v>1.0316068672432881</c:v>
                </c:pt>
                <c:pt idx="5">
                  <c:v>1.448885888749317</c:v>
                </c:pt>
                <c:pt idx="6">
                  <c:v>0.86541733621345318</c:v>
                </c:pt>
                <c:pt idx="7">
                  <c:v>0.73985631895548254</c:v>
                </c:pt>
                <c:pt idx="8">
                  <c:v>0.73181934458389786</c:v>
                </c:pt>
                <c:pt idx="9">
                  <c:v>1.1555118648020153</c:v>
                </c:pt>
              </c:numCache>
            </c:numRef>
          </c:val>
          <c:extLst>
            <c:ext xmlns:c16="http://schemas.microsoft.com/office/drawing/2014/chart" uri="{C3380CC4-5D6E-409C-BE32-E72D297353CC}">
              <c16:uniqueId val="{00000000-4537-40B0-8056-1CC8F2F57AD7}"/>
            </c:ext>
          </c:extLst>
        </c:ser>
        <c:ser>
          <c:idx val="1"/>
          <c:order val="1"/>
          <c:tx>
            <c:strRef>
              <c:f>KDDI!$X$24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KDDI!$V$25:$V$34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KDDI!$X$25:$X$34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537-40B0-8056-1CC8F2F57AD7}"/>
            </c:ext>
          </c:extLst>
        </c:ser>
        <c:dLbls>
          <c:showLegendKey val="0"/>
          <c:showVal val="0"/>
          <c:showCatName val="0"/>
          <c:showSerName val="0"/>
          <c:showPercent val="0"/>
          <c:showBubbleSize val="0"/>
        </c:dLbls>
        <c:axId val="427383424"/>
        <c:axId val="427401984"/>
      </c:radarChart>
      <c:catAx>
        <c:axId val="4273834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7401984"/>
        <c:crosses val="autoZero"/>
        <c:auto val="0"/>
        <c:lblAlgn val="ctr"/>
        <c:lblOffset val="100"/>
        <c:noMultiLvlLbl val="0"/>
      </c:catAx>
      <c:valAx>
        <c:axId val="4274019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73834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32686217810573"/>
          <c:y val="8.7774429023849548E-2"/>
          <c:w val="0.47286747601526674"/>
          <c:h val="0.71257367456368081"/>
        </c:manualLayout>
      </c:layout>
      <c:radarChart>
        <c:radarStyle val="marker"/>
        <c:varyColors val="0"/>
        <c:ser>
          <c:idx val="0"/>
          <c:order val="0"/>
          <c:tx>
            <c:strRef>
              <c:f>KPN!$W$24</c:f>
              <c:strCache>
                <c:ptCount val="1"/>
                <c:pt idx="0">
                  <c:v>KPN</c:v>
                </c:pt>
              </c:strCache>
            </c:strRef>
          </c:tx>
          <c:spPr>
            <a:ln w="25400">
              <a:solidFill>
                <a:srgbClr val="263238"/>
              </a:solidFill>
              <a:prstDash val="solid"/>
            </a:ln>
            <a:effectLst/>
          </c:spPr>
          <c:marker>
            <c:symbol val="diamond"/>
            <c:size val="6"/>
            <c:spPr>
              <a:solidFill>
                <a:srgbClr val="263238"/>
              </a:solidFill>
              <a:ln w="6350">
                <a:noFill/>
              </a:ln>
            </c:spPr>
          </c:marker>
          <c:cat>
            <c:strRef>
              <c:f>KPN!$V$25:$V$34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KPN!$W$25:$W$34</c:f>
              <c:numCache>
                <c:formatCode>0%</c:formatCode>
                <c:ptCount val="10"/>
                <c:pt idx="0">
                  <c:v>1.6636466305342386</c:v>
                </c:pt>
                <c:pt idx="1">
                  <c:v>1.2747328055731597</c:v>
                </c:pt>
                <c:pt idx="2">
                  <c:v>1.2765812821977243</c:v>
                </c:pt>
                <c:pt idx="3">
                  <c:v>1.2360997680745605</c:v>
                </c:pt>
                <c:pt idx="4">
                  <c:v>1.5769016352819343</c:v>
                </c:pt>
                <c:pt idx="5">
                  <c:v>1.0994286194596117</c:v>
                </c:pt>
                <c:pt idx="6">
                  <c:v>1.3602649142210683</c:v>
                </c:pt>
                <c:pt idx="7">
                  <c:v>1.2964067913810764</c:v>
                </c:pt>
                <c:pt idx="8">
                  <c:v>0.86126781192665758</c:v>
                </c:pt>
                <c:pt idx="9">
                  <c:v>0.73515091769652263</c:v>
                </c:pt>
              </c:numCache>
            </c:numRef>
          </c:val>
          <c:extLst>
            <c:ext xmlns:c16="http://schemas.microsoft.com/office/drawing/2014/chart" uri="{C3380CC4-5D6E-409C-BE32-E72D297353CC}">
              <c16:uniqueId val="{00000000-4F49-404F-AB8D-A4ED8F518395}"/>
            </c:ext>
          </c:extLst>
        </c:ser>
        <c:ser>
          <c:idx val="1"/>
          <c:order val="1"/>
          <c:tx>
            <c:strRef>
              <c:f>KPN!$X$24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KPN!$V$25:$V$34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KPN!$X$25:$X$34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F49-404F-AB8D-A4ED8F518395}"/>
            </c:ext>
          </c:extLst>
        </c:ser>
        <c:dLbls>
          <c:showLegendKey val="0"/>
          <c:showVal val="0"/>
          <c:showCatName val="0"/>
          <c:showSerName val="0"/>
          <c:showPercent val="0"/>
          <c:showBubbleSize val="0"/>
        </c:dLbls>
        <c:axId val="427805312"/>
        <c:axId val="427823872"/>
      </c:radarChart>
      <c:catAx>
        <c:axId val="4278053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7823872"/>
        <c:crosses val="autoZero"/>
        <c:auto val="0"/>
        <c:lblAlgn val="ctr"/>
        <c:lblOffset val="100"/>
        <c:noMultiLvlLbl val="0"/>
      </c:catAx>
      <c:valAx>
        <c:axId val="427823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780531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_KT!$W$24</c:f>
              <c:strCache>
                <c:ptCount val="1"/>
                <c:pt idx="0">
                  <c:v>KT</c:v>
                </c:pt>
              </c:strCache>
            </c:strRef>
          </c:tx>
          <c:spPr>
            <a:ln w="25400">
              <a:solidFill>
                <a:srgbClr val="263238"/>
              </a:solidFill>
              <a:prstDash val="solid"/>
            </a:ln>
            <a:effectLst/>
          </c:spPr>
          <c:marker>
            <c:symbol val="diamond"/>
            <c:size val="6"/>
            <c:spPr>
              <a:solidFill>
                <a:srgbClr val="263238"/>
              </a:solidFill>
              <a:ln w="6350">
                <a:noFill/>
              </a:ln>
            </c:spPr>
          </c:marker>
          <c:cat>
            <c:strRef>
              <c:f>_KT!$V$25:$V$34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_KT!$W$25:$W$34</c:f>
              <c:numCache>
                <c:formatCode>0%</c:formatCode>
                <c:ptCount val="10"/>
                <c:pt idx="0">
                  <c:v>0.32361426585039021</c:v>
                </c:pt>
                <c:pt idx="1">
                  <c:v>0.51036881312514637</c:v>
                </c:pt>
                <c:pt idx="2">
                  <c:v>0.67535384027733991</c:v>
                </c:pt>
                <c:pt idx="3">
                  <c:v>0.71544645102803583</c:v>
                </c:pt>
                <c:pt idx="4">
                  <c:v>0.47866010898901851</c:v>
                </c:pt>
                <c:pt idx="5">
                  <c:v>0.40627030598275082</c:v>
                </c:pt>
                <c:pt idx="6">
                  <c:v>0.45091476854191681</c:v>
                </c:pt>
                <c:pt idx="7">
                  <c:v>0.46980934912342476</c:v>
                </c:pt>
                <c:pt idx="8">
                  <c:v>1.2063295866036614</c:v>
                </c:pt>
                <c:pt idx="9">
                  <c:v>2.217714011083761</c:v>
                </c:pt>
              </c:numCache>
            </c:numRef>
          </c:val>
          <c:extLst>
            <c:ext xmlns:c16="http://schemas.microsoft.com/office/drawing/2014/chart" uri="{C3380CC4-5D6E-409C-BE32-E72D297353CC}">
              <c16:uniqueId val="{00000000-D0A9-4C7F-BDDB-DEEBF96F1D93}"/>
            </c:ext>
          </c:extLst>
        </c:ser>
        <c:ser>
          <c:idx val="1"/>
          <c:order val="1"/>
          <c:tx>
            <c:strRef>
              <c:f>_KT!$X$24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_KT!$V$25:$V$34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_KT!$X$25:$X$34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0A9-4C7F-BDDB-DEEBF96F1D93}"/>
            </c:ext>
          </c:extLst>
        </c:ser>
        <c:dLbls>
          <c:showLegendKey val="0"/>
          <c:showVal val="0"/>
          <c:showCatName val="0"/>
          <c:showSerName val="0"/>
          <c:showPercent val="0"/>
          <c:showBubbleSize val="0"/>
        </c:dLbls>
        <c:axId val="428239488"/>
        <c:axId val="428299008"/>
      </c:radarChart>
      <c:catAx>
        <c:axId val="4282394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8299008"/>
        <c:crosses val="autoZero"/>
        <c:auto val="0"/>
        <c:lblAlgn val="ctr"/>
        <c:lblOffset val="100"/>
        <c:noMultiLvlLbl val="0"/>
      </c:catAx>
      <c:valAx>
        <c:axId val="4282990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82394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_LG!$W$24</c:f>
              <c:strCache>
                <c:ptCount val="1"/>
                <c:pt idx="0">
                  <c:v>LG</c:v>
                </c:pt>
              </c:strCache>
            </c:strRef>
          </c:tx>
          <c:spPr>
            <a:ln w="25400">
              <a:solidFill>
                <a:srgbClr val="263238"/>
              </a:solidFill>
              <a:prstDash val="solid"/>
            </a:ln>
            <a:effectLst/>
          </c:spPr>
          <c:marker>
            <c:symbol val="diamond"/>
            <c:size val="6"/>
            <c:spPr>
              <a:solidFill>
                <a:srgbClr val="263238"/>
              </a:solidFill>
              <a:ln w="6350">
                <a:noFill/>
              </a:ln>
            </c:spPr>
          </c:marker>
          <c:cat>
            <c:strRef>
              <c:f>_LG!$V$25:$V$34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_LG!$W$25:$W$34</c:f>
              <c:numCache>
                <c:formatCode>0%</c:formatCode>
                <c:ptCount val="10"/>
                <c:pt idx="0">
                  <c:v>0.39121096168794728</c:v>
                </c:pt>
                <c:pt idx="1">
                  <c:v>0.51406182076643736</c:v>
                </c:pt>
                <c:pt idx="2">
                  <c:v>0.90241204110956474</c:v>
                </c:pt>
                <c:pt idx="3">
                  <c:v>0.84782168759160692</c:v>
                </c:pt>
                <c:pt idx="4">
                  <c:v>0.56379638208231242</c:v>
                </c:pt>
                <c:pt idx="5">
                  <c:v>0.35951261295958031</c:v>
                </c:pt>
                <c:pt idx="6">
                  <c:v>2.3142807090125461</c:v>
                </c:pt>
                <c:pt idx="7">
                  <c:v>0.27430864880777989</c:v>
                </c:pt>
                <c:pt idx="8">
                  <c:v>1.6665724154085788</c:v>
                </c:pt>
                <c:pt idx="9">
                  <c:v>0.43209969996538516</c:v>
                </c:pt>
              </c:numCache>
            </c:numRef>
          </c:val>
          <c:extLst>
            <c:ext xmlns:c16="http://schemas.microsoft.com/office/drawing/2014/chart" uri="{C3380CC4-5D6E-409C-BE32-E72D297353CC}">
              <c16:uniqueId val="{00000000-5F4D-44A6-8795-FAC94B689382}"/>
            </c:ext>
          </c:extLst>
        </c:ser>
        <c:ser>
          <c:idx val="1"/>
          <c:order val="1"/>
          <c:tx>
            <c:strRef>
              <c:f>_LG!$X$24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_LG!$V$25:$V$34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_LG!$X$25:$X$34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F4D-44A6-8795-FAC94B689382}"/>
            </c:ext>
          </c:extLst>
        </c:ser>
        <c:dLbls>
          <c:showLegendKey val="0"/>
          <c:showVal val="0"/>
          <c:showCatName val="0"/>
          <c:showSerName val="0"/>
          <c:showPercent val="0"/>
          <c:showBubbleSize val="0"/>
        </c:dLbls>
        <c:axId val="428817024"/>
        <c:axId val="428950272"/>
      </c:radarChart>
      <c:catAx>
        <c:axId val="4288170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8950272"/>
        <c:crosses val="autoZero"/>
        <c:auto val="0"/>
        <c:lblAlgn val="ctr"/>
        <c:lblOffset val="100"/>
        <c:noMultiLvlLbl val="0"/>
      </c:catAx>
      <c:valAx>
        <c:axId val="4289502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88170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233899746703906"/>
          <c:y val="0.10248462745752179"/>
          <c:w val="0.44959721679413461"/>
          <c:h val="0.69254763403113173"/>
        </c:manualLayout>
      </c:layout>
      <c:radarChart>
        <c:radarStyle val="marker"/>
        <c:varyColors val="0"/>
        <c:ser>
          <c:idx val="0"/>
          <c:order val="0"/>
          <c:tx>
            <c:strRef>
              <c:f>LBTY!$W$24</c:f>
              <c:strCache>
                <c:ptCount val="1"/>
                <c:pt idx="0">
                  <c:v>Liberty</c:v>
                </c:pt>
              </c:strCache>
            </c:strRef>
          </c:tx>
          <c:spPr>
            <a:ln w="25400">
              <a:solidFill>
                <a:srgbClr val="263238"/>
              </a:solidFill>
              <a:prstDash val="solid"/>
            </a:ln>
            <a:effectLst/>
          </c:spPr>
          <c:marker>
            <c:symbol val="diamond"/>
            <c:size val="6"/>
            <c:spPr>
              <a:solidFill>
                <a:srgbClr val="263238"/>
              </a:solidFill>
              <a:ln w="6350">
                <a:noFill/>
              </a:ln>
            </c:spPr>
          </c:marker>
          <c:cat>
            <c:strRef>
              <c:f>LBTY!$V$25:$V$34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LBTY!$W$25:$W$34</c:f>
              <c:numCache>
                <c:formatCode>0%</c:formatCode>
                <c:ptCount val="10"/>
                <c:pt idx="0">
                  <c:v>3.0714244898981442</c:v>
                </c:pt>
                <c:pt idx="1">
                  <c:v>0.33300712021283696</c:v>
                </c:pt>
                <c:pt idx="2">
                  <c:v>0.5645659235125966</c:v>
                </c:pt>
                <c:pt idx="3">
                  <c:v>0.88717585607987204</c:v>
                </c:pt>
                <c:pt idx="4">
                  <c:v>1.1915133222270502</c:v>
                </c:pt>
                <c:pt idx="5">
                  <c:v>0</c:v>
                </c:pt>
                <c:pt idx="6">
                  <c:v>-0.26456745232262469</c:v>
                </c:pt>
                <c:pt idx="7">
                  <c:v>-0.41661902959678365</c:v>
                </c:pt>
                <c:pt idx="8">
                  <c:v>0</c:v>
                </c:pt>
                <c:pt idx="9">
                  <c:v>-3.7797544301880261</c:v>
                </c:pt>
              </c:numCache>
            </c:numRef>
          </c:val>
          <c:extLst>
            <c:ext xmlns:c16="http://schemas.microsoft.com/office/drawing/2014/chart" uri="{C3380CC4-5D6E-409C-BE32-E72D297353CC}">
              <c16:uniqueId val="{00000000-5DD4-4A7D-B57E-EA4E776F52DF}"/>
            </c:ext>
          </c:extLst>
        </c:ser>
        <c:ser>
          <c:idx val="1"/>
          <c:order val="1"/>
          <c:tx>
            <c:strRef>
              <c:f>LBTY!$X$24</c:f>
              <c:strCache>
                <c:ptCount val="1"/>
                <c:pt idx="0">
                  <c:v>Agg. W. Eur. CATV</c:v>
                </c:pt>
              </c:strCache>
            </c:strRef>
          </c:tx>
          <c:spPr>
            <a:ln w="25400">
              <a:solidFill>
                <a:srgbClr val="799098"/>
              </a:solidFill>
              <a:prstDash val="solid"/>
            </a:ln>
            <a:effectLst/>
          </c:spPr>
          <c:marker>
            <c:symbol val="diamond"/>
            <c:size val="6"/>
            <c:spPr>
              <a:solidFill>
                <a:srgbClr val="799098"/>
              </a:solidFill>
              <a:ln w="6350">
                <a:noFill/>
              </a:ln>
            </c:spPr>
          </c:marker>
          <c:cat>
            <c:strRef>
              <c:f>LBTY!$V$25:$V$34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LBTY!$X$25:$X$34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DD4-4A7D-B57E-EA4E776F52DF}"/>
            </c:ext>
          </c:extLst>
        </c:ser>
        <c:dLbls>
          <c:showLegendKey val="0"/>
          <c:showVal val="0"/>
          <c:showCatName val="0"/>
          <c:showSerName val="0"/>
          <c:showPercent val="0"/>
          <c:showBubbleSize val="0"/>
        </c:dLbls>
        <c:axId val="430336640"/>
        <c:axId val="430347008"/>
      </c:radarChart>
      <c:catAx>
        <c:axId val="4303366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0347008"/>
        <c:crosses val="autoZero"/>
        <c:auto val="0"/>
        <c:lblAlgn val="ctr"/>
        <c:lblOffset val="100"/>
        <c:noMultiLvlLbl val="0"/>
      </c:catAx>
      <c:valAx>
        <c:axId val="4303470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03366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4763759483964"/>
          <c:y val="0.1"/>
          <c:w val="0.44839637440987212"/>
          <c:h val="0.71344516792000845"/>
        </c:manualLayout>
      </c:layout>
      <c:radarChart>
        <c:radarStyle val="marker"/>
        <c:varyColors val="0"/>
        <c:ser>
          <c:idx val="0"/>
          <c:order val="0"/>
          <c:tx>
            <c:strRef>
              <c:f>LiLAC!$W$25</c:f>
              <c:strCache>
                <c:ptCount val="1"/>
                <c:pt idx="0">
                  <c:v>LiLAC</c:v>
                </c:pt>
              </c:strCache>
            </c:strRef>
          </c:tx>
          <c:spPr>
            <a:ln w="25400">
              <a:solidFill>
                <a:srgbClr val="263238"/>
              </a:solidFill>
              <a:prstDash val="solid"/>
            </a:ln>
            <a:effectLst/>
          </c:spPr>
          <c:marker>
            <c:symbol val="diamond"/>
            <c:size val="6"/>
            <c:spPr>
              <a:solidFill>
                <a:srgbClr val="263238"/>
              </a:solidFill>
              <a:ln w="6350">
                <a:noFill/>
              </a:ln>
            </c:spPr>
          </c:marker>
          <c:cat>
            <c:strRef>
              <c:f>LiLAC!$V$26:$V$35</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LiLAC!$W$26:$W$35</c:f>
              <c:numCache>
                <c:formatCode>0%</c:formatCode>
                <c:ptCount val="10"/>
                <c:pt idx="0">
                  <c:v>4.4645153996853688</c:v>
                </c:pt>
                <c:pt idx="1">
                  <c:v>3.3074559766457954</c:v>
                </c:pt>
                <c:pt idx="2">
                  <c:v>2.7453392688812177</c:v>
                </c:pt>
                <c:pt idx="3">
                  <c:v>2.7453392688812177</c:v>
                </c:pt>
                <c:pt idx="4">
                  <c:v>2.6673399739771178</c:v>
                </c:pt>
                <c:pt idx="5">
                  <c:v>7.284120635243565</c:v>
                </c:pt>
                <c:pt idx="6">
                  <c:v>1.436361616339219</c:v>
                </c:pt>
                <c:pt idx="7">
                  <c:v>3.4906252142655125</c:v>
                </c:pt>
                <c:pt idx="8">
                  <c:v>0</c:v>
                </c:pt>
                <c:pt idx="9">
                  <c:v>0.69620351074867104</c:v>
                </c:pt>
              </c:numCache>
            </c:numRef>
          </c:val>
          <c:extLst>
            <c:ext xmlns:c16="http://schemas.microsoft.com/office/drawing/2014/chart" uri="{C3380CC4-5D6E-409C-BE32-E72D297353CC}">
              <c16:uniqueId val="{00000000-A637-49F8-AE87-9F33CC4F0659}"/>
            </c:ext>
          </c:extLst>
        </c:ser>
        <c:ser>
          <c:idx val="1"/>
          <c:order val="1"/>
          <c:tx>
            <c:strRef>
              <c:f>LiLAC!$X$25</c:f>
              <c:strCache>
                <c:ptCount val="1"/>
                <c:pt idx="0">
                  <c:v>Agg. EMEA Incumbent</c:v>
                </c:pt>
              </c:strCache>
            </c:strRef>
          </c:tx>
          <c:spPr>
            <a:ln w="25400">
              <a:solidFill>
                <a:srgbClr val="799098"/>
              </a:solidFill>
              <a:prstDash val="solid"/>
            </a:ln>
            <a:effectLst/>
          </c:spPr>
          <c:marker>
            <c:symbol val="diamond"/>
            <c:size val="6"/>
            <c:spPr>
              <a:solidFill>
                <a:srgbClr val="799098"/>
              </a:solidFill>
              <a:ln w="6350">
                <a:noFill/>
              </a:ln>
            </c:spPr>
          </c:marker>
          <c:cat>
            <c:strRef>
              <c:f>LiLAC!$V$26:$V$35</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LiLAC!$X$26:$X$35</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637-49F8-AE87-9F33CC4F0659}"/>
            </c:ext>
          </c:extLst>
        </c:ser>
        <c:dLbls>
          <c:showLegendKey val="0"/>
          <c:showVal val="0"/>
          <c:showCatName val="0"/>
          <c:showSerName val="0"/>
          <c:showPercent val="0"/>
          <c:showBubbleSize val="0"/>
        </c:dLbls>
        <c:axId val="431941888"/>
        <c:axId val="433127808"/>
      </c:radarChart>
      <c:catAx>
        <c:axId val="4319418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3127808"/>
        <c:crosses val="autoZero"/>
        <c:auto val="0"/>
        <c:lblAlgn val="ctr"/>
        <c:lblOffset val="100"/>
        <c:noMultiLvlLbl val="0"/>
      </c:catAx>
      <c:valAx>
        <c:axId val="4331278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19418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MAQ!$W$24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MAQ!$V$25:$V$34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MAQ!$W$25:$W$34</c:f>
              <c:numCache>
                <c:formatCode>0%</c:formatCode>
                <c:ptCount val="10"/>
                <c:pt idx="0">
                  <c:v>3.1009549320425842</c:v>
                </c:pt>
                <c:pt idx="1">
                  <c:v>3.5459044298518605</c:v>
                </c:pt>
                <c:pt idx="2">
                  <c:v>22.709268011617699</c:v>
                </c:pt>
                <c:pt idx="3">
                  <c:v>17.006685683372471</c:v>
                </c:pt>
                <c:pt idx="4">
                  <c:v>7.8064650314028929</c:v>
                </c:pt>
                <c:pt idx="5">
                  <c:v>3.3557979364577801</c:v>
                </c:pt>
                <c:pt idx="6">
                  <c:v>12.684104396505584</c:v>
                </c:pt>
                <c:pt idx="7">
                  <c:v>3.5852896807327523</c:v>
                </c:pt>
                <c:pt idx="8">
                  <c:v>0</c:v>
                </c:pt>
                <c:pt idx="9">
                  <c:v>7.8838833924726751E-2</c:v>
                </c:pt>
              </c:numCache>
            </c:numRef>
          </c:val>
          <c:extLst>
            <c:ext xmlns:c16="http://schemas.microsoft.com/office/drawing/2014/chart" uri="{C3380CC4-5D6E-409C-BE32-E72D297353CC}">
              <c16:uniqueId val="{00000000-AA03-4EC6-9374-FB2883F654D8}"/>
            </c:ext>
          </c:extLst>
        </c:ser>
        <c:ser>
          <c:idx val="1"/>
          <c:order val="1"/>
          <c:tx>
            <c:strRef>
              <c:f>MAQ!$X$24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MAQ!$V$25:$V$34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MAQ!$X$25:$X$34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A03-4EC6-9374-FB2883F654D8}"/>
            </c:ext>
          </c:extLst>
        </c:ser>
        <c:dLbls>
          <c:showLegendKey val="0"/>
          <c:showVal val="0"/>
          <c:showCatName val="0"/>
          <c:showSerName val="0"/>
          <c:showPercent val="0"/>
          <c:showBubbleSize val="0"/>
        </c:dLbls>
        <c:axId val="433174784"/>
        <c:axId val="433983872"/>
      </c:radarChart>
      <c:catAx>
        <c:axId val="4331747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3983872"/>
        <c:crosses val="autoZero"/>
        <c:auto val="0"/>
        <c:lblAlgn val="ctr"/>
        <c:lblOffset val="100"/>
        <c:noMultiLvlLbl val="0"/>
      </c:catAx>
      <c:valAx>
        <c:axId val="433983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31747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7.1428679743121323E-2"/>
          <c:w val="0.53225858849171148"/>
          <c:h val="0.81987701966017612"/>
        </c:manualLayout>
      </c:layout>
      <c:radarChart>
        <c:radarStyle val="marker"/>
        <c:varyColors val="0"/>
        <c:ser>
          <c:idx val="0"/>
          <c:order val="0"/>
          <c:tx>
            <c:strRef>
              <c:f>AMX!$W$24</c:f>
              <c:strCache>
                <c:ptCount val="1"/>
                <c:pt idx="0">
                  <c:v>AMX</c:v>
                </c:pt>
              </c:strCache>
            </c:strRef>
          </c:tx>
          <c:spPr>
            <a:ln w="25400">
              <a:solidFill>
                <a:srgbClr val="263238"/>
              </a:solidFill>
              <a:prstDash val="solid"/>
            </a:ln>
            <a:effectLst/>
          </c:spPr>
          <c:marker>
            <c:symbol val="diamond"/>
            <c:size val="6"/>
            <c:spPr>
              <a:solidFill>
                <a:srgbClr val="263238"/>
              </a:solidFill>
              <a:ln w="6350">
                <a:noFill/>
              </a:ln>
            </c:spPr>
          </c:marker>
          <c:cat>
            <c:strRef>
              <c:f>AMX!$V$25:$V$34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AMX!$W$25:$W$34</c:f>
              <c:numCache>
                <c:formatCode>0%</c:formatCode>
                <c:ptCount val="10"/>
                <c:pt idx="0">
                  <c:v>1.0479961426351623</c:v>
                </c:pt>
                <c:pt idx="1">
                  <c:v>1.0196092071944702</c:v>
                </c:pt>
                <c:pt idx="2">
                  <c:v>0.93971488831355132</c:v>
                </c:pt>
                <c:pt idx="3">
                  <c:v>0.96192511734214092</c:v>
                </c:pt>
                <c:pt idx="4">
                  <c:v>1.182534046117383</c:v>
                </c:pt>
                <c:pt idx="5">
                  <c:v>1.0411917696130752</c:v>
                </c:pt>
                <c:pt idx="6">
                  <c:v>0.75407322330980364</c:v>
                </c:pt>
                <c:pt idx="7">
                  <c:v>0.73388429316945825</c:v>
                </c:pt>
                <c:pt idx="8">
                  <c:v>0.98783076899781175</c:v>
                </c:pt>
                <c:pt idx="9">
                  <c:v>1.3261311621844443</c:v>
                </c:pt>
              </c:numCache>
            </c:numRef>
          </c:val>
          <c:extLst>
            <c:ext xmlns:c16="http://schemas.microsoft.com/office/drawing/2014/chart" uri="{C3380CC4-5D6E-409C-BE32-E72D297353CC}">
              <c16:uniqueId val="{00000000-1435-47FA-8547-0117C063A0E3}"/>
            </c:ext>
          </c:extLst>
        </c:ser>
        <c:ser>
          <c:idx val="1"/>
          <c:order val="1"/>
          <c:tx>
            <c:strRef>
              <c:f>AMX!$X$24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AMX!$V$25:$V$34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AMX!$X$25:$X$34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435-47FA-8547-0117C063A0E3}"/>
            </c:ext>
          </c:extLst>
        </c:ser>
        <c:dLbls>
          <c:showLegendKey val="0"/>
          <c:showVal val="0"/>
          <c:showCatName val="0"/>
          <c:showSerName val="0"/>
          <c:showPercent val="0"/>
          <c:showBubbleSize val="0"/>
        </c:dLbls>
        <c:axId val="342873984"/>
        <c:axId val="342876160"/>
      </c:radarChart>
      <c:catAx>
        <c:axId val="3428739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876160"/>
        <c:crosses val="autoZero"/>
        <c:auto val="0"/>
        <c:lblAlgn val="ctr"/>
        <c:lblOffset val="100"/>
        <c:noMultiLvlLbl val="0"/>
      </c:catAx>
      <c:valAx>
        <c:axId val="3428761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8739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8096272225101"/>
          <c:y val="0.15692331268526588"/>
          <c:w val="0.34072614187537592"/>
          <c:h val="0.52000078125117377"/>
        </c:manualLayout>
      </c:layout>
      <c:radarChart>
        <c:radarStyle val="marker"/>
        <c:varyColors val="0"/>
        <c:ser>
          <c:idx val="0"/>
          <c:order val="0"/>
          <c:tx>
            <c:strRef>
              <c:f>MAXI!$W$24</c:f>
              <c:strCache>
                <c:ptCount val="1"/>
                <c:pt idx="0">
                  <c:v>Maxis</c:v>
                </c:pt>
              </c:strCache>
            </c:strRef>
          </c:tx>
          <c:spPr>
            <a:ln w="25400">
              <a:solidFill>
                <a:srgbClr val="263238"/>
              </a:solidFill>
              <a:prstDash val="solid"/>
            </a:ln>
            <a:effectLst/>
          </c:spPr>
          <c:marker>
            <c:symbol val="diamond"/>
            <c:size val="6"/>
            <c:spPr>
              <a:solidFill>
                <a:srgbClr val="263238"/>
              </a:solidFill>
              <a:ln w="6350">
                <a:noFill/>
              </a:ln>
            </c:spPr>
          </c:marker>
          <c:cat>
            <c:strRef>
              <c:f>MAXI!$V$25:$V$34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MAXI!$W$25:$W$34</c:f>
              <c:numCache>
                <c:formatCode>0%</c:formatCode>
                <c:ptCount val="10"/>
                <c:pt idx="0">
                  <c:v>1.7843777858898666</c:v>
                </c:pt>
                <c:pt idx="1">
                  <c:v>1.4968922555092623</c:v>
                </c:pt>
                <c:pt idx="2">
                  <c:v>0.97734506321818515</c:v>
                </c:pt>
                <c:pt idx="3">
                  <c:v>1.0008533029164945</c:v>
                </c:pt>
                <c:pt idx="4">
                  <c:v>1.7643504195034794</c:v>
                </c:pt>
                <c:pt idx="5">
                  <c:v>2.3872573412493776</c:v>
                </c:pt>
                <c:pt idx="6">
                  <c:v>0.89088911730149201</c:v>
                </c:pt>
                <c:pt idx="7">
                  <c:v>1.4073330764646241</c:v>
                </c:pt>
                <c:pt idx="8">
                  <c:v>1.0620959283699296</c:v>
                </c:pt>
                <c:pt idx="9">
                  <c:v>1.1224741447386914</c:v>
                </c:pt>
              </c:numCache>
            </c:numRef>
          </c:val>
          <c:extLst>
            <c:ext xmlns:c16="http://schemas.microsoft.com/office/drawing/2014/chart" uri="{C3380CC4-5D6E-409C-BE32-E72D297353CC}">
              <c16:uniqueId val="{00000000-1F61-4AC6-8638-5C33D0FB951C}"/>
            </c:ext>
          </c:extLst>
        </c:ser>
        <c:ser>
          <c:idx val="1"/>
          <c:order val="1"/>
          <c:tx>
            <c:strRef>
              <c:f>MAXI!$X$24</c:f>
              <c:strCache>
                <c:ptCount val="1"/>
                <c:pt idx="0">
                  <c:v>Aggregate Asia Cellular</c:v>
                </c:pt>
              </c:strCache>
            </c:strRef>
          </c:tx>
          <c:spPr>
            <a:ln w="25400">
              <a:solidFill>
                <a:srgbClr val="799098"/>
              </a:solidFill>
              <a:prstDash val="solid"/>
            </a:ln>
            <a:effectLst/>
          </c:spPr>
          <c:marker>
            <c:symbol val="diamond"/>
            <c:size val="6"/>
            <c:spPr>
              <a:solidFill>
                <a:srgbClr val="799098"/>
              </a:solidFill>
              <a:ln w="6350">
                <a:noFill/>
              </a:ln>
            </c:spPr>
          </c:marker>
          <c:cat>
            <c:strRef>
              <c:f>MAXI!$V$25:$V$34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MAXI!$X$25:$X$34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F61-4AC6-8638-5C33D0FB951C}"/>
            </c:ext>
          </c:extLst>
        </c:ser>
        <c:dLbls>
          <c:showLegendKey val="0"/>
          <c:showVal val="0"/>
          <c:showCatName val="0"/>
          <c:showSerName val="0"/>
          <c:showPercent val="0"/>
          <c:showBubbleSize val="0"/>
        </c:dLbls>
        <c:axId val="434694400"/>
        <c:axId val="434766208"/>
      </c:radarChart>
      <c:catAx>
        <c:axId val="4346944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4766208"/>
        <c:crosses val="autoZero"/>
        <c:auto val="0"/>
        <c:lblAlgn val="ctr"/>
        <c:lblOffset val="100"/>
        <c:noMultiLvlLbl val="0"/>
      </c:catAx>
      <c:valAx>
        <c:axId val="4347662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46944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4763759483964"/>
          <c:y val="0.1"/>
          <c:w val="0.44839637440987212"/>
          <c:h val="0.71344516792000845"/>
        </c:manualLayout>
      </c:layout>
      <c:radarChart>
        <c:radarStyle val="marker"/>
        <c:varyColors val="0"/>
        <c:ser>
          <c:idx val="0"/>
          <c:order val="0"/>
          <c:tx>
            <c:strRef>
              <c:f>MEGA!$W$24</c:f>
              <c:strCache>
                <c:ptCount val="1"/>
                <c:pt idx="0">
                  <c:v>Magya</c:v>
                </c:pt>
              </c:strCache>
            </c:strRef>
          </c:tx>
          <c:spPr>
            <a:ln w="25400">
              <a:solidFill>
                <a:srgbClr val="263238"/>
              </a:solidFill>
              <a:prstDash val="solid"/>
            </a:ln>
            <a:effectLst/>
          </c:spPr>
          <c:marker>
            <c:symbol val="diamond"/>
            <c:size val="6"/>
            <c:spPr>
              <a:solidFill>
                <a:srgbClr val="263238"/>
              </a:solidFill>
              <a:ln w="6350">
                <a:noFill/>
              </a:ln>
            </c:spPr>
          </c:marker>
          <c:cat>
            <c:strRef>
              <c:f>MEGA!$V$25:$V$34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MEGA!$W$25:$W$34</c:f>
              <c:numCache>
                <c:formatCode>0%</c:formatCode>
                <c:ptCount val="10"/>
                <c:pt idx="0">
                  <c:v>1.0373638040791364</c:v>
                </c:pt>
                <c:pt idx="1">
                  <c:v>0.89442496635078161</c:v>
                </c:pt>
                <c:pt idx="2">
                  <c:v>4.7415145377166503</c:v>
                </c:pt>
                <c:pt idx="3">
                  <c:v>4.7415145377166503</c:v>
                </c:pt>
                <c:pt idx="4">
                  <c:v>0.92376958047369662</c:v>
                </c:pt>
                <c:pt idx="5">
                  <c:v>0.50581286267525083</c:v>
                </c:pt>
                <c:pt idx="6">
                  <c:v>4.4497163972496834</c:v>
                </c:pt>
                <c:pt idx="7">
                  <c:v>0.72721571979193911</c:v>
                </c:pt>
                <c:pt idx="8">
                  <c:v>1.9322530563404012</c:v>
                </c:pt>
                <c:pt idx="9">
                  <c:v>0.22473342359933055</c:v>
                </c:pt>
              </c:numCache>
            </c:numRef>
          </c:val>
          <c:extLst>
            <c:ext xmlns:c16="http://schemas.microsoft.com/office/drawing/2014/chart" uri="{C3380CC4-5D6E-409C-BE32-E72D297353CC}">
              <c16:uniqueId val="{00000000-1EFC-4CE5-8489-A6F9FF2EF09B}"/>
            </c:ext>
          </c:extLst>
        </c:ser>
        <c:ser>
          <c:idx val="1"/>
          <c:order val="1"/>
          <c:tx>
            <c:strRef>
              <c:f>MEGA!$X$24</c:f>
              <c:strCache>
                <c:ptCount val="1"/>
                <c:pt idx="0">
                  <c:v>Agg. EMEA Incumbent</c:v>
                </c:pt>
              </c:strCache>
            </c:strRef>
          </c:tx>
          <c:spPr>
            <a:ln w="25400">
              <a:solidFill>
                <a:srgbClr val="799098"/>
              </a:solidFill>
              <a:prstDash val="solid"/>
            </a:ln>
            <a:effectLst/>
          </c:spPr>
          <c:marker>
            <c:symbol val="diamond"/>
            <c:size val="6"/>
            <c:spPr>
              <a:solidFill>
                <a:srgbClr val="799098"/>
              </a:solidFill>
              <a:ln w="6350">
                <a:noFill/>
              </a:ln>
            </c:spPr>
          </c:marker>
          <c:cat>
            <c:strRef>
              <c:f>MEGA!$V$25:$V$34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MEGA!$X$25:$X$34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EFC-4CE5-8489-A6F9FF2EF09B}"/>
            </c:ext>
          </c:extLst>
        </c:ser>
        <c:dLbls>
          <c:showLegendKey val="0"/>
          <c:showVal val="0"/>
          <c:showCatName val="0"/>
          <c:showSerName val="0"/>
          <c:showPercent val="0"/>
          <c:showBubbleSize val="0"/>
        </c:dLbls>
        <c:axId val="435185536"/>
        <c:axId val="435191808"/>
      </c:radarChart>
      <c:catAx>
        <c:axId val="4351855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5191808"/>
        <c:crosses val="autoZero"/>
        <c:auto val="0"/>
        <c:lblAlgn val="ctr"/>
        <c:lblOffset val="100"/>
        <c:noMultiLvlLbl val="0"/>
      </c:catAx>
      <c:valAx>
        <c:axId val="4351918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51855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7679667543703"/>
          <c:y val="9.9688776798508072E-2"/>
          <c:w val="0.4377013104290558"/>
          <c:h val="0.69420477897836752"/>
        </c:manualLayout>
      </c:layout>
      <c:radarChart>
        <c:radarStyle val="marker"/>
        <c:varyColors val="0"/>
        <c:ser>
          <c:idx val="0"/>
          <c:order val="0"/>
          <c:tx>
            <c:strRef>
              <c:f>MCG!$W$24</c:f>
              <c:strCache>
                <c:ptCount val="1"/>
                <c:pt idx="0">
                  <c:v>MCG</c:v>
                </c:pt>
              </c:strCache>
            </c:strRef>
          </c:tx>
          <c:spPr>
            <a:ln w="25400">
              <a:solidFill>
                <a:srgbClr val="263238"/>
              </a:solidFill>
              <a:prstDash val="solid"/>
            </a:ln>
            <a:effectLst/>
          </c:spPr>
          <c:marker>
            <c:symbol val="diamond"/>
            <c:size val="6"/>
            <c:spPr>
              <a:solidFill>
                <a:srgbClr val="263238"/>
              </a:solidFill>
              <a:ln w="6350">
                <a:noFill/>
              </a:ln>
            </c:spPr>
          </c:marker>
          <c:cat>
            <c:strRef>
              <c:f>MCG!$V$25:$V$34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MCG!$W$25:$W$34</c:f>
              <c:numCache>
                <c:formatCode>0%</c:formatCode>
                <c:ptCount val="10"/>
                <c:pt idx="0">
                  <c:v>0.29099771358629883</c:v>
                </c:pt>
                <c:pt idx="1">
                  <c:v>0.44259706874866056</c:v>
                </c:pt>
                <c:pt idx="2">
                  <c:v>0.24755971654129777</c:v>
                </c:pt>
                <c:pt idx="3">
                  <c:v>0.28454910294316194</c:v>
                </c:pt>
                <c:pt idx="4">
                  <c:v>-6.9601387408374089</c:v>
                </c:pt>
                <c:pt idx="5">
                  <c:v>0.90538038548090416</c:v>
                </c:pt>
                <c:pt idx="6">
                  <c:v>0.12710242461542015</c:v>
                </c:pt>
                <c:pt idx="7">
                  <c:v>0.22135102994598047</c:v>
                </c:pt>
                <c:pt idx="8">
                  <c:v>-6.1110111032249517</c:v>
                </c:pt>
                <c:pt idx="9">
                  <c:v>7.867670526551696</c:v>
                </c:pt>
              </c:numCache>
            </c:numRef>
          </c:val>
          <c:extLst>
            <c:ext xmlns:c16="http://schemas.microsoft.com/office/drawing/2014/chart" uri="{C3380CC4-5D6E-409C-BE32-E72D297353CC}">
              <c16:uniqueId val="{00000000-4D09-439B-A3C1-89434A63AAD7}"/>
            </c:ext>
          </c:extLst>
        </c:ser>
        <c:ser>
          <c:idx val="1"/>
          <c:order val="1"/>
          <c:tx>
            <c:strRef>
              <c:f>MCG!$X$24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MCG!$V$25:$V$34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MCG!$X$25:$X$34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D09-439B-A3C1-89434A63AAD7}"/>
            </c:ext>
          </c:extLst>
        </c:ser>
        <c:dLbls>
          <c:showLegendKey val="0"/>
          <c:showVal val="0"/>
          <c:showCatName val="0"/>
          <c:showSerName val="0"/>
          <c:showPercent val="0"/>
          <c:showBubbleSize val="0"/>
        </c:dLbls>
        <c:axId val="435398528"/>
        <c:axId val="435511296"/>
      </c:radarChart>
      <c:catAx>
        <c:axId val="43539852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5511296"/>
        <c:crosses val="autoZero"/>
        <c:auto val="0"/>
        <c:lblAlgn val="ctr"/>
        <c:lblOffset val="100"/>
        <c:noMultiLvlLbl val="0"/>
      </c:catAx>
      <c:valAx>
        <c:axId val="4355112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539852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37668221010052"/>
          <c:y val="0.1408684799091747"/>
          <c:w val="0.4211078858475279"/>
          <c:h val="0.61287288979559962"/>
        </c:manualLayout>
      </c:layout>
      <c:radarChart>
        <c:radarStyle val="marker"/>
        <c:varyColors val="0"/>
        <c:ser>
          <c:idx val="0"/>
          <c:order val="0"/>
          <c:tx>
            <c:strRef>
              <c:f>MILLI!$W$24</c:f>
              <c:strCache>
                <c:ptCount val="1"/>
                <c:pt idx="0">
                  <c:v>Millicom</c:v>
                </c:pt>
              </c:strCache>
            </c:strRef>
          </c:tx>
          <c:spPr>
            <a:ln w="25400">
              <a:solidFill>
                <a:srgbClr val="263238"/>
              </a:solidFill>
              <a:prstDash val="solid"/>
            </a:ln>
            <a:effectLst/>
          </c:spPr>
          <c:marker>
            <c:symbol val="diamond"/>
            <c:size val="6"/>
            <c:spPr>
              <a:solidFill>
                <a:srgbClr val="263238"/>
              </a:solidFill>
              <a:ln w="6350">
                <a:noFill/>
              </a:ln>
            </c:spPr>
          </c:marker>
          <c:cat>
            <c:strRef>
              <c:f>MILLI!$V$25:$V$34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MILLI!$W$25:$W$34</c:f>
              <c:numCache>
                <c:formatCode>0%</c:formatCode>
                <c:ptCount val="10"/>
                <c:pt idx="0">
                  <c:v>1.3095134329127192</c:v>
                </c:pt>
                <c:pt idx="1">
                  <c:v>1.4007971838139013</c:v>
                </c:pt>
                <c:pt idx="2">
                  <c:v>1.3483217093070101</c:v>
                </c:pt>
                <c:pt idx="3">
                  <c:v>1.4730005233107197</c:v>
                </c:pt>
                <c:pt idx="4">
                  <c:v>2.3950010006314688</c:v>
                </c:pt>
                <c:pt idx="5">
                  <c:v>0.92933930734831915</c:v>
                </c:pt>
                <c:pt idx="6">
                  <c:v>1.5671446136395626</c:v>
                </c:pt>
                <c:pt idx="7">
                  <c:v>1.2158004501106314</c:v>
                </c:pt>
                <c:pt idx="8">
                  <c:v>0</c:v>
                </c:pt>
                <c:pt idx="9">
                  <c:v>0.6381032045776448</c:v>
                </c:pt>
              </c:numCache>
            </c:numRef>
          </c:val>
          <c:extLst>
            <c:ext xmlns:c16="http://schemas.microsoft.com/office/drawing/2014/chart" uri="{C3380CC4-5D6E-409C-BE32-E72D297353CC}">
              <c16:uniqueId val="{00000000-6C52-4C40-88F4-FE5FA5414FDB}"/>
            </c:ext>
          </c:extLst>
        </c:ser>
        <c:ser>
          <c:idx val="1"/>
          <c:order val="1"/>
          <c:tx>
            <c:strRef>
              <c:f>MILLI!$X$24</c:f>
              <c:strCache>
                <c:ptCount val="1"/>
                <c:pt idx="0">
                  <c:v>Agg. LatAm Cellular</c:v>
                </c:pt>
              </c:strCache>
            </c:strRef>
          </c:tx>
          <c:spPr>
            <a:ln w="25400">
              <a:solidFill>
                <a:srgbClr val="799098"/>
              </a:solidFill>
              <a:prstDash val="solid"/>
            </a:ln>
            <a:effectLst/>
          </c:spPr>
          <c:marker>
            <c:symbol val="diamond"/>
            <c:size val="6"/>
            <c:spPr>
              <a:solidFill>
                <a:srgbClr val="799098"/>
              </a:solidFill>
              <a:ln w="6350">
                <a:noFill/>
              </a:ln>
            </c:spPr>
          </c:marker>
          <c:cat>
            <c:strRef>
              <c:f>MILLI!$V$25:$V$34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MILLI!$X$25:$X$34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C52-4C40-88F4-FE5FA5414FDB}"/>
            </c:ext>
          </c:extLst>
        </c:ser>
        <c:dLbls>
          <c:showLegendKey val="0"/>
          <c:showVal val="0"/>
          <c:showCatName val="0"/>
          <c:showSerName val="0"/>
          <c:showPercent val="0"/>
          <c:showBubbleSize val="0"/>
        </c:dLbls>
        <c:axId val="436144000"/>
        <c:axId val="436195328"/>
      </c:radarChart>
      <c:catAx>
        <c:axId val="4361440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6195328"/>
        <c:crosses val="autoZero"/>
        <c:auto val="0"/>
        <c:lblAlgn val="ctr"/>
        <c:lblOffset val="100"/>
        <c:noMultiLvlLbl val="0"/>
      </c:catAx>
      <c:valAx>
        <c:axId val="4361953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61440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MITRA!$W$24</c:f>
              <c:strCache>
                <c:ptCount val="1"/>
                <c:pt idx="0">
                  <c:v>Mitratel</c:v>
                </c:pt>
              </c:strCache>
            </c:strRef>
          </c:tx>
          <c:spPr>
            <a:ln w="25400">
              <a:solidFill>
                <a:srgbClr val="263238"/>
              </a:solidFill>
              <a:prstDash val="solid"/>
            </a:ln>
            <a:effectLst/>
          </c:spPr>
          <c:marker>
            <c:symbol val="diamond"/>
            <c:size val="6"/>
            <c:spPr>
              <a:solidFill>
                <a:srgbClr val="263238"/>
              </a:solidFill>
              <a:ln w="6350">
                <a:noFill/>
              </a:ln>
            </c:spPr>
          </c:marker>
          <c:cat>
            <c:strRef>
              <c:f>MITRA!$V$25:$V$34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MITRA!$W$25:$W$34</c:f>
              <c:numCache>
                <c:formatCode>0%</c:formatCode>
                <c:ptCount val="10"/>
                <c:pt idx="0">
                  <c:v>3.8638111306215981</c:v>
                </c:pt>
                <c:pt idx="1">
                  <c:v>1.5658280275284653</c:v>
                </c:pt>
                <c:pt idx="2">
                  <c:v>-1.9746531224799051</c:v>
                </c:pt>
                <c:pt idx="3">
                  <c:v>-2.0221497750658606</c:v>
                </c:pt>
                <c:pt idx="4">
                  <c:v>0.97937117389324424</c:v>
                </c:pt>
                <c:pt idx="5">
                  <c:v>0.7947011728859269</c:v>
                </c:pt>
                <c:pt idx="6">
                  <c:v>-2.7812557312860906</c:v>
                </c:pt>
                <c:pt idx="7">
                  <c:v>1.2682818942534713</c:v>
                </c:pt>
                <c:pt idx="8">
                  <c:v>0.88355288144108701</c:v>
                </c:pt>
                <c:pt idx="9">
                  <c:v>-0.35954982087806298</c:v>
                </c:pt>
              </c:numCache>
            </c:numRef>
          </c:val>
          <c:extLst>
            <c:ext xmlns:c16="http://schemas.microsoft.com/office/drawing/2014/chart" uri="{C3380CC4-5D6E-409C-BE32-E72D297353CC}">
              <c16:uniqueId val="{00000000-7919-426B-9EE7-C0AF29498326}"/>
            </c:ext>
          </c:extLst>
        </c:ser>
        <c:ser>
          <c:idx val="1"/>
          <c:order val="1"/>
          <c:tx>
            <c:strRef>
              <c:f>MITRA!$X$24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MITRA!$V$25:$V$34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MITRA!$X$25:$X$34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919-426B-9EE7-C0AF29498326}"/>
            </c:ext>
          </c:extLst>
        </c:ser>
        <c:dLbls>
          <c:showLegendKey val="0"/>
          <c:showVal val="0"/>
          <c:showCatName val="0"/>
          <c:showSerName val="0"/>
          <c:showPercent val="0"/>
          <c:showBubbleSize val="0"/>
        </c:dLbls>
        <c:axId val="358625664"/>
        <c:axId val="358627584"/>
      </c:radarChart>
      <c:catAx>
        <c:axId val="358625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627584"/>
        <c:crosses val="autoZero"/>
        <c:auto val="0"/>
        <c:lblAlgn val="ctr"/>
        <c:lblOffset val="100"/>
        <c:noMultiLvlLbl val="0"/>
      </c:catAx>
      <c:valAx>
        <c:axId val="3586275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625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7679667543703"/>
          <c:y val="9.9688776798508072E-2"/>
          <c:w val="0.4377013104290558"/>
          <c:h val="0.69420477897836752"/>
        </c:manualLayout>
      </c:layout>
      <c:radarChart>
        <c:radarStyle val="marker"/>
        <c:varyColors val="0"/>
        <c:ser>
          <c:idx val="0"/>
          <c:order val="0"/>
          <c:tx>
            <c:strRef>
              <c:f>MTN!$W$24</c:f>
              <c:strCache>
                <c:ptCount val="1"/>
                <c:pt idx="0">
                  <c:v>MTN</c:v>
                </c:pt>
              </c:strCache>
            </c:strRef>
          </c:tx>
          <c:spPr>
            <a:ln w="25400">
              <a:solidFill>
                <a:srgbClr val="263238"/>
              </a:solidFill>
              <a:prstDash val="solid"/>
            </a:ln>
            <a:effectLst/>
          </c:spPr>
          <c:marker>
            <c:symbol val="diamond"/>
            <c:size val="6"/>
            <c:spPr>
              <a:solidFill>
                <a:srgbClr val="263238"/>
              </a:solidFill>
              <a:ln w="6350">
                <a:noFill/>
              </a:ln>
            </c:spPr>
          </c:marker>
          <c:cat>
            <c:strRef>
              <c:f>MTN!$V$25:$V$34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MTN!$W$25:$W$34</c:f>
              <c:numCache>
                <c:formatCode>0%</c:formatCode>
                <c:ptCount val="10"/>
                <c:pt idx="0">
                  <c:v>0.46089659817896561</c:v>
                </c:pt>
                <c:pt idx="1">
                  <c:v>0.47060083342218012</c:v>
                </c:pt>
                <c:pt idx="2">
                  <c:v>0.82553024880828474</c:v>
                </c:pt>
                <c:pt idx="3">
                  <c:v>1.8902531737569062</c:v>
                </c:pt>
                <c:pt idx="4">
                  <c:v>0.44578357246356753</c:v>
                </c:pt>
                <c:pt idx="5">
                  <c:v>0.4159325757783604</c:v>
                </c:pt>
                <c:pt idx="6">
                  <c:v>-0.2857161687082258</c:v>
                </c:pt>
                <c:pt idx="7">
                  <c:v>0.25505516861519179</c:v>
                </c:pt>
                <c:pt idx="8">
                  <c:v>1.9853260719288102</c:v>
                </c:pt>
                <c:pt idx="9">
                  <c:v>-3.4999769334762529</c:v>
                </c:pt>
              </c:numCache>
            </c:numRef>
          </c:val>
          <c:extLst>
            <c:ext xmlns:c16="http://schemas.microsoft.com/office/drawing/2014/chart" uri="{C3380CC4-5D6E-409C-BE32-E72D297353CC}">
              <c16:uniqueId val="{00000000-5498-4330-B81E-C8655EE8F505}"/>
            </c:ext>
          </c:extLst>
        </c:ser>
        <c:ser>
          <c:idx val="1"/>
          <c:order val="1"/>
          <c:tx>
            <c:strRef>
              <c:f>MTN!$X$24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MTN!$V$25:$V$34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498-4330-B81E-C8655EE8F505}"/>
            </c:ext>
          </c:extLst>
        </c:ser>
        <c:dLbls>
          <c:showLegendKey val="0"/>
          <c:showVal val="0"/>
          <c:showCatName val="0"/>
          <c:showSerName val="0"/>
          <c:showPercent val="0"/>
          <c:showBubbleSize val="0"/>
        </c:dLbls>
        <c:axId val="437737344"/>
        <c:axId val="437764096"/>
      </c:radarChart>
      <c:catAx>
        <c:axId val="4377373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7764096"/>
        <c:crosses val="autoZero"/>
        <c:auto val="0"/>
        <c:lblAlgn val="ctr"/>
        <c:lblOffset val="100"/>
        <c:noMultiLvlLbl val="0"/>
      </c:catAx>
      <c:valAx>
        <c:axId val="4377640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77373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450129783111678"/>
          <c:y val="9.3167843143201895E-2"/>
          <c:w val="0.47639212715645335"/>
          <c:h val="0.74407322530017428"/>
        </c:manualLayout>
      </c:layout>
      <c:radarChart>
        <c:radarStyle val="marker"/>
        <c:varyColors val="0"/>
        <c:ser>
          <c:idx val="0"/>
          <c:order val="0"/>
          <c:tx>
            <c:strRef>
              <c:f>OBEL!$W$24</c:f>
              <c:strCache>
                <c:ptCount val="1"/>
                <c:pt idx="0">
                  <c:v>Mobistar</c:v>
                </c:pt>
              </c:strCache>
            </c:strRef>
          </c:tx>
          <c:spPr>
            <a:ln w="25400">
              <a:solidFill>
                <a:srgbClr val="263238"/>
              </a:solidFill>
              <a:prstDash val="solid"/>
            </a:ln>
            <a:effectLst/>
          </c:spPr>
          <c:marker>
            <c:symbol val="diamond"/>
            <c:size val="6"/>
            <c:spPr>
              <a:solidFill>
                <a:srgbClr val="263238"/>
              </a:solidFill>
              <a:ln w="6350">
                <a:noFill/>
              </a:ln>
            </c:spPr>
          </c:marker>
          <c:cat>
            <c:strRef>
              <c:f>OBEL!$V$25:$V$34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OBEL!$W$25:$W$34</c:f>
              <c:numCache>
                <c:formatCode>0%</c:formatCode>
                <c:ptCount val="10"/>
                <c:pt idx="0">
                  <c:v>0.83745149128573926</c:v>
                </c:pt>
                <c:pt idx="1">
                  <c:v>1.5031715753071793</c:v>
                </c:pt>
                <c:pt idx="2">
                  <c:v>1.5409442131878828</c:v>
                </c:pt>
                <c:pt idx="3">
                  <c:v>1.4396977727979539</c:v>
                </c:pt>
                <c:pt idx="4">
                  <c:v>3.2785831040306084</c:v>
                </c:pt>
                <c:pt idx="5">
                  <c:v>1.5536083695114762</c:v>
                </c:pt>
                <c:pt idx="6">
                  <c:v>0.44419283766069101</c:v>
                </c:pt>
                <c:pt idx="7">
                  <c:v>0.29282052368220285</c:v>
                </c:pt>
                <c:pt idx="8">
                  <c:v>0</c:v>
                </c:pt>
                <c:pt idx="9">
                  <c:v>2.2512744808458112</c:v>
                </c:pt>
              </c:numCache>
            </c:numRef>
          </c:val>
          <c:extLst>
            <c:ext xmlns:c16="http://schemas.microsoft.com/office/drawing/2014/chart" uri="{C3380CC4-5D6E-409C-BE32-E72D297353CC}">
              <c16:uniqueId val="{00000000-2203-48C2-8AF3-6CF9E63DDEB8}"/>
            </c:ext>
          </c:extLst>
        </c:ser>
        <c:ser>
          <c:idx val="1"/>
          <c:order val="1"/>
          <c:tx>
            <c:strRef>
              <c:f>OBEL!$X$24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OBEL!$V$25:$V$34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OBEL!$X$25:$X$34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203-48C2-8AF3-6CF9E63DDEB8}"/>
            </c:ext>
          </c:extLst>
        </c:ser>
        <c:dLbls>
          <c:showLegendKey val="0"/>
          <c:showVal val="0"/>
          <c:showCatName val="0"/>
          <c:showSerName val="0"/>
          <c:showPercent val="0"/>
          <c:showBubbleSize val="0"/>
        </c:dLbls>
        <c:axId val="278153088"/>
        <c:axId val="278155264"/>
      </c:radarChart>
      <c:catAx>
        <c:axId val="2781530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78155264"/>
        <c:crosses val="autoZero"/>
        <c:auto val="0"/>
        <c:lblAlgn val="ctr"/>
        <c:lblOffset val="100"/>
        <c:noMultiLvlLbl val="0"/>
      </c:catAx>
      <c:valAx>
        <c:axId val="27815526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781530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65589532656034"/>
          <c:y val="0.10656565544600111"/>
          <c:w val="0.46302143641047216"/>
          <c:h val="0.73908232753371605"/>
        </c:manualLayout>
      </c:layout>
      <c:radarChart>
        <c:radarStyle val="marker"/>
        <c:varyColors val="0"/>
        <c:ser>
          <c:idx val="0"/>
          <c:order val="0"/>
          <c:tx>
            <c:strRef>
              <c:f>MTS!$W$24</c:f>
              <c:strCache>
                <c:ptCount val="1"/>
                <c:pt idx="0">
                  <c:v>MTS</c:v>
                </c:pt>
              </c:strCache>
            </c:strRef>
          </c:tx>
          <c:spPr>
            <a:ln w="25400">
              <a:solidFill>
                <a:srgbClr val="263238"/>
              </a:solidFill>
              <a:prstDash val="solid"/>
            </a:ln>
            <a:effectLst/>
          </c:spPr>
          <c:marker>
            <c:symbol val="diamond"/>
            <c:size val="6"/>
            <c:spPr>
              <a:solidFill>
                <a:srgbClr val="263238"/>
              </a:solidFill>
              <a:ln w="6350">
                <a:noFill/>
              </a:ln>
            </c:spPr>
          </c:marker>
          <c:cat>
            <c:strRef>
              <c:f>MTS!$V$25:$V$34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MTS!$W$25:$W$34</c:f>
              <c:numCache>
                <c:formatCode>0%</c:formatCode>
                <c:ptCount val="10"/>
                <c:pt idx="0">
                  <c:v>0.9067954695544751</c:v>
                </c:pt>
                <c:pt idx="1">
                  <c:v>0.88252658009186014</c:v>
                </c:pt>
                <c:pt idx="2">
                  <c:v>0.75395365369134415</c:v>
                </c:pt>
                <c:pt idx="3">
                  <c:v>0.77864206202795827</c:v>
                </c:pt>
                <c:pt idx="4">
                  <c:v>0.87729907162602383</c:v>
                </c:pt>
                <c:pt idx="5">
                  <c:v>1.2680859910621076</c:v>
                </c:pt>
                <c:pt idx="6">
                  <c:v>0.55159872162262746</c:v>
                </c:pt>
                <c:pt idx="7">
                  <c:v>0.66339405230655357</c:v>
                </c:pt>
                <c:pt idx="8">
                  <c:v>2.7781048563553323</c:v>
                </c:pt>
                <c:pt idx="9">
                  <c:v>1.8129121058481048</c:v>
                </c:pt>
              </c:numCache>
            </c:numRef>
          </c:val>
          <c:extLst>
            <c:ext xmlns:c16="http://schemas.microsoft.com/office/drawing/2014/chart" uri="{C3380CC4-5D6E-409C-BE32-E72D297353CC}">
              <c16:uniqueId val="{00000000-C82E-4CDF-8D7B-634B90301A0A}"/>
            </c:ext>
          </c:extLst>
        </c:ser>
        <c:ser>
          <c:idx val="1"/>
          <c:order val="1"/>
          <c:tx>
            <c:strRef>
              <c:f>MTS!$X$24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MTS!$V$25:$V$34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82E-4CDF-8D7B-634B90301A0A}"/>
            </c:ext>
          </c:extLst>
        </c:ser>
        <c:dLbls>
          <c:showLegendKey val="0"/>
          <c:showVal val="0"/>
          <c:showCatName val="0"/>
          <c:showSerName val="0"/>
          <c:showPercent val="0"/>
          <c:showBubbleSize val="0"/>
        </c:dLbls>
        <c:axId val="283060096"/>
        <c:axId val="283095040"/>
      </c:radarChart>
      <c:catAx>
        <c:axId val="2830600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095040"/>
        <c:crosses val="autoZero"/>
        <c:auto val="0"/>
        <c:lblAlgn val="ctr"/>
        <c:lblOffset val="100"/>
        <c:noMultiLvlLbl val="0"/>
      </c:catAx>
      <c:valAx>
        <c:axId val="2830950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0600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51643865419332"/>
          <c:y val="0.10869581700040198"/>
          <c:w val="0.42338751357295346"/>
          <c:h val="0.65217490200241224"/>
        </c:manualLayout>
      </c:layout>
      <c:radarChart>
        <c:radarStyle val="marker"/>
        <c:varyColors val="0"/>
        <c:ser>
          <c:idx val="0"/>
          <c:order val="0"/>
          <c:tx>
            <c:strRef>
              <c:f>NOS!$W$24</c:f>
              <c:strCache>
                <c:ptCount val="1"/>
                <c:pt idx="0">
                  <c:v>Nos</c:v>
                </c:pt>
              </c:strCache>
            </c:strRef>
          </c:tx>
          <c:spPr>
            <a:ln w="25400">
              <a:solidFill>
                <a:srgbClr val="263238"/>
              </a:solidFill>
              <a:prstDash val="solid"/>
            </a:ln>
            <a:effectLst/>
          </c:spPr>
          <c:marker>
            <c:symbol val="diamond"/>
            <c:size val="6"/>
            <c:spPr>
              <a:solidFill>
                <a:srgbClr val="263238"/>
              </a:solidFill>
              <a:ln w="6350">
                <a:noFill/>
              </a:ln>
            </c:spPr>
          </c:marker>
          <c:cat>
            <c:strRef>
              <c:f>NOS!$V$25:$V$34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NOS!$W$25:$W$34</c:f>
              <c:numCache>
                <c:formatCode>0%</c:formatCode>
                <c:ptCount val="10"/>
                <c:pt idx="0">
                  <c:v>1.060687923036582</c:v>
                </c:pt>
                <c:pt idx="1">
                  <c:v>0.97982804805551904</c:v>
                </c:pt>
                <c:pt idx="2">
                  <c:v>0.79139536775852626</c:v>
                </c:pt>
                <c:pt idx="3">
                  <c:v>0.78659298120074794</c:v>
                </c:pt>
                <c:pt idx="4">
                  <c:v>1.8984233821222001</c:v>
                </c:pt>
                <c:pt idx="5">
                  <c:v>0.61801839780967738</c:v>
                </c:pt>
                <c:pt idx="6">
                  <c:v>0.26768720023931364</c:v>
                </c:pt>
                <c:pt idx="7">
                  <c:v>0.69517756572488132</c:v>
                </c:pt>
                <c:pt idx="8">
                  <c:v>1.4801554524594436</c:v>
                </c:pt>
                <c:pt idx="9">
                  <c:v>3.7357034595079455</c:v>
                </c:pt>
              </c:numCache>
            </c:numRef>
          </c:val>
          <c:extLst>
            <c:ext xmlns:c16="http://schemas.microsoft.com/office/drawing/2014/chart" uri="{C3380CC4-5D6E-409C-BE32-E72D297353CC}">
              <c16:uniqueId val="{00000000-7C02-402B-8BB5-CF8909BC2055}"/>
            </c:ext>
          </c:extLst>
        </c:ser>
        <c:ser>
          <c:idx val="1"/>
          <c:order val="1"/>
          <c:tx>
            <c:strRef>
              <c:f>NOS!$X$24</c:f>
              <c:strCache>
                <c:ptCount val="1"/>
                <c:pt idx="0">
                  <c:v>Agg. W. Eur. CATV</c:v>
                </c:pt>
              </c:strCache>
            </c:strRef>
          </c:tx>
          <c:spPr>
            <a:ln w="25400">
              <a:solidFill>
                <a:srgbClr val="799098"/>
              </a:solidFill>
              <a:prstDash val="solid"/>
            </a:ln>
            <a:effectLst/>
          </c:spPr>
          <c:marker>
            <c:symbol val="diamond"/>
            <c:size val="6"/>
            <c:spPr>
              <a:solidFill>
                <a:srgbClr val="799098"/>
              </a:solidFill>
              <a:ln w="6350">
                <a:noFill/>
              </a:ln>
            </c:spPr>
          </c:marker>
          <c:cat>
            <c:strRef>
              <c:f>NOS!$V$25:$V$34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NOS!$X$25:$X$34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C02-402B-8BB5-CF8909BC2055}"/>
            </c:ext>
          </c:extLst>
        </c:ser>
        <c:dLbls>
          <c:showLegendKey val="0"/>
          <c:showVal val="0"/>
          <c:showCatName val="0"/>
          <c:showSerName val="0"/>
          <c:showPercent val="0"/>
          <c:showBubbleSize val="0"/>
        </c:dLbls>
        <c:axId val="283305856"/>
        <c:axId val="283312128"/>
      </c:radarChart>
      <c:catAx>
        <c:axId val="2833058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312128"/>
        <c:crosses val="autoZero"/>
        <c:auto val="0"/>
        <c:lblAlgn val="ctr"/>
        <c:lblOffset val="100"/>
        <c:noMultiLvlLbl val="0"/>
      </c:catAx>
      <c:valAx>
        <c:axId val="2833121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3058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53734048380662"/>
          <c:y val="0.15384638498555461"/>
          <c:w val="0.39847981997579046"/>
          <c:h val="0.62293823279976235"/>
        </c:manualLayout>
      </c:layout>
      <c:radarChart>
        <c:radarStyle val="marker"/>
        <c:varyColors val="0"/>
        <c:ser>
          <c:idx val="0"/>
          <c:order val="0"/>
          <c:tx>
            <c:strRef>
              <c:f>NTT!$W$24</c:f>
              <c:strCache>
                <c:ptCount val="1"/>
                <c:pt idx="0">
                  <c:v>NTT</c:v>
                </c:pt>
              </c:strCache>
            </c:strRef>
          </c:tx>
          <c:spPr>
            <a:ln w="25400">
              <a:solidFill>
                <a:srgbClr val="263238"/>
              </a:solidFill>
              <a:prstDash val="solid"/>
            </a:ln>
            <a:effectLst/>
          </c:spPr>
          <c:marker>
            <c:symbol val="diamond"/>
            <c:size val="6"/>
            <c:spPr>
              <a:solidFill>
                <a:srgbClr val="263238"/>
              </a:solidFill>
              <a:ln w="6350">
                <a:noFill/>
              </a:ln>
            </c:spPr>
          </c:marker>
          <c:cat>
            <c:strRef>
              <c:f>NTT!$V$25:$V$34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NTT!$W$25:$W$34</c:f>
              <c:numCache>
                <c:formatCode>0%</c:formatCode>
                <c:ptCount val="10"/>
                <c:pt idx="0">
                  <c:v>1.3718780300405653</c:v>
                </c:pt>
                <c:pt idx="1">
                  <c:v>1.4767204139367494</c:v>
                </c:pt>
                <c:pt idx="2">
                  <c:v>1.415890921339529</c:v>
                </c:pt>
                <c:pt idx="3">
                  <c:v>1.5265986772298796</c:v>
                </c:pt>
                <c:pt idx="4">
                  <c:v>1.20082672365618</c:v>
                </c:pt>
                <c:pt idx="5">
                  <c:v>1.4658366889154206</c:v>
                </c:pt>
                <c:pt idx="6">
                  <c:v>1.0442303176495884</c:v>
                </c:pt>
                <c:pt idx="7">
                  <c:v>0.74702211934274587</c:v>
                </c:pt>
                <c:pt idx="8">
                  <c:v>0.72067580307993184</c:v>
                </c:pt>
                <c:pt idx="9">
                  <c:v>0.95764313973458992</c:v>
                </c:pt>
              </c:numCache>
            </c:numRef>
          </c:val>
          <c:extLst>
            <c:ext xmlns:c16="http://schemas.microsoft.com/office/drawing/2014/chart" uri="{C3380CC4-5D6E-409C-BE32-E72D297353CC}">
              <c16:uniqueId val="{00000000-FB8D-4B72-88FB-80F06B5C8C88}"/>
            </c:ext>
          </c:extLst>
        </c:ser>
        <c:ser>
          <c:idx val="1"/>
          <c:order val="1"/>
          <c:tx>
            <c:strRef>
              <c:f>NTT!$X$24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NTT!$V$25:$V$34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NTT!$X$25:$X$34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B8D-4B72-88FB-80F06B5C8C88}"/>
            </c:ext>
          </c:extLst>
        </c:ser>
        <c:dLbls>
          <c:showLegendKey val="0"/>
          <c:showVal val="0"/>
          <c:showCatName val="0"/>
          <c:showSerName val="0"/>
          <c:showPercent val="0"/>
          <c:showBubbleSize val="0"/>
        </c:dLbls>
        <c:axId val="283023232"/>
        <c:axId val="283029504"/>
      </c:radarChart>
      <c:catAx>
        <c:axId val="2830232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029504"/>
        <c:crosses val="autoZero"/>
        <c:auto val="0"/>
        <c:lblAlgn val="ctr"/>
        <c:lblOffset val="100"/>
        <c:noMultiLvlLbl val="0"/>
      </c:catAx>
      <c:valAx>
        <c:axId val="28302950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0232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ATCUS!$W$24</c:f>
              <c:strCache>
                <c:ptCount val="1"/>
                <c:pt idx="0">
                  <c:v>ATCUS</c:v>
                </c:pt>
              </c:strCache>
            </c:strRef>
          </c:tx>
          <c:spPr>
            <a:ln w="25400">
              <a:solidFill>
                <a:srgbClr val="263238"/>
              </a:solidFill>
              <a:prstDash val="solid"/>
            </a:ln>
            <a:effectLst/>
          </c:spPr>
          <c:marker>
            <c:symbol val="diamond"/>
            <c:size val="6"/>
            <c:spPr>
              <a:solidFill>
                <a:srgbClr val="263238"/>
              </a:solidFill>
              <a:ln w="6350">
                <a:noFill/>
              </a:ln>
            </c:spPr>
          </c:marker>
          <c:cat>
            <c:strRef>
              <c:f>ATCUS!$V$25:$V$34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ATCUS!$W$25:$W$34</c:f>
              <c:numCache>
                <c:formatCode>0%</c:formatCode>
                <c:ptCount val="10"/>
                <c:pt idx="0">
                  <c:v>1.3335929527627335</c:v>
                </c:pt>
                <c:pt idx="1">
                  <c:v>1.0962542027973432</c:v>
                </c:pt>
                <c:pt idx="2">
                  <c:v>1.1082827595632041</c:v>
                </c:pt>
                <c:pt idx="3">
                  <c:v>1.0544162070096936</c:v>
                </c:pt>
                <c:pt idx="4">
                  <c:v>0.87928188212358871</c:v>
                </c:pt>
                <c:pt idx="5">
                  <c:v>0.89973395133780021</c:v>
                </c:pt>
                <c:pt idx="6">
                  <c:v>0.67560872360379143</c:v>
                </c:pt>
                <c:pt idx="7">
                  <c:v>0.26601480538879524</c:v>
                </c:pt>
                <c:pt idx="8">
                  <c:v>0</c:v>
                </c:pt>
                <c:pt idx="9">
                  <c:v>1.480146666351287</c:v>
                </c:pt>
              </c:numCache>
            </c:numRef>
          </c:val>
          <c:extLst>
            <c:ext xmlns:c16="http://schemas.microsoft.com/office/drawing/2014/chart" uri="{C3380CC4-5D6E-409C-BE32-E72D297353CC}">
              <c16:uniqueId val="{00000000-A2FA-4AC7-AA09-D6CBC863981D}"/>
            </c:ext>
          </c:extLst>
        </c:ser>
        <c:ser>
          <c:idx val="1"/>
          <c:order val="1"/>
          <c:tx>
            <c:strRef>
              <c:f>ATCUS!$X$24</c:f>
              <c:strCache>
                <c:ptCount val="1"/>
                <c:pt idx="0">
                  <c:v>Agg. US CATV</c:v>
                </c:pt>
              </c:strCache>
            </c:strRef>
          </c:tx>
          <c:spPr>
            <a:ln w="25400">
              <a:solidFill>
                <a:srgbClr val="799098"/>
              </a:solidFill>
              <a:prstDash val="solid"/>
            </a:ln>
            <a:effectLst/>
          </c:spPr>
          <c:marker>
            <c:symbol val="diamond"/>
            <c:size val="6"/>
            <c:spPr>
              <a:solidFill>
                <a:srgbClr val="799098"/>
              </a:solidFill>
              <a:ln w="6350">
                <a:noFill/>
              </a:ln>
            </c:spPr>
          </c:marker>
          <c:cat>
            <c:strRef>
              <c:f>ATCUS!$V$25:$V$34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ATCUS!$X$25:$X$34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2FA-4AC7-AA09-D6CBC863981D}"/>
            </c:ext>
          </c:extLst>
        </c:ser>
        <c:dLbls>
          <c:showLegendKey val="0"/>
          <c:showVal val="0"/>
          <c:showCatName val="0"/>
          <c:showSerName val="0"/>
          <c:showPercent val="0"/>
          <c:showBubbleSize val="0"/>
        </c:dLbls>
        <c:axId val="348481408"/>
        <c:axId val="348495872"/>
      </c:radarChart>
      <c:catAx>
        <c:axId val="3484814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495872"/>
        <c:crosses val="autoZero"/>
        <c:auto val="0"/>
        <c:lblAlgn val="ctr"/>
        <c:lblOffset val="100"/>
        <c:noMultiLvlLbl val="0"/>
      </c:catAx>
      <c:valAx>
        <c:axId val="348495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4814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827315877167824"/>
          <c:y val="0.12999148269098526"/>
          <c:w val="0.51612954035559999"/>
          <c:h val="0.79751021438806469"/>
        </c:manualLayout>
      </c:layout>
      <c:radarChart>
        <c:radarStyle val="marker"/>
        <c:varyColors val="0"/>
        <c:ser>
          <c:idx val="0"/>
          <c:order val="0"/>
          <c:tx>
            <c:strRef>
              <c:f>ORA!$W$24</c:f>
              <c:strCache>
                <c:ptCount val="1"/>
                <c:pt idx="0">
                  <c:v>ORA</c:v>
                </c:pt>
              </c:strCache>
            </c:strRef>
          </c:tx>
          <c:spPr>
            <a:ln w="25400">
              <a:solidFill>
                <a:srgbClr val="263238"/>
              </a:solidFill>
              <a:prstDash val="solid"/>
            </a:ln>
            <a:effectLst/>
          </c:spPr>
          <c:marker>
            <c:symbol val="diamond"/>
            <c:size val="6"/>
            <c:spPr>
              <a:solidFill>
                <a:srgbClr val="263238"/>
              </a:solidFill>
              <a:ln w="6350">
                <a:noFill/>
              </a:ln>
            </c:spPr>
          </c:marker>
          <c:cat>
            <c:strRef>
              <c:f>ORA!$V$25:$V$34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ORA!$W$25:$W$34</c:f>
              <c:numCache>
                <c:formatCode>0%</c:formatCode>
                <c:ptCount val="10"/>
                <c:pt idx="0">
                  <c:v>0.82323743986795817</c:v>
                </c:pt>
                <c:pt idx="1">
                  <c:v>0.84057391090656086</c:v>
                </c:pt>
                <c:pt idx="2">
                  <c:v>0.85450446064278429</c:v>
                </c:pt>
                <c:pt idx="3">
                  <c:v>0.85383093342296046</c:v>
                </c:pt>
                <c:pt idx="4">
                  <c:v>0.82461749250715832</c:v>
                </c:pt>
                <c:pt idx="5">
                  <c:v>0.69915573682829379</c:v>
                </c:pt>
                <c:pt idx="6">
                  <c:v>0.73683877130341746</c:v>
                </c:pt>
                <c:pt idx="7">
                  <c:v>0.49278296821043599</c:v>
                </c:pt>
                <c:pt idx="8">
                  <c:v>1.5153315421822013</c:v>
                </c:pt>
                <c:pt idx="9">
                  <c:v>1.3571489977801634</c:v>
                </c:pt>
              </c:numCache>
            </c:numRef>
          </c:val>
          <c:extLst>
            <c:ext xmlns:c16="http://schemas.microsoft.com/office/drawing/2014/chart" uri="{C3380CC4-5D6E-409C-BE32-E72D297353CC}">
              <c16:uniqueId val="{00000000-E2C5-418A-BFF8-74B45ECFD016}"/>
            </c:ext>
          </c:extLst>
        </c:ser>
        <c:ser>
          <c:idx val="1"/>
          <c:order val="1"/>
          <c:tx>
            <c:strRef>
              <c:f>ORA!$X$24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ORA!$V$25:$V$34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ORA!$X$25:$X$34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2C5-418A-BFF8-74B45ECFD016}"/>
            </c:ext>
          </c:extLst>
        </c:ser>
        <c:dLbls>
          <c:showLegendKey val="0"/>
          <c:showVal val="0"/>
          <c:showCatName val="0"/>
          <c:showSerName val="0"/>
          <c:showPercent val="0"/>
          <c:showBubbleSize val="0"/>
        </c:dLbls>
        <c:axId val="423246464"/>
        <c:axId val="423248640"/>
      </c:radarChart>
      <c:catAx>
        <c:axId val="4232464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3248640"/>
        <c:crosses val="autoZero"/>
        <c:auto val="0"/>
        <c:lblAlgn val="ctr"/>
        <c:lblOffset val="100"/>
        <c:noMultiLvlLbl val="0"/>
      </c:catAx>
      <c:valAx>
        <c:axId val="4232486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32464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3578356912288"/>
          <c:y val="9.8461686390754782E-2"/>
          <c:w val="0.42137138255593831"/>
          <c:h val="0.64307788923961762"/>
        </c:manualLayout>
      </c:layout>
      <c:radarChart>
        <c:radarStyle val="marker"/>
        <c:varyColors val="0"/>
        <c:ser>
          <c:idx val="0"/>
          <c:order val="0"/>
          <c:tx>
            <c:strRef>
              <c:f>OIBR!$W$24</c:f>
              <c:strCache>
                <c:ptCount val="1"/>
                <c:pt idx="0">
                  <c:v>Oi</c:v>
                </c:pt>
              </c:strCache>
            </c:strRef>
          </c:tx>
          <c:spPr>
            <a:ln w="25400">
              <a:solidFill>
                <a:srgbClr val="263238"/>
              </a:solidFill>
              <a:prstDash val="solid"/>
            </a:ln>
            <a:effectLst/>
          </c:spPr>
          <c:marker>
            <c:symbol val="diamond"/>
            <c:size val="6"/>
            <c:spPr>
              <a:solidFill>
                <a:srgbClr val="263238"/>
              </a:solidFill>
              <a:ln w="6350">
                <a:noFill/>
              </a:ln>
            </c:spPr>
          </c:marker>
          <c:cat>
            <c:strRef>
              <c:f>OIBR!$V$25:$V$34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OIBR!$W$25:$W$34</c:f>
              <c:numCache>
                <c:formatCode>0%</c:formatCode>
                <c:ptCount val="10"/>
                <c:pt idx="0">
                  <c:v>1.4681929555991735</c:v>
                </c:pt>
                <c:pt idx="1">
                  <c:v>2.3865484292072199</c:v>
                </c:pt>
                <c:pt idx="2">
                  <c:v>-1.9494823087228987</c:v>
                </c:pt>
                <c:pt idx="3">
                  <c:v>-1.8141440576533989</c:v>
                </c:pt>
                <c:pt idx="4">
                  <c:v>1.7573588596846355</c:v>
                </c:pt>
                <c:pt idx="5">
                  <c:v>0</c:v>
                </c:pt>
                <c:pt idx="6">
                  <c:v>-0.17961443113184694</c:v>
                </c:pt>
                <c:pt idx="7">
                  <c:v>-0.52354686131884132</c:v>
                </c:pt>
                <c:pt idx="8">
                  <c:v>0</c:v>
                </c:pt>
                <c:pt idx="9">
                  <c:v>-5.5674813749566949</c:v>
                </c:pt>
              </c:numCache>
            </c:numRef>
          </c:val>
          <c:extLst>
            <c:ext xmlns:c16="http://schemas.microsoft.com/office/drawing/2014/chart" uri="{C3380CC4-5D6E-409C-BE32-E72D297353CC}">
              <c16:uniqueId val="{00000000-3A8F-493E-BA3D-BF2BD9A78E85}"/>
            </c:ext>
          </c:extLst>
        </c:ser>
        <c:ser>
          <c:idx val="1"/>
          <c:order val="1"/>
          <c:tx>
            <c:strRef>
              <c:f>OIBR!$X$24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OIBR!$V$25:$V$34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OIBR!$X$25:$X$34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A8F-493E-BA3D-BF2BD9A78E85}"/>
            </c:ext>
          </c:extLst>
        </c:ser>
        <c:dLbls>
          <c:showLegendKey val="0"/>
          <c:showVal val="0"/>
          <c:showCatName val="0"/>
          <c:showSerName val="0"/>
          <c:showPercent val="0"/>
          <c:showBubbleSize val="0"/>
        </c:dLbls>
        <c:axId val="288716672"/>
        <c:axId val="288727040"/>
      </c:radarChart>
      <c:catAx>
        <c:axId val="2887166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8727040"/>
        <c:crosses val="autoZero"/>
        <c:auto val="0"/>
        <c:lblAlgn val="ctr"/>
        <c:lblOffset val="100"/>
        <c:noMultiLvlLbl val="0"/>
      </c:catAx>
      <c:valAx>
        <c:axId val="2887270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87166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441587363363402"/>
          <c:y val="7.1651308323927659E-2"/>
          <c:w val="0.50590745561051864"/>
          <c:h val="0.75732523214841441"/>
        </c:manualLayout>
      </c:layout>
      <c:radarChart>
        <c:radarStyle val="marker"/>
        <c:varyColors val="0"/>
        <c:ser>
          <c:idx val="0"/>
          <c:order val="0"/>
          <c:tx>
            <c:strRef>
              <c:f>OTE!$W$24</c:f>
              <c:strCache>
                <c:ptCount val="1"/>
                <c:pt idx="0">
                  <c:v>OTE</c:v>
                </c:pt>
              </c:strCache>
            </c:strRef>
          </c:tx>
          <c:spPr>
            <a:ln w="25400">
              <a:solidFill>
                <a:srgbClr val="263238"/>
              </a:solidFill>
              <a:prstDash val="solid"/>
            </a:ln>
            <a:effectLst/>
          </c:spPr>
          <c:marker>
            <c:symbol val="diamond"/>
            <c:size val="6"/>
            <c:spPr>
              <a:solidFill>
                <a:srgbClr val="263238"/>
              </a:solidFill>
              <a:ln w="6350">
                <a:noFill/>
              </a:ln>
            </c:spPr>
          </c:marker>
          <c:cat>
            <c:strRef>
              <c:f>OTE!$V$25:$V$34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OTE!$W$25:$W$34</c:f>
              <c:numCache>
                <c:formatCode>0%</c:formatCode>
                <c:ptCount val="10"/>
                <c:pt idx="0">
                  <c:v>0.9447261296679017</c:v>
                </c:pt>
                <c:pt idx="1">
                  <c:v>0.84666242115365908</c:v>
                </c:pt>
                <c:pt idx="2">
                  <c:v>0.7658799232764979</c:v>
                </c:pt>
                <c:pt idx="3">
                  <c:v>0.75378716183003769</c:v>
                </c:pt>
                <c:pt idx="4">
                  <c:v>1.948041637688168</c:v>
                </c:pt>
                <c:pt idx="5">
                  <c:v>1.1001602714465191</c:v>
                </c:pt>
                <c:pt idx="6">
                  <c:v>0.76738343071610826</c:v>
                </c:pt>
                <c:pt idx="7">
                  <c:v>0.80519592688910213</c:v>
                </c:pt>
                <c:pt idx="8">
                  <c:v>1.062250537306326</c:v>
                </c:pt>
                <c:pt idx="9">
                  <c:v>1.3031295177520554</c:v>
                </c:pt>
              </c:numCache>
            </c:numRef>
          </c:val>
          <c:extLst>
            <c:ext xmlns:c16="http://schemas.microsoft.com/office/drawing/2014/chart" uri="{C3380CC4-5D6E-409C-BE32-E72D297353CC}">
              <c16:uniqueId val="{00000000-1C2B-4AA6-ACE7-8E10B7C72250}"/>
            </c:ext>
          </c:extLst>
        </c:ser>
        <c:ser>
          <c:idx val="1"/>
          <c:order val="1"/>
          <c:tx>
            <c:strRef>
              <c:f>OTE!$X$24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OTE!$V$25:$V$34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OTE!$X$25:$X$34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C2B-4AA6-ACE7-8E10B7C72250}"/>
            </c:ext>
          </c:extLst>
        </c:ser>
        <c:dLbls>
          <c:showLegendKey val="0"/>
          <c:showVal val="0"/>
          <c:showCatName val="0"/>
          <c:showSerName val="0"/>
          <c:showPercent val="0"/>
          <c:showBubbleSize val="0"/>
        </c:dLbls>
        <c:axId val="289036160"/>
        <c:axId val="289042432"/>
      </c:radarChart>
      <c:catAx>
        <c:axId val="2890361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9042432"/>
        <c:crosses val="autoZero"/>
        <c:auto val="0"/>
        <c:lblAlgn val="ctr"/>
        <c:lblOffset val="100"/>
        <c:noMultiLvlLbl val="0"/>
      </c:catAx>
      <c:valAx>
        <c:axId val="289042432"/>
        <c:scaling>
          <c:orientation val="minMax"/>
          <c:max val="1.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90361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06477017779988"/>
          <c:y val="0.10869581700040198"/>
          <c:w val="0.50806501628754364"/>
          <c:h val="0.78260988240289509"/>
        </c:manualLayout>
      </c:layout>
      <c:radarChart>
        <c:radarStyle val="marker"/>
        <c:varyColors val="0"/>
        <c:ser>
          <c:idx val="0"/>
          <c:order val="0"/>
          <c:tx>
            <c:strRef>
              <c:f>PROX!$W$24</c:f>
              <c:strCache>
                <c:ptCount val="1"/>
                <c:pt idx="0">
                  <c:v>Belgacom</c:v>
                </c:pt>
              </c:strCache>
            </c:strRef>
          </c:tx>
          <c:spPr>
            <a:ln w="25400">
              <a:solidFill>
                <a:srgbClr val="263238"/>
              </a:solidFill>
              <a:prstDash val="solid"/>
            </a:ln>
            <a:effectLst/>
          </c:spPr>
          <c:marker>
            <c:symbol val="diamond"/>
            <c:size val="6"/>
            <c:spPr>
              <a:solidFill>
                <a:srgbClr val="263238"/>
              </a:solidFill>
              <a:ln w="6350">
                <a:noFill/>
              </a:ln>
            </c:spPr>
          </c:marker>
          <c:cat>
            <c:strRef>
              <c:f>PROX!$V$25:$V$34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PROX!$W$25:$W$34</c:f>
              <c:numCache>
                <c:formatCode>0%</c:formatCode>
                <c:ptCount val="10"/>
                <c:pt idx="0">
                  <c:v>0.60270749431839332</c:v>
                </c:pt>
                <c:pt idx="1">
                  <c:v>0.76103480135429735</c:v>
                </c:pt>
                <c:pt idx="2">
                  <c:v>1.5012066536707314</c:v>
                </c:pt>
                <c:pt idx="3">
                  <c:v>1.4923647935623983</c:v>
                </c:pt>
                <c:pt idx="4">
                  <c:v>0.69817375000125603</c:v>
                </c:pt>
                <c:pt idx="5">
                  <c:v>0.73869032291975667</c:v>
                </c:pt>
                <c:pt idx="6">
                  <c:v>2.2526746241916089</c:v>
                </c:pt>
                <c:pt idx="7">
                  <c:v>0.32475486416916954</c:v>
                </c:pt>
                <c:pt idx="8">
                  <c:v>3.9697835122661767</c:v>
                </c:pt>
                <c:pt idx="9">
                  <c:v>0.44391675089732868</c:v>
                </c:pt>
              </c:numCache>
            </c:numRef>
          </c:val>
          <c:extLst>
            <c:ext xmlns:c16="http://schemas.microsoft.com/office/drawing/2014/chart" uri="{C3380CC4-5D6E-409C-BE32-E72D297353CC}">
              <c16:uniqueId val="{00000000-5022-4714-B15F-E667DA22D5A5}"/>
            </c:ext>
          </c:extLst>
        </c:ser>
        <c:ser>
          <c:idx val="1"/>
          <c:order val="1"/>
          <c:tx>
            <c:strRef>
              <c:f>PROX!$X$24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PROX!$V$25:$V$34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PROX!$X$25:$X$34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022-4714-B15F-E667DA22D5A5}"/>
            </c:ext>
          </c:extLst>
        </c:ser>
        <c:dLbls>
          <c:showLegendKey val="0"/>
          <c:showVal val="0"/>
          <c:showCatName val="0"/>
          <c:showSerName val="0"/>
          <c:showPercent val="0"/>
          <c:showBubbleSize val="0"/>
        </c:dLbls>
        <c:axId val="290130560"/>
        <c:axId val="290129792"/>
      </c:radarChart>
      <c:catAx>
        <c:axId val="2901305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0129792"/>
        <c:crosses val="autoZero"/>
        <c:auto val="0"/>
        <c:lblAlgn val="ctr"/>
        <c:lblOffset val="100"/>
        <c:noMultiLvlLbl val="0"/>
      </c:catAx>
      <c:valAx>
        <c:axId val="2901297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01305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37526043518498"/>
          <c:y val="0.1"/>
          <c:w val="0.47488346683142685"/>
          <c:h val="0.71343143419900434"/>
        </c:manualLayout>
      </c:layout>
      <c:radarChart>
        <c:radarStyle val="marker"/>
        <c:varyColors val="0"/>
        <c:ser>
          <c:idx val="0"/>
          <c:order val="0"/>
          <c:tx>
            <c:strRef>
              <c:f>PTT!$W$24</c:f>
              <c:strCache>
                <c:ptCount val="1"/>
                <c:pt idx="0">
                  <c:v>PTT</c:v>
                </c:pt>
              </c:strCache>
            </c:strRef>
          </c:tx>
          <c:spPr>
            <a:ln w="25400">
              <a:solidFill>
                <a:srgbClr val="263238"/>
              </a:solidFill>
              <a:prstDash val="solid"/>
            </a:ln>
            <a:effectLst/>
          </c:spPr>
          <c:marker>
            <c:symbol val="diamond"/>
            <c:size val="6"/>
            <c:spPr>
              <a:solidFill>
                <a:srgbClr val="263238"/>
              </a:solidFill>
              <a:ln w="6350">
                <a:noFill/>
              </a:ln>
            </c:spPr>
          </c:marker>
          <c:cat>
            <c:strRef>
              <c:f>PTT!$V$25:$V$34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PTT!$W$25:$W$34</c:f>
              <c:numCache>
                <c:formatCode>0%</c:formatCode>
                <c:ptCount val="10"/>
                <c:pt idx="0">
                  <c:v>2.7539111869980837</c:v>
                </c:pt>
                <c:pt idx="1">
                  <c:v>1.4572047955407441</c:v>
                </c:pt>
                <c:pt idx="2">
                  <c:v>0.99335748397105716</c:v>
                </c:pt>
                <c:pt idx="3">
                  <c:v>0.93601385553601568</c:v>
                </c:pt>
                <c:pt idx="4">
                  <c:v>2.2430247461152026</c:v>
                </c:pt>
                <c:pt idx="5">
                  <c:v>2.0156177526425947</c:v>
                </c:pt>
                <c:pt idx="6">
                  <c:v>0.6980381121596213</c:v>
                </c:pt>
                <c:pt idx="7">
                  <c:v>0.87745115358635783</c:v>
                </c:pt>
                <c:pt idx="8">
                  <c:v>1.2902230454810952</c:v>
                </c:pt>
                <c:pt idx="9">
                  <c:v>1.4325865344317026</c:v>
                </c:pt>
              </c:numCache>
            </c:numRef>
          </c:val>
          <c:extLst>
            <c:ext xmlns:c16="http://schemas.microsoft.com/office/drawing/2014/chart" uri="{C3380CC4-5D6E-409C-BE32-E72D297353CC}">
              <c16:uniqueId val="{00000000-647C-4C63-8EB3-B82ABD193E60}"/>
            </c:ext>
          </c:extLst>
        </c:ser>
        <c:ser>
          <c:idx val="1"/>
          <c:order val="1"/>
          <c:tx>
            <c:strRef>
              <c:f>PTT!$X$24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PTT!$V$25:$V$34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PTT!$X$25:$X$34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47C-4C63-8EB3-B82ABD193E60}"/>
            </c:ext>
          </c:extLst>
        </c:ser>
        <c:dLbls>
          <c:showLegendKey val="0"/>
          <c:showVal val="0"/>
          <c:showCatName val="0"/>
          <c:showSerName val="0"/>
          <c:showPercent val="0"/>
          <c:showBubbleSize val="0"/>
        </c:dLbls>
        <c:axId val="291861632"/>
        <c:axId val="291863552"/>
      </c:radarChart>
      <c:catAx>
        <c:axId val="2918616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1863552"/>
        <c:crosses val="autoZero"/>
        <c:auto val="0"/>
        <c:lblAlgn val="ctr"/>
        <c:lblOffset val="100"/>
        <c:noMultiLvlLbl val="0"/>
      </c:catAx>
      <c:valAx>
        <c:axId val="2918635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18616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053172687232302"/>
          <c:y val="7.1428679743121323E-2"/>
          <c:w val="0.44648885870076332"/>
          <c:h val="0.70538946666920521"/>
        </c:manualLayout>
      </c:layout>
      <c:radarChart>
        <c:radarStyle val="marker"/>
        <c:varyColors val="0"/>
        <c:ser>
          <c:idx val="0"/>
          <c:order val="0"/>
          <c:tx>
            <c:strRef>
              <c:f>RAK!$W$24</c:f>
              <c:strCache>
                <c:ptCount val="1"/>
                <c:pt idx="0">
                  <c:v>Rakuten</c:v>
                </c:pt>
              </c:strCache>
            </c:strRef>
          </c:tx>
          <c:spPr>
            <a:ln w="25400">
              <a:solidFill>
                <a:srgbClr val="263238"/>
              </a:solidFill>
              <a:prstDash val="solid"/>
            </a:ln>
            <a:effectLst/>
          </c:spPr>
          <c:marker>
            <c:symbol val="diamond"/>
            <c:size val="6"/>
            <c:spPr>
              <a:solidFill>
                <a:srgbClr val="263238"/>
              </a:solidFill>
              <a:ln w="6350">
                <a:noFill/>
              </a:ln>
            </c:spPr>
          </c:marker>
          <c:cat>
            <c:strRef>
              <c:f>RAK!$V$25:$V$34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RAK!$W$25:$W$34</c:f>
              <c:numCache>
                <c:formatCode>0%</c:formatCode>
                <c:ptCount val="10"/>
                <c:pt idx="0">
                  <c:v>0.52202582842858813</c:v>
                </c:pt>
                <c:pt idx="1">
                  <c:v>2.381237007060232</c:v>
                </c:pt>
                <c:pt idx="2">
                  <c:v>-0.77024373713008965</c:v>
                </c:pt>
                <c:pt idx="3">
                  <c:v>-0.85735927713296123</c:v>
                </c:pt>
                <c:pt idx="4">
                  <c:v>0.995894830867324</c:v>
                </c:pt>
                <c:pt idx="5">
                  <c:v>0.60345435022207972</c:v>
                </c:pt>
                <c:pt idx="6">
                  <c:v>-0.25058892434941737</c:v>
                </c:pt>
                <c:pt idx="7">
                  <c:v>-0.27907834034653406</c:v>
                </c:pt>
                <c:pt idx="8">
                  <c:v>0</c:v>
                </c:pt>
                <c:pt idx="9">
                  <c:v>-3.9905993554831474</c:v>
                </c:pt>
              </c:numCache>
            </c:numRef>
          </c:val>
          <c:extLst>
            <c:ext xmlns:c16="http://schemas.microsoft.com/office/drawing/2014/chart" uri="{C3380CC4-5D6E-409C-BE32-E72D297353CC}">
              <c16:uniqueId val="{00000000-F9B0-4668-A556-828CCBD3E21F}"/>
            </c:ext>
          </c:extLst>
        </c:ser>
        <c:ser>
          <c:idx val="1"/>
          <c:order val="1"/>
          <c:tx>
            <c:strRef>
              <c:f>RAK!$X$24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RAK!$V$25:$V$34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RAK!$X$25:$X$34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9B0-4668-A556-828CCBD3E21F}"/>
            </c:ext>
          </c:extLst>
        </c:ser>
        <c:dLbls>
          <c:showLegendKey val="0"/>
          <c:showVal val="0"/>
          <c:showCatName val="0"/>
          <c:showSerName val="0"/>
          <c:showPercent val="0"/>
          <c:showBubbleSize val="0"/>
        </c:dLbls>
        <c:axId val="291988608"/>
        <c:axId val="291990528"/>
      </c:radarChart>
      <c:catAx>
        <c:axId val="2919886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1990528"/>
        <c:crosses val="autoZero"/>
        <c:auto val="0"/>
        <c:lblAlgn val="ctr"/>
        <c:lblOffset val="100"/>
        <c:noMultiLvlLbl val="0"/>
      </c:catAx>
      <c:valAx>
        <c:axId val="2919905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19886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59709373926438"/>
          <c:y val="0.2153849389797762"/>
          <c:w val="0.3669358450965588"/>
          <c:h val="0.5600008413474179"/>
        </c:manualLayout>
      </c:layout>
      <c:radarChart>
        <c:radarStyle val="marker"/>
        <c:varyColors val="0"/>
        <c:ser>
          <c:idx val="0"/>
          <c:order val="0"/>
          <c:tx>
            <c:strRef>
              <c:f>SAF!$W$24</c:f>
              <c:strCache>
                <c:ptCount val="1"/>
                <c:pt idx="0">
                  <c:v>Safaricom</c:v>
                </c:pt>
              </c:strCache>
            </c:strRef>
          </c:tx>
          <c:spPr>
            <a:ln w="25400">
              <a:solidFill>
                <a:srgbClr val="263238"/>
              </a:solidFill>
              <a:prstDash val="solid"/>
            </a:ln>
            <a:effectLst/>
          </c:spPr>
          <c:marker>
            <c:symbol val="diamond"/>
            <c:size val="6"/>
            <c:spPr>
              <a:solidFill>
                <a:srgbClr val="263238"/>
              </a:solidFill>
              <a:ln w="6350">
                <a:noFill/>
              </a:ln>
            </c:spPr>
          </c:marker>
          <c:val>
            <c:numRef>
              <c:f>SAF!$W$25:$W$34</c:f>
              <c:numCache>
                <c:formatCode>0%</c:formatCode>
                <c:ptCount val="10"/>
                <c:pt idx="0">
                  <c:v>0.67638928596588588</c:v>
                </c:pt>
                <c:pt idx="1">
                  <c:v>0.54912124788528838</c:v>
                </c:pt>
                <c:pt idx="2">
                  <c:v>0.58864932513248469</c:v>
                </c:pt>
                <c:pt idx="3">
                  <c:v>0.65727144852855102</c:v>
                </c:pt>
                <c:pt idx="4">
                  <c:v>0.74291162495003882</c:v>
                </c:pt>
                <c:pt idx="5">
                  <c:v>0.56641988043332148</c:v>
                </c:pt>
                <c:pt idx="6">
                  <c:v>0.24413991576450553</c:v>
                </c:pt>
                <c:pt idx="7">
                  <c:v>0.304377814712955</c:v>
                </c:pt>
                <c:pt idx="8">
                  <c:v>3.7312908642314175</c:v>
                </c:pt>
                <c:pt idx="9">
                  <c:v>4.0960118990316525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#REF!</c15:sqref>
                        </c15:formulaRef>
                      </c:ext>
                    </c:extLst>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15:cat>
              </c15:filteredCategoryTitle>
            </c:ext>
            <c:ext xmlns:c16="http://schemas.microsoft.com/office/drawing/2014/chart" uri="{C3380CC4-5D6E-409C-BE32-E72D297353CC}">
              <c16:uniqueId val="{00000000-7240-4F75-881F-1FE23B608837}"/>
            </c:ext>
          </c:extLst>
        </c:ser>
        <c:ser>
          <c:idx val="1"/>
          <c:order val="1"/>
          <c:tx>
            <c:strRef>
              <c:f>SAF!$X$24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val>
            <c:numRef>
              <c:f>SAF!$X$25:$X$34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#REF!</c15:sqref>
                        </c15:formulaRef>
                      </c:ext>
                    </c:extLst>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15:cat>
              </c15:filteredCategoryTitle>
            </c:ext>
            <c:ext xmlns:c16="http://schemas.microsoft.com/office/drawing/2014/chart" uri="{C3380CC4-5D6E-409C-BE32-E72D297353CC}">
              <c16:uniqueId val="{00000001-7240-4F75-881F-1FE23B608837}"/>
            </c:ext>
          </c:extLst>
        </c:ser>
        <c:dLbls>
          <c:showLegendKey val="0"/>
          <c:showVal val="0"/>
          <c:showCatName val="0"/>
          <c:showSerName val="0"/>
          <c:showPercent val="0"/>
          <c:showBubbleSize val="0"/>
        </c:dLbls>
        <c:axId val="290309248"/>
        <c:axId val="290311168"/>
      </c:radarChart>
      <c:catAx>
        <c:axId val="2903092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0311168"/>
        <c:crosses val="autoZero"/>
        <c:auto val="0"/>
        <c:lblAlgn val="ctr"/>
        <c:lblOffset val="100"/>
        <c:noMultiLvlLbl val="0"/>
      </c:catAx>
      <c:valAx>
        <c:axId val="2903111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03092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3844561163255"/>
          <c:y val="0.14153867418671001"/>
          <c:w val="0.4157682209009923"/>
          <c:h val="0.63857095327872881"/>
        </c:manualLayout>
      </c:layout>
      <c:radarChart>
        <c:radarStyle val="marker"/>
        <c:varyColors val="0"/>
        <c:ser>
          <c:idx val="0"/>
          <c:order val="0"/>
          <c:tx>
            <c:strRef>
              <c:f>SATS!$W$24</c:f>
              <c:strCache>
                <c:ptCount val="1"/>
                <c:pt idx="0">
                  <c:v>DISH</c:v>
                </c:pt>
              </c:strCache>
            </c:strRef>
          </c:tx>
          <c:spPr>
            <a:ln w="25400">
              <a:solidFill>
                <a:srgbClr val="263238"/>
              </a:solidFill>
              <a:prstDash val="solid"/>
            </a:ln>
            <a:effectLst/>
          </c:spPr>
          <c:marker>
            <c:symbol val="diamond"/>
            <c:size val="6"/>
            <c:spPr>
              <a:solidFill>
                <a:srgbClr val="263238"/>
              </a:solidFill>
              <a:ln w="6350">
                <a:noFill/>
              </a:ln>
            </c:spPr>
          </c:marker>
          <c:cat>
            <c:strRef>
              <c:f>SATS!$V$25:$V$34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SATS!$W$25:$W$34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DB4-485A-90E6-B60BA6010A09}"/>
            </c:ext>
          </c:extLst>
        </c:ser>
        <c:ser>
          <c:idx val="1"/>
          <c:order val="1"/>
          <c:tx>
            <c:strRef>
              <c:f>SATS!$X$24</c:f>
              <c:strCache>
                <c:ptCount val="1"/>
                <c:pt idx="0">
                  <c:v>Agg. US Satellite</c:v>
                </c:pt>
              </c:strCache>
            </c:strRef>
          </c:tx>
          <c:spPr>
            <a:ln w="25400">
              <a:solidFill>
                <a:srgbClr val="799098"/>
              </a:solidFill>
              <a:prstDash val="solid"/>
            </a:ln>
            <a:effectLst/>
          </c:spPr>
          <c:marker>
            <c:symbol val="diamond"/>
            <c:size val="6"/>
            <c:spPr>
              <a:solidFill>
                <a:srgbClr val="799098"/>
              </a:solidFill>
              <a:ln w="6350">
                <a:noFill/>
              </a:ln>
            </c:spPr>
          </c:marker>
          <c:cat>
            <c:strRef>
              <c:f>SATS!$V$25:$V$34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SATS!$X$25:$X$34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DB4-485A-90E6-B60BA6010A09}"/>
            </c:ext>
          </c:extLst>
        </c:ser>
        <c:dLbls>
          <c:showLegendKey val="0"/>
          <c:showVal val="0"/>
          <c:showCatName val="0"/>
          <c:showSerName val="0"/>
          <c:showPercent val="0"/>
          <c:showBubbleSize val="0"/>
        </c:dLbls>
        <c:axId val="413809664"/>
        <c:axId val="413828224"/>
      </c:radarChart>
      <c:catAx>
        <c:axId val="413809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3828224"/>
        <c:crosses val="autoZero"/>
        <c:auto val="0"/>
        <c:lblAlgn val="ctr"/>
        <c:lblOffset val="100"/>
        <c:noMultiLvlLbl val="0"/>
      </c:catAx>
      <c:valAx>
        <c:axId val="413828224"/>
        <c:scaling>
          <c:orientation val="minMax"/>
          <c:max val="2"/>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380966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50648303793488"/>
          <c:y val="6.8071875630930742E-2"/>
          <c:w val="0.46733235906653675"/>
          <c:h val="0.7328720952749167"/>
        </c:manualLayout>
      </c:layout>
      <c:radarChart>
        <c:radarStyle val="marker"/>
        <c:varyColors val="0"/>
        <c:ser>
          <c:idx val="0"/>
          <c:order val="0"/>
          <c:tx>
            <c:strRef>
              <c:f>SBAC!$W$24</c:f>
              <c:strCache>
                <c:ptCount val="1"/>
                <c:pt idx="0">
                  <c:v>SBAC</c:v>
                </c:pt>
              </c:strCache>
            </c:strRef>
          </c:tx>
          <c:spPr>
            <a:ln w="25400">
              <a:solidFill>
                <a:srgbClr val="263238"/>
              </a:solidFill>
              <a:prstDash val="solid"/>
            </a:ln>
            <a:effectLst/>
          </c:spPr>
          <c:marker>
            <c:symbol val="diamond"/>
            <c:size val="6"/>
            <c:spPr>
              <a:solidFill>
                <a:srgbClr val="263238"/>
              </a:solidFill>
              <a:ln w="6350">
                <a:noFill/>
              </a:ln>
            </c:spPr>
          </c:marker>
          <c:cat>
            <c:strRef>
              <c:f>SBAC!$V$25:$V$34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SBAC!$W$25:$W$34</c:f>
              <c:numCache>
                <c:formatCode>0%</c:formatCode>
                <c:ptCount val="10"/>
                <c:pt idx="0">
                  <c:v>1.1952318573258627</c:v>
                </c:pt>
                <c:pt idx="1">
                  <c:v>1.1048378966603247</c:v>
                </c:pt>
                <c:pt idx="2">
                  <c:v>0.95708444036027907</c:v>
                </c:pt>
                <c:pt idx="3">
                  <c:v>0.95708444036027907</c:v>
                </c:pt>
                <c:pt idx="4">
                  <c:v>3.9225874755288528</c:v>
                </c:pt>
                <c:pt idx="5">
                  <c:v>2.1053802788070581</c:v>
                </c:pt>
                <c:pt idx="6">
                  <c:v>1.0404080619090206</c:v>
                </c:pt>
                <c:pt idx="7">
                  <c:v>1.2086310073612656</c:v>
                </c:pt>
                <c:pt idx="8">
                  <c:v>0.38842236487975751</c:v>
                </c:pt>
                <c:pt idx="9">
                  <c:v>0.96116133333792431</c:v>
                </c:pt>
              </c:numCache>
            </c:numRef>
          </c:val>
          <c:extLst>
            <c:ext xmlns:c16="http://schemas.microsoft.com/office/drawing/2014/chart" uri="{C3380CC4-5D6E-409C-BE32-E72D297353CC}">
              <c16:uniqueId val="{00000000-02D1-4C98-A494-881AC3EAC347}"/>
            </c:ext>
          </c:extLst>
        </c:ser>
        <c:ser>
          <c:idx val="1"/>
          <c:order val="1"/>
          <c:tx>
            <c:strRef>
              <c:f>SBAC!$X$24</c:f>
              <c:strCache>
                <c:ptCount val="1"/>
                <c:pt idx="0">
                  <c:v>Agg. US Towers</c:v>
                </c:pt>
              </c:strCache>
            </c:strRef>
          </c:tx>
          <c:spPr>
            <a:ln w="25400">
              <a:solidFill>
                <a:srgbClr val="799098"/>
              </a:solidFill>
              <a:prstDash val="solid"/>
            </a:ln>
            <a:effectLst/>
          </c:spPr>
          <c:marker>
            <c:symbol val="diamond"/>
            <c:size val="6"/>
            <c:spPr>
              <a:solidFill>
                <a:srgbClr val="799098"/>
              </a:solidFill>
              <a:ln w="6350">
                <a:noFill/>
              </a:ln>
            </c:spPr>
          </c:marker>
          <c:cat>
            <c:strRef>
              <c:f>SBAC!$V$25:$V$34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SBAC!$X$25:$X$34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2D1-4C98-A494-881AC3EAC347}"/>
            </c:ext>
          </c:extLst>
        </c:ser>
        <c:dLbls>
          <c:showLegendKey val="0"/>
          <c:showVal val="0"/>
          <c:showCatName val="0"/>
          <c:showSerName val="0"/>
          <c:showPercent val="0"/>
          <c:showBubbleSize val="0"/>
        </c:dLbls>
        <c:axId val="283645056"/>
        <c:axId val="283646976"/>
      </c:radarChart>
      <c:catAx>
        <c:axId val="283645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646976"/>
        <c:crosses val="autoZero"/>
        <c:auto val="0"/>
        <c:lblAlgn val="ctr"/>
        <c:lblOffset val="100"/>
        <c:noMultiLvlLbl val="0"/>
      </c:catAx>
      <c:valAx>
        <c:axId val="283646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645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053172687232302"/>
          <c:y val="7.1428679743121323E-2"/>
          <c:w val="0.44648885870076332"/>
          <c:h val="0.70538946666920521"/>
        </c:manualLayout>
      </c:layout>
      <c:radarChart>
        <c:radarStyle val="marker"/>
        <c:varyColors val="0"/>
        <c:ser>
          <c:idx val="0"/>
          <c:order val="0"/>
          <c:tx>
            <c:strRef>
              <c:f>SBKK!$W$24</c:f>
              <c:strCache>
                <c:ptCount val="1"/>
                <c:pt idx="0">
                  <c:v>SoftBank KK (Corp)</c:v>
                </c:pt>
              </c:strCache>
            </c:strRef>
          </c:tx>
          <c:spPr>
            <a:ln w="25400">
              <a:solidFill>
                <a:srgbClr val="263238"/>
              </a:solidFill>
              <a:prstDash val="solid"/>
            </a:ln>
            <a:effectLst/>
          </c:spPr>
          <c:marker>
            <c:symbol val="diamond"/>
            <c:size val="6"/>
            <c:spPr>
              <a:solidFill>
                <a:srgbClr val="263238"/>
              </a:solidFill>
              <a:ln w="6350">
                <a:noFill/>
              </a:ln>
            </c:spPr>
          </c:marker>
          <c:cat>
            <c:strRef>
              <c:f>SBKK!$V$25:$V$34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SBKK!$W$25:$W$34</c:f>
              <c:numCache>
                <c:formatCode>0%</c:formatCode>
                <c:ptCount val="10"/>
                <c:pt idx="0">
                  <c:v>1.072128250408739</c:v>
                </c:pt>
                <c:pt idx="1">
                  <c:v>1.2764247014788779</c:v>
                </c:pt>
                <c:pt idx="2">
                  <c:v>0.99018281680154385</c:v>
                </c:pt>
                <c:pt idx="3">
                  <c:v>0.94277159442266201</c:v>
                </c:pt>
                <c:pt idx="4">
                  <c:v>2.056587419775429</c:v>
                </c:pt>
                <c:pt idx="5">
                  <c:v>2.9196416126471134</c:v>
                </c:pt>
                <c:pt idx="6">
                  <c:v>0.7043932946590461</c:v>
                </c:pt>
                <c:pt idx="7">
                  <c:v>0.90199518472419016</c:v>
                </c:pt>
                <c:pt idx="8">
                  <c:v>1.0925593511651095</c:v>
                </c:pt>
                <c:pt idx="9">
                  <c:v>1.4196614413884208</c:v>
                </c:pt>
              </c:numCache>
            </c:numRef>
          </c:val>
          <c:extLst>
            <c:ext xmlns:c16="http://schemas.microsoft.com/office/drawing/2014/chart" uri="{C3380CC4-5D6E-409C-BE32-E72D297353CC}">
              <c16:uniqueId val="{00000000-A9E2-4878-84F0-1731BA686B90}"/>
            </c:ext>
          </c:extLst>
        </c:ser>
        <c:ser>
          <c:idx val="1"/>
          <c:order val="1"/>
          <c:tx>
            <c:strRef>
              <c:f>SBKK!$X$24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SBKK!$V$25:$V$34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SBKK!$X$25:$X$34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9E2-4878-84F0-1731BA686B90}"/>
            </c:ext>
          </c:extLst>
        </c:ser>
        <c:dLbls>
          <c:showLegendKey val="0"/>
          <c:showVal val="0"/>
          <c:showCatName val="0"/>
          <c:showSerName val="0"/>
          <c:showPercent val="0"/>
          <c:showBubbleSize val="0"/>
        </c:dLbls>
        <c:axId val="293553280"/>
        <c:axId val="293555200"/>
      </c:radarChart>
      <c:catAx>
        <c:axId val="2935532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3555200"/>
        <c:crosses val="autoZero"/>
        <c:auto val="0"/>
        <c:lblAlgn val="ctr"/>
        <c:lblOffset val="100"/>
        <c:noMultiLvlLbl val="0"/>
      </c:catAx>
      <c:valAx>
        <c:axId val="2935552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35532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FYBR!$W$24</c:f>
              <c:strCache>
                <c:ptCount val="1"/>
                <c:pt idx="0">
                  <c:v>ATCUS</c:v>
                </c:pt>
              </c:strCache>
            </c:strRef>
          </c:tx>
          <c:spPr>
            <a:ln w="25400">
              <a:solidFill>
                <a:srgbClr val="263238"/>
              </a:solidFill>
              <a:prstDash val="solid"/>
            </a:ln>
            <a:effectLst/>
          </c:spPr>
          <c:marker>
            <c:symbol val="diamond"/>
            <c:size val="6"/>
            <c:spPr>
              <a:solidFill>
                <a:srgbClr val="263238"/>
              </a:solidFill>
              <a:ln w="6350">
                <a:noFill/>
              </a:ln>
            </c:spPr>
          </c:marker>
          <c:cat>
            <c:strRef>
              <c:f>FYBR!$V$25:$V$34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FYBR!$W$25:$W$34</c:f>
              <c:numCache>
                <c:formatCode>0%</c:formatCode>
                <c:ptCount val="10"/>
                <c:pt idx="0">
                  <c:v>1.6471166786264777</c:v>
                </c:pt>
                <c:pt idx="1">
                  <c:v>1.4303025543234726</c:v>
                </c:pt>
                <c:pt idx="2">
                  <c:v>-1.4969825792274625</c:v>
                </c:pt>
                <c:pt idx="3">
                  <c:v>-0.53749764099710451</c:v>
                </c:pt>
                <c:pt idx="4">
                  <c:v>1.1314472328349434</c:v>
                </c:pt>
                <c:pt idx="5">
                  <c:v>0.396731793778341</c:v>
                </c:pt>
                <c:pt idx="6">
                  <c:v>-0.86227122615067864</c:v>
                </c:pt>
                <c:pt idx="7">
                  <c:v>25.589482916652585</c:v>
                </c:pt>
                <c:pt idx="8">
                  <c:v>0</c:v>
                </c:pt>
                <c:pt idx="9">
                  <c:v>-1.1597279019319309</c:v>
                </c:pt>
              </c:numCache>
            </c:numRef>
          </c:val>
          <c:extLst>
            <c:ext xmlns:c16="http://schemas.microsoft.com/office/drawing/2014/chart" uri="{C3380CC4-5D6E-409C-BE32-E72D297353CC}">
              <c16:uniqueId val="{00000000-FAA4-4EFE-B2B1-2218B353591E}"/>
            </c:ext>
          </c:extLst>
        </c:ser>
        <c:ser>
          <c:idx val="1"/>
          <c:order val="1"/>
          <c:tx>
            <c:strRef>
              <c:f>FYBR!$X$24</c:f>
              <c:strCache>
                <c:ptCount val="1"/>
                <c:pt idx="0">
                  <c:v>Agg. US CATV</c:v>
                </c:pt>
              </c:strCache>
            </c:strRef>
          </c:tx>
          <c:spPr>
            <a:ln w="25400">
              <a:solidFill>
                <a:srgbClr val="799098"/>
              </a:solidFill>
              <a:prstDash val="solid"/>
            </a:ln>
            <a:effectLst/>
          </c:spPr>
          <c:marker>
            <c:symbol val="diamond"/>
            <c:size val="6"/>
            <c:spPr>
              <a:solidFill>
                <a:srgbClr val="799098"/>
              </a:solidFill>
              <a:ln w="6350">
                <a:noFill/>
              </a:ln>
            </c:spPr>
          </c:marker>
          <c:cat>
            <c:strRef>
              <c:f>FYBR!$V$25:$V$34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FYBR!$X$25:$X$34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AA4-4EFE-B2B1-2218B353591E}"/>
            </c:ext>
          </c:extLst>
        </c:ser>
        <c:dLbls>
          <c:showLegendKey val="0"/>
          <c:showVal val="0"/>
          <c:showCatName val="0"/>
          <c:showSerName val="0"/>
          <c:showPercent val="0"/>
          <c:showBubbleSize val="0"/>
        </c:dLbls>
        <c:axId val="348481408"/>
        <c:axId val="348495872"/>
      </c:radarChart>
      <c:catAx>
        <c:axId val="3484814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495872"/>
        <c:crosses val="autoZero"/>
        <c:auto val="0"/>
        <c:lblAlgn val="ctr"/>
        <c:lblOffset val="100"/>
        <c:noMultiLvlLbl val="0"/>
      </c:catAx>
      <c:valAx>
        <c:axId val="348495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4814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06477017779988"/>
          <c:y val="6.8323084971681311E-2"/>
          <c:w val="0.45919034348174226"/>
          <c:h val="0.72545602242074769"/>
        </c:manualLayout>
      </c:layout>
      <c:radarChart>
        <c:radarStyle val="marker"/>
        <c:varyColors val="0"/>
        <c:ser>
          <c:idx val="0"/>
          <c:order val="0"/>
          <c:tx>
            <c:strRef>
              <c:f>SINGTEL!$W$24</c:f>
              <c:strCache>
                <c:ptCount val="1"/>
                <c:pt idx="0">
                  <c:v>Singtel</c:v>
                </c:pt>
              </c:strCache>
            </c:strRef>
          </c:tx>
          <c:spPr>
            <a:ln w="25400">
              <a:solidFill>
                <a:srgbClr val="263238"/>
              </a:solidFill>
              <a:prstDash val="solid"/>
            </a:ln>
            <a:effectLst/>
          </c:spPr>
          <c:marker>
            <c:symbol val="diamond"/>
            <c:size val="6"/>
            <c:spPr>
              <a:solidFill>
                <a:srgbClr val="263238"/>
              </a:solidFill>
              <a:ln w="6350">
                <a:noFill/>
              </a:ln>
            </c:spPr>
          </c:marker>
          <c:cat>
            <c:strRef>
              <c:f>SINGTEL!$V$25:$V$34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SINGTEL!$W$25:$W$34</c:f>
              <c:numCache>
                <c:formatCode>0%</c:formatCode>
                <c:ptCount val="10"/>
                <c:pt idx="0">
                  <c:v>3.1865297153315368</c:v>
                </c:pt>
                <c:pt idx="1">
                  <c:v>1.3846141127519156</c:v>
                </c:pt>
                <c:pt idx="2">
                  <c:v>1.0281379525201724</c:v>
                </c:pt>
                <c:pt idx="3">
                  <c:v>0.95401823792442486</c:v>
                </c:pt>
                <c:pt idx="4">
                  <c:v>1.5744817657690378</c:v>
                </c:pt>
                <c:pt idx="5">
                  <c:v>2.1462011441164952</c:v>
                </c:pt>
                <c:pt idx="6">
                  <c:v>4.1737377698731226</c:v>
                </c:pt>
                <c:pt idx="7">
                  <c:v>4.7653779011803783</c:v>
                </c:pt>
                <c:pt idx="8">
                  <c:v>1.053045361576108</c:v>
                </c:pt>
                <c:pt idx="9">
                  <c:v>0.23959339449119221</c:v>
                </c:pt>
              </c:numCache>
            </c:numRef>
          </c:val>
          <c:extLst>
            <c:ext xmlns:c16="http://schemas.microsoft.com/office/drawing/2014/chart" uri="{C3380CC4-5D6E-409C-BE32-E72D297353CC}">
              <c16:uniqueId val="{00000000-28F2-460D-B47F-22B1E8B91AFD}"/>
            </c:ext>
          </c:extLst>
        </c:ser>
        <c:ser>
          <c:idx val="1"/>
          <c:order val="1"/>
          <c:tx>
            <c:strRef>
              <c:f>SINGTEL!$X$24</c:f>
              <c:strCache>
                <c:ptCount val="1"/>
                <c:pt idx="0">
                  <c:v>Agg. Asia Incumbents</c:v>
                </c:pt>
              </c:strCache>
            </c:strRef>
          </c:tx>
          <c:spPr>
            <a:ln w="25400">
              <a:solidFill>
                <a:srgbClr val="799098"/>
              </a:solidFill>
              <a:prstDash val="solid"/>
            </a:ln>
            <a:effectLst/>
          </c:spPr>
          <c:marker>
            <c:symbol val="diamond"/>
            <c:size val="6"/>
            <c:spPr>
              <a:solidFill>
                <a:srgbClr val="799098"/>
              </a:solidFill>
              <a:ln w="6350">
                <a:noFill/>
              </a:ln>
            </c:spPr>
          </c:marker>
          <c:cat>
            <c:strRef>
              <c:f>SINGTEL!$V$25:$V$34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SINGTEL!$X$25:$X$34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8F2-460D-B47F-22B1E8B91AFD}"/>
            </c:ext>
          </c:extLst>
        </c:ser>
        <c:dLbls>
          <c:showLegendKey val="0"/>
          <c:showVal val="0"/>
          <c:showCatName val="0"/>
          <c:showSerName val="0"/>
          <c:showPercent val="0"/>
          <c:showBubbleSize val="0"/>
        </c:dLbls>
        <c:axId val="295351424"/>
        <c:axId val="295353344"/>
      </c:radarChart>
      <c:catAx>
        <c:axId val="2953514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353344"/>
        <c:crosses val="autoZero"/>
        <c:auto val="0"/>
        <c:lblAlgn val="ctr"/>
        <c:lblOffset val="100"/>
        <c:noMultiLvlLbl val="0"/>
      </c:catAx>
      <c:valAx>
        <c:axId val="29535334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3514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SITES!$W$24</c:f>
              <c:strCache>
                <c:ptCount val="1"/>
                <c:pt idx="0">
                  <c:v>Telesites</c:v>
                </c:pt>
              </c:strCache>
            </c:strRef>
          </c:tx>
          <c:spPr>
            <a:ln w="25400">
              <a:solidFill>
                <a:srgbClr val="263238"/>
              </a:solidFill>
              <a:prstDash val="solid"/>
            </a:ln>
            <a:effectLst/>
          </c:spPr>
          <c:marker>
            <c:symbol val="diamond"/>
            <c:size val="6"/>
            <c:spPr>
              <a:solidFill>
                <a:srgbClr val="263238"/>
              </a:solidFill>
              <a:ln w="6350">
                <a:noFill/>
              </a:ln>
            </c:spPr>
          </c:marker>
          <c:cat>
            <c:strRef>
              <c:f>SITES!$V$25:$V$32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SITES!$W$25:$W$32</c:f>
              <c:numCache>
                <c:formatCode>0%</c:formatCode>
                <c:ptCount val="8"/>
                <c:pt idx="0">
                  <c:v>2.17641173334738</c:v>
                </c:pt>
                <c:pt idx="1">
                  <c:v>1.4851277617814438</c:v>
                </c:pt>
                <c:pt idx="2">
                  <c:v>1.1109555671802931</c:v>
                </c:pt>
                <c:pt idx="3">
                  <c:v>1.3263495279074884</c:v>
                </c:pt>
                <c:pt idx="4">
                  <c:v>1.8488814514134608</c:v>
                </c:pt>
                <c:pt idx="5">
                  <c:v>1.6355268863378589</c:v>
                </c:pt>
                <c:pt idx="6">
                  <c:v>0</c:v>
                </c:pt>
                <c:pt idx="7">
                  <c:v>0.54086756034872052</c:v>
                </c:pt>
              </c:numCache>
            </c:numRef>
          </c:val>
          <c:extLst>
            <c:ext xmlns:c16="http://schemas.microsoft.com/office/drawing/2014/chart" uri="{C3380CC4-5D6E-409C-BE32-E72D297353CC}">
              <c16:uniqueId val="{00000000-4136-44E2-BE18-5F3CC840EEE6}"/>
            </c:ext>
          </c:extLst>
        </c:ser>
        <c:ser>
          <c:idx val="1"/>
          <c:order val="1"/>
          <c:tx>
            <c:strRef>
              <c:f>SITES!$X$24</c:f>
              <c:strCache>
                <c:ptCount val="1"/>
                <c:pt idx="0">
                  <c:v>LatAm </c:v>
                </c:pt>
              </c:strCache>
            </c:strRef>
          </c:tx>
          <c:spPr>
            <a:ln w="25400">
              <a:solidFill>
                <a:srgbClr val="799098"/>
              </a:solidFill>
              <a:prstDash val="solid"/>
            </a:ln>
            <a:effectLst/>
          </c:spPr>
          <c:marker>
            <c:symbol val="diamond"/>
            <c:size val="6"/>
            <c:spPr>
              <a:solidFill>
                <a:srgbClr val="799098"/>
              </a:solidFill>
              <a:ln w="6350">
                <a:noFill/>
              </a:ln>
            </c:spPr>
          </c:marker>
          <c:cat>
            <c:strRef>
              <c:f>SITES!$V$25:$V$32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SITES!$X$25:$X$32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4136-44E2-BE18-5F3CC840EEE6}"/>
            </c:ext>
          </c:extLst>
        </c:ser>
        <c:dLbls>
          <c:showLegendKey val="0"/>
          <c:showVal val="0"/>
          <c:showCatName val="0"/>
          <c:showSerName val="0"/>
          <c:showPercent val="0"/>
          <c:showBubbleSize val="0"/>
        </c:dLbls>
        <c:axId val="295416960"/>
        <c:axId val="295418880"/>
      </c:radarChart>
      <c:catAx>
        <c:axId val="2954169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418880"/>
        <c:crosses val="autoZero"/>
        <c:auto val="0"/>
        <c:lblAlgn val="ctr"/>
        <c:lblOffset val="100"/>
        <c:noMultiLvlLbl val="0"/>
      </c:catAx>
      <c:valAx>
        <c:axId val="29541888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4169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SKT!$W$24</c:f>
              <c:strCache>
                <c:ptCount val="1"/>
                <c:pt idx="0">
                  <c:v>SKT</c:v>
                </c:pt>
              </c:strCache>
            </c:strRef>
          </c:tx>
          <c:spPr>
            <a:ln w="25400">
              <a:solidFill>
                <a:srgbClr val="263238"/>
              </a:solidFill>
              <a:prstDash val="solid"/>
            </a:ln>
            <a:effectLst/>
          </c:spPr>
          <c:marker>
            <c:symbol val="diamond"/>
            <c:size val="6"/>
            <c:spPr>
              <a:solidFill>
                <a:srgbClr val="263238"/>
              </a:solidFill>
              <a:ln w="6350">
                <a:noFill/>
              </a:ln>
            </c:spPr>
          </c:marker>
          <c:cat>
            <c:strRef>
              <c:f>SKT!$V$25:$V$34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SKT!$W$25:$W$34</c:f>
              <c:numCache>
                <c:formatCode>0%</c:formatCode>
                <c:ptCount val="10"/>
                <c:pt idx="0">
                  <c:v>0.64754685115158372</c:v>
                </c:pt>
                <c:pt idx="1">
                  <c:v>0.67617353973101346</c:v>
                </c:pt>
                <c:pt idx="2">
                  <c:v>0.69929825856872352</c:v>
                </c:pt>
                <c:pt idx="3">
                  <c:v>0.74081233786665379</c:v>
                </c:pt>
                <c:pt idx="4">
                  <c:v>1.7952667529510777</c:v>
                </c:pt>
                <c:pt idx="5">
                  <c:v>0.44878982610783641</c:v>
                </c:pt>
                <c:pt idx="6">
                  <c:v>0.60152320584551344</c:v>
                </c:pt>
                <c:pt idx="7">
                  <c:v>0.62151679838839147</c:v>
                </c:pt>
                <c:pt idx="8">
                  <c:v>1.5530396648097842</c:v>
                </c:pt>
                <c:pt idx="9">
                  <c:v>1.6624462535811557</c:v>
                </c:pt>
              </c:numCache>
            </c:numRef>
          </c:val>
          <c:extLst>
            <c:ext xmlns:c16="http://schemas.microsoft.com/office/drawing/2014/chart" uri="{C3380CC4-5D6E-409C-BE32-E72D297353CC}">
              <c16:uniqueId val="{00000000-7B13-42EB-8145-F956236BDC7D}"/>
            </c:ext>
          </c:extLst>
        </c:ser>
        <c:ser>
          <c:idx val="1"/>
          <c:order val="1"/>
          <c:tx>
            <c:strRef>
              <c:f>SKT!$X$24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SKT!$V$25:$V$34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SKT!$X$25:$X$34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B13-42EB-8145-F956236BDC7D}"/>
            </c:ext>
          </c:extLst>
        </c:ser>
        <c:dLbls>
          <c:showLegendKey val="0"/>
          <c:showVal val="0"/>
          <c:showCatName val="0"/>
          <c:showSerName val="0"/>
          <c:showPercent val="0"/>
          <c:showBubbleSize val="0"/>
        </c:dLbls>
        <c:axId val="318718720"/>
        <c:axId val="318720640"/>
      </c:radarChart>
      <c:catAx>
        <c:axId val="31871872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18720640"/>
        <c:crosses val="autoZero"/>
        <c:auto val="0"/>
        <c:lblAlgn val="ctr"/>
        <c:lblOffset val="100"/>
        <c:noMultiLvlLbl val="0"/>
      </c:catAx>
      <c:valAx>
        <c:axId val="3187206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1871872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SPK!$W$24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SPK!$V$25:$V$34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SPK!$W$25:$W$34</c:f>
              <c:numCache>
                <c:formatCode>0%</c:formatCode>
                <c:ptCount val="10"/>
                <c:pt idx="0">
                  <c:v>1.2663085335221953</c:v>
                </c:pt>
                <c:pt idx="1">
                  <c:v>1.1209439615639518</c:v>
                </c:pt>
                <c:pt idx="2">
                  <c:v>0.69934383377106712</c:v>
                </c:pt>
                <c:pt idx="3">
                  <c:v>0.72260744030150237</c:v>
                </c:pt>
                <c:pt idx="4">
                  <c:v>1.4981353373644761</c:v>
                </c:pt>
                <c:pt idx="5">
                  <c:v>3.8670447209719199</c:v>
                </c:pt>
                <c:pt idx="6">
                  <c:v>0.86102601453731642</c:v>
                </c:pt>
                <c:pt idx="7">
                  <c:v>1.0515361140077573</c:v>
                </c:pt>
                <c:pt idx="8">
                  <c:v>1.5606212034721678</c:v>
                </c:pt>
                <c:pt idx="9">
                  <c:v>1.1614050947547305</c:v>
                </c:pt>
              </c:numCache>
            </c:numRef>
          </c:val>
          <c:extLst>
            <c:ext xmlns:c16="http://schemas.microsoft.com/office/drawing/2014/chart" uri="{C3380CC4-5D6E-409C-BE32-E72D297353CC}">
              <c16:uniqueId val="{00000000-CFC6-4670-A208-677747988C31}"/>
            </c:ext>
          </c:extLst>
        </c:ser>
        <c:ser>
          <c:idx val="1"/>
          <c:order val="1"/>
          <c:tx>
            <c:strRef>
              <c:f>SPK!$X$24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SPK!$V$25:$V$34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SPK!$X$25:$X$34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FC6-4670-A208-677747988C31}"/>
            </c:ext>
          </c:extLst>
        </c:ser>
        <c:dLbls>
          <c:showLegendKey val="0"/>
          <c:showVal val="0"/>
          <c:showCatName val="0"/>
          <c:showSerName val="0"/>
          <c:showPercent val="0"/>
          <c:showBubbleSize val="0"/>
        </c:dLbls>
        <c:axId val="295039744"/>
        <c:axId val="295041664"/>
      </c:radarChart>
      <c:catAx>
        <c:axId val="2950397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041664"/>
        <c:crosses val="autoZero"/>
        <c:auto val="0"/>
        <c:lblAlgn val="ctr"/>
        <c:lblOffset val="100"/>
        <c:noMultiLvlLbl val="0"/>
      </c:catAx>
      <c:valAx>
        <c:axId val="29504166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0397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'ST1'!$W$24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'ST1'!$V$25:$V$34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'ST1'!$W$25:$W$34</c:f>
              <c:numCache>
                <c:formatCode>0%</c:formatCode>
                <c:ptCount val="10"/>
                <c:pt idx="0">
                  <c:v>0.18827903880267674</c:v>
                </c:pt>
                <c:pt idx="1">
                  <c:v>0.19055317329593097</c:v>
                </c:pt>
                <c:pt idx="2">
                  <c:v>8.8692995095005098E-2</c:v>
                </c:pt>
                <c:pt idx="3">
                  <c:v>9.4261740885087125E-2</c:v>
                </c:pt>
                <c:pt idx="4">
                  <c:v>0.38899056071890242</c:v>
                </c:pt>
                <c:pt idx="5">
                  <c:v>0.55894433046268943</c:v>
                </c:pt>
                <c:pt idx="6">
                  <c:v>0.21165130194612178</c:v>
                </c:pt>
                <c:pt idx="7">
                  <c:v>0.26396533227791369</c:v>
                </c:pt>
                <c:pt idx="8">
                  <c:v>3.6622577574813535</c:v>
                </c:pt>
                <c:pt idx="9">
                  <c:v>4.7247524149629898</c:v>
                </c:pt>
              </c:numCache>
            </c:numRef>
          </c:val>
          <c:extLst>
            <c:ext xmlns:c16="http://schemas.microsoft.com/office/drawing/2014/chart" uri="{C3380CC4-5D6E-409C-BE32-E72D297353CC}">
              <c16:uniqueId val="{00000000-8976-4F34-BCB1-20C350DA1CD4}"/>
            </c:ext>
          </c:extLst>
        </c:ser>
        <c:ser>
          <c:idx val="1"/>
          <c:order val="1"/>
          <c:tx>
            <c:strRef>
              <c:f>'ST1'!$X$24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'ST1'!$V$25:$V$34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'ST1'!$X$25:$X$34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8976-4F34-BCB1-20C350DA1CD4}"/>
            </c:ext>
          </c:extLst>
        </c:ser>
        <c:dLbls>
          <c:showLegendKey val="0"/>
          <c:showVal val="0"/>
          <c:showCatName val="0"/>
          <c:showSerName val="0"/>
          <c:showPercent val="0"/>
          <c:showBubbleSize val="0"/>
        </c:dLbls>
        <c:axId val="295215872"/>
        <c:axId val="295217792"/>
      </c:radarChart>
      <c:catAx>
        <c:axId val="2952158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217792"/>
        <c:crosses val="autoZero"/>
        <c:auto val="0"/>
        <c:lblAlgn val="ctr"/>
        <c:lblOffset val="100"/>
        <c:noMultiLvlLbl val="0"/>
      </c:catAx>
      <c:valAx>
        <c:axId val="2952177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2158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52587485327527"/>
          <c:y val="8.1504826950717382E-2"/>
          <c:w val="0.4697329598672158"/>
          <c:h val="0.72417742280911723"/>
        </c:manualLayout>
      </c:layout>
      <c:radarChart>
        <c:radarStyle val="marker"/>
        <c:varyColors val="0"/>
        <c:ser>
          <c:idx val="0"/>
          <c:order val="0"/>
          <c:tx>
            <c:strRef>
              <c:f>SWISS!$W$24</c:f>
              <c:strCache>
                <c:ptCount val="1"/>
                <c:pt idx="0">
                  <c:v>Swisscom</c:v>
                </c:pt>
              </c:strCache>
            </c:strRef>
          </c:tx>
          <c:spPr>
            <a:ln w="25400">
              <a:solidFill>
                <a:srgbClr val="263238"/>
              </a:solidFill>
              <a:prstDash val="solid"/>
            </a:ln>
            <a:effectLst/>
          </c:spPr>
          <c:marker>
            <c:symbol val="diamond"/>
            <c:size val="6"/>
            <c:spPr>
              <a:solidFill>
                <a:srgbClr val="263238"/>
              </a:solidFill>
              <a:ln w="6350">
                <a:noFill/>
              </a:ln>
            </c:spPr>
          </c:marker>
          <c:cat>
            <c:strRef>
              <c:f>SWISS!$V$25:$V$34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SWISS!$W$25:$W$34</c:f>
              <c:numCache>
                <c:formatCode>0%</c:formatCode>
                <c:ptCount val="10"/>
                <c:pt idx="0">
                  <c:v>1.4487372247866461</c:v>
                </c:pt>
                <c:pt idx="1">
                  <c:v>1.2363637888705836</c:v>
                </c:pt>
                <c:pt idx="2">
                  <c:v>1.2674712358637761</c:v>
                </c:pt>
                <c:pt idx="3">
                  <c:v>1.190182026665078</c:v>
                </c:pt>
                <c:pt idx="4">
                  <c:v>1.4545074789839436</c:v>
                </c:pt>
                <c:pt idx="5">
                  <c:v>1.0914355361329739</c:v>
                </c:pt>
                <c:pt idx="6">
                  <c:v>1.0758749887236232</c:v>
                </c:pt>
                <c:pt idx="7">
                  <c:v>1.0206098451500503</c:v>
                </c:pt>
                <c:pt idx="8">
                  <c:v>0.90410795109352948</c:v>
                </c:pt>
                <c:pt idx="9">
                  <c:v>0.92947601764249732</c:v>
                </c:pt>
              </c:numCache>
            </c:numRef>
          </c:val>
          <c:extLst>
            <c:ext xmlns:c16="http://schemas.microsoft.com/office/drawing/2014/chart" uri="{C3380CC4-5D6E-409C-BE32-E72D297353CC}">
              <c16:uniqueId val="{00000000-0A81-4557-B2AD-8034C7EBBB79}"/>
            </c:ext>
          </c:extLst>
        </c:ser>
        <c:ser>
          <c:idx val="1"/>
          <c:order val="1"/>
          <c:tx>
            <c:strRef>
              <c:f>SWISS!$X$24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SWISS!$V$25:$V$34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SWISS!$X$25:$X$34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A81-4557-B2AD-8034C7EBBB79}"/>
            </c:ext>
          </c:extLst>
        </c:ser>
        <c:dLbls>
          <c:showLegendKey val="0"/>
          <c:showVal val="0"/>
          <c:showCatName val="0"/>
          <c:showSerName val="0"/>
          <c:showPercent val="0"/>
          <c:showBubbleSize val="0"/>
        </c:dLbls>
        <c:axId val="322077056"/>
        <c:axId val="322078976"/>
      </c:radarChart>
      <c:catAx>
        <c:axId val="322077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2078976"/>
        <c:crosses val="autoZero"/>
        <c:auto val="0"/>
        <c:lblAlgn val="ctr"/>
        <c:lblOffset val="100"/>
        <c:noMultiLvlLbl val="0"/>
      </c:catAx>
      <c:valAx>
        <c:axId val="322078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2077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290358306253112"/>
          <c:y val="0.22461572207890937"/>
          <c:w val="0.31653256967120791"/>
          <c:h val="0.48307764885464166"/>
        </c:manualLayout>
      </c:layout>
      <c:radarChart>
        <c:radarStyle val="marker"/>
        <c:varyColors val="0"/>
        <c:ser>
          <c:idx val="0"/>
          <c:order val="0"/>
          <c:tx>
            <c:strRef>
              <c:f>TAIWAN!$W$24</c:f>
              <c:strCache>
                <c:ptCount val="1"/>
                <c:pt idx="0">
                  <c:v>Taiwan Mobile</c:v>
                </c:pt>
              </c:strCache>
            </c:strRef>
          </c:tx>
          <c:spPr>
            <a:ln w="25400">
              <a:solidFill>
                <a:srgbClr val="263238"/>
              </a:solidFill>
              <a:prstDash val="solid"/>
            </a:ln>
            <a:effectLst/>
          </c:spPr>
          <c:marker>
            <c:symbol val="diamond"/>
            <c:size val="6"/>
            <c:spPr>
              <a:solidFill>
                <a:srgbClr val="263238"/>
              </a:solidFill>
              <a:ln w="6350">
                <a:noFill/>
              </a:ln>
            </c:spPr>
          </c:marker>
          <c:cat>
            <c:strRef>
              <c:f>TAIWAN!$V$25:$V$34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TAIWAN!$W$25:$W$34</c:f>
              <c:numCache>
                <c:formatCode>0%</c:formatCode>
                <c:ptCount val="10"/>
                <c:pt idx="0">
                  <c:v>0.98363680247097585</c:v>
                </c:pt>
                <c:pt idx="1">
                  <c:v>1.4281054300817586</c:v>
                </c:pt>
                <c:pt idx="2">
                  <c:v>1.0761591907925052</c:v>
                </c:pt>
                <c:pt idx="3">
                  <c:v>1.0095667167782665</c:v>
                </c:pt>
                <c:pt idx="4">
                  <c:v>2.1794915804233264</c:v>
                </c:pt>
                <c:pt idx="5">
                  <c:v>3.3188622615504406</c:v>
                </c:pt>
                <c:pt idx="6">
                  <c:v>0.79128132352778724</c:v>
                </c:pt>
                <c:pt idx="7">
                  <c:v>1.1863904421323077</c:v>
                </c:pt>
                <c:pt idx="8">
                  <c:v>1.1907018918703753</c:v>
                </c:pt>
                <c:pt idx="9">
                  <c:v>1.2637730352862087</c:v>
                </c:pt>
              </c:numCache>
            </c:numRef>
          </c:val>
          <c:extLst>
            <c:ext xmlns:c16="http://schemas.microsoft.com/office/drawing/2014/chart" uri="{C3380CC4-5D6E-409C-BE32-E72D297353CC}">
              <c16:uniqueId val="{00000000-97EC-4F4F-88B3-926FAA3336EF}"/>
            </c:ext>
          </c:extLst>
        </c:ser>
        <c:ser>
          <c:idx val="1"/>
          <c:order val="1"/>
          <c:tx>
            <c:strRef>
              <c:f>TAIWAN!$X$24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TAIWAN!$V$25:$V$34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TAIWAN!$X$25:$X$34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7EC-4F4F-88B3-926FAA3336EF}"/>
            </c:ext>
          </c:extLst>
        </c:ser>
        <c:dLbls>
          <c:showLegendKey val="0"/>
          <c:showVal val="0"/>
          <c:showCatName val="0"/>
          <c:showSerName val="0"/>
          <c:showPercent val="0"/>
          <c:showBubbleSize val="0"/>
        </c:dLbls>
        <c:axId val="322326912"/>
        <c:axId val="322328832"/>
      </c:radarChart>
      <c:catAx>
        <c:axId val="3223269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2328832"/>
        <c:crosses val="autoZero"/>
        <c:auto val="0"/>
        <c:lblAlgn val="ctr"/>
        <c:lblOffset val="100"/>
        <c:noMultiLvlLbl val="0"/>
      </c:catAx>
      <c:valAx>
        <c:axId val="322328832"/>
        <c:scaling>
          <c:orientation val="minMax"/>
          <c:max val="2"/>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2326912"/>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TBIG!$W$24</c:f>
              <c:strCache>
                <c:ptCount val="1"/>
                <c:pt idx="0">
                  <c:v>TBIG</c:v>
                </c:pt>
              </c:strCache>
            </c:strRef>
          </c:tx>
          <c:spPr>
            <a:ln w="25400">
              <a:solidFill>
                <a:srgbClr val="263238"/>
              </a:solidFill>
              <a:prstDash val="solid"/>
            </a:ln>
            <a:effectLst/>
          </c:spPr>
          <c:marker>
            <c:symbol val="diamond"/>
            <c:size val="6"/>
            <c:spPr>
              <a:solidFill>
                <a:srgbClr val="263238"/>
              </a:solidFill>
              <a:ln w="6350">
                <a:noFill/>
              </a:ln>
            </c:spPr>
          </c:marker>
          <c:cat>
            <c:strRef>
              <c:f>TBIG!$V$25:$V$34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TBIG!$W$25:$W$34</c:f>
              <c:numCache>
                <c:formatCode>0%</c:formatCode>
                <c:ptCount val="10"/>
                <c:pt idx="0">
                  <c:v>3.5264522415748338</c:v>
                </c:pt>
                <c:pt idx="1">
                  <c:v>2.6624161347933524</c:v>
                </c:pt>
                <c:pt idx="2">
                  <c:v>2.7515413596419482</c:v>
                </c:pt>
                <c:pt idx="3">
                  <c:v>2.8743880311627406</c:v>
                </c:pt>
                <c:pt idx="4">
                  <c:v>1.3547823476189917</c:v>
                </c:pt>
                <c:pt idx="5">
                  <c:v>1.0252555760612285</c:v>
                </c:pt>
                <c:pt idx="6">
                  <c:v>3.6394294493245267</c:v>
                </c:pt>
                <c:pt idx="7">
                  <c:v>1.3292637700879775</c:v>
                </c:pt>
                <c:pt idx="8" formatCode="General">
                  <c:v>0.55125869626429624</c:v>
                </c:pt>
                <c:pt idx="9">
                  <c:v>0.28194671128699084</c:v>
                </c:pt>
              </c:numCache>
            </c:numRef>
          </c:val>
          <c:extLst>
            <c:ext xmlns:c16="http://schemas.microsoft.com/office/drawing/2014/chart" uri="{C3380CC4-5D6E-409C-BE32-E72D297353CC}">
              <c16:uniqueId val="{00000000-C977-40C0-A44C-0CD62B5DED0B}"/>
            </c:ext>
          </c:extLst>
        </c:ser>
        <c:ser>
          <c:idx val="1"/>
          <c:order val="1"/>
          <c:tx>
            <c:strRef>
              <c:f>TBIG!$X$24</c:f>
              <c:strCache>
                <c:ptCount val="1"/>
                <c:pt idx="0">
                  <c:v>Agg. EM Tower</c:v>
                </c:pt>
              </c:strCache>
            </c:strRef>
          </c:tx>
          <c:spPr>
            <a:ln w="25400">
              <a:solidFill>
                <a:srgbClr val="799098"/>
              </a:solidFill>
              <a:prstDash val="solid"/>
            </a:ln>
            <a:effectLst/>
          </c:spPr>
          <c:marker>
            <c:symbol val="diamond"/>
            <c:size val="6"/>
            <c:spPr>
              <a:solidFill>
                <a:srgbClr val="799098"/>
              </a:solidFill>
              <a:ln w="6350">
                <a:noFill/>
              </a:ln>
            </c:spPr>
          </c:marker>
          <c:cat>
            <c:strRef>
              <c:f>TBIG!$V$25:$V$34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TBIG!$X$25:$X$34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977-40C0-A44C-0CD62B5DED0B}"/>
            </c:ext>
          </c:extLst>
        </c:ser>
        <c:dLbls>
          <c:showLegendKey val="0"/>
          <c:showVal val="0"/>
          <c:showCatName val="0"/>
          <c:showSerName val="0"/>
          <c:showPercent val="0"/>
          <c:showBubbleSize val="0"/>
        </c:dLbls>
        <c:axId val="321655168"/>
        <c:axId val="321657088"/>
      </c:radarChart>
      <c:catAx>
        <c:axId val="32165516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1657088"/>
        <c:crosses val="autoZero"/>
        <c:auto val="0"/>
        <c:lblAlgn val="ctr"/>
        <c:lblOffset val="100"/>
        <c:noMultiLvlLbl val="0"/>
      </c:catAx>
      <c:valAx>
        <c:axId val="32165708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165516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266161780732023"/>
          <c:y val="0.1118014117718419"/>
          <c:w val="0.40524233441982577"/>
          <c:h val="0.62422454905945068"/>
        </c:manualLayout>
      </c:layout>
      <c:radarChart>
        <c:radarStyle val="marker"/>
        <c:varyColors val="0"/>
        <c:ser>
          <c:idx val="0"/>
          <c:order val="0"/>
          <c:tx>
            <c:strRef>
              <c:f>TELE2!$W$24</c:f>
              <c:strCache>
                <c:ptCount val="1"/>
                <c:pt idx="0">
                  <c:v>Tele2</c:v>
                </c:pt>
              </c:strCache>
            </c:strRef>
          </c:tx>
          <c:spPr>
            <a:ln w="25400">
              <a:solidFill>
                <a:srgbClr val="263238"/>
              </a:solidFill>
              <a:prstDash val="solid"/>
            </a:ln>
            <a:effectLst/>
          </c:spPr>
          <c:marker>
            <c:symbol val="diamond"/>
            <c:size val="6"/>
            <c:spPr>
              <a:solidFill>
                <a:srgbClr val="263238"/>
              </a:solidFill>
              <a:ln w="6350">
                <a:noFill/>
              </a:ln>
            </c:spPr>
          </c:marker>
          <c:cat>
            <c:strRef>
              <c:f>TELE2!$V$25:$V$34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TELE2!$W$25:$W$34</c:f>
              <c:numCache>
                <c:formatCode>0%</c:formatCode>
                <c:ptCount val="10"/>
                <c:pt idx="0">
                  <c:v>1.9465534765557608</c:v>
                </c:pt>
                <c:pt idx="1">
                  <c:v>2.2319024324124528</c:v>
                </c:pt>
                <c:pt idx="2">
                  <c:v>1.3320686607899765</c:v>
                </c:pt>
                <c:pt idx="3">
                  <c:v>1.1566377484426555</c:v>
                </c:pt>
                <c:pt idx="4">
                  <c:v>2.7732127978232946</c:v>
                </c:pt>
                <c:pt idx="5">
                  <c:v>4.2071572562578456</c:v>
                </c:pt>
                <c:pt idx="6">
                  <c:v>0.51800951780887361</c:v>
                </c:pt>
                <c:pt idx="7">
                  <c:v>1.1836323555978296</c:v>
                </c:pt>
                <c:pt idx="8">
                  <c:v>0.75114007983043007</c:v>
                </c:pt>
                <c:pt idx="9">
                  <c:v>1.9304664598247074</c:v>
                </c:pt>
              </c:numCache>
            </c:numRef>
          </c:val>
          <c:extLst>
            <c:ext xmlns:c16="http://schemas.microsoft.com/office/drawing/2014/chart" uri="{C3380CC4-5D6E-409C-BE32-E72D297353CC}">
              <c16:uniqueId val="{00000000-050E-4C29-88CF-00EBD7CC704A}"/>
            </c:ext>
          </c:extLst>
        </c:ser>
        <c:ser>
          <c:idx val="1"/>
          <c:order val="1"/>
          <c:tx>
            <c:strRef>
              <c:f>TELE2!$X$24</c:f>
              <c:strCache>
                <c:ptCount val="1"/>
                <c:pt idx="0">
                  <c:v>Agg. W. Eur. Altnet</c:v>
                </c:pt>
              </c:strCache>
            </c:strRef>
          </c:tx>
          <c:spPr>
            <a:ln w="25400">
              <a:solidFill>
                <a:srgbClr val="799098"/>
              </a:solidFill>
              <a:prstDash val="solid"/>
            </a:ln>
            <a:effectLst/>
          </c:spPr>
          <c:marker>
            <c:symbol val="diamond"/>
            <c:size val="6"/>
            <c:spPr>
              <a:solidFill>
                <a:srgbClr val="799098"/>
              </a:solidFill>
              <a:ln w="6350">
                <a:noFill/>
              </a:ln>
            </c:spPr>
          </c:marker>
          <c:cat>
            <c:strRef>
              <c:f>TELE2!$V$25:$V$34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TELE2!$X$25:$X$34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50E-4C29-88CF-00EBD7CC704A}"/>
            </c:ext>
          </c:extLst>
        </c:ser>
        <c:dLbls>
          <c:showLegendKey val="0"/>
          <c:showVal val="0"/>
          <c:showCatName val="0"/>
          <c:showSerName val="0"/>
          <c:showPercent val="0"/>
          <c:showBubbleSize val="0"/>
        </c:dLbls>
        <c:axId val="322875776"/>
        <c:axId val="322877696"/>
      </c:radarChart>
      <c:catAx>
        <c:axId val="3228757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2877696"/>
        <c:crosses val="autoZero"/>
        <c:auto val="0"/>
        <c:lblAlgn val="ctr"/>
        <c:lblOffset val="100"/>
        <c:noMultiLvlLbl val="0"/>
      </c:catAx>
      <c:valAx>
        <c:axId val="3228776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28757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5405252324995"/>
          <c:y val="0.1"/>
          <c:w val="0.44240293197028635"/>
          <c:h val="0.6902222318265766"/>
        </c:manualLayout>
      </c:layout>
      <c:radarChart>
        <c:radarStyle val="marker"/>
        <c:varyColors val="0"/>
        <c:ser>
          <c:idx val="0"/>
          <c:order val="0"/>
          <c:tx>
            <c:strRef>
              <c:f>TEF!$W$24</c:f>
              <c:strCache>
                <c:ptCount val="1"/>
                <c:pt idx="0">
                  <c:v>Telefonica</c:v>
                </c:pt>
              </c:strCache>
            </c:strRef>
          </c:tx>
          <c:spPr>
            <a:ln w="25400">
              <a:solidFill>
                <a:srgbClr val="263238"/>
              </a:solidFill>
              <a:prstDash val="solid"/>
            </a:ln>
            <a:effectLst/>
          </c:spPr>
          <c:marker>
            <c:symbol val="diamond"/>
            <c:size val="6"/>
            <c:spPr>
              <a:solidFill>
                <a:srgbClr val="263238"/>
              </a:solidFill>
              <a:ln w="6350">
                <a:noFill/>
              </a:ln>
            </c:spPr>
          </c:marker>
          <c:cat>
            <c:strRef>
              <c:f>TEF!$V$25:$V$34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TEF!$W$25:$W$34</c:f>
              <c:numCache>
                <c:formatCode>0%</c:formatCode>
                <c:ptCount val="10"/>
                <c:pt idx="0">
                  <c:v>0.64005960447762</c:v>
                </c:pt>
                <c:pt idx="1">
                  <c:v>0.81778250022545884</c:v>
                </c:pt>
                <c:pt idx="2">
                  <c:v>0.81387979237851116</c:v>
                </c:pt>
                <c:pt idx="3">
                  <c:v>0.80908617435689223</c:v>
                </c:pt>
                <c:pt idx="4">
                  <c:v>0.73897645286314539</c:v>
                </c:pt>
                <c:pt idx="5">
                  <c:v>0.79468805677614973</c:v>
                </c:pt>
                <c:pt idx="6">
                  <c:v>0.66127706978429401</c:v>
                </c:pt>
                <c:pt idx="7">
                  <c:v>0.86710620046640985</c:v>
                </c:pt>
                <c:pt idx="8">
                  <c:v>1.6065703509171212</c:v>
                </c:pt>
                <c:pt idx="9">
                  <c:v>1.5122254281797434</c:v>
                </c:pt>
              </c:numCache>
            </c:numRef>
          </c:val>
          <c:extLst>
            <c:ext xmlns:c16="http://schemas.microsoft.com/office/drawing/2014/chart" uri="{C3380CC4-5D6E-409C-BE32-E72D297353CC}">
              <c16:uniqueId val="{00000000-937B-4336-BCFC-8FCB1F5C0E84}"/>
            </c:ext>
          </c:extLst>
        </c:ser>
        <c:ser>
          <c:idx val="1"/>
          <c:order val="1"/>
          <c:tx>
            <c:strRef>
              <c:f>TEF!$X$24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TEF!$V$25:$V$34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TEF!$X$25:$X$34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37B-4336-BCFC-8FCB1F5C0E84}"/>
            </c:ext>
          </c:extLst>
        </c:ser>
        <c:dLbls>
          <c:showLegendKey val="0"/>
          <c:showVal val="0"/>
          <c:showCatName val="0"/>
          <c:showSerName val="0"/>
          <c:showPercent val="0"/>
          <c:showBubbleSize val="0"/>
        </c:dLbls>
        <c:axId val="323285376"/>
        <c:axId val="323287296"/>
      </c:radarChart>
      <c:catAx>
        <c:axId val="3232853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3287296"/>
        <c:crosses val="autoZero"/>
        <c:auto val="0"/>
        <c:lblAlgn val="ctr"/>
        <c:lblOffset val="100"/>
        <c:noMultiLvlLbl val="0"/>
      </c:catAx>
      <c:valAx>
        <c:axId val="3232872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32853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16155627988386"/>
          <c:y val="0.13538481878728784"/>
          <c:w val="0.48185531306636031"/>
          <c:h val="0.7353857202309495"/>
        </c:manualLayout>
      </c:layout>
      <c:radarChart>
        <c:radarStyle val="marker"/>
        <c:varyColors val="0"/>
        <c:ser>
          <c:idx val="0"/>
          <c:order val="0"/>
          <c:tx>
            <c:strRef>
              <c:f>ATT!$W$24</c:f>
              <c:strCache>
                <c:ptCount val="1"/>
                <c:pt idx="0">
                  <c:v>AT&amp;T</c:v>
                </c:pt>
              </c:strCache>
            </c:strRef>
          </c:tx>
          <c:spPr>
            <a:ln w="25400">
              <a:solidFill>
                <a:srgbClr val="263238"/>
              </a:solidFill>
              <a:prstDash val="solid"/>
            </a:ln>
            <a:effectLst/>
          </c:spPr>
          <c:marker>
            <c:symbol val="diamond"/>
            <c:size val="6"/>
            <c:spPr>
              <a:solidFill>
                <a:srgbClr val="263238"/>
              </a:solidFill>
              <a:ln w="6350">
                <a:noFill/>
              </a:ln>
            </c:spPr>
          </c:marker>
          <c:cat>
            <c:strRef>
              <c:f>ATT!$V$25:$V$34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ATT!$W$25:$W$34</c:f>
              <c:numCache>
                <c:formatCode>0%</c:formatCode>
                <c:ptCount val="10"/>
                <c:pt idx="0">
                  <c:v>0.84861812663019986</c:v>
                </c:pt>
                <c:pt idx="1">
                  <c:v>0.85961463549481076</c:v>
                </c:pt>
                <c:pt idx="2">
                  <c:v>1.0667945220591493</c:v>
                </c:pt>
                <c:pt idx="3">
                  <c:v>0.99069454379962918</c:v>
                </c:pt>
                <c:pt idx="4">
                  <c:v>0.86485455631843311</c:v>
                </c:pt>
                <c:pt idx="5">
                  <c:v>0.62965360404612081</c:v>
                </c:pt>
                <c:pt idx="6">
                  <c:v>0.8897449407958018</c:v>
                </c:pt>
                <c:pt idx="7">
                  <c:v>0.66231426259975101</c:v>
                </c:pt>
                <c:pt idx="8">
                  <c:v>1.6280413561093225</c:v>
                </c:pt>
                <c:pt idx="9">
                  <c:v>1.1239176017180659</c:v>
                </c:pt>
              </c:numCache>
            </c:numRef>
          </c:val>
          <c:extLst>
            <c:ext xmlns:c16="http://schemas.microsoft.com/office/drawing/2014/chart" uri="{C3380CC4-5D6E-409C-BE32-E72D297353CC}">
              <c16:uniqueId val="{00000000-7403-4401-9361-4BC140096373}"/>
            </c:ext>
          </c:extLst>
        </c:ser>
        <c:ser>
          <c:idx val="1"/>
          <c:order val="1"/>
          <c:tx>
            <c:strRef>
              <c:f>ATT!$X$24</c:f>
              <c:strCache>
                <c:ptCount val="1"/>
                <c:pt idx="0">
                  <c:v>Agg. US Telecoms</c:v>
                </c:pt>
              </c:strCache>
            </c:strRef>
          </c:tx>
          <c:spPr>
            <a:ln w="25400">
              <a:solidFill>
                <a:srgbClr val="799098"/>
              </a:solidFill>
              <a:prstDash val="solid"/>
            </a:ln>
            <a:effectLst/>
          </c:spPr>
          <c:marker>
            <c:symbol val="diamond"/>
            <c:size val="6"/>
            <c:spPr>
              <a:solidFill>
                <a:srgbClr val="799098"/>
              </a:solidFill>
              <a:ln w="6350">
                <a:noFill/>
              </a:ln>
            </c:spPr>
          </c:marker>
          <c:cat>
            <c:strRef>
              <c:f>ATT!$V$25:$V$34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403-4401-9361-4BC140096373}"/>
            </c:ext>
          </c:extLst>
        </c:ser>
        <c:dLbls>
          <c:showLegendKey val="0"/>
          <c:showVal val="0"/>
          <c:showCatName val="0"/>
          <c:showSerName val="0"/>
          <c:showPercent val="0"/>
          <c:showBubbleSize val="0"/>
        </c:dLbls>
        <c:axId val="353011584"/>
        <c:axId val="353021952"/>
      </c:radarChart>
      <c:catAx>
        <c:axId val="3530115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021952"/>
        <c:crosses val="autoZero"/>
        <c:auto val="0"/>
        <c:lblAlgn val="ctr"/>
        <c:lblOffset val="100"/>
        <c:noMultiLvlLbl val="0"/>
      </c:catAx>
      <c:valAx>
        <c:axId val="3530219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01158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62858031674642"/>
          <c:y val="9.6573502523554705E-2"/>
          <c:w val="0.43429753821424338"/>
          <c:h val="0.68880631458775288"/>
        </c:manualLayout>
      </c:layout>
      <c:radarChart>
        <c:radarStyle val="marker"/>
        <c:varyColors val="0"/>
        <c:ser>
          <c:idx val="0"/>
          <c:order val="0"/>
          <c:tx>
            <c:strRef>
              <c:f>TELIA!$W$24</c:f>
              <c:strCache>
                <c:ptCount val="1"/>
                <c:pt idx="0">
                  <c:v>Telia</c:v>
                </c:pt>
              </c:strCache>
            </c:strRef>
          </c:tx>
          <c:spPr>
            <a:ln w="25400">
              <a:solidFill>
                <a:srgbClr val="263238"/>
              </a:solidFill>
              <a:prstDash val="solid"/>
            </a:ln>
            <a:effectLst/>
          </c:spPr>
          <c:marker>
            <c:symbol val="diamond"/>
            <c:size val="6"/>
            <c:spPr>
              <a:solidFill>
                <a:srgbClr val="263238"/>
              </a:solidFill>
              <a:ln w="6350">
                <a:noFill/>
              </a:ln>
            </c:spPr>
          </c:marker>
          <c:cat>
            <c:strRef>
              <c:f>TELIA!$V$25:$V$34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TELIA!$W$25:$W$34</c:f>
              <c:numCache>
                <c:formatCode>0%</c:formatCode>
                <c:ptCount val="10"/>
                <c:pt idx="0">
                  <c:v>1.2054714825207813</c:v>
                </c:pt>
                <c:pt idx="1">
                  <c:v>1.3037383561204225</c:v>
                </c:pt>
                <c:pt idx="2">
                  <c:v>1.2596568906142223</c:v>
                </c:pt>
                <c:pt idx="3">
                  <c:v>1.1262169771621071</c:v>
                </c:pt>
                <c:pt idx="4">
                  <c:v>1.39004778776604</c:v>
                </c:pt>
                <c:pt idx="5">
                  <c:v>1.0099173787710714</c:v>
                </c:pt>
                <c:pt idx="6">
                  <c:v>1.0991223172504341</c:v>
                </c:pt>
                <c:pt idx="7">
                  <c:v>2.0961262319839826</c:v>
                </c:pt>
                <c:pt idx="8">
                  <c:v>1.3501856948760882</c:v>
                </c:pt>
                <c:pt idx="9">
                  <c:v>0.90981684595541779</c:v>
                </c:pt>
              </c:numCache>
            </c:numRef>
          </c:val>
          <c:extLst>
            <c:ext xmlns:c16="http://schemas.microsoft.com/office/drawing/2014/chart" uri="{C3380CC4-5D6E-409C-BE32-E72D297353CC}">
              <c16:uniqueId val="{00000000-2AF7-4855-A428-8D26BC613010}"/>
            </c:ext>
          </c:extLst>
        </c:ser>
        <c:ser>
          <c:idx val="1"/>
          <c:order val="1"/>
          <c:tx>
            <c:strRef>
              <c:f>TELIA!$X$24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TELIA!$V$25:$V$34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TELIA!$X$25:$X$34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AF7-4855-A428-8D26BC613010}"/>
            </c:ext>
          </c:extLst>
        </c:ser>
        <c:dLbls>
          <c:showLegendKey val="0"/>
          <c:showVal val="0"/>
          <c:showCatName val="0"/>
          <c:showSerName val="0"/>
          <c:showPercent val="0"/>
          <c:showBubbleSize val="0"/>
        </c:dLbls>
        <c:axId val="338158336"/>
        <c:axId val="338160256"/>
      </c:radarChart>
      <c:catAx>
        <c:axId val="3381583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8160256"/>
        <c:crosses val="autoZero"/>
        <c:auto val="0"/>
        <c:lblAlgn val="ctr"/>
        <c:lblOffset val="100"/>
        <c:noMultiLvlLbl val="0"/>
      </c:catAx>
      <c:valAx>
        <c:axId val="3381602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81583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14240061520832"/>
          <c:y val="7.1874999999999994E-2"/>
          <c:w val="0.47616472490848338"/>
          <c:h val="0.7153563059861644"/>
        </c:manualLayout>
      </c:layout>
      <c:radarChart>
        <c:radarStyle val="marker"/>
        <c:varyColors val="0"/>
        <c:ser>
          <c:idx val="0"/>
          <c:order val="0"/>
          <c:tx>
            <c:strRef>
              <c:f>TI!$W$24</c:f>
              <c:strCache>
                <c:ptCount val="1"/>
                <c:pt idx="0">
                  <c:v>Telecom Italia</c:v>
                </c:pt>
              </c:strCache>
            </c:strRef>
          </c:tx>
          <c:spPr>
            <a:ln w="25400">
              <a:solidFill>
                <a:srgbClr val="263238"/>
              </a:solidFill>
              <a:prstDash val="solid"/>
            </a:ln>
            <a:effectLst/>
          </c:spPr>
          <c:marker>
            <c:symbol val="diamond"/>
            <c:size val="6"/>
            <c:spPr>
              <a:solidFill>
                <a:srgbClr val="263238"/>
              </a:solidFill>
              <a:ln w="6350">
                <a:noFill/>
              </a:ln>
            </c:spPr>
          </c:marker>
          <c:cat>
            <c:strRef>
              <c:f>TI!$V$25:$V$34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TI!$W$25:$W$34</c:f>
              <c:numCache>
                <c:formatCode>0%</c:formatCode>
                <c:ptCount val="10"/>
                <c:pt idx="0">
                  <c:v>0.85359071067229986</c:v>
                </c:pt>
                <c:pt idx="1">
                  <c:v>0.85264548107493066</c:v>
                </c:pt>
                <c:pt idx="2">
                  <c:v>1.659160897277832</c:v>
                </c:pt>
                <c:pt idx="3">
                  <c:v>1.7157302836395463</c:v>
                </c:pt>
                <c:pt idx="4">
                  <c:v>0.55824810001862724</c:v>
                </c:pt>
                <c:pt idx="5">
                  <c:v>0.65197257856761714</c:v>
                </c:pt>
                <c:pt idx="6">
                  <c:v>-0.5503129387250717</c:v>
                </c:pt>
                <c:pt idx="7">
                  <c:v>-0.52242680227020577</c:v>
                </c:pt>
                <c:pt idx="8">
                  <c:v>0</c:v>
                </c:pt>
                <c:pt idx="9">
                  <c:v>-1.8171478982789921</c:v>
                </c:pt>
              </c:numCache>
            </c:numRef>
          </c:val>
          <c:extLst>
            <c:ext xmlns:c16="http://schemas.microsoft.com/office/drawing/2014/chart" uri="{C3380CC4-5D6E-409C-BE32-E72D297353CC}">
              <c16:uniqueId val="{00000000-609A-4971-9BF9-90E4D69A1A33}"/>
            </c:ext>
          </c:extLst>
        </c:ser>
        <c:ser>
          <c:idx val="1"/>
          <c:order val="1"/>
          <c:tx>
            <c:strRef>
              <c:f>TI!$X$24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9A-4971-9BF9-90E4D69A1A33}"/>
            </c:ext>
          </c:extLst>
        </c:ser>
        <c:dLbls>
          <c:showLegendKey val="0"/>
          <c:showVal val="0"/>
          <c:showCatName val="0"/>
          <c:showSerName val="0"/>
          <c:showPercent val="0"/>
          <c:showBubbleSize val="0"/>
        </c:dLbls>
        <c:axId val="328339840"/>
        <c:axId val="328341760"/>
      </c:radarChart>
      <c:catAx>
        <c:axId val="3283398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8341760"/>
        <c:crosses val="autoZero"/>
        <c:auto val="0"/>
        <c:lblAlgn val="ctr"/>
        <c:lblOffset val="100"/>
        <c:noMultiLvlLbl val="0"/>
      </c:catAx>
      <c:valAx>
        <c:axId val="3283417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83398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4680456031515"/>
          <c:y val="9.8461686390754782E-2"/>
          <c:w val="0.4153229895048976"/>
          <c:h val="0.63384710614048612"/>
        </c:manualLayout>
      </c:layout>
      <c:radarChart>
        <c:radarStyle val="marker"/>
        <c:varyColors val="0"/>
        <c:ser>
          <c:idx val="0"/>
          <c:order val="0"/>
          <c:tx>
            <c:strRef>
              <c:f>TIMP!$W$24</c:f>
              <c:strCache>
                <c:ptCount val="1"/>
                <c:pt idx="0">
                  <c:v>TIM Part</c:v>
                </c:pt>
              </c:strCache>
            </c:strRef>
          </c:tx>
          <c:spPr>
            <a:ln w="25400">
              <a:solidFill>
                <a:srgbClr val="263238"/>
              </a:solidFill>
              <a:prstDash val="solid"/>
            </a:ln>
            <a:effectLst/>
          </c:spPr>
          <c:marker>
            <c:symbol val="diamond"/>
            <c:size val="6"/>
            <c:spPr>
              <a:solidFill>
                <a:srgbClr val="263238"/>
              </a:solidFill>
              <a:ln w="6350">
                <a:noFill/>
              </a:ln>
            </c:spPr>
          </c:marker>
          <c:cat>
            <c:strRef>
              <c:f>TIMP!$V$25:$V$34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TIMP!$W$25:$W$34</c:f>
              <c:numCache>
                <c:formatCode>0%</c:formatCode>
                <c:ptCount val="10"/>
                <c:pt idx="0">
                  <c:v>0.88042270995263217</c:v>
                </c:pt>
                <c:pt idx="1">
                  <c:v>0.71855181144889912</c:v>
                </c:pt>
                <c:pt idx="2">
                  <c:v>0.67452383518266534</c:v>
                </c:pt>
                <c:pt idx="3">
                  <c:v>0.61128939660055204</c:v>
                </c:pt>
                <c:pt idx="4">
                  <c:v>0.60933436329473833</c:v>
                </c:pt>
                <c:pt idx="5">
                  <c:v>1.403744835395512</c:v>
                </c:pt>
                <c:pt idx="6">
                  <c:v>0.72476286664411471</c:v>
                </c:pt>
                <c:pt idx="7">
                  <c:v>1.069863717751768</c:v>
                </c:pt>
                <c:pt idx="8">
                  <c:v>1.7930476553012191</c:v>
                </c:pt>
                <c:pt idx="9">
                  <c:v>1.3797616379414164</c:v>
                </c:pt>
              </c:numCache>
            </c:numRef>
          </c:val>
          <c:extLst>
            <c:ext xmlns:c16="http://schemas.microsoft.com/office/drawing/2014/chart" uri="{C3380CC4-5D6E-409C-BE32-E72D297353CC}">
              <c16:uniqueId val="{00000000-F1D2-4F28-A88D-F2B50EF8A0A8}"/>
            </c:ext>
          </c:extLst>
        </c:ser>
        <c:ser>
          <c:idx val="1"/>
          <c:order val="1"/>
          <c:tx>
            <c:strRef>
              <c:f>TIMP!$X$24</c:f>
              <c:strCache>
                <c:ptCount val="1"/>
                <c:pt idx="0">
                  <c:v>Agg. LatAm Cellular</c:v>
                </c:pt>
              </c:strCache>
            </c:strRef>
          </c:tx>
          <c:spPr>
            <a:ln w="25400">
              <a:solidFill>
                <a:srgbClr val="799098"/>
              </a:solidFill>
              <a:prstDash val="solid"/>
            </a:ln>
            <a:effectLst/>
          </c:spPr>
          <c:marker>
            <c:symbol val="diamond"/>
            <c:size val="6"/>
            <c:spPr>
              <a:solidFill>
                <a:srgbClr val="799098"/>
              </a:solidFill>
              <a:ln w="6350">
                <a:noFill/>
              </a:ln>
            </c:spPr>
          </c:marker>
          <c:cat>
            <c:strRef>
              <c:f>TIMP!$V$25:$V$34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TIMP!$X$25:$X$34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1D2-4F28-A88D-F2B50EF8A0A8}"/>
            </c:ext>
          </c:extLst>
        </c:ser>
        <c:dLbls>
          <c:showLegendKey val="0"/>
          <c:showVal val="0"/>
          <c:showCatName val="0"/>
          <c:showSerName val="0"/>
          <c:showPercent val="0"/>
          <c:showBubbleSize val="0"/>
        </c:dLbls>
        <c:axId val="330645888"/>
        <c:axId val="330647808"/>
      </c:radarChart>
      <c:catAx>
        <c:axId val="3306458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0647808"/>
        <c:crosses val="autoZero"/>
        <c:auto val="0"/>
        <c:lblAlgn val="ctr"/>
        <c:lblOffset val="100"/>
        <c:noMultiLvlLbl val="0"/>
      </c:catAx>
      <c:valAx>
        <c:axId val="3306478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06458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7601285258978"/>
          <c:y val="7.1428679743121323E-2"/>
          <c:w val="0.46527659928792636"/>
          <c:h val="0.73507144877120267"/>
        </c:manualLayout>
      </c:layout>
      <c:radarChart>
        <c:radarStyle val="marker"/>
        <c:varyColors val="0"/>
        <c:ser>
          <c:idx val="0"/>
          <c:order val="0"/>
          <c:tx>
            <c:strRef>
              <c:f>TKC!$W$24</c:f>
              <c:strCache>
                <c:ptCount val="1"/>
                <c:pt idx="0">
                  <c:v>TKC</c:v>
                </c:pt>
              </c:strCache>
            </c:strRef>
          </c:tx>
          <c:spPr>
            <a:ln w="25400">
              <a:solidFill>
                <a:srgbClr val="263238"/>
              </a:solidFill>
              <a:prstDash val="solid"/>
            </a:ln>
            <a:effectLst/>
          </c:spPr>
          <c:marker>
            <c:symbol val="diamond"/>
            <c:size val="6"/>
            <c:spPr>
              <a:solidFill>
                <a:srgbClr val="263238"/>
              </a:solidFill>
              <a:ln w="6350">
                <a:noFill/>
              </a:ln>
            </c:spPr>
          </c:marker>
          <c:cat>
            <c:strRef>
              <c:f>TKC!$V$25:$V$34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TKC!$W$25:$W$34</c:f>
              <c:numCache>
                <c:formatCode>0%</c:formatCode>
                <c:ptCount val="10"/>
                <c:pt idx="0">
                  <c:v>1.9572850273515325</c:v>
                </c:pt>
                <c:pt idx="1">
                  <c:v>2.0735557141652818</c:v>
                </c:pt>
                <c:pt idx="2">
                  <c:v>1.7342512518094386</c:v>
                </c:pt>
                <c:pt idx="3">
                  <c:v>1.7378151168417661</c:v>
                </c:pt>
                <c:pt idx="4">
                  <c:v>2.2461870001156332</c:v>
                </c:pt>
                <c:pt idx="5">
                  <c:v>2.8082550860117599</c:v>
                </c:pt>
                <c:pt idx="6">
                  <c:v>0.80624052060870155</c:v>
                </c:pt>
                <c:pt idx="7">
                  <c:v>1.234367382412759</c:v>
                </c:pt>
                <c:pt idx="8">
                  <c:v>1.0102674020886164</c:v>
                </c:pt>
                <c:pt idx="9">
                  <c:v>1.2403246604933877</c:v>
                </c:pt>
              </c:numCache>
            </c:numRef>
          </c:val>
          <c:extLst>
            <c:ext xmlns:c16="http://schemas.microsoft.com/office/drawing/2014/chart" uri="{C3380CC4-5D6E-409C-BE32-E72D297353CC}">
              <c16:uniqueId val="{00000000-E8DB-48F6-B8FA-E3011F575236}"/>
            </c:ext>
          </c:extLst>
        </c:ser>
        <c:ser>
          <c:idx val="1"/>
          <c:order val="1"/>
          <c:tx>
            <c:strRef>
              <c:f>TKC!$X$24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TKC!$V$25:$V$34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TKC!$X$25:$X$34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8DB-48F6-B8FA-E3011F575236}"/>
            </c:ext>
          </c:extLst>
        </c:ser>
        <c:dLbls>
          <c:showLegendKey val="0"/>
          <c:showVal val="0"/>
          <c:showCatName val="0"/>
          <c:showSerName val="0"/>
          <c:showPercent val="0"/>
          <c:showBubbleSize val="0"/>
        </c:dLbls>
        <c:axId val="333955456"/>
        <c:axId val="333957376"/>
      </c:radarChart>
      <c:catAx>
        <c:axId val="3339554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3957376"/>
        <c:crosses val="autoZero"/>
        <c:auto val="0"/>
        <c:lblAlgn val="ctr"/>
        <c:lblOffset val="100"/>
        <c:noMultiLvlLbl val="0"/>
      </c:catAx>
      <c:valAx>
        <c:axId val="3339573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39554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TLS!$W$24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TLS!$V$25:$V$34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TLS!$W$25:$W$34</c:f>
              <c:numCache>
                <c:formatCode>0%</c:formatCode>
                <c:ptCount val="10"/>
                <c:pt idx="0">
                  <c:v>1.5124547403271731</c:v>
                </c:pt>
                <c:pt idx="1">
                  <c:v>1.2301989411192342</c:v>
                </c:pt>
                <c:pt idx="2">
                  <c:v>0.7374330088290254</c:v>
                </c:pt>
                <c:pt idx="3">
                  <c:v>0.78373403811533293</c:v>
                </c:pt>
                <c:pt idx="4">
                  <c:v>1.4410184824953181</c:v>
                </c:pt>
                <c:pt idx="5">
                  <c:v>1.6196783270939321</c:v>
                </c:pt>
                <c:pt idx="6">
                  <c:v>0.64266209588308676</c:v>
                </c:pt>
                <c:pt idx="7">
                  <c:v>1.1322847666867497</c:v>
                </c:pt>
                <c:pt idx="8">
                  <c:v>0.89459731480460536</c:v>
                </c:pt>
                <c:pt idx="9">
                  <c:v>1.5560276643138451</c:v>
                </c:pt>
              </c:numCache>
            </c:numRef>
          </c:val>
          <c:extLst>
            <c:ext xmlns:c16="http://schemas.microsoft.com/office/drawing/2014/chart" uri="{C3380CC4-5D6E-409C-BE32-E72D297353CC}">
              <c16:uniqueId val="{00000000-7AF3-410F-84AC-A3209BFAE2F8}"/>
            </c:ext>
          </c:extLst>
        </c:ser>
        <c:ser>
          <c:idx val="1"/>
          <c:order val="1"/>
          <c:tx>
            <c:strRef>
              <c:f>TLS!$X$24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TLS!$V$25:$V$34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TLS!$X$25:$X$34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AF3-410F-84AC-A3209BFAE2F8}"/>
            </c:ext>
          </c:extLst>
        </c:ser>
        <c:dLbls>
          <c:showLegendKey val="0"/>
          <c:showVal val="0"/>
          <c:showCatName val="0"/>
          <c:showSerName val="0"/>
          <c:showPercent val="0"/>
          <c:showBubbleSize val="0"/>
        </c:dLbls>
        <c:axId val="334758272"/>
        <c:axId val="334760192"/>
      </c:radarChart>
      <c:catAx>
        <c:axId val="3347582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4760192"/>
        <c:crosses val="autoZero"/>
        <c:auto val="0"/>
        <c:lblAlgn val="ctr"/>
        <c:lblOffset val="100"/>
        <c:noMultiLvlLbl val="0"/>
      </c:catAx>
      <c:valAx>
        <c:axId val="3347601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47582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39220264385214"/>
          <c:y val="9.0909230060415333E-2"/>
          <c:w val="0.45248191547883698"/>
          <c:h val="0.72225897325960065"/>
        </c:manualLayout>
      </c:layout>
      <c:radarChart>
        <c:radarStyle val="marker"/>
        <c:varyColors val="0"/>
        <c:ser>
          <c:idx val="0"/>
          <c:order val="0"/>
          <c:tx>
            <c:strRef>
              <c:f>TKG!$W$24</c:f>
              <c:strCache>
                <c:ptCount val="1"/>
                <c:pt idx="0">
                  <c:v>TKG</c:v>
                </c:pt>
              </c:strCache>
            </c:strRef>
          </c:tx>
          <c:spPr>
            <a:ln w="25400">
              <a:solidFill>
                <a:srgbClr val="263238"/>
              </a:solidFill>
              <a:prstDash val="solid"/>
            </a:ln>
            <a:effectLst/>
          </c:spPr>
          <c:marker>
            <c:symbol val="diamond"/>
            <c:size val="6"/>
            <c:spPr>
              <a:solidFill>
                <a:srgbClr val="263238"/>
              </a:solidFill>
              <a:ln w="6350">
                <a:noFill/>
              </a:ln>
            </c:spPr>
          </c:marker>
          <c:cat>
            <c:strRef>
              <c:f>TKG!$V$25:$V$34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TKG!$W$25:$W$34</c:f>
              <c:numCache>
                <c:formatCode>0%</c:formatCode>
                <c:ptCount val="10"/>
                <c:pt idx="0">
                  <c:v>1</c:v>
                </c:pt>
                <c:pt idx="1">
                  <c:v>1</c:v>
                </c:pt>
                <c:pt idx="2">
                  <c:v>1</c:v>
                </c:pt>
                <c:pt idx="3">
                  <c:v>1</c:v>
                </c:pt>
                <c:pt idx="4">
                  <c:v>1</c:v>
                </c:pt>
                <c:pt idx="5">
                  <c:v>0.99999999999999989</c:v>
                </c:pt>
                <c:pt idx="6">
                  <c:v>1.0000000000000002</c:v>
                </c:pt>
                <c:pt idx="7">
                  <c:v>1.0000000000000002</c:v>
                </c:pt>
                <c:pt idx="8">
                  <c:v>1</c:v>
                </c:pt>
                <c:pt idx="9">
                  <c:v>0.99999999999999989</c:v>
                </c:pt>
              </c:numCache>
            </c:numRef>
          </c:val>
          <c:extLst>
            <c:ext xmlns:c16="http://schemas.microsoft.com/office/drawing/2014/chart" uri="{C3380CC4-5D6E-409C-BE32-E72D297353CC}">
              <c16:uniqueId val="{00000000-07CF-44F8-B2B2-ABC37BDAAB80}"/>
            </c:ext>
          </c:extLst>
        </c:ser>
        <c:ser>
          <c:idx val="1"/>
          <c:order val="1"/>
          <c:tx>
            <c:strRef>
              <c:f>TKG!$X$24</c:f>
              <c:strCache>
                <c:ptCount val="1"/>
                <c:pt idx="0">
                  <c:v>Agg. EMEA Incumbent</c:v>
                </c:pt>
              </c:strCache>
            </c:strRef>
          </c:tx>
          <c:spPr>
            <a:ln w="25400">
              <a:solidFill>
                <a:srgbClr val="799098"/>
              </a:solidFill>
              <a:prstDash val="solid"/>
            </a:ln>
            <a:effectLst/>
          </c:spPr>
          <c:marker>
            <c:symbol val="diamond"/>
            <c:size val="6"/>
            <c:spPr>
              <a:solidFill>
                <a:srgbClr val="799098"/>
              </a:solidFill>
              <a:ln w="6350">
                <a:noFill/>
              </a:ln>
            </c:spPr>
          </c:marker>
          <c:cat>
            <c:strRef>
              <c:f>TKG!$V$25:$V$34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TKG!$X$25:$X$34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7CF-44F8-B2B2-ABC37BDAAB80}"/>
            </c:ext>
          </c:extLst>
        </c:ser>
        <c:dLbls>
          <c:showLegendKey val="0"/>
          <c:showVal val="0"/>
          <c:showCatName val="0"/>
          <c:showSerName val="0"/>
          <c:showPercent val="0"/>
          <c:showBubbleSize val="0"/>
        </c:dLbls>
        <c:axId val="335221120"/>
        <c:axId val="335223040"/>
      </c:radarChart>
      <c:catAx>
        <c:axId val="33522112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5223040"/>
        <c:crosses val="autoZero"/>
        <c:auto val="0"/>
        <c:lblAlgn val="ctr"/>
        <c:lblOffset val="100"/>
        <c:noMultiLvlLbl val="0"/>
      </c:catAx>
      <c:valAx>
        <c:axId val="3352230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522112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TMUS!$W$24</c:f>
              <c:strCache>
                <c:ptCount val="1"/>
                <c:pt idx="0">
                  <c:v>TMUS</c:v>
                </c:pt>
              </c:strCache>
            </c:strRef>
          </c:tx>
          <c:spPr>
            <a:ln w="25400">
              <a:solidFill>
                <a:srgbClr val="263238"/>
              </a:solidFill>
              <a:prstDash val="solid"/>
            </a:ln>
            <a:effectLst/>
          </c:spPr>
          <c:marker>
            <c:symbol val="diamond"/>
            <c:size val="6"/>
            <c:spPr>
              <a:solidFill>
                <a:srgbClr val="263238"/>
              </a:solidFill>
              <a:ln w="6350">
                <a:noFill/>
              </a:ln>
            </c:spPr>
          </c:marker>
          <c:cat>
            <c:strRef>
              <c:f>TMUS!$V$25:$V$34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TMUS!$W$25:$W$34</c:f>
              <c:numCache>
                <c:formatCode>0%</c:formatCode>
                <c:ptCount val="10"/>
                <c:pt idx="0">
                  <c:v>1.4665004000406683</c:v>
                </c:pt>
                <c:pt idx="1">
                  <c:v>1.4220485546390857</c:v>
                </c:pt>
                <c:pt idx="2">
                  <c:v>1.2145151625217825</c:v>
                </c:pt>
                <c:pt idx="3">
                  <c:v>1.1901618120882254</c:v>
                </c:pt>
                <c:pt idx="4">
                  <c:v>1.5716022203275339</c:v>
                </c:pt>
                <c:pt idx="5">
                  <c:v>2.2188194444845144</c:v>
                </c:pt>
                <c:pt idx="6">
                  <c:v>1.4048227941238018</c:v>
                </c:pt>
                <c:pt idx="7">
                  <c:v>2.2058513382037934</c:v>
                </c:pt>
                <c:pt idx="8">
                  <c:v>9.0651523788538704E-2</c:v>
                </c:pt>
                <c:pt idx="9">
                  <c:v>0.71183355237605428</c:v>
                </c:pt>
              </c:numCache>
            </c:numRef>
          </c:val>
          <c:extLst>
            <c:ext xmlns:c16="http://schemas.microsoft.com/office/drawing/2014/chart" uri="{C3380CC4-5D6E-409C-BE32-E72D297353CC}">
              <c16:uniqueId val="{00000000-601E-4302-A79B-50F28FBE3E97}"/>
            </c:ext>
          </c:extLst>
        </c:ser>
        <c:ser>
          <c:idx val="1"/>
          <c:order val="1"/>
          <c:tx>
            <c:strRef>
              <c:f>TMUS!$X$24</c:f>
              <c:strCache>
                <c:ptCount val="1"/>
                <c:pt idx="0">
                  <c:v>Agg. US Telco</c:v>
                </c:pt>
              </c:strCache>
            </c:strRef>
          </c:tx>
          <c:spPr>
            <a:ln w="25400">
              <a:solidFill>
                <a:srgbClr val="799098"/>
              </a:solidFill>
              <a:prstDash val="solid"/>
            </a:ln>
            <a:effectLst/>
          </c:spPr>
          <c:marker>
            <c:symbol val="diamond"/>
            <c:size val="6"/>
            <c:spPr>
              <a:solidFill>
                <a:srgbClr val="799098"/>
              </a:solidFill>
              <a:ln w="6350">
                <a:noFill/>
              </a:ln>
            </c:spPr>
          </c:marker>
          <c:cat>
            <c:strRef>
              <c:f>TMUS!$V$25:$V$34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TMUS!$X$25:$X$34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1E-4302-A79B-50F28FBE3E97}"/>
            </c:ext>
          </c:extLst>
        </c:ser>
        <c:dLbls>
          <c:showLegendKey val="0"/>
          <c:showVal val="0"/>
          <c:showCatName val="0"/>
          <c:showSerName val="0"/>
          <c:showPercent val="0"/>
          <c:showBubbleSize val="0"/>
        </c:dLbls>
        <c:axId val="335634816"/>
        <c:axId val="335636736"/>
      </c:radarChart>
      <c:catAx>
        <c:axId val="33563481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5636736"/>
        <c:crosses val="autoZero"/>
        <c:auto val="0"/>
        <c:lblAlgn val="ctr"/>
        <c:lblOffset val="100"/>
        <c:noMultiLvlLbl val="0"/>
      </c:catAx>
      <c:valAx>
        <c:axId val="33563673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563481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34554580785157"/>
          <c:y val="0.11598763835294353"/>
          <c:w val="0.46691318145876082"/>
          <c:h val="0.70360102627051246"/>
        </c:manualLayout>
      </c:layout>
      <c:radarChart>
        <c:radarStyle val="marker"/>
        <c:varyColors val="0"/>
        <c:ser>
          <c:idx val="0"/>
          <c:order val="0"/>
          <c:tx>
            <c:strRef>
              <c:f>TNOR!$W$24</c:f>
              <c:strCache>
                <c:ptCount val="1"/>
                <c:pt idx="0">
                  <c:v>Telenor</c:v>
                </c:pt>
              </c:strCache>
            </c:strRef>
          </c:tx>
          <c:spPr>
            <a:ln w="25400">
              <a:solidFill>
                <a:srgbClr val="263238"/>
              </a:solidFill>
              <a:prstDash val="solid"/>
            </a:ln>
            <a:effectLst/>
          </c:spPr>
          <c:marker>
            <c:symbol val="diamond"/>
            <c:size val="6"/>
            <c:spPr>
              <a:solidFill>
                <a:srgbClr val="263238"/>
              </a:solidFill>
              <a:ln w="6350">
                <a:noFill/>
              </a:ln>
            </c:spPr>
          </c:marker>
          <c:cat>
            <c:strRef>
              <c:f>TNOR!$V$25:$V$34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TNOR!$W$25:$W$34</c:f>
              <c:numCache>
                <c:formatCode>0%</c:formatCode>
                <c:ptCount val="10"/>
                <c:pt idx="0">
                  <c:v>1.2770077638365347</c:v>
                </c:pt>
                <c:pt idx="1">
                  <c:v>0.98894028428538838</c:v>
                </c:pt>
                <c:pt idx="2">
                  <c:v>0.76201833136099162</c:v>
                </c:pt>
                <c:pt idx="3">
                  <c:v>0.72839439308552956</c:v>
                </c:pt>
                <c:pt idx="4">
                  <c:v>1.0672778603038482</c:v>
                </c:pt>
                <c:pt idx="5">
                  <c:v>1.4072202647191225</c:v>
                </c:pt>
                <c:pt idx="6">
                  <c:v>15.335019470007158</c:v>
                </c:pt>
                <c:pt idx="7">
                  <c:v>-3.8795953431090879</c:v>
                </c:pt>
                <c:pt idx="8">
                  <c:v>1.5968861561908096</c:v>
                </c:pt>
                <c:pt idx="9">
                  <c:v>6.5210220434075081E-2</c:v>
                </c:pt>
              </c:numCache>
            </c:numRef>
          </c:val>
          <c:extLst>
            <c:ext xmlns:c16="http://schemas.microsoft.com/office/drawing/2014/chart" uri="{C3380CC4-5D6E-409C-BE32-E72D297353CC}">
              <c16:uniqueId val="{00000000-F9FF-4CFA-9194-A8610C59F79B}"/>
            </c:ext>
          </c:extLst>
        </c:ser>
        <c:ser>
          <c:idx val="1"/>
          <c:order val="1"/>
          <c:tx>
            <c:strRef>
              <c:f>TNOR!$X$24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TNOR!$V$25:$V$34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TNOR!$X$25:$X$34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9FF-4CFA-9194-A8610C59F79B}"/>
            </c:ext>
          </c:extLst>
        </c:ser>
        <c:dLbls>
          <c:showLegendKey val="0"/>
          <c:showVal val="0"/>
          <c:showCatName val="0"/>
          <c:showSerName val="0"/>
          <c:showPercent val="0"/>
          <c:showBubbleSize val="0"/>
        </c:dLbls>
        <c:axId val="336265600"/>
        <c:axId val="336267520"/>
      </c:radarChart>
      <c:catAx>
        <c:axId val="3362656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6267520"/>
        <c:crosses val="autoZero"/>
        <c:auto val="0"/>
        <c:lblAlgn val="ctr"/>
        <c:lblOffset val="100"/>
        <c:noMultiLvlLbl val="0"/>
      </c:catAx>
      <c:valAx>
        <c:axId val="3362675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62656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TOWR!$W$24</c:f>
              <c:strCache>
                <c:ptCount val="1"/>
                <c:pt idx="0">
                  <c:v>TOWR</c:v>
                </c:pt>
              </c:strCache>
            </c:strRef>
          </c:tx>
          <c:spPr>
            <a:ln w="25400">
              <a:solidFill>
                <a:srgbClr val="263238"/>
              </a:solidFill>
              <a:prstDash val="solid"/>
            </a:ln>
            <a:effectLst/>
          </c:spPr>
          <c:marker>
            <c:symbol val="diamond"/>
            <c:size val="6"/>
            <c:spPr>
              <a:solidFill>
                <a:srgbClr val="263238"/>
              </a:solidFill>
              <a:ln w="6350">
                <a:noFill/>
              </a:ln>
            </c:spPr>
          </c:marker>
          <c:cat>
            <c:strRef>
              <c:f>TOWR!$V$25:$V$34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TOWR!$W$25:$W$34</c:f>
              <c:numCache>
                <c:formatCode>0%</c:formatCode>
                <c:ptCount val="10"/>
                <c:pt idx="0">
                  <c:v>2.3285078501828664</c:v>
                </c:pt>
                <c:pt idx="1">
                  <c:v>1.8063525759224794</c:v>
                </c:pt>
                <c:pt idx="2">
                  <c:v>1.8626040754664885</c:v>
                </c:pt>
                <c:pt idx="3">
                  <c:v>2.223728931341336</c:v>
                </c:pt>
                <c:pt idx="4">
                  <c:v>1.0892283633854101</c:v>
                </c:pt>
                <c:pt idx="5">
                  <c:v>1.1103489099594714</c:v>
                </c:pt>
                <c:pt idx="6">
                  <c:v>1.9285671902434438</c:v>
                </c:pt>
                <c:pt idx="7">
                  <c:v>0.85043237758982537</c:v>
                </c:pt>
                <c:pt idx="8" formatCode="General">
                  <c:v>1.1187893834861014</c:v>
                </c:pt>
                <c:pt idx="9">
                  <c:v>0.46734719449535245</c:v>
                </c:pt>
              </c:numCache>
            </c:numRef>
          </c:val>
          <c:extLst>
            <c:ext xmlns:c16="http://schemas.microsoft.com/office/drawing/2014/chart" uri="{C3380CC4-5D6E-409C-BE32-E72D297353CC}">
              <c16:uniqueId val="{00000000-7757-4063-B770-3B38CA3B7A81}"/>
            </c:ext>
          </c:extLst>
        </c:ser>
        <c:ser>
          <c:idx val="1"/>
          <c:order val="1"/>
          <c:tx>
            <c:strRef>
              <c:f>TOWR!$X$24</c:f>
              <c:strCache>
                <c:ptCount val="1"/>
                <c:pt idx="0">
                  <c:v>Agg. EM Tower</c:v>
                </c:pt>
              </c:strCache>
            </c:strRef>
          </c:tx>
          <c:spPr>
            <a:ln w="25400">
              <a:solidFill>
                <a:srgbClr val="799098"/>
              </a:solidFill>
              <a:prstDash val="solid"/>
            </a:ln>
            <a:effectLst/>
          </c:spPr>
          <c:marker>
            <c:symbol val="diamond"/>
            <c:size val="6"/>
            <c:spPr>
              <a:solidFill>
                <a:srgbClr val="799098"/>
              </a:solidFill>
              <a:ln w="6350">
                <a:noFill/>
              </a:ln>
            </c:spPr>
          </c:marker>
          <c:cat>
            <c:strRef>
              <c:f>TOWR!$V$25:$V$34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TOWR!$X$25:$X$34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757-4063-B770-3B38CA3B7A81}"/>
            </c:ext>
          </c:extLst>
        </c:ser>
        <c:dLbls>
          <c:showLegendKey val="0"/>
          <c:showVal val="0"/>
          <c:showCatName val="0"/>
          <c:showSerName val="0"/>
          <c:showPercent val="0"/>
          <c:showBubbleSize val="0"/>
        </c:dLbls>
        <c:axId val="337879424"/>
        <c:axId val="337881344"/>
      </c:radarChart>
      <c:catAx>
        <c:axId val="3378794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881344"/>
        <c:crosses val="autoZero"/>
        <c:auto val="0"/>
        <c:lblAlgn val="ctr"/>
        <c:lblOffset val="100"/>
        <c:noMultiLvlLbl val="0"/>
      </c:catAx>
      <c:valAx>
        <c:axId val="33788134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8794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TPG!$W$24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TPG!$V$25:$V$34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TPG!$W$25:$W$34</c:f>
              <c:numCache>
                <c:formatCode>0%</c:formatCode>
                <c:ptCount val="10"/>
                <c:pt idx="0">
                  <c:v>1.1168192763585467</c:v>
                </c:pt>
                <c:pt idx="1">
                  <c:v>1.0989736823707166</c:v>
                </c:pt>
                <c:pt idx="2">
                  <c:v>1.0762336730813509</c:v>
                </c:pt>
                <c:pt idx="3">
                  <c:v>1.116855069095553</c:v>
                </c:pt>
                <c:pt idx="4">
                  <c:v>0.67123769545528977</c:v>
                </c:pt>
                <c:pt idx="5">
                  <c:v>0.7305941016578702</c:v>
                </c:pt>
                <c:pt idx="6">
                  <c:v>1.8116801359139691</c:v>
                </c:pt>
                <c:pt idx="7">
                  <c:v>0.72446987872887558</c:v>
                </c:pt>
                <c:pt idx="8">
                  <c:v>0.65715851700823857</c:v>
                </c:pt>
                <c:pt idx="9">
                  <c:v>0.55197381710845606</c:v>
                </c:pt>
              </c:numCache>
            </c:numRef>
          </c:val>
          <c:extLst>
            <c:ext xmlns:c16="http://schemas.microsoft.com/office/drawing/2014/chart" uri="{C3380CC4-5D6E-409C-BE32-E72D297353CC}">
              <c16:uniqueId val="{00000000-9625-4429-B2AE-CB428A052AC8}"/>
            </c:ext>
          </c:extLst>
        </c:ser>
        <c:ser>
          <c:idx val="1"/>
          <c:order val="1"/>
          <c:tx>
            <c:strRef>
              <c:f>TPG!$X$24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TPG!$V$25:$V$34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TPG!$X$25:$X$34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625-4429-B2AE-CB428A052AC8}"/>
            </c:ext>
          </c:extLst>
        </c:ser>
        <c:dLbls>
          <c:showLegendKey val="0"/>
          <c:showVal val="0"/>
          <c:showCatName val="0"/>
          <c:showSerName val="0"/>
          <c:showPercent val="0"/>
          <c:showBubbleSize val="0"/>
        </c:dLbls>
        <c:axId val="335335808"/>
        <c:axId val="335337728"/>
      </c:radarChart>
      <c:catAx>
        <c:axId val="3353358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5337728"/>
        <c:crosses val="autoZero"/>
        <c:auto val="0"/>
        <c:lblAlgn val="ctr"/>
        <c:lblOffset val="100"/>
        <c:noMultiLvlLbl val="0"/>
      </c:catAx>
      <c:valAx>
        <c:axId val="3353377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53358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3578356912288"/>
          <c:y val="0.15047044975517057"/>
          <c:w val="0.44758108577712102"/>
          <c:h val="0.69592583011766262"/>
        </c:manualLayout>
      </c:layout>
      <c:radarChart>
        <c:radarStyle val="marker"/>
        <c:varyColors val="0"/>
        <c:ser>
          <c:idx val="0"/>
          <c:order val="0"/>
          <c:tx>
            <c:strRef>
              <c:f>AXI!$W$24</c:f>
              <c:strCache>
                <c:ptCount val="1"/>
                <c:pt idx="0">
                  <c:v>AXI</c:v>
                </c:pt>
              </c:strCache>
            </c:strRef>
          </c:tx>
          <c:spPr>
            <a:ln w="25400">
              <a:solidFill>
                <a:srgbClr val="263238"/>
              </a:solidFill>
              <a:prstDash val="solid"/>
            </a:ln>
            <a:effectLst/>
          </c:spPr>
          <c:marker>
            <c:symbol val="diamond"/>
            <c:size val="6"/>
            <c:spPr>
              <a:solidFill>
                <a:srgbClr val="263238"/>
              </a:solidFill>
              <a:ln w="6350">
                <a:noFill/>
              </a:ln>
            </c:spPr>
          </c:marker>
          <c:cat>
            <c:strRef>
              <c:f>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AXI!$W$25:$W$34</c:f>
              <c:numCache>
                <c:formatCode>0%</c:formatCode>
                <c:ptCount val="10"/>
                <c:pt idx="0">
                  <c:v>0.86760860858065414</c:v>
                </c:pt>
                <c:pt idx="1">
                  <c:v>0.6302076586580011</c:v>
                </c:pt>
                <c:pt idx="2">
                  <c:v>0.81129105815398295</c:v>
                </c:pt>
                <c:pt idx="3">
                  <c:v>1.0385064673401365</c:v>
                </c:pt>
                <c:pt idx="4">
                  <c:v>0.47298273169495858</c:v>
                </c:pt>
                <c:pt idx="5">
                  <c:v>0.5419729952193898</c:v>
                </c:pt>
                <c:pt idx="6">
                  <c:v>0.30208501351560268</c:v>
                </c:pt>
                <c:pt idx="7">
                  <c:v>0.51051343712581676</c:v>
                </c:pt>
                <c:pt idx="8">
                  <c:v>1.0392434545013143</c:v>
                </c:pt>
                <c:pt idx="9">
                  <c:v>3.310326415608003</c:v>
                </c:pt>
              </c:numCache>
            </c:numRef>
          </c:val>
          <c:extLst>
            <c:ext xmlns:c16="http://schemas.microsoft.com/office/drawing/2014/chart" uri="{C3380CC4-5D6E-409C-BE32-E72D297353CC}">
              <c16:uniqueId val="{00000000-1C6E-4BEA-8EA4-7F373A644BFA}"/>
            </c:ext>
          </c:extLst>
        </c:ser>
        <c:ser>
          <c:idx val="1"/>
          <c:order val="1"/>
          <c:tx>
            <c:strRef>
              <c:f>AXI!$X$24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AXI!$X$25:$X$34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C6E-4BEA-8EA4-7F373A644BFA}"/>
            </c:ext>
          </c:extLst>
        </c:ser>
        <c:dLbls>
          <c:showLegendKey val="0"/>
          <c:showVal val="0"/>
          <c:showCatName val="0"/>
          <c:showSerName val="0"/>
          <c:showPercent val="0"/>
          <c:showBubbleSize val="0"/>
        </c:dLbls>
        <c:axId val="353657984"/>
        <c:axId val="353659904"/>
      </c:radarChart>
      <c:catAx>
        <c:axId val="3536579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659904"/>
        <c:crosses val="autoZero"/>
        <c:auto val="0"/>
        <c:lblAlgn val="ctr"/>
        <c:lblOffset val="100"/>
        <c:noMultiLvlLbl val="0"/>
      </c:catAx>
      <c:valAx>
        <c:axId val="35365990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657984"/>
        <c:crosses val="autoZero"/>
        <c:crossBetween val="between"/>
        <c:maj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TRUECORP!$W$24</c:f>
              <c:strCache>
                <c:ptCount val="1"/>
                <c:pt idx="0">
                  <c:v>TRUE</c:v>
                </c:pt>
              </c:strCache>
            </c:strRef>
          </c:tx>
          <c:spPr>
            <a:ln w="25400" cap="rnd">
              <a:solidFill>
                <a:srgbClr val="263238"/>
              </a:solidFill>
              <a:prstDash val="solid"/>
              <a:round/>
            </a:ln>
            <a:effectLst/>
          </c:spPr>
          <c:marker>
            <c:symbol val="diamond"/>
            <c:size val="6"/>
            <c:spPr>
              <a:solidFill>
                <a:srgbClr val="263238"/>
              </a:solidFill>
              <a:ln w="25400">
                <a:noFill/>
              </a:ln>
              <a:effectLst/>
            </c:spPr>
          </c:marker>
          <c:cat>
            <c:strRef>
              <c:f>TRUECORP!$V$25:$V$34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TRUECORP!$W$25:$W$34</c:f>
              <c:numCache>
                <c:formatCode>0%</c:formatCode>
                <c:ptCount val="10"/>
                <c:pt idx="0">
                  <c:v>1.979149402661915</c:v>
                </c:pt>
                <c:pt idx="1">
                  <c:v>1.5281269200164822</c:v>
                </c:pt>
                <c:pt idx="2">
                  <c:v>1.3980888327961252</c:v>
                </c:pt>
                <c:pt idx="3">
                  <c:v>0.94980546752166706</c:v>
                </c:pt>
                <c:pt idx="4">
                  <c:v>1.098831724462551</c:v>
                </c:pt>
                <c:pt idx="5">
                  <c:v>1.276016690976792</c:v>
                </c:pt>
                <c:pt idx="6">
                  <c:v>0.56551917958051323</c:v>
                </c:pt>
                <c:pt idx="7">
                  <c:v>-1.1012893106323132</c:v>
                </c:pt>
                <c:pt idx="8">
                  <c:v>0</c:v>
                </c:pt>
                <c:pt idx="9">
                  <c:v>1.7682866224657012</c:v>
                </c:pt>
              </c:numCache>
            </c:numRef>
          </c:val>
          <c:extLst>
            <c:ext xmlns:c16="http://schemas.microsoft.com/office/drawing/2014/chart" uri="{C3380CC4-5D6E-409C-BE32-E72D297353CC}">
              <c16:uniqueId val="{00000000-268C-4E98-9C69-8E550431CB8A}"/>
            </c:ext>
          </c:extLst>
        </c:ser>
        <c:ser>
          <c:idx val="1"/>
          <c:order val="1"/>
          <c:tx>
            <c:strRef>
              <c:f>TRUECORP!$X$24</c:f>
              <c:strCache>
                <c:ptCount val="1"/>
                <c:pt idx="0">
                  <c:v>Agg. Asia Cellular</c:v>
                </c:pt>
              </c:strCache>
            </c:strRef>
          </c:tx>
          <c:spPr>
            <a:ln w="25400" cap="rnd">
              <a:solidFill>
                <a:srgbClr val="799098"/>
              </a:solidFill>
              <a:prstDash val="solid"/>
              <a:round/>
            </a:ln>
            <a:effectLst/>
          </c:spPr>
          <c:marker>
            <c:symbol val="diamond"/>
            <c:size val="6"/>
            <c:spPr>
              <a:solidFill>
                <a:srgbClr val="799098"/>
              </a:solidFill>
              <a:ln w="25400">
                <a:noFill/>
              </a:ln>
              <a:effectLst/>
            </c:spPr>
          </c:marker>
          <c:cat>
            <c:strRef>
              <c:f>TRUECORP!$V$25:$V$34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TRUECORP!$X$25:$X$34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68C-4E98-9C69-8E550431CB8A}"/>
            </c:ext>
          </c:extLst>
        </c:ser>
        <c:dLbls>
          <c:showLegendKey val="0"/>
          <c:showVal val="0"/>
          <c:showCatName val="0"/>
          <c:showSerName val="0"/>
          <c:showPercent val="0"/>
          <c:showBubbleSize val="0"/>
        </c:dLbls>
        <c:axId val="185002447"/>
        <c:axId val="185002863"/>
      </c:radarChart>
      <c:catAx>
        <c:axId val="185002447"/>
        <c:scaling>
          <c:orientation val="minMax"/>
        </c:scaling>
        <c:delete val="0"/>
        <c:axPos val="b"/>
        <c:numFmt formatCode="General" sourceLinked="1"/>
        <c:majorTickMark val="none"/>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185002863"/>
        <c:crosses val="autoZero"/>
        <c:auto val="1"/>
        <c:lblAlgn val="ctr"/>
        <c:lblOffset val="100"/>
        <c:noMultiLvlLbl val="0"/>
      </c:catAx>
      <c:valAx>
        <c:axId val="185002863"/>
        <c:scaling>
          <c:orientation val="minMax"/>
        </c:scaling>
        <c:delete val="0"/>
        <c:axPos val="l"/>
        <c:numFmt formatCode="0%" sourceLinked="1"/>
        <c:majorTickMark val="none"/>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18500244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612929424585641"/>
          <c:y val="9.8461686390754782E-2"/>
          <c:w val="0.44153269272607876"/>
          <c:h val="0.67384716623672936"/>
        </c:manualLayout>
      </c:layout>
      <c:radarChart>
        <c:radarStyle val="marker"/>
        <c:varyColors val="0"/>
        <c:ser>
          <c:idx val="0"/>
          <c:order val="0"/>
          <c:tx>
            <c:strRef>
              <c:f>TVIS!$W$24</c:f>
              <c:strCache>
                <c:ptCount val="1"/>
                <c:pt idx="0">
                  <c:v>Televisa</c:v>
                </c:pt>
              </c:strCache>
            </c:strRef>
          </c:tx>
          <c:spPr>
            <a:ln w="25400">
              <a:solidFill>
                <a:srgbClr val="263238"/>
              </a:solidFill>
              <a:prstDash val="solid"/>
            </a:ln>
            <a:effectLst/>
          </c:spPr>
          <c:marker>
            <c:symbol val="diamond"/>
            <c:size val="6"/>
            <c:spPr>
              <a:solidFill>
                <a:srgbClr val="263238"/>
              </a:solidFill>
              <a:ln w="6350">
                <a:noFill/>
              </a:ln>
            </c:spPr>
          </c:marker>
          <c:cat>
            <c:strRef>
              <c:f>TVIS!$V$25:$V$34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TVIS!$W$25:$W$34</c:f>
              <c:numCache>
                <c:formatCode>0%</c:formatCode>
                <c:ptCount val="10"/>
                <c:pt idx="0">
                  <c:v>-7.3309304420051249E-2</c:v>
                </c:pt>
                <c:pt idx="1">
                  <c:v>-8.782115697623985E-2</c:v>
                </c:pt>
                <c:pt idx="2">
                  <c:v>-0.11817356228200224</c:v>
                </c:pt>
                <c:pt idx="3">
                  <c:v>-9.6773282346399994E-2</c:v>
                </c:pt>
                <c:pt idx="4">
                  <c:v>-3.5828490969965598E-2</c:v>
                </c:pt>
                <c:pt idx="5">
                  <c:v>-5.3295241171367892E-2</c:v>
                </c:pt>
                <c:pt idx="6">
                  <c:v>-8.18214497338456E-2</c:v>
                </c:pt>
                <c:pt idx="7">
                  <c:v>-0.87735570895932691</c:v>
                </c:pt>
                <c:pt idx="8">
                  <c:v>1.6464769143865876</c:v>
                </c:pt>
                <c:pt idx="9">
                  <c:v>-12.221734071601862</c:v>
                </c:pt>
              </c:numCache>
            </c:numRef>
          </c:val>
          <c:extLst>
            <c:ext xmlns:c16="http://schemas.microsoft.com/office/drawing/2014/chart" uri="{C3380CC4-5D6E-409C-BE32-E72D297353CC}">
              <c16:uniqueId val="{00000000-DD69-4E6E-9B61-D944CD0C277F}"/>
            </c:ext>
          </c:extLst>
        </c:ser>
        <c:ser>
          <c:idx val="1"/>
          <c:order val="1"/>
          <c:tx>
            <c:strRef>
              <c:f>TVIS!$X$24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TVIS!$V$25:$V$34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TVIS!$X$25:$X$34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D69-4E6E-9B61-D944CD0C277F}"/>
            </c:ext>
          </c:extLst>
        </c:ser>
        <c:dLbls>
          <c:showLegendKey val="0"/>
          <c:showVal val="0"/>
          <c:showCatName val="0"/>
          <c:showSerName val="0"/>
          <c:showPercent val="0"/>
          <c:showBubbleSize val="0"/>
        </c:dLbls>
        <c:axId val="337933056"/>
        <c:axId val="337934976"/>
      </c:radarChart>
      <c:catAx>
        <c:axId val="337933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934976"/>
        <c:crosses val="autoZero"/>
        <c:auto val="0"/>
        <c:lblAlgn val="ctr"/>
        <c:lblOffset val="100"/>
        <c:noMultiLvlLbl val="0"/>
      </c:catAx>
      <c:valAx>
        <c:axId val="337934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933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UTDI!$W$24</c:f>
              <c:strCache>
                <c:ptCount val="1"/>
                <c:pt idx="0">
                  <c:v>United Internet</c:v>
                </c:pt>
              </c:strCache>
            </c:strRef>
          </c:tx>
          <c:spPr>
            <a:ln w="25400">
              <a:solidFill>
                <a:srgbClr val="263238"/>
              </a:solidFill>
              <a:prstDash val="solid"/>
            </a:ln>
            <a:effectLst/>
          </c:spPr>
          <c:marker>
            <c:symbol val="diamond"/>
            <c:size val="6"/>
            <c:spPr>
              <a:solidFill>
                <a:srgbClr val="263238"/>
              </a:solidFill>
              <a:ln w="6350">
                <a:noFill/>
              </a:ln>
            </c:spPr>
          </c:marker>
          <c:cat>
            <c:strRef>
              <c:f>UTDI!$V$25:$V$34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UTDI!$W$25:$W$34</c:f>
              <c:numCache>
                <c:formatCode>0%</c:formatCode>
                <c:ptCount val="10"/>
                <c:pt idx="0">
                  <c:v>0.73500202059471187</c:v>
                </c:pt>
                <c:pt idx="1">
                  <c:v>1.6319489832420453</c:v>
                </c:pt>
                <c:pt idx="2">
                  <c:v>1.9546542240081217</c:v>
                </c:pt>
                <c:pt idx="3">
                  <c:v>1.970746744043997</c:v>
                </c:pt>
                <c:pt idx="4">
                  <c:v>1.2606760692690326</c:v>
                </c:pt>
                <c:pt idx="5">
                  <c:v>1.2759916247073178</c:v>
                </c:pt>
                <c:pt idx="6">
                  <c:v>-0.80053520447985727</c:v>
                </c:pt>
                <c:pt idx="7">
                  <c:v>0.51599732538959386</c:v>
                </c:pt>
                <c:pt idx="8">
                  <c:v>0.39660888491549334</c:v>
                </c:pt>
                <c:pt idx="9">
                  <c:v>-1.2491643020868068</c:v>
                </c:pt>
              </c:numCache>
            </c:numRef>
          </c:val>
          <c:extLst>
            <c:ext xmlns:c16="http://schemas.microsoft.com/office/drawing/2014/chart" uri="{C3380CC4-5D6E-409C-BE32-E72D297353CC}">
              <c16:uniqueId val="{00000000-A2A1-480A-B428-088982FF0DC4}"/>
            </c:ext>
          </c:extLst>
        </c:ser>
        <c:ser>
          <c:idx val="1"/>
          <c:order val="1"/>
          <c:tx>
            <c:strRef>
              <c:f>UTDI!$X$24</c:f>
              <c:strCache>
                <c:ptCount val="1"/>
                <c:pt idx="0">
                  <c:v>Agg.W.Eur Other</c:v>
                </c:pt>
              </c:strCache>
            </c:strRef>
          </c:tx>
          <c:spPr>
            <a:ln w="25400">
              <a:solidFill>
                <a:srgbClr val="799098"/>
              </a:solidFill>
              <a:prstDash val="solid"/>
            </a:ln>
            <a:effectLst/>
          </c:spPr>
          <c:marker>
            <c:symbol val="diamond"/>
            <c:size val="6"/>
            <c:spPr>
              <a:solidFill>
                <a:srgbClr val="799098"/>
              </a:solidFill>
              <a:ln w="6350">
                <a:noFill/>
              </a:ln>
            </c:spPr>
          </c:marker>
          <c:cat>
            <c:strRef>
              <c:f>UTDI!$V$25:$V$34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UTDI!$X$25:$X$34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2A1-480A-B428-088982FF0DC4}"/>
            </c:ext>
          </c:extLst>
        </c:ser>
        <c:dLbls>
          <c:showLegendKey val="0"/>
          <c:showVal val="0"/>
          <c:showCatName val="0"/>
          <c:showSerName val="0"/>
          <c:showPercent val="0"/>
          <c:showBubbleSize val="0"/>
        </c:dLbls>
        <c:axId val="338076416"/>
        <c:axId val="338078336"/>
      </c:radarChart>
      <c:catAx>
        <c:axId val="33807641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8078336"/>
        <c:crosses val="autoZero"/>
        <c:auto val="0"/>
        <c:lblAlgn val="ctr"/>
        <c:lblOffset val="100"/>
        <c:noMultiLvlLbl val="0"/>
      </c:catAx>
      <c:valAx>
        <c:axId val="33807833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807641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630802933930867"/>
          <c:y val="7.1874999999999994E-2"/>
          <c:w val="0.47628444005241982"/>
          <c:h val="0.7578179746838869"/>
        </c:manualLayout>
      </c:layout>
      <c:radarChart>
        <c:radarStyle val="marker"/>
        <c:varyColors val="0"/>
        <c:ser>
          <c:idx val="0"/>
          <c:order val="0"/>
          <c:tx>
            <c:strRef>
              <c:f>VIMP!$W$24</c:f>
              <c:strCache>
                <c:ptCount val="1"/>
                <c:pt idx="0">
                  <c:v>Vimpelcom</c:v>
                </c:pt>
              </c:strCache>
            </c:strRef>
          </c:tx>
          <c:spPr>
            <a:ln w="25400">
              <a:solidFill>
                <a:srgbClr val="263238"/>
              </a:solidFill>
              <a:prstDash val="solid"/>
            </a:ln>
            <a:effectLst/>
          </c:spPr>
          <c:marker>
            <c:symbol val="diamond"/>
            <c:size val="6"/>
            <c:spPr>
              <a:solidFill>
                <a:srgbClr val="263238"/>
              </a:solidFill>
              <a:ln w="6350">
                <a:noFill/>
              </a:ln>
            </c:spPr>
          </c:marker>
          <c:cat>
            <c:strRef>
              <c:f>VIMP!$V$25:$V$34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VIMP!$W$25:$W$34</c:f>
              <c:numCache>
                <c:formatCode>0%</c:formatCode>
                <c:ptCount val="10"/>
                <c:pt idx="0">
                  <c:v>4.2940711159952398</c:v>
                </c:pt>
                <c:pt idx="1">
                  <c:v>4.0465885711760796</c:v>
                </c:pt>
                <c:pt idx="2">
                  <c:v>3.3780987525482566</c:v>
                </c:pt>
                <c:pt idx="3">
                  <c:v>3.5583985837346916</c:v>
                </c:pt>
                <c:pt idx="4">
                  <c:v>3.9943448906329047</c:v>
                </c:pt>
                <c:pt idx="5">
                  <c:v>3.6710141063468318</c:v>
                </c:pt>
                <c:pt idx="6">
                  <c:v>2.4416727456588183</c:v>
                </c:pt>
                <c:pt idx="7">
                  <c:v>4.6586817944940835</c:v>
                </c:pt>
                <c:pt idx="8">
                  <c:v>0</c:v>
                </c:pt>
                <c:pt idx="9">
                  <c:v>0.40955529432760956</c:v>
                </c:pt>
              </c:numCache>
            </c:numRef>
          </c:val>
          <c:extLst>
            <c:ext xmlns:c16="http://schemas.microsoft.com/office/drawing/2014/chart" uri="{C3380CC4-5D6E-409C-BE32-E72D297353CC}">
              <c16:uniqueId val="{00000000-4D09-4B6E-9714-55D964586DDC}"/>
            </c:ext>
          </c:extLst>
        </c:ser>
        <c:ser>
          <c:idx val="1"/>
          <c:order val="1"/>
          <c:tx>
            <c:strRef>
              <c:f>VIMP!$X$24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VIMP!$V$25:$V$34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VIMP!$X$25:$X$34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D09-4B6E-9714-55D964586DDC}"/>
            </c:ext>
          </c:extLst>
        </c:ser>
        <c:dLbls>
          <c:showLegendKey val="0"/>
          <c:showVal val="0"/>
          <c:showCatName val="0"/>
          <c:showSerName val="0"/>
          <c:showPercent val="0"/>
          <c:showBubbleSize val="0"/>
        </c:dLbls>
        <c:axId val="341066496"/>
        <c:axId val="341068416"/>
      </c:radarChart>
      <c:catAx>
        <c:axId val="3410664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1068416"/>
        <c:crosses val="autoZero"/>
        <c:auto val="0"/>
        <c:lblAlgn val="ctr"/>
        <c:lblOffset val="100"/>
        <c:noMultiLvlLbl val="0"/>
      </c:catAx>
      <c:valAx>
        <c:axId val="34106841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10664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36705369975903"/>
          <c:y val="8.9230903291621547E-2"/>
          <c:w val="0.46307384765530485"/>
          <c:h val="0.72391737502531528"/>
        </c:manualLayout>
      </c:layout>
      <c:radarChart>
        <c:radarStyle val="marker"/>
        <c:varyColors val="0"/>
        <c:ser>
          <c:idx val="0"/>
          <c:order val="0"/>
          <c:tx>
            <c:strRef>
              <c:f>VIVO!$W$24</c:f>
              <c:strCache>
                <c:ptCount val="1"/>
                <c:pt idx="0">
                  <c:v>Telefonica Brasil</c:v>
                </c:pt>
              </c:strCache>
            </c:strRef>
          </c:tx>
          <c:spPr>
            <a:ln w="25400">
              <a:solidFill>
                <a:srgbClr val="263238"/>
              </a:solidFill>
              <a:prstDash val="solid"/>
            </a:ln>
            <a:effectLst/>
          </c:spPr>
          <c:marker>
            <c:symbol val="diamond"/>
            <c:size val="6"/>
            <c:spPr>
              <a:solidFill>
                <a:srgbClr val="263238"/>
              </a:solidFill>
              <a:ln w="6350">
                <a:noFill/>
              </a:ln>
            </c:spPr>
          </c:marker>
          <c:cat>
            <c:strRef>
              <c:f>VIVO!$V$25:$V$34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VIVO!$W$25:$W$34</c:f>
              <c:numCache>
                <c:formatCode>0%</c:formatCode>
                <c:ptCount val="10"/>
                <c:pt idx="0">
                  <c:v>1.0432350785573907</c:v>
                </c:pt>
                <c:pt idx="1">
                  <c:v>0.97557970518487303</c:v>
                </c:pt>
                <c:pt idx="2">
                  <c:v>0.85719055691360946</c:v>
                </c:pt>
                <c:pt idx="3">
                  <c:v>0.79768210675384532</c:v>
                </c:pt>
                <c:pt idx="4">
                  <c:v>0.87943326544122757</c:v>
                </c:pt>
                <c:pt idx="5">
                  <c:v>0.89180159066762232</c:v>
                </c:pt>
                <c:pt idx="6">
                  <c:v>0.39797502117048139</c:v>
                </c:pt>
                <c:pt idx="7">
                  <c:v>1.0201061183234506</c:v>
                </c:pt>
                <c:pt idx="8">
                  <c:v>1.3323884451185575</c:v>
                </c:pt>
                <c:pt idx="9">
                  <c:v>2.5127205146164884</c:v>
                </c:pt>
              </c:numCache>
            </c:numRef>
          </c:val>
          <c:extLst>
            <c:ext xmlns:c16="http://schemas.microsoft.com/office/drawing/2014/chart" uri="{C3380CC4-5D6E-409C-BE32-E72D297353CC}">
              <c16:uniqueId val="{00000000-60BB-4086-8023-D8D40279CCFB}"/>
            </c:ext>
          </c:extLst>
        </c:ser>
        <c:ser>
          <c:idx val="1"/>
          <c:order val="1"/>
          <c:tx>
            <c:strRef>
              <c:f>VIVO!$X$24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VIVO!$V$25:$V$34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VIVO!$X$25:$X$34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BB-4086-8023-D8D40279CCFB}"/>
            </c:ext>
          </c:extLst>
        </c:ser>
        <c:dLbls>
          <c:showLegendKey val="0"/>
          <c:showVal val="0"/>
          <c:showCatName val="0"/>
          <c:showSerName val="0"/>
          <c:showPercent val="0"/>
          <c:showBubbleSize val="0"/>
        </c:dLbls>
        <c:axId val="342434560"/>
        <c:axId val="342436480"/>
      </c:radarChart>
      <c:catAx>
        <c:axId val="3424345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436480"/>
        <c:crosses val="autoZero"/>
        <c:auto val="0"/>
        <c:lblAlgn val="ctr"/>
        <c:lblOffset val="100"/>
        <c:noMultiLvlLbl val="0"/>
      </c:catAx>
      <c:valAx>
        <c:axId val="34243648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4345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39220264385214"/>
          <c:y val="7.1428679743121323E-2"/>
          <c:w val="0.47064452516997263"/>
          <c:h val="0.74355201508605939"/>
        </c:manualLayout>
      </c:layout>
      <c:radarChart>
        <c:radarStyle val="marker"/>
        <c:varyColors val="0"/>
        <c:ser>
          <c:idx val="0"/>
          <c:order val="0"/>
          <c:tx>
            <c:strRef>
              <c:f>VODA!$W$24</c:f>
              <c:strCache>
                <c:ptCount val="1"/>
                <c:pt idx="0">
                  <c:v>Vodacom</c:v>
                </c:pt>
              </c:strCache>
            </c:strRef>
          </c:tx>
          <c:spPr>
            <a:ln w="25400">
              <a:solidFill>
                <a:srgbClr val="263238"/>
              </a:solidFill>
              <a:prstDash val="solid"/>
            </a:ln>
            <a:effectLst/>
          </c:spPr>
          <c:marker>
            <c:symbol val="diamond"/>
            <c:size val="6"/>
            <c:spPr>
              <a:solidFill>
                <a:srgbClr val="263238"/>
              </a:solidFill>
              <a:ln w="6350">
                <a:noFill/>
              </a:ln>
            </c:spPr>
          </c:marker>
          <c:cat>
            <c:strRef>
              <c:f>VODA!$V$25:$V$34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VODA!$W$25:$W$34</c:f>
              <c:numCache>
                <c:formatCode>0%</c:formatCode>
                <c:ptCount val="10"/>
                <c:pt idx="0">
                  <c:v>0.54073126792229798</c:v>
                </c:pt>
                <c:pt idx="1">
                  <c:v>0.59506508439742634</c:v>
                </c:pt>
                <c:pt idx="2">
                  <c:v>0.46504740702047792</c:v>
                </c:pt>
                <c:pt idx="3">
                  <c:v>0.50483666321059439</c:v>
                </c:pt>
                <c:pt idx="4">
                  <c:v>0.60994965993174732</c:v>
                </c:pt>
                <c:pt idx="5">
                  <c:v>0.73665340424365977</c:v>
                </c:pt>
                <c:pt idx="6">
                  <c:v>0.42023841869943246</c:v>
                </c:pt>
                <c:pt idx="7">
                  <c:v>0.47085670099244198</c:v>
                </c:pt>
                <c:pt idx="8">
                  <c:v>2.9387694216543352</c:v>
                </c:pt>
                <c:pt idx="9">
                  <c:v>2.3796015678310245</c:v>
                </c:pt>
              </c:numCache>
            </c:numRef>
          </c:val>
          <c:extLst>
            <c:ext xmlns:c16="http://schemas.microsoft.com/office/drawing/2014/chart" uri="{C3380CC4-5D6E-409C-BE32-E72D297353CC}">
              <c16:uniqueId val="{00000000-B7B6-40E0-9B57-EF1AB78A5326}"/>
            </c:ext>
          </c:extLst>
        </c:ser>
        <c:ser>
          <c:idx val="1"/>
          <c:order val="1"/>
          <c:tx>
            <c:strRef>
              <c:f>VODA!$X$24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VODA!$V$25:$V$34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7B6-40E0-9B57-EF1AB78A5326}"/>
            </c:ext>
          </c:extLst>
        </c:ser>
        <c:dLbls>
          <c:showLegendKey val="0"/>
          <c:showVal val="0"/>
          <c:showCatName val="0"/>
          <c:showSerName val="0"/>
          <c:showPercent val="0"/>
          <c:showBubbleSize val="0"/>
        </c:dLbls>
        <c:axId val="342496000"/>
        <c:axId val="342497920"/>
      </c:radarChart>
      <c:catAx>
        <c:axId val="3424960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497920"/>
        <c:crosses val="autoZero"/>
        <c:auto val="0"/>
        <c:lblAlgn val="ctr"/>
        <c:lblOffset val="100"/>
        <c:noMultiLvlLbl val="0"/>
      </c:catAx>
      <c:valAx>
        <c:axId val="3424979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4960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29347812445752"/>
          <c:y val="9.0062248371761564E-2"/>
          <c:w val="0.45794922114715597"/>
          <c:h val="0.69121657957892857"/>
        </c:manualLayout>
      </c:layout>
      <c:radarChart>
        <c:radarStyle val="marker"/>
        <c:varyColors val="0"/>
        <c:ser>
          <c:idx val="0"/>
          <c:order val="0"/>
          <c:tx>
            <c:strRef>
              <c:f>VOD!$W$24</c:f>
              <c:strCache>
                <c:ptCount val="1"/>
                <c:pt idx="0">
                  <c:v>Vodafone</c:v>
                </c:pt>
              </c:strCache>
            </c:strRef>
          </c:tx>
          <c:spPr>
            <a:ln w="25400">
              <a:solidFill>
                <a:srgbClr val="263238"/>
              </a:solidFill>
              <a:prstDash val="solid"/>
            </a:ln>
            <a:effectLst/>
          </c:spPr>
          <c:marker>
            <c:symbol val="diamond"/>
            <c:size val="6"/>
            <c:spPr>
              <a:solidFill>
                <a:srgbClr val="263238"/>
              </a:solidFill>
              <a:ln w="6350">
                <a:noFill/>
              </a:ln>
            </c:spPr>
          </c:marker>
          <c:cat>
            <c:strRef>
              <c:f>VOD!$V$25:$V$34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VOD!$W$25:$W$34</c:f>
              <c:numCache>
                <c:formatCode>0%</c:formatCode>
                <c:ptCount val="10"/>
                <c:pt idx="0">
                  <c:v>0.82355131616879707</c:v>
                </c:pt>
                <c:pt idx="1">
                  <c:v>1.1177133602097735</c:v>
                </c:pt>
                <c:pt idx="2">
                  <c:v>0.97434322735602441</c:v>
                </c:pt>
                <c:pt idx="3">
                  <c:v>0.90410560926528261</c:v>
                </c:pt>
                <c:pt idx="4">
                  <c:v>0.74727642085547952</c:v>
                </c:pt>
                <c:pt idx="5">
                  <c:v>0.70320872436416204</c:v>
                </c:pt>
                <c:pt idx="6">
                  <c:v>0.43240696378446092</c:v>
                </c:pt>
                <c:pt idx="7">
                  <c:v>0.55982177494967</c:v>
                </c:pt>
                <c:pt idx="8">
                  <c:v>1.5164913104947684</c:v>
                </c:pt>
                <c:pt idx="9">
                  <c:v>2.3126362055965024</c:v>
                </c:pt>
              </c:numCache>
            </c:numRef>
          </c:val>
          <c:extLst>
            <c:ext xmlns:c16="http://schemas.microsoft.com/office/drawing/2014/chart" uri="{C3380CC4-5D6E-409C-BE32-E72D297353CC}">
              <c16:uniqueId val="{00000000-33C5-4F4C-8A70-4C359B5CCD8A}"/>
            </c:ext>
          </c:extLst>
        </c:ser>
        <c:ser>
          <c:idx val="1"/>
          <c:order val="1"/>
          <c:tx>
            <c:strRef>
              <c:f>VOD!$X$24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VOD!$V$25:$V$34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3C5-4F4C-8A70-4C359B5CCD8A}"/>
            </c:ext>
          </c:extLst>
        </c:ser>
        <c:dLbls>
          <c:showLegendKey val="0"/>
          <c:showVal val="0"/>
          <c:showCatName val="0"/>
          <c:showSerName val="0"/>
          <c:showPercent val="0"/>
          <c:showBubbleSize val="0"/>
        </c:dLbls>
        <c:axId val="342618880"/>
        <c:axId val="342620800"/>
      </c:radarChart>
      <c:catAx>
        <c:axId val="3426188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620800"/>
        <c:crosses val="autoZero"/>
        <c:auto val="0"/>
        <c:lblAlgn val="ctr"/>
        <c:lblOffset val="100"/>
        <c:noMultiLvlLbl val="0"/>
      </c:catAx>
      <c:valAx>
        <c:axId val="3426208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6188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90311485522823"/>
          <c:y val="9.8461686390754782E-2"/>
          <c:w val="0.42979270718661738"/>
          <c:h val="0.67188939726770658"/>
        </c:manualLayout>
      </c:layout>
      <c:radarChart>
        <c:radarStyle val="marker"/>
        <c:varyColors val="0"/>
        <c:ser>
          <c:idx val="0"/>
          <c:order val="0"/>
          <c:tx>
            <c:strRef>
              <c:f>VZN!$W$24</c:f>
              <c:strCache>
                <c:ptCount val="1"/>
                <c:pt idx="0">
                  <c:v>Verizon</c:v>
                </c:pt>
              </c:strCache>
            </c:strRef>
          </c:tx>
          <c:spPr>
            <a:ln w="25400">
              <a:solidFill>
                <a:srgbClr val="263238"/>
              </a:solidFill>
              <a:prstDash val="solid"/>
            </a:ln>
            <a:effectLst/>
          </c:spPr>
          <c:marker>
            <c:symbol val="diamond"/>
            <c:size val="6"/>
            <c:spPr>
              <a:solidFill>
                <a:srgbClr val="263238"/>
              </a:solidFill>
              <a:ln w="6350">
                <a:noFill/>
              </a:ln>
            </c:spPr>
          </c:marker>
          <c:cat>
            <c:strRef>
              <c:f>VZN!$V$25:$V$34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VZN!$W$25:$W$34</c:f>
              <c:numCache>
                <c:formatCode>0%</c:formatCode>
                <c:ptCount val="10"/>
                <c:pt idx="0">
                  <c:v>0.86479497190890098</c:v>
                </c:pt>
                <c:pt idx="1">
                  <c:v>0.87057503434931838</c:v>
                </c:pt>
                <c:pt idx="2">
                  <c:v>0.81183712375347516</c:v>
                </c:pt>
                <c:pt idx="3">
                  <c:v>0.86922325373009568</c:v>
                </c:pt>
                <c:pt idx="4">
                  <c:v>0.81864830638295538</c:v>
                </c:pt>
                <c:pt idx="5">
                  <c:v>0.98157134624729458</c:v>
                </c:pt>
                <c:pt idx="6">
                  <c:v>0.79166684298411871</c:v>
                </c:pt>
                <c:pt idx="7">
                  <c:v>0.7731870318728935</c:v>
                </c:pt>
                <c:pt idx="8">
                  <c:v>1.6528647871068982</c:v>
                </c:pt>
                <c:pt idx="9">
                  <c:v>1.2631576134104441</c:v>
                </c:pt>
              </c:numCache>
            </c:numRef>
          </c:val>
          <c:extLst>
            <c:ext xmlns:c16="http://schemas.microsoft.com/office/drawing/2014/chart" uri="{C3380CC4-5D6E-409C-BE32-E72D297353CC}">
              <c16:uniqueId val="{00000000-9F14-4923-8B3F-D163AE1732CC}"/>
            </c:ext>
          </c:extLst>
        </c:ser>
        <c:ser>
          <c:idx val="1"/>
          <c:order val="1"/>
          <c:tx>
            <c:strRef>
              <c:f>VZN!$X$24</c:f>
              <c:strCache>
                <c:ptCount val="1"/>
                <c:pt idx="0">
                  <c:v>Agg. US Telecoms</c:v>
                </c:pt>
              </c:strCache>
            </c:strRef>
          </c:tx>
          <c:spPr>
            <a:ln w="25400">
              <a:solidFill>
                <a:srgbClr val="799098"/>
              </a:solidFill>
              <a:prstDash val="solid"/>
            </a:ln>
            <a:effectLst/>
          </c:spPr>
          <c:marker>
            <c:symbol val="diamond"/>
            <c:size val="6"/>
            <c:spPr>
              <a:solidFill>
                <a:srgbClr val="799098"/>
              </a:solidFill>
              <a:ln w="6350">
                <a:noFill/>
              </a:ln>
            </c:spPr>
          </c:marker>
          <c:cat>
            <c:strRef>
              <c:f>VZN!$V$25:$V$34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VZN!$X$25:$X$34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F14-4923-8B3F-D163AE1732CC}"/>
            </c:ext>
          </c:extLst>
        </c:ser>
        <c:dLbls>
          <c:showLegendKey val="0"/>
          <c:showVal val="0"/>
          <c:showCatName val="0"/>
          <c:showSerName val="0"/>
          <c:showPercent val="0"/>
          <c:showBubbleSize val="0"/>
        </c:dLbls>
        <c:axId val="342741760"/>
        <c:axId val="342743680"/>
      </c:radarChart>
      <c:catAx>
        <c:axId val="3427417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743680"/>
        <c:crosses val="autoZero"/>
        <c:auto val="0"/>
        <c:lblAlgn val="ctr"/>
        <c:lblOffset val="100"/>
        <c:noMultiLvlLbl val="0"/>
      </c:catAx>
      <c:valAx>
        <c:axId val="34274368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7417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53878075634831"/>
          <c:y val="0.11598763835294353"/>
          <c:w val="0.43248394106318538"/>
          <c:h val="0.67688225427332571"/>
        </c:manualLayout>
      </c:layout>
      <c:radarChart>
        <c:radarStyle val="marker"/>
        <c:varyColors val="0"/>
        <c:ser>
          <c:idx val="0"/>
          <c:order val="0"/>
          <c:tx>
            <c:strRef>
              <c:f>XLAX!$W$24</c:f>
              <c:strCache>
                <c:ptCount val="1"/>
                <c:pt idx="0">
                  <c:v>XL Axiata</c:v>
                </c:pt>
              </c:strCache>
            </c:strRef>
          </c:tx>
          <c:spPr>
            <a:ln w="25400">
              <a:solidFill>
                <a:srgbClr val="263238"/>
              </a:solidFill>
              <a:prstDash val="solid"/>
            </a:ln>
            <a:effectLst/>
          </c:spPr>
          <c:marker>
            <c:symbol val="diamond"/>
            <c:size val="6"/>
            <c:spPr>
              <a:solidFill>
                <a:srgbClr val="263238"/>
              </a:solidFill>
              <a:ln w="6350">
                <a:noFill/>
              </a:ln>
            </c:spPr>
          </c:marker>
          <c:cat>
            <c:strRef>
              <c:f>XLAX!$V$25:$V$34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XLAX!$W$25:$W$34</c:f>
              <c:numCache>
                <c:formatCode>0%</c:formatCode>
                <c:ptCount val="10"/>
                <c:pt idx="0">
                  <c:v>1.0855974906267247</c:v>
                </c:pt>
                <c:pt idx="1">
                  <c:v>0.72084140758242732</c:v>
                </c:pt>
                <c:pt idx="2">
                  <c:v>0.68080213391369637</c:v>
                </c:pt>
                <c:pt idx="3">
                  <c:v>0.69717757832272087</c:v>
                </c:pt>
                <c:pt idx="4">
                  <c:v>0.71291316896704837</c:v>
                </c:pt>
                <c:pt idx="5">
                  <c:v>0.38860602740456479</c:v>
                </c:pt>
                <c:pt idx="6">
                  <c:v>0.28384760570131695</c:v>
                </c:pt>
                <c:pt idx="7">
                  <c:v>1.1129884570258048</c:v>
                </c:pt>
                <c:pt idx="8">
                  <c:v>0.52891693480078894</c:v>
                </c:pt>
                <c:pt idx="9">
                  <c:v>3.5230172103416137</c:v>
                </c:pt>
              </c:numCache>
            </c:numRef>
          </c:val>
          <c:extLst>
            <c:ext xmlns:c16="http://schemas.microsoft.com/office/drawing/2014/chart" uri="{C3380CC4-5D6E-409C-BE32-E72D297353CC}">
              <c16:uniqueId val="{00000000-841A-408E-9FE6-403648DB6E28}"/>
            </c:ext>
          </c:extLst>
        </c:ser>
        <c:ser>
          <c:idx val="1"/>
          <c:order val="1"/>
          <c:tx>
            <c:strRef>
              <c:f>XLAX!$X$24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XLAX!$V$25:$V$34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XLAX!$X$25:$X$34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841A-408E-9FE6-403648DB6E28}"/>
            </c:ext>
          </c:extLst>
        </c:ser>
        <c:dLbls>
          <c:showLegendKey val="0"/>
          <c:showVal val="0"/>
          <c:showCatName val="0"/>
          <c:showSerName val="0"/>
          <c:showPercent val="0"/>
          <c:showBubbleSize val="0"/>
        </c:dLbls>
        <c:axId val="347976448"/>
        <c:axId val="347978368"/>
      </c:radarChart>
      <c:catAx>
        <c:axId val="3479764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7978368"/>
        <c:crosses val="autoZero"/>
        <c:auto val="0"/>
        <c:lblAlgn val="ctr"/>
        <c:lblOffset val="100"/>
        <c:noMultiLvlLbl val="0"/>
      </c:catAx>
      <c:valAx>
        <c:axId val="3479783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79764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7459733984900652"/>
          <c:h val="0.89062500000000111"/>
        </c:manualLayout>
      </c:layout>
      <c:radarChart>
        <c:radarStyle val="marker"/>
        <c:varyColors val="0"/>
        <c:ser>
          <c:idx val="0"/>
          <c:order val="0"/>
          <c:tx>
            <c:strRef>
              <c:f>'US TELCO'!$W$23</c:f>
              <c:strCache>
                <c:ptCount val="1"/>
                <c:pt idx="0">
                  <c:v>N.AM telecoms</c:v>
                </c:pt>
              </c:strCache>
            </c:strRef>
          </c:tx>
          <c:spPr>
            <a:ln w="25400">
              <a:solidFill>
                <a:srgbClr val="263238"/>
              </a:solidFill>
              <a:prstDash val="solid"/>
            </a:ln>
            <a:effectLst/>
          </c:spPr>
          <c:marker>
            <c:symbol val="diamond"/>
            <c:size val="6"/>
            <c:spPr>
              <a:solidFill>
                <a:srgbClr val="263238"/>
              </a:solidFill>
              <a:ln w="6350">
                <a:noFill/>
              </a:ln>
            </c:spPr>
          </c:marker>
          <c:cat>
            <c:strRef>
              <c:f>'US TELCO'!$V$24:$V$33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TELCO'!$W$24:$W$33</c:f>
              <c:numCache>
                <c:formatCode>0%</c:formatCode>
                <c:ptCount val="10"/>
                <c:pt idx="0">
                  <c:v>1.0587476725909186</c:v>
                </c:pt>
                <c:pt idx="1">
                  <c:v>0.96779514806040301</c:v>
                </c:pt>
                <c:pt idx="2">
                  <c:v>0.87572994329783493</c:v>
                </c:pt>
                <c:pt idx="3">
                  <c:v>0.93017632825807639</c:v>
                </c:pt>
                <c:pt idx="4">
                  <c:v>1.1335066736938071</c:v>
                </c:pt>
                <c:pt idx="5">
                  <c:v>0.94284666032243225</c:v>
                </c:pt>
                <c:pt idx="6">
                  <c:v>1.2206033800558882</c:v>
                </c:pt>
                <c:pt idx="7">
                  <c:v>0.88134163989346148</c:v>
                </c:pt>
                <c:pt idx="8">
                  <c:v>1.000281554817203</c:v>
                </c:pt>
                <c:pt idx="9">
                  <c:v>1.2438716156543623</c:v>
                </c:pt>
              </c:numCache>
            </c:numRef>
          </c:val>
          <c:extLst>
            <c:ext xmlns:c16="http://schemas.microsoft.com/office/drawing/2014/chart" uri="{C3380CC4-5D6E-409C-BE32-E72D297353CC}">
              <c16:uniqueId val="{00000000-CCD6-413A-BC00-E8D2CC2936FA}"/>
            </c:ext>
          </c:extLst>
        </c:ser>
        <c:ser>
          <c:idx val="1"/>
          <c:order val="1"/>
          <c:tx>
            <c:strRef>
              <c:f>'US TELCO'!$X$23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TELCO'!$V$24:$V$33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TELCO'!$X$24:$X$33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CD6-413A-BC00-E8D2CC2936FA}"/>
            </c:ext>
          </c:extLst>
        </c:ser>
        <c:dLbls>
          <c:showLegendKey val="0"/>
          <c:showVal val="0"/>
          <c:showCatName val="0"/>
          <c:showSerName val="0"/>
          <c:showPercent val="0"/>
          <c:showBubbleSize val="0"/>
        </c:dLbls>
        <c:axId val="337388672"/>
        <c:axId val="337390592"/>
      </c:radarChart>
      <c:catAx>
        <c:axId val="3373886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390592"/>
        <c:crosses val="autoZero"/>
        <c:auto val="0"/>
        <c:lblAlgn val="ctr"/>
        <c:lblOffset val="100"/>
        <c:noMultiLvlLbl val="0"/>
      </c:catAx>
      <c:valAx>
        <c:axId val="3373905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3886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BHART!$W$24</c:f>
              <c:strCache>
                <c:ptCount val="1"/>
                <c:pt idx="0">
                  <c:v>Bharti</c:v>
                </c:pt>
              </c:strCache>
            </c:strRef>
          </c:tx>
          <c:spPr>
            <a:ln w="25400">
              <a:solidFill>
                <a:srgbClr val="263238"/>
              </a:solidFill>
              <a:prstDash val="solid"/>
            </a:ln>
            <a:effectLst/>
          </c:spPr>
          <c:marker>
            <c:symbol val="diamond"/>
            <c:size val="6"/>
            <c:spPr>
              <a:solidFill>
                <a:srgbClr val="263238"/>
              </a:solidFill>
              <a:ln w="6350">
                <a:noFill/>
              </a:ln>
            </c:spPr>
          </c:marker>
          <c:cat>
            <c:strRef>
              <c:f>BHART!$V$25:$V$34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BHART!$W$25:$W$34</c:f>
              <c:numCache>
                <c:formatCode>0%</c:formatCode>
                <c:ptCount val="10"/>
                <c:pt idx="0">
                  <c:v>3.7574272369019637</c:v>
                </c:pt>
                <c:pt idx="1">
                  <c:v>2.3487660494842406</c:v>
                </c:pt>
                <c:pt idx="2">
                  <c:v>2.4348976153478814</c:v>
                </c:pt>
                <c:pt idx="3">
                  <c:v>2.3376230658238488</c:v>
                </c:pt>
                <c:pt idx="4">
                  <c:v>2.8813576779346444</c:v>
                </c:pt>
                <c:pt idx="5">
                  <c:v>2.347919808199546</c:v>
                </c:pt>
                <c:pt idx="6">
                  <c:v>3.1319700307066318</c:v>
                </c:pt>
                <c:pt idx="7">
                  <c:v>2.8921288341369498</c:v>
                </c:pt>
                <c:pt idx="8">
                  <c:v>0.13180451063521315</c:v>
                </c:pt>
                <c:pt idx="9">
                  <c:v>0.31928785722588193</c:v>
                </c:pt>
              </c:numCache>
            </c:numRef>
          </c:val>
          <c:extLst>
            <c:ext xmlns:c16="http://schemas.microsoft.com/office/drawing/2014/chart" uri="{C3380CC4-5D6E-409C-BE32-E72D297353CC}">
              <c16:uniqueId val="{00000000-7780-4EE8-A6C6-C2DE57D0810F}"/>
            </c:ext>
          </c:extLst>
        </c:ser>
        <c:ser>
          <c:idx val="1"/>
          <c:order val="1"/>
          <c:tx>
            <c:strRef>
              <c:f>BHART!$X$24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BHART!$V$25:$V$34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BHART!$X$25:$X$34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780-4EE8-A6C6-C2DE57D0810F}"/>
            </c:ext>
          </c:extLst>
        </c:ser>
        <c:dLbls>
          <c:showLegendKey val="0"/>
          <c:showVal val="0"/>
          <c:showCatName val="0"/>
          <c:showSerName val="0"/>
          <c:showPercent val="0"/>
          <c:showBubbleSize val="0"/>
        </c:dLbls>
        <c:axId val="354034432"/>
        <c:axId val="354036352"/>
      </c:radarChart>
      <c:catAx>
        <c:axId val="3540344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4036352"/>
        <c:crosses val="autoZero"/>
        <c:auto val="0"/>
        <c:lblAlgn val="ctr"/>
        <c:lblOffset val="100"/>
        <c:noMultiLvlLbl val="0"/>
      </c:catAx>
      <c:valAx>
        <c:axId val="3540363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40344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7459733984900652"/>
          <c:h val="0.89062500000000111"/>
        </c:manualLayout>
      </c:layout>
      <c:radarChart>
        <c:radarStyle val="marker"/>
        <c:varyColors val="0"/>
        <c:ser>
          <c:idx val="0"/>
          <c:order val="0"/>
          <c:tx>
            <c:strRef>
              <c:f>'US OTHER'!$W$23</c:f>
              <c:strCache>
                <c:ptCount val="1"/>
                <c:pt idx="0">
                  <c:v>N.AM Cable</c:v>
                </c:pt>
              </c:strCache>
            </c:strRef>
          </c:tx>
          <c:spPr>
            <a:ln w="25400">
              <a:solidFill>
                <a:srgbClr val="263238"/>
              </a:solidFill>
              <a:prstDash val="solid"/>
            </a:ln>
            <a:effectLst/>
          </c:spPr>
          <c:marker>
            <c:symbol val="diamond"/>
            <c:size val="6"/>
            <c:spPr>
              <a:solidFill>
                <a:srgbClr val="263238"/>
              </a:solidFill>
              <a:ln w="6350">
                <a:noFill/>
              </a:ln>
            </c:spPr>
          </c:marker>
          <c:cat>
            <c:strRef>
              <c:f>'US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OTHER'!$W$24:$W$33</c:f>
              <c:numCache>
                <c:formatCode>0%</c:formatCode>
                <c:ptCount val="10"/>
                <c:pt idx="0">
                  <c:v>0.84819941169313851</c:v>
                </c:pt>
                <c:pt idx="1">
                  <c:v>0.87235094109601741</c:v>
                </c:pt>
                <c:pt idx="2">
                  <c:v>0.83573492735870558</c:v>
                </c:pt>
                <c:pt idx="3">
                  <c:v>0.87918837381356729</c:v>
                </c:pt>
                <c:pt idx="4">
                  <c:v>0.76162145744411869</c:v>
                </c:pt>
                <c:pt idx="5">
                  <c:v>0.9682083422977048</c:v>
                </c:pt>
                <c:pt idx="6">
                  <c:v>0.36900844644509767</c:v>
                </c:pt>
                <c:pt idx="7">
                  <c:v>0.69036363540299295</c:v>
                </c:pt>
                <c:pt idx="8">
                  <c:v>1.7227903710862775</c:v>
                </c:pt>
                <c:pt idx="9">
                  <c:v>0.3787427738299749</c:v>
                </c:pt>
              </c:numCache>
            </c:numRef>
          </c:val>
          <c:extLst>
            <c:ext xmlns:c16="http://schemas.microsoft.com/office/drawing/2014/chart" uri="{C3380CC4-5D6E-409C-BE32-E72D297353CC}">
              <c16:uniqueId val="{00000000-CC11-4BD0-9F56-923DBC884B1A}"/>
            </c:ext>
          </c:extLst>
        </c:ser>
        <c:ser>
          <c:idx val="1"/>
          <c:order val="1"/>
          <c:tx>
            <c:strRef>
              <c:f>'US OTHER'!$X$23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C11-4BD0-9F56-923DBC884B1A}"/>
            </c:ext>
          </c:extLst>
        </c:ser>
        <c:dLbls>
          <c:showLegendKey val="0"/>
          <c:showVal val="0"/>
          <c:showCatName val="0"/>
          <c:showSerName val="0"/>
          <c:showPercent val="0"/>
          <c:showBubbleSize val="0"/>
        </c:dLbls>
        <c:axId val="337494784"/>
        <c:axId val="337496704"/>
      </c:radarChart>
      <c:catAx>
        <c:axId val="3374947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496704"/>
        <c:crosses val="autoZero"/>
        <c:auto val="0"/>
        <c:lblAlgn val="ctr"/>
        <c:lblOffset val="100"/>
        <c:noMultiLvlLbl val="0"/>
      </c:catAx>
      <c:valAx>
        <c:axId val="337496704"/>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49478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7459733984900652"/>
          <c:h val="0.89062500000000111"/>
        </c:manualLayout>
      </c:layout>
      <c:radarChart>
        <c:radarStyle val="marker"/>
        <c:varyColors val="0"/>
        <c:ser>
          <c:idx val="0"/>
          <c:order val="0"/>
          <c:tx>
            <c:strRef>
              <c:f>'US TOWERS'!$W$23</c:f>
              <c:strCache>
                <c:ptCount val="1"/>
                <c:pt idx="0">
                  <c:v>US Towers</c:v>
                </c:pt>
              </c:strCache>
            </c:strRef>
          </c:tx>
          <c:spPr>
            <a:ln w="25400">
              <a:solidFill>
                <a:srgbClr val="263238"/>
              </a:solidFill>
              <a:prstDash val="solid"/>
            </a:ln>
            <a:effectLst/>
          </c:spPr>
          <c:marker>
            <c:symbol val="diamond"/>
            <c:size val="6"/>
            <c:spPr>
              <a:solidFill>
                <a:srgbClr val="263238"/>
              </a:solidFill>
              <a:ln w="6350">
                <a:noFill/>
              </a:ln>
            </c:spPr>
          </c:marker>
          <c:cat>
            <c:strRef>
              <c:f>'US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TOWERS'!$W$24:$W$33</c:f>
              <c:numCache>
                <c:formatCode>0%</c:formatCode>
                <c:ptCount val="10"/>
                <c:pt idx="0">
                  <c:v>4.7822745848488095</c:v>
                </c:pt>
                <c:pt idx="1">
                  <c:v>2.5222259220248686</c:v>
                </c:pt>
                <c:pt idx="2">
                  <c:v>1.8680283710958399</c:v>
                </c:pt>
                <c:pt idx="3">
                  <c:v>1.4590694600057992</c:v>
                </c:pt>
                <c:pt idx="4">
                  <c:v>2.3296229978741683</c:v>
                </c:pt>
                <c:pt idx="5">
                  <c:v>1.9066223770109534</c:v>
                </c:pt>
                <c:pt idx="6">
                  <c:v>1.9594616257528727</c:v>
                </c:pt>
                <c:pt idx="7">
                  <c:v>0</c:v>
                </c:pt>
                <c:pt idx="8">
                  <c:v>0.84725668905924734</c:v>
                </c:pt>
                <c:pt idx="9">
                  <c:v>2.0685023348275702</c:v>
                </c:pt>
              </c:numCache>
            </c:numRef>
          </c:val>
          <c:extLst>
            <c:ext xmlns:c16="http://schemas.microsoft.com/office/drawing/2014/chart" uri="{C3380CC4-5D6E-409C-BE32-E72D297353CC}">
              <c16:uniqueId val="{00000000-69F1-4C1F-AD87-9D2122423DDE}"/>
            </c:ext>
          </c:extLst>
        </c:ser>
        <c:ser>
          <c:idx val="1"/>
          <c:order val="1"/>
          <c:tx>
            <c:strRef>
              <c:f>'US TOWERS'!$X$23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TOWERS'!$X$24:$X$33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9F1-4C1F-AD87-9D2122423DDE}"/>
            </c:ext>
          </c:extLst>
        </c:ser>
        <c:dLbls>
          <c:showLegendKey val="0"/>
          <c:showVal val="0"/>
          <c:showCatName val="0"/>
          <c:showSerName val="0"/>
          <c:showPercent val="0"/>
          <c:showBubbleSize val="0"/>
        </c:dLbls>
        <c:axId val="348237824"/>
        <c:axId val="348239744"/>
      </c:radarChart>
      <c:catAx>
        <c:axId val="3482378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239744"/>
        <c:crosses val="autoZero"/>
        <c:auto val="0"/>
        <c:lblAlgn val="ctr"/>
        <c:lblOffset val="100"/>
        <c:noMultiLvlLbl val="0"/>
      </c:catAx>
      <c:valAx>
        <c:axId val="34823974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2378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62875869315055"/>
          <c:y val="5.9375000000000004E-2"/>
          <c:w val="0.5047636282732717"/>
          <c:h val="0.75832112030224752"/>
        </c:manualLayout>
      </c:layout>
      <c:radarChart>
        <c:radarStyle val="marker"/>
        <c:varyColors val="0"/>
        <c:ser>
          <c:idx val="0"/>
          <c:order val="0"/>
          <c:tx>
            <c:strRef>
              <c:f>'US AGG'!$W$23</c:f>
              <c:strCache>
                <c:ptCount val="1"/>
                <c:pt idx="0">
                  <c:v>US Aggregate</c:v>
                </c:pt>
              </c:strCache>
            </c:strRef>
          </c:tx>
          <c:spPr>
            <a:ln w="25400">
              <a:solidFill>
                <a:srgbClr val="263238"/>
              </a:solidFill>
              <a:prstDash val="solid"/>
            </a:ln>
            <a:effectLst/>
          </c:spPr>
          <c:marker>
            <c:symbol val="diamond"/>
            <c:size val="6"/>
            <c:spPr>
              <a:solidFill>
                <a:srgbClr val="263238"/>
              </a:solidFill>
              <a:ln w="6350">
                <a:noFill/>
              </a:ln>
            </c:spPr>
          </c:marker>
          <c:cat>
            <c:strRef>
              <c:f>'US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AGG'!$W$24:$W$33</c:f>
              <c:numCache>
                <c:formatCode>0%</c:formatCode>
                <c:ptCount val="10"/>
                <c:pt idx="0">
                  <c:v>1.1219289277823448</c:v>
                </c:pt>
                <c:pt idx="1">
                  <c:v>1.0390605142793192</c:v>
                </c:pt>
                <c:pt idx="2">
                  <c:v>0.94359867668155262</c:v>
                </c:pt>
                <c:pt idx="3">
                  <c:v>0.97105164795574073</c:v>
                </c:pt>
                <c:pt idx="4">
                  <c:v>1.0770923015586888</c:v>
                </c:pt>
                <c:pt idx="5">
                  <c:v>1.0340792993368972</c:v>
                </c:pt>
                <c:pt idx="6">
                  <c:v>0.86098103270569393</c:v>
                </c:pt>
                <c:pt idx="7">
                  <c:v>0.93536309266600004</c:v>
                </c:pt>
                <c:pt idx="8">
                  <c:v>1.0641116141005427</c:v>
                </c:pt>
                <c:pt idx="9">
                  <c:v>0.88953862153974306</c:v>
                </c:pt>
              </c:numCache>
            </c:numRef>
          </c:val>
          <c:extLst>
            <c:ext xmlns:c16="http://schemas.microsoft.com/office/drawing/2014/chart" uri="{C3380CC4-5D6E-409C-BE32-E72D297353CC}">
              <c16:uniqueId val="{00000000-0C1C-417E-94C2-1A49C901D7A7}"/>
            </c:ext>
          </c:extLst>
        </c:ser>
        <c:ser>
          <c:idx val="1"/>
          <c:order val="1"/>
          <c:tx>
            <c:strRef>
              <c:f>'US AGG'!$X$23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AGG'!$X$24:$X$33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C1C-417E-94C2-1A49C901D7A7}"/>
            </c:ext>
          </c:extLst>
        </c:ser>
        <c:dLbls>
          <c:showLegendKey val="0"/>
          <c:showVal val="0"/>
          <c:showCatName val="0"/>
          <c:showSerName val="0"/>
          <c:showPercent val="0"/>
          <c:showBubbleSize val="0"/>
        </c:dLbls>
        <c:axId val="348343680"/>
        <c:axId val="348382720"/>
      </c:radarChart>
      <c:catAx>
        <c:axId val="3483436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382720"/>
        <c:crosses val="autoZero"/>
        <c:auto val="0"/>
        <c:lblAlgn val="ctr"/>
        <c:lblOffset val="100"/>
        <c:noMultiLvlLbl val="0"/>
      </c:catAx>
      <c:valAx>
        <c:axId val="3483827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3436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64027111835528"/>
          <c:y val="7.8125E-2"/>
          <c:w val="0.46055186516443675"/>
          <c:h val="0.73278566038852677"/>
        </c:manualLayout>
      </c:layout>
      <c:radarChart>
        <c:radarStyle val="marker"/>
        <c:varyColors val="0"/>
        <c:ser>
          <c:idx val="0"/>
          <c:order val="0"/>
          <c:tx>
            <c:strRef>
              <c:f>'W.EUR INCUMB'!$W$23</c:f>
              <c:strCache>
                <c:ptCount val="1"/>
                <c:pt idx="0">
                  <c:v>W.Europe Incumbent</c:v>
                </c:pt>
              </c:strCache>
            </c:strRef>
          </c:tx>
          <c:spPr>
            <a:ln w="25400">
              <a:solidFill>
                <a:srgbClr val="263238"/>
              </a:solidFill>
              <a:prstDash val="solid"/>
            </a:ln>
            <a:effectLst/>
          </c:spPr>
          <c:marker>
            <c:symbol val="diamond"/>
            <c:size val="6"/>
            <c:spPr>
              <a:solidFill>
                <a:srgbClr val="263238"/>
              </a:solidFill>
              <a:ln w="6350">
                <a:noFill/>
              </a:ln>
            </c:spPr>
          </c:marker>
          <c:cat>
            <c:strRef>
              <c:f>'W.EUR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INCUMB'!$W$24:$W$33</c:f>
              <c:numCache>
                <c:formatCode>0%</c:formatCode>
                <c:ptCount val="10"/>
                <c:pt idx="0">
                  <c:v>0.93098333652099419</c:v>
                </c:pt>
                <c:pt idx="1">
                  <c:v>0.95197599045257864</c:v>
                </c:pt>
                <c:pt idx="2">
                  <c:v>1.0212422549568909</c:v>
                </c:pt>
                <c:pt idx="3">
                  <c:v>0.96139355218614142</c:v>
                </c:pt>
                <c:pt idx="4">
                  <c:v>0.95893829842594569</c:v>
                </c:pt>
                <c:pt idx="5">
                  <c:v>0.99580137785707035</c:v>
                </c:pt>
                <c:pt idx="6">
                  <c:v>1.1852556144828172</c:v>
                </c:pt>
                <c:pt idx="7">
                  <c:v>1.0335831229510684</c:v>
                </c:pt>
                <c:pt idx="8">
                  <c:v>0.83685244259588865</c:v>
                </c:pt>
                <c:pt idx="9">
                  <c:v>1.1852556144828172</c:v>
                </c:pt>
              </c:numCache>
            </c:numRef>
          </c:val>
          <c:extLst>
            <c:ext xmlns:c16="http://schemas.microsoft.com/office/drawing/2014/chart" uri="{C3380CC4-5D6E-409C-BE32-E72D297353CC}">
              <c16:uniqueId val="{00000000-E66A-4E7A-88DB-E6A2BCD6C810}"/>
            </c:ext>
          </c:extLst>
        </c:ser>
        <c:ser>
          <c:idx val="1"/>
          <c:order val="1"/>
          <c:tx>
            <c:strRef>
              <c:f>'W.EUR INCUMB'!$X$23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'W.EUR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66A-4E7A-88DB-E6A2BCD6C810}"/>
            </c:ext>
          </c:extLst>
        </c:ser>
        <c:dLbls>
          <c:showLegendKey val="0"/>
          <c:showVal val="0"/>
          <c:showCatName val="0"/>
          <c:showSerName val="0"/>
          <c:showPercent val="0"/>
          <c:showBubbleSize val="0"/>
        </c:dLbls>
        <c:axId val="348756992"/>
        <c:axId val="348763264"/>
      </c:radarChart>
      <c:catAx>
        <c:axId val="3487569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763264"/>
        <c:crosses val="autoZero"/>
        <c:auto val="0"/>
        <c:lblAlgn val="ctr"/>
        <c:lblOffset val="100"/>
        <c:noMultiLvlLbl val="0"/>
      </c:catAx>
      <c:valAx>
        <c:axId val="348763264"/>
        <c:scaling>
          <c:orientation val="minMax"/>
          <c:max val="1.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7569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6886991188158"/>
          <c:y val="8.7500000000000008E-2"/>
          <c:w val="0.43470466257295393"/>
          <c:h val="0.69166008723851091"/>
        </c:manualLayout>
      </c:layout>
      <c:radarChart>
        <c:radarStyle val="marker"/>
        <c:varyColors val="0"/>
        <c:ser>
          <c:idx val="0"/>
          <c:order val="0"/>
          <c:tx>
            <c:strRef>
              <c:f>'W.EUR OTHER'!$W$23</c:f>
              <c:strCache>
                <c:ptCount val="1"/>
                <c:pt idx="0">
                  <c:v>W. Europe Cellular</c:v>
                </c:pt>
              </c:strCache>
            </c:strRef>
          </c:tx>
          <c:spPr>
            <a:ln w="25400">
              <a:solidFill>
                <a:srgbClr val="263238"/>
              </a:solidFill>
              <a:prstDash val="solid"/>
            </a:ln>
            <a:effectLst/>
          </c:spPr>
          <c:marker>
            <c:symbol val="diamond"/>
            <c:size val="6"/>
            <c:spPr>
              <a:solidFill>
                <a:srgbClr val="263238"/>
              </a:solidFill>
              <a:ln w="6350">
                <a:noFill/>
              </a:ln>
            </c:spPr>
          </c:marker>
          <c:cat>
            <c:strRef>
              <c:f>'W.EUR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OTHER'!$W$24:$W$33</c:f>
              <c:numCache>
                <c:formatCode>0%</c:formatCode>
                <c:ptCount val="10"/>
                <c:pt idx="0">
                  <c:v>0.68980418223111728</c:v>
                </c:pt>
                <c:pt idx="1">
                  <c:v>0.58695143788644921</c:v>
                </c:pt>
                <c:pt idx="2">
                  <c:v>0.9044438113519413</c:v>
                </c:pt>
                <c:pt idx="3">
                  <c:v>0.90955514169261931</c:v>
                </c:pt>
                <c:pt idx="4">
                  <c:v>0.53545287075371562</c:v>
                </c:pt>
                <c:pt idx="5">
                  <c:v>0.72910477591462941</c:v>
                </c:pt>
                <c:pt idx="6">
                  <c:v>2.7209511662118349</c:v>
                </c:pt>
                <c:pt idx="7">
                  <c:v>0.95970975081980314</c:v>
                </c:pt>
                <c:pt idx="8">
                  <c:v>0.90827668391359284</c:v>
                </c:pt>
                <c:pt idx="9">
                  <c:v>2.7209511662118349</c:v>
                </c:pt>
              </c:numCache>
            </c:numRef>
          </c:val>
          <c:extLst>
            <c:ext xmlns:c16="http://schemas.microsoft.com/office/drawing/2014/chart" uri="{C3380CC4-5D6E-409C-BE32-E72D297353CC}">
              <c16:uniqueId val="{00000000-2E69-4BE9-8E57-B431A8350406}"/>
            </c:ext>
          </c:extLst>
        </c:ser>
        <c:ser>
          <c:idx val="1"/>
          <c:order val="1"/>
          <c:tx>
            <c:strRef>
              <c:f>'W.EUR OTHER'!$X$23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'W.EUR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E69-4BE9-8E57-B431A8350406}"/>
            </c:ext>
          </c:extLst>
        </c:ser>
        <c:dLbls>
          <c:showLegendKey val="0"/>
          <c:showVal val="0"/>
          <c:showCatName val="0"/>
          <c:showSerName val="0"/>
          <c:showPercent val="0"/>
          <c:showBubbleSize val="0"/>
        </c:dLbls>
        <c:axId val="350157440"/>
        <c:axId val="350561024"/>
      </c:radarChart>
      <c:catAx>
        <c:axId val="3501574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0561024"/>
        <c:crosses val="autoZero"/>
        <c:auto val="0"/>
        <c:lblAlgn val="ctr"/>
        <c:lblOffset val="100"/>
        <c:noMultiLvlLbl val="0"/>
      </c:catAx>
      <c:valAx>
        <c:axId val="35056102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01574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19509329203551"/>
          <c:y val="6.8750000000000019E-2"/>
          <c:w val="0.45197586208062596"/>
          <c:h val="0.71914035231660978"/>
        </c:manualLayout>
      </c:layout>
      <c:radarChart>
        <c:radarStyle val="marker"/>
        <c:varyColors val="0"/>
        <c:ser>
          <c:idx val="0"/>
          <c:order val="0"/>
          <c:tx>
            <c:strRef>
              <c:f>'W.EUR TOWER'!$W$23</c:f>
              <c:strCache>
                <c:ptCount val="1"/>
                <c:pt idx="0">
                  <c:v>W. Europe Altnet</c:v>
                </c:pt>
              </c:strCache>
            </c:strRef>
          </c:tx>
          <c:spPr>
            <a:ln w="25400">
              <a:solidFill>
                <a:srgbClr val="263238"/>
              </a:solidFill>
              <a:prstDash val="solid"/>
            </a:ln>
            <a:effectLst/>
          </c:spPr>
          <c:marker>
            <c:symbol val="diamond"/>
            <c:size val="6"/>
            <c:spPr>
              <a:solidFill>
                <a:srgbClr val="263238"/>
              </a:solidFill>
              <a:ln w="6350">
                <a:noFill/>
              </a:ln>
            </c:spPr>
          </c:marker>
          <c:cat>
            <c:strRef>
              <c:f>'W.EUR TOWER'!$V$24:$V$33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TOWER'!$W$24:$W$33</c:f>
              <c:numCache>
                <c:formatCode>0%</c:formatCode>
                <c:ptCount val="10"/>
                <c:pt idx="0">
                  <c:v>4.4288608326336059</c:v>
                </c:pt>
                <c:pt idx="1">
                  <c:v>2.780404535338624</c:v>
                </c:pt>
                <c:pt idx="2">
                  <c:v>3.8635333506539267</c:v>
                </c:pt>
                <c:pt idx="3">
                  <c:v>3.6637860462997902</c:v>
                </c:pt>
                <c:pt idx="4">
                  <c:v>0</c:v>
                </c:pt>
                <c:pt idx="5">
                  <c:v>0</c:v>
                </c:pt>
                <c:pt idx="6">
                  <c:v>5.7482563469263432</c:v>
                </c:pt>
                <c:pt idx="7">
                  <c:v>14.74452272312254</c:v>
                </c:pt>
                <c:pt idx="8">
                  <c:v>2.644123859718098</c:v>
                </c:pt>
                <c:pt idx="9">
                  <c:v>5.7482563469263432</c:v>
                </c:pt>
              </c:numCache>
            </c:numRef>
          </c:val>
          <c:extLst>
            <c:ext xmlns:c16="http://schemas.microsoft.com/office/drawing/2014/chart" uri="{C3380CC4-5D6E-409C-BE32-E72D297353CC}">
              <c16:uniqueId val="{00000000-F2A4-4D99-8EA6-E639F181611B}"/>
            </c:ext>
          </c:extLst>
        </c:ser>
        <c:ser>
          <c:idx val="1"/>
          <c:order val="1"/>
          <c:tx>
            <c:strRef>
              <c:f>'W.EUR TOWER'!$X$23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'W.EUR TOWER'!$V$24:$V$33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TOWER'!$X$24:$X$33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2A4-4D99-8EA6-E639F181611B}"/>
            </c:ext>
          </c:extLst>
        </c:ser>
        <c:dLbls>
          <c:showLegendKey val="0"/>
          <c:showVal val="0"/>
          <c:showCatName val="0"/>
          <c:showSerName val="0"/>
          <c:showPercent val="0"/>
          <c:showBubbleSize val="0"/>
        </c:dLbls>
        <c:axId val="353080832"/>
        <c:axId val="353082752"/>
      </c:radarChart>
      <c:catAx>
        <c:axId val="3530808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082752"/>
        <c:crosses val="autoZero"/>
        <c:auto val="0"/>
        <c:lblAlgn val="ctr"/>
        <c:lblOffset val="100"/>
        <c:noMultiLvlLbl val="0"/>
      </c:catAx>
      <c:valAx>
        <c:axId val="353082752"/>
        <c:scaling>
          <c:orientation val="minMax"/>
          <c:max val="4"/>
          <c:min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0808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45191458613674"/>
          <c:y val="7.6470698056494313E-2"/>
          <c:w val="0.50201662323650054"/>
          <c:h val="0.73235399292565617"/>
        </c:manualLayout>
      </c:layout>
      <c:radarChart>
        <c:radarStyle val="marker"/>
        <c:varyColors val="0"/>
        <c:ser>
          <c:idx val="1"/>
          <c:order val="0"/>
          <c:tx>
            <c:strRef>
              <c:f>'W.EUR AGG'!$X$23</c:f>
              <c:strCache>
                <c:ptCount val="1"/>
                <c:pt idx="0">
                  <c:v>Other</c:v>
                </c:pt>
              </c:strCache>
            </c:strRef>
          </c:tx>
          <c:spPr>
            <a:ln w="25400">
              <a:solidFill>
                <a:srgbClr val="263238"/>
              </a:solidFill>
              <a:prstDash val="solid"/>
            </a:ln>
            <a:effectLst/>
          </c:spPr>
          <c:marker>
            <c:symbol val="diamond"/>
            <c:size val="6"/>
            <c:spPr>
              <a:solidFill>
                <a:srgbClr val="263238"/>
              </a:solidFill>
              <a:ln w="6350">
                <a:noFill/>
              </a:ln>
            </c:spPr>
          </c:marker>
          <c:cat>
            <c:strRef>
              <c:f>'W.EUR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AGG'!$X$24:$X$33</c:f>
              <c:numCache>
                <c:formatCode>_-* #,##0.0_-;\-* #,##0.0_-;_-* "-"?_-;_-@_-</c:formatCode>
                <c:ptCount val="10"/>
                <c:pt idx="0">
                  <c:v>0.68980418223111728</c:v>
                </c:pt>
                <c:pt idx="1">
                  <c:v>0.58695143788644921</c:v>
                </c:pt>
                <c:pt idx="2">
                  <c:v>0.9044438113519413</c:v>
                </c:pt>
                <c:pt idx="3">
                  <c:v>0.90955514169261931</c:v>
                </c:pt>
                <c:pt idx="4">
                  <c:v>0.53545287075371562</c:v>
                </c:pt>
                <c:pt idx="5">
                  <c:v>0.72910477591462941</c:v>
                </c:pt>
                <c:pt idx="6">
                  <c:v>2.7209511662118349</c:v>
                </c:pt>
                <c:pt idx="7">
                  <c:v>0.95970975081980314</c:v>
                </c:pt>
                <c:pt idx="8" formatCode="0%">
                  <c:v>0.96879069440789811</c:v>
                </c:pt>
                <c:pt idx="9" formatCode="0%">
                  <c:v>3.0428321567787258</c:v>
                </c:pt>
              </c:numCache>
            </c:numRef>
          </c:val>
          <c:extLst>
            <c:ext xmlns:c16="http://schemas.microsoft.com/office/drawing/2014/chart" uri="{C3380CC4-5D6E-409C-BE32-E72D297353CC}">
              <c16:uniqueId val="{00000001-DE79-4784-85E5-0C247A00D407}"/>
            </c:ext>
          </c:extLst>
        </c:ser>
        <c:ser>
          <c:idx val="2"/>
          <c:order val="1"/>
          <c:tx>
            <c:strRef>
              <c:f>'W.EUR AGG'!$Y$23</c:f>
              <c:strCache>
                <c:ptCount val="1"/>
                <c:pt idx="0">
                  <c:v>Incumbents</c:v>
                </c:pt>
              </c:strCache>
            </c:strRef>
          </c:tx>
          <c:spPr>
            <a:ln w="25400">
              <a:solidFill>
                <a:srgbClr val="F9663E"/>
              </a:solidFill>
              <a:prstDash val="solid"/>
            </a:ln>
            <a:effectLst/>
          </c:spPr>
          <c:marker>
            <c:symbol val="diamond"/>
            <c:size val="6"/>
            <c:spPr>
              <a:solidFill>
                <a:srgbClr val="F9663E"/>
              </a:solidFill>
              <a:ln w="6350">
                <a:noFill/>
              </a:ln>
            </c:spPr>
          </c:marker>
          <c:cat>
            <c:strRef>
              <c:f>'W.EUR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AGG'!$Y$24:$Y$33</c:f>
              <c:numCache>
                <c:formatCode>_-* #,##0.0_-;\-* #,##0.0_-;_-* "-"?_-;_-@_-</c:formatCode>
                <c:ptCount val="10"/>
                <c:pt idx="0">
                  <c:v>0.93098333652099419</c:v>
                </c:pt>
                <c:pt idx="1">
                  <c:v>0.95197599045257864</c:v>
                </c:pt>
                <c:pt idx="2">
                  <c:v>1.0212422549568909</c:v>
                </c:pt>
                <c:pt idx="3">
                  <c:v>0.96139355218614142</c:v>
                </c:pt>
                <c:pt idx="4">
                  <c:v>0.95893829842594569</c:v>
                </c:pt>
                <c:pt idx="5">
                  <c:v>0.99580137785707035</c:v>
                </c:pt>
                <c:pt idx="6">
                  <c:v>1.1852556144828172</c:v>
                </c:pt>
                <c:pt idx="7">
                  <c:v>1.0335831229510684</c:v>
                </c:pt>
                <c:pt idx="8" formatCode="0%">
                  <c:v>0.89260780700228171</c:v>
                </c:pt>
                <c:pt idx="9" formatCode="0%">
                  <c:v>1.3254680725387427</c:v>
                </c:pt>
              </c:numCache>
            </c:numRef>
          </c:val>
          <c:extLst>
            <c:ext xmlns:c16="http://schemas.microsoft.com/office/drawing/2014/chart" uri="{C3380CC4-5D6E-409C-BE32-E72D297353CC}">
              <c16:uniqueId val="{00000002-DE79-4784-85E5-0C247A00D407}"/>
            </c:ext>
          </c:extLst>
        </c:ser>
        <c:ser>
          <c:idx val="3"/>
          <c:order val="2"/>
          <c:tx>
            <c:strRef>
              <c:f>'W.EUR AGG'!$Z$23</c:f>
              <c:strCache>
                <c:ptCount val="1"/>
                <c:pt idx="0">
                  <c:v>Sector</c:v>
                </c:pt>
              </c:strCache>
            </c:strRef>
          </c:tx>
          <c:spPr>
            <a:ln w="25400">
              <a:solidFill>
                <a:srgbClr val="C7FE02"/>
              </a:solidFill>
              <a:prstDash val="solid"/>
            </a:ln>
            <a:effectLst/>
          </c:spPr>
          <c:marker>
            <c:symbol val="diamond"/>
            <c:size val="6"/>
            <c:spPr>
              <a:solidFill>
                <a:srgbClr val="C7FE02"/>
              </a:solidFill>
              <a:ln w="6350">
                <a:noFill/>
              </a:ln>
            </c:spPr>
          </c:marker>
          <c:cat>
            <c:strRef>
              <c:f>'W.EUR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AGG'!$Z$24:$Z$33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3-DE79-4784-85E5-0C247A00D407}"/>
            </c:ext>
          </c:extLst>
        </c:ser>
        <c:dLbls>
          <c:showLegendKey val="0"/>
          <c:showVal val="0"/>
          <c:showCatName val="0"/>
          <c:showSerName val="0"/>
          <c:showPercent val="0"/>
          <c:showBubbleSize val="0"/>
        </c:dLbls>
        <c:axId val="350241536"/>
        <c:axId val="350243456"/>
      </c:radarChart>
      <c:catAx>
        <c:axId val="3502415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0243456"/>
        <c:crosses val="autoZero"/>
        <c:auto val="0"/>
        <c:lblAlgn val="ctr"/>
        <c:lblOffset val="100"/>
        <c:noMultiLvlLbl val="0"/>
      </c:catAx>
      <c:valAx>
        <c:axId val="350243456"/>
        <c:scaling>
          <c:orientation val="minMax"/>
          <c:max val="2"/>
          <c:min val="-1"/>
        </c:scaling>
        <c:delete val="0"/>
        <c:axPos val="l"/>
        <c:numFmt formatCode="_-* #,##0.0_-;\-* #,##0.0_-;_-* &quot;-&quot;?_-;_-@_-" sourceLinked="1"/>
        <c:majorTickMark val="cross"/>
        <c:minorTickMark val="none"/>
        <c:tickLblPos val="nextTo"/>
        <c:spPr>
          <a:ln w="3175">
            <a:solidFill>
              <a:srgbClr val="B3B3B3"/>
            </a:solidFill>
            <a:prstDash val="solid"/>
          </a:ln>
        </c:spPr>
        <c:txPr>
          <a:bodyPr rot="0" vert="horz"/>
          <a:lstStyle/>
          <a:p>
            <a:pPr>
              <a:defRPr/>
            </a:pPr>
            <a:endParaRPr lang="en-US"/>
          </a:p>
        </c:txPr>
        <c:crossAx val="3502415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45191458613674"/>
          <c:y val="7.6470698056494313E-2"/>
          <c:w val="0.50201662323650054"/>
          <c:h val="0.73235399292565617"/>
        </c:manualLayout>
      </c:layout>
      <c:radarChart>
        <c:radarStyle val="marker"/>
        <c:varyColors val="0"/>
        <c:ser>
          <c:idx val="1"/>
          <c:order val="0"/>
          <c:tx>
            <c:strRef>
              <c:f>'W.EUR AGG (ex Towers)'!$X$23</c:f>
              <c:strCache>
                <c:ptCount val="1"/>
                <c:pt idx="0">
                  <c:v>Cellular</c:v>
                </c:pt>
              </c:strCache>
            </c:strRef>
          </c:tx>
          <c:spPr>
            <a:ln w="25400">
              <a:solidFill>
                <a:srgbClr val="263238"/>
              </a:solidFill>
              <a:prstDash val="solid"/>
            </a:ln>
            <a:effectLst/>
          </c:spPr>
          <c:marker>
            <c:symbol val="diamond"/>
            <c:size val="6"/>
            <c:spPr>
              <a:solidFill>
                <a:srgbClr val="263238"/>
              </a:solidFill>
              <a:ln w="6350">
                <a:noFill/>
              </a:ln>
            </c:spPr>
          </c:marker>
          <c:cat>
            <c:strRef>
              <c:f>'W.EUR AGG (ex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 (ex Towers)'!$X$24:$X$33</c:f>
              <c:numCache>
                <c:formatCode>_-* #,##0.0_-;\-* #,##0.0_-;_-* "-"?_-;_-@_-</c:formatCode>
                <c:ptCount val="10"/>
                <c:pt idx="0">
                  <c:v>0.68980418223111728</c:v>
                </c:pt>
                <c:pt idx="1">
                  <c:v>0.58695143788644921</c:v>
                </c:pt>
                <c:pt idx="2">
                  <c:v>0.9044438113519413</c:v>
                </c:pt>
                <c:pt idx="3">
                  <c:v>0.90955514169261931</c:v>
                </c:pt>
                <c:pt idx="4">
                  <c:v>0.53545287075371562</c:v>
                </c:pt>
                <c:pt idx="5">
                  <c:v>0.72910477591462941</c:v>
                </c:pt>
                <c:pt idx="6">
                  <c:v>2.7209511662118349</c:v>
                </c:pt>
                <c:pt idx="7">
                  <c:v>0.95970975081980314</c:v>
                </c:pt>
                <c:pt idx="8" formatCode="0%">
                  <c:v>0.96879069440789811</c:v>
                </c:pt>
                <c:pt idx="9" formatCode="0%">
                  <c:v>3.0428321567787258</c:v>
                </c:pt>
              </c:numCache>
            </c:numRef>
          </c:val>
          <c:extLst>
            <c:ext xmlns:c16="http://schemas.microsoft.com/office/drawing/2014/chart" uri="{C3380CC4-5D6E-409C-BE32-E72D297353CC}">
              <c16:uniqueId val="{00000001-7A4C-4F75-AF9E-785AEAA047A1}"/>
            </c:ext>
          </c:extLst>
        </c:ser>
        <c:ser>
          <c:idx val="2"/>
          <c:order val="1"/>
          <c:tx>
            <c:strRef>
              <c:f>'W.EUR AGG (ex Towers)'!$Y$23</c:f>
              <c:strCache>
                <c:ptCount val="1"/>
                <c:pt idx="0">
                  <c:v>Incumbents</c:v>
                </c:pt>
              </c:strCache>
            </c:strRef>
          </c:tx>
          <c:spPr>
            <a:ln w="25400">
              <a:solidFill>
                <a:srgbClr val="F9663E"/>
              </a:solidFill>
              <a:prstDash val="solid"/>
            </a:ln>
            <a:effectLst/>
          </c:spPr>
          <c:marker>
            <c:symbol val="diamond"/>
            <c:size val="6"/>
            <c:spPr>
              <a:solidFill>
                <a:srgbClr val="F9663E"/>
              </a:solidFill>
              <a:ln w="6350">
                <a:noFill/>
              </a:ln>
            </c:spPr>
          </c:marker>
          <c:cat>
            <c:strRef>
              <c:f>'W.EUR AGG (ex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 (ex Towers)'!$Y$24:$Y$33</c:f>
              <c:numCache>
                <c:formatCode>_-* #,##0.0_-;\-* #,##0.0_-;_-* "-"?_-;_-@_-</c:formatCode>
                <c:ptCount val="10"/>
                <c:pt idx="0">
                  <c:v>0.93098333652099419</c:v>
                </c:pt>
                <c:pt idx="1">
                  <c:v>0.95197599045257864</c:v>
                </c:pt>
                <c:pt idx="2">
                  <c:v>1.0212422549568909</c:v>
                </c:pt>
                <c:pt idx="3">
                  <c:v>0.96139355218614142</c:v>
                </c:pt>
                <c:pt idx="4">
                  <c:v>0.95893829842594569</c:v>
                </c:pt>
                <c:pt idx="5">
                  <c:v>0.99580137785707035</c:v>
                </c:pt>
                <c:pt idx="6">
                  <c:v>1.1852556144828172</c:v>
                </c:pt>
                <c:pt idx="7">
                  <c:v>1.0335831229510684</c:v>
                </c:pt>
                <c:pt idx="8" formatCode="0%">
                  <c:v>0.89260780700228171</c:v>
                </c:pt>
                <c:pt idx="9" formatCode="0%">
                  <c:v>1.3254680725387427</c:v>
                </c:pt>
              </c:numCache>
            </c:numRef>
          </c:val>
          <c:extLst>
            <c:ext xmlns:c16="http://schemas.microsoft.com/office/drawing/2014/chart" uri="{C3380CC4-5D6E-409C-BE32-E72D297353CC}">
              <c16:uniqueId val="{00000002-7A4C-4F75-AF9E-785AEAA047A1}"/>
            </c:ext>
          </c:extLst>
        </c:ser>
        <c:ser>
          <c:idx val="3"/>
          <c:order val="2"/>
          <c:tx>
            <c:strRef>
              <c:f>'W.EUR AGG (ex Towers)'!$Z$23</c:f>
              <c:strCache>
                <c:ptCount val="1"/>
                <c:pt idx="0">
                  <c:v>Sector</c:v>
                </c:pt>
              </c:strCache>
            </c:strRef>
          </c:tx>
          <c:spPr>
            <a:ln w="25400">
              <a:solidFill>
                <a:srgbClr val="C7FE02"/>
              </a:solidFill>
              <a:prstDash val="solid"/>
            </a:ln>
            <a:effectLst/>
          </c:spPr>
          <c:marker>
            <c:symbol val="diamond"/>
            <c:size val="6"/>
            <c:spPr>
              <a:solidFill>
                <a:srgbClr val="C7FE02"/>
              </a:solidFill>
              <a:ln w="6350">
                <a:noFill/>
              </a:ln>
            </c:spPr>
          </c:marker>
          <c:cat>
            <c:strRef>
              <c:f>'W.EUR AGG (ex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 (ex Towers)'!$Z$24:$Z$33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3-7A4C-4F75-AF9E-785AEAA047A1}"/>
            </c:ext>
          </c:extLst>
        </c:ser>
        <c:dLbls>
          <c:showLegendKey val="0"/>
          <c:showVal val="0"/>
          <c:showCatName val="0"/>
          <c:showSerName val="0"/>
          <c:showPercent val="0"/>
          <c:showBubbleSize val="0"/>
        </c:dLbls>
        <c:axId val="350351744"/>
        <c:axId val="350353664"/>
      </c:radarChart>
      <c:catAx>
        <c:axId val="3503517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0353664"/>
        <c:crosses val="autoZero"/>
        <c:auto val="0"/>
        <c:lblAlgn val="ctr"/>
        <c:lblOffset val="100"/>
        <c:noMultiLvlLbl val="0"/>
      </c:catAx>
      <c:valAx>
        <c:axId val="350353664"/>
        <c:scaling>
          <c:orientation val="minMax"/>
          <c:max val="2"/>
          <c:min val="-1"/>
        </c:scaling>
        <c:delete val="0"/>
        <c:axPos val="l"/>
        <c:numFmt formatCode="_-* #,##0.0_-;\-* #,##0.0_-;_-* &quot;-&quot;?_-;_-@_-" sourceLinked="1"/>
        <c:majorTickMark val="cross"/>
        <c:minorTickMark val="none"/>
        <c:tickLblPos val="nextTo"/>
        <c:spPr>
          <a:ln w="3175">
            <a:solidFill>
              <a:srgbClr val="B3B3B3"/>
            </a:solidFill>
            <a:prstDash val="solid"/>
          </a:ln>
        </c:spPr>
        <c:txPr>
          <a:bodyPr rot="0" vert="horz"/>
          <a:lstStyle/>
          <a:p>
            <a:pPr>
              <a:defRPr/>
            </a:pPr>
            <a:endParaRPr lang="en-US"/>
          </a:p>
        </c:txPr>
        <c:crossAx val="3503517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81901040786188"/>
          <c:y val="9.6875000000000044E-2"/>
          <c:w val="0.45245749616214381"/>
          <c:h val="0.71990668196411733"/>
        </c:manualLayout>
      </c:layout>
      <c:radarChart>
        <c:radarStyle val="marker"/>
        <c:varyColors val="0"/>
        <c:ser>
          <c:idx val="0"/>
          <c:order val="0"/>
          <c:tx>
            <c:strRef>
              <c:f>'DM ASIA INCUMB'!$W$23</c:f>
              <c:strCache>
                <c:ptCount val="1"/>
                <c:pt idx="0">
                  <c:v>DM Asia incumbents</c:v>
                </c:pt>
              </c:strCache>
            </c:strRef>
          </c:tx>
          <c:spPr>
            <a:ln w="25400">
              <a:solidFill>
                <a:srgbClr val="263238"/>
              </a:solidFill>
              <a:prstDash val="solid"/>
            </a:ln>
            <a:effectLst/>
          </c:spPr>
          <c:marker>
            <c:symbol val="diamond"/>
            <c:size val="6"/>
            <c:spPr>
              <a:solidFill>
                <a:srgbClr val="263238"/>
              </a:solidFill>
              <a:ln w="6350">
                <a:noFill/>
              </a:ln>
            </c:spPr>
          </c:marker>
          <c:cat>
            <c:strRef>
              <c:f>'DM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'DM ASIA INCUMB'!$W$24:$W$33</c:f>
              <c:numCache>
                <c:formatCode>0%</c:formatCode>
                <c:ptCount val="10"/>
                <c:pt idx="0">
                  <c:v>1.1627770689017713</c:v>
                </c:pt>
                <c:pt idx="1">
                  <c:v>1.3225062094248032</c:v>
                </c:pt>
                <c:pt idx="2">
                  <c:v>1.4625164976818901</c:v>
                </c:pt>
                <c:pt idx="3">
                  <c:v>1.5764049428894187</c:v>
                </c:pt>
                <c:pt idx="4">
                  <c:v>1.0480407651341259</c:v>
                </c:pt>
                <c:pt idx="5">
                  <c:v>1.0602820578776659</c:v>
                </c:pt>
                <c:pt idx="6">
                  <c:v>1.3387932476870299</c:v>
                </c:pt>
                <c:pt idx="7">
                  <c:v>0.82878826609260092</c:v>
                </c:pt>
                <c:pt idx="8">
                  <c:v>0.99006389738836775</c:v>
                </c:pt>
                <c:pt idx="9">
                  <c:v>1.3387932476870299</c:v>
                </c:pt>
              </c:numCache>
            </c:numRef>
          </c:val>
          <c:extLst>
            <c:ext xmlns:c16="http://schemas.microsoft.com/office/drawing/2014/chart" uri="{C3380CC4-5D6E-409C-BE32-E72D297353CC}">
              <c16:uniqueId val="{00000000-0CDB-4D61-81B5-B08EB4C01372}"/>
            </c:ext>
          </c:extLst>
        </c:ser>
        <c:ser>
          <c:idx val="1"/>
          <c:order val="1"/>
          <c:tx>
            <c:strRef>
              <c:f>'DM ASIA INCUMB'!$X$23</c:f>
              <c:strCache>
                <c:ptCount val="1"/>
                <c:pt idx="0">
                  <c:v>Asia Aggregate</c:v>
                </c:pt>
              </c:strCache>
            </c:strRef>
          </c:tx>
          <c:spPr>
            <a:ln w="25400">
              <a:solidFill>
                <a:srgbClr val="799098"/>
              </a:solidFill>
              <a:prstDash val="solid"/>
            </a:ln>
            <a:effectLst/>
          </c:spPr>
          <c:marker>
            <c:symbol val="diamond"/>
            <c:size val="6"/>
            <c:spPr>
              <a:solidFill>
                <a:srgbClr val="799098"/>
              </a:solidFill>
              <a:ln w="6350">
                <a:noFill/>
              </a:ln>
            </c:spPr>
          </c:marker>
          <c:cat>
            <c:strRef>
              <c:f>'DM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'DM ASIA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CDB-4D61-81B5-B08EB4C01372}"/>
            </c:ext>
          </c:extLst>
        </c:ser>
        <c:dLbls>
          <c:showLegendKey val="0"/>
          <c:showVal val="0"/>
          <c:showCatName val="0"/>
          <c:showSerName val="0"/>
          <c:showPercent val="0"/>
          <c:showBubbleSize val="0"/>
        </c:dLbls>
        <c:axId val="353542528"/>
        <c:axId val="353544448"/>
      </c:radarChart>
      <c:catAx>
        <c:axId val="35354252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544448"/>
        <c:crosses val="autoZero"/>
        <c:auto val="0"/>
        <c:lblAlgn val="ctr"/>
        <c:lblOffset val="100"/>
        <c:noMultiLvlLbl val="0"/>
      </c:catAx>
      <c:valAx>
        <c:axId val="35354444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54252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02608051721524"/>
          <c:y val="5.3124999999999999E-2"/>
          <c:w val="0.45498507124549498"/>
          <c:h val="0.72392831539290281"/>
        </c:manualLayout>
      </c:layout>
      <c:radarChart>
        <c:radarStyle val="marker"/>
        <c:varyColors val="0"/>
        <c:ser>
          <c:idx val="0"/>
          <c:order val="0"/>
          <c:tx>
            <c:strRef>
              <c:f>'DM ASIA OTHER'!$W$23</c:f>
              <c:strCache>
                <c:ptCount val="1"/>
                <c:pt idx="0">
                  <c:v>DM Asia cellular</c:v>
                </c:pt>
              </c:strCache>
            </c:strRef>
          </c:tx>
          <c:spPr>
            <a:ln w="25400">
              <a:solidFill>
                <a:srgbClr val="263238"/>
              </a:solidFill>
              <a:prstDash val="solid"/>
            </a:ln>
            <a:effectLst/>
          </c:spPr>
          <c:marker>
            <c:symbol val="diamond"/>
            <c:size val="6"/>
            <c:spPr>
              <a:solidFill>
                <a:srgbClr val="263238"/>
              </a:solidFill>
              <a:ln w="6350">
                <a:noFill/>
              </a:ln>
            </c:spPr>
          </c:marker>
          <c:cat>
            <c:strRef>
              <c:f>'DM ASIA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'DM ASIA OTHER'!$W$24:$W$33</c:f>
              <c:numCache>
                <c:formatCode>0%</c:formatCode>
                <c:ptCount val="10"/>
                <c:pt idx="0">
                  <c:v>0.98113599985164679</c:v>
                </c:pt>
                <c:pt idx="1">
                  <c:v>1.005342301529923</c:v>
                </c:pt>
                <c:pt idx="2">
                  <c:v>0.85383987265827621</c:v>
                </c:pt>
                <c:pt idx="3">
                  <c:v>0.84537260066238318</c:v>
                </c:pt>
                <c:pt idx="4">
                  <c:v>1.1998568125043474</c:v>
                </c:pt>
                <c:pt idx="5">
                  <c:v>1.6053738592906603</c:v>
                </c:pt>
                <c:pt idx="6">
                  <c:v>0.53408653194025912</c:v>
                </c:pt>
                <c:pt idx="7">
                  <c:v>1.2821990238001826</c:v>
                </c:pt>
                <c:pt idx="8">
                  <c:v>1.1864607538906689</c:v>
                </c:pt>
                <c:pt idx="9">
                  <c:v>0.55289498858274067</c:v>
                </c:pt>
              </c:numCache>
            </c:numRef>
          </c:val>
          <c:extLst>
            <c:ext xmlns:c16="http://schemas.microsoft.com/office/drawing/2014/chart" uri="{C3380CC4-5D6E-409C-BE32-E72D297353CC}">
              <c16:uniqueId val="{00000000-52A7-4F1E-9E08-FE6A10E78F58}"/>
            </c:ext>
          </c:extLst>
        </c:ser>
        <c:ser>
          <c:idx val="1"/>
          <c:order val="1"/>
          <c:tx>
            <c:strRef>
              <c:f>'DM ASIA OTHER'!$X$23</c:f>
              <c:strCache>
                <c:ptCount val="1"/>
                <c:pt idx="0">
                  <c:v>DM cellular</c:v>
                </c:pt>
              </c:strCache>
            </c:strRef>
          </c:tx>
          <c:spPr>
            <a:ln w="25400">
              <a:solidFill>
                <a:srgbClr val="799098"/>
              </a:solidFill>
              <a:prstDash val="solid"/>
            </a:ln>
            <a:effectLst/>
          </c:spPr>
          <c:marker>
            <c:symbol val="diamond"/>
            <c:size val="6"/>
            <c:spPr>
              <a:solidFill>
                <a:srgbClr val="799098"/>
              </a:solidFill>
              <a:ln w="6350">
                <a:noFill/>
              </a:ln>
            </c:spPr>
          </c:marker>
          <c:cat>
            <c:strRef>
              <c:f>'DM ASIA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'DM ASIA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2A7-4F1E-9E08-FE6A10E78F58}"/>
            </c:ext>
          </c:extLst>
        </c:ser>
        <c:dLbls>
          <c:showLegendKey val="0"/>
          <c:showVal val="0"/>
          <c:showCatName val="0"/>
          <c:showSerName val="0"/>
          <c:showPercent val="0"/>
          <c:showBubbleSize val="0"/>
        </c:dLbls>
        <c:axId val="353845248"/>
        <c:axId val="353847168"/>
      </c:radarChart>
      <c:catAx>
        <c:axId val="3538452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847168"/>
        <c:crosses val="autoZero"/>
        <c:auto val="0"/>
        <c:lblAlgn val="ctr"/>
        <c:lblOffset val="100"/>
        <c:noMultiLvlLbl val="0"/>
      </c:catAx>
      <c:valAx>
        <c:axId val="3538471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8452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2.xml"/></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26169</xdr:rowOff>
    </xdr:from>
    <xdr:to>
      <xdr:col>5</xdr:col>
      <xdr:colOff>469691</xdr:colOff>
      <xdr:row>15</xdr:row>
      <xdr:rowOff>44670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tretch>
          <a:fillRect/>
        </a:stretch>
      </xdr:blipFill>
      <xdr:spPr>
        <a:xfrm>
          <a:off x="209550" y="178569"/>
          <a:ext cx="3043822" cy="21521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662782</xdr:colOff>
      <xdr:row>37</xdr:row>
      <xdr:rowOff>76992</xdr:rowOff>
    </xdr:from>
    <xdr:to>
      <xdr:col>15</xdr:col>
      <xdr:colOff>653258</xdr:colOff>
      <xdr:row>56</xdr:row>
      <xdr:rowOff>96042</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19050</xdr:colOff>
      <xdr:row>28</xdr:row>
      <xdr:rowOff>57150</xdr:rowOff>
    </xdr:from>
    <xdr:to>
      <xdr:col>16</xdr:col>
      <xdr:colOff>9525</xdr:colOff>
      <xdr:row>47</xdr:row>
      <xdr:rowOff>57150</xdr:rowOff>
    </xdr:to>
    <xdr:graphicFrame macro="">
      <xdr:nvGraphicFramePr>
        <xdr:cNvPr id="8940648" name="Chart 2">
          <a:extLst>
            <a:ext uri="{FF2B5EF4-FFF2-40B4-BE49-F238E27FC236}">
              <a16:creationId xmlns:a16="http://schemas.microsoft.com/office/drawing/2014/main" id="{00000000-0008-0000-6D00-0000686C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9</xdr:col>
      <xdr:colOff>28575</xdr:colOff>
      <xdr:row>28</xdr:row>
      <xdr:rowOff>47625</xdr:rowOff>
    </xdr:from>
    <xdr:to>
      <xdr:col>16</xdr:col>
      <xdr:colOff>19050</xdr:colOff>
      <xdr:row>47</xdr:row>
      <xdr:rowOff>47625</xdr:rowOff>
    </xdr:to>
    <xdr:graphicFrame macro="">
      <xdr:nvGraphicFramePr>
        <xdr:cNvPr id="8943715" name="Chart 2">
          <a:extLst>
            <a:ext uri="{FF2B5EF4-FFF2-40B4-BE49-F238E27FC236}">
              <a16:creationId xmlns:a16="http://schemas.microsoft.com/office/drawing/2014/main" id="{00000000-0008-0000-6E00-0000637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9</xdr:col>
      <xdr:colOff>57150</xdr:colOff>
      <xdr:row>28</xdr:row>
      <xdr:rowOff>76200</xdr:rowOff>
    </xdr:from>
    <xdr:to>
      <xdr:col>16</xdr:col>
      <xdr:colOff>47625</xdr:colOff>
      <xdr:row>47</xdr:row>
      <xdr:rowOff>76200</xdr:rowOff>
    </xdr:to>
    <xdr:graphicFrame macro="">
      <xdr:nvGraphicFramePr>
        <xdr:cNvPr id="3" name="Chart 2">
          <a:extLst>
            <a:ext uri="{FF2B5EF4-FFF2-40B4-BE49-F238E27FC236}">
              <a16:creationId xmlns:a16="http://schemas.microsoft.com/office/drawing/2014/main" id="{00000000-0008-0000-6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8</xdr:col>
      <xdr:colOff>657225</xdr:colOff>
      <xdr:row>28</xdr:row>
      <xdr:rowOff>66675</xdr:rowOff>
    </xdr:from>
    <xdr:to>
      <xdr:col>15</xdr:col>
      <xdr:colOff>647700</xdr:colOff>
      <xdr:row>48</xdr:row>
      <xdr:rowOff>104775</xdr:rowOff>
    </xdr:to>
    <xdr:graphicFrame macro="">
      <xdr:nvGraphicFramePr>
        <xdr:cNvPr id="8956003" name="Chart 2">
          <a:extLst>
            <a:ext uri="{FF2B5EF4-FFF2-40B4-BE49-F238E27FC236}">
              <a16:creationId xmlns:a16="http://schemas.microsoft.com/office/drawing/2014/main" id="{00000000-0008-0000-7000-000063A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8</xdr:col>
      <xdr:colOff>657225</xdr:colOff>
      <xdr:row>28</xdr:row>
      <xdr:rowOff>66675</xdr:rowOff>
    </xdr:from>
    <xdr:to>
      <xdr:col>15</xdr:col>
      <xdr:colOff>647700</xdr:colOff>
      <xdr:row>48</xdr:row>
      <xdr:rowOff>104775</xdr:rowOff>
    </xdr:to>
    <xdr:graphicFrame macro="">
      <xdr:nvGraphicFramePr>
        <xdr:cNvPr id="3" name="Chart 2">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9</xdr:col>
      <xdr:colOff>9525</xdr:colOff>
      <xdr:row>28</xdr:row>
      <xdr:rowOff>57150</xdr:rowOff>
    </xdr:from>
    <xdr:to>
      <xdr:col>15</xdr:col>
      <xdr:colOff>676275</xdr:colOff>
      <xdr:row>47</xdr:row>
      <xdr:rowOff>57150</xdr:rowOff>
    </xdr:to>
    <xdr:graphicFrame macro="">
      <xdr:nvGraphicFramePr>
        <xdr:cNvPr id="8979557" name="Chart 2">
          <a:extLst>
            <a:ext uri="{FF2B5EF4-FFF2-40B4-BE49-F238E27FC236}">
              <a16:creationId xmlns:a16="http://schemas.microsoft.com/office/drawing/2014/main" id="{00000000-0008-0000-7200-0000650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9</xdr:col>
      <xdr:colOff>19050</xdr:colOff>
      <xdr:row>28</xdr:row>
      <xdr:rowOff>66675</xdr:rowOff>
    </xdr:from>
    <xdr:to>
      <xdr:col>16</xdr:col>
      <xdr:colOff>9525</xdr:colOff>
      <xdr:row>47</xdr:row>
      <xdr:rowOff>66675</xdr:rowOff>
    </xdr:to>
    <xdr:graphicFrame macro="">
      <xdr:nvGraphicFramePr>
        <xdr:cNvPr id="8983653" name="Chart 2">
          <a:extLst>
            <a:ext uri="{FF2B5EF4-FFF2-40B4-BE49-F238E27FC236}">
              <a16:creationId xmlns:a16="http://schemas.microsoft.com/office/drawing/2014/main" id="{00000000-0008-0000-7300-0000651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28575</xdr:colOff>
      <xdr:row>28</xdr:row>
      <xdr:rowOff>76200</xdr:rowOff>
    </xdr:from>
    <xdr:to>
      <xdr:col>16</xdr:col>
      <xdr:colOff>19050</xdr:colOff>
      <xdr:row>47</xdr:row>
      <xdr:rowOff>76200</xdr:rowOff>
    </xdr:to>
    <xdr:graphicFrame macro="">
      <xdr:nvGraphicFramePr>
        <xdr:cNvPr id="62592381" name="Chart 2">
          <a:extLst>
            <a:ext uri="{FF2B5EF4-FFF2-40B4-BE49-F238E27FC236}">
              <a16:creationId xmlns:a16="http://schemas.microsoft.com/office/drawing/2014/main" id="{00000000-0008-0000-7400-00007D15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8</xdr:col>
      <xdr:colOff>666750</xdr:colOff>
      <xdr:row>28</xdr:row>
      <xdr:rowOff>66675</xdr:rowOff>
    </xdr:from>
    <xdr:to>
      <xdr:col>15</xdr:col>
      <xdr:colOff>657225</xdr:colOff>
      <xdr:row>47</xdr:row>
      <xdr:rowOff>66675</xdr:rowOff>
    </xdr:to>
    <xdr:graphicFrame macro="">
      <xdr:nvGraphicFramePr>
        <xdr:cNvPr id="8968291" name="Chart 2">
          <a:extLst>
            <a:ext uri="{FF2B5EF4-FFF2-40B4-BE49-F238E27FC236}">
              <a16:creationId xmlns:a16="http://schemas.microsoft.com/office/drawing/2014/main" id="{00000000-0008-0000-7500-000063D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9</xdr:col>
      <xdr:colOff>28575</xdr:colOff>
      <xdr:row>28</xdr:row>
      <xdr:rowOff>66675</xdr:rowOff>
    </xdr:from>
    <xdr:to>
      <xdr:col>16</xdr:col>
      <xdr:colOff>19050</xdr:colOff>
      <xdr:row>47</xdr:row>
      <xdr:rowOff>66675</xdr:rowOff>
    </xdr:to>
    <xdr:graphicFrame macro="">
      <xdr:nvGraphicFramePr>
        <xdr:cNvPr id="8971363" name="Chart 2">
          <a:extLst>
            <a:ext uri="{FF2B5EF4-FFF2-40B4-BE49-F238E27FC236}">
              <a16:creationId xmlns:a16="http://schemas.microsoft.com/office/drawing/2014/main" id="{00000000-0008-0000-7600-000063E4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650359</xdr:colOff>
      <xdr:row>30</xdr:row>
      <xdr:rowOff>112527</xdr:rowOff>
    </xdr:from>
    <xdr:to>
      <xdr:col>15</xdr:col>
      <xdr:colOff>640833</xdr:colOff>
      <xdr:row>49</xdr:row>
      <xdr:rowOff>112527</xdr:rowOff>
    </xdr:to>
    <xdr:graphicFrame macro="">
      <xdr:nvGraphicFramePr>
        <xdr:cNvPr id="63596476" name="Chart 2">
          <a:extLst>
            <a:ext uri="{FF2B5EF4-FFF2-40B4-BE49-F238E27FC236}">
              <a16:creationId xmlns:a16="http://schemas.microsoft.com/office/drawing/2014/main" id="{00000000-0008-0000-0B00-0000BC67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9</xdr:col>
      <xdr:colOff>57150</xdr:colOff>
      <xdr:row>28</xdr:row>
      <xdr:rowOff>76200</xdr:rowOff>
    </xdr:from>
    <xdr:to>
      <xdr:col>16</xdr:col>
      <xdr:colOff>47625</xdr:colOff>
      <xdr:row>47</xdr:row>
      <xdr:rowOff>76200</xdr:rowOff>
    </xdr:to>
    <xdr:graphicFrame macro="">
      <xdr:nvGraphicFramePr>
        <xdr:cNvPr id="3" name="Chart 2">
          <a:extLst>
            <a:ext uri="{FF2B5EF4-FFF2-40B4-BE49-F238E27FC236}">
              <a16:creationId xmlns:a16="http://schemas.microsoft.com/office/drawing/2014/main" id="{00000000-0008-0000-7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9</xdr:col>
      <xdr:colOff>19050</xdr:colOff>
      <xdr:row>28</xdr:row>
      <xdr:rowOff>66675</xdr:rowOff>
    </xdr:from>
    <xdr:to>
      <xdr:col>16</xdr:col>
      <xdr:colOff>9525</xdr:colOff>
      <xdr:row>47</xdr:row>
      <xdr:rowOff>66675</xdr:rowOff>
    </xdr:to>
    <xdr:graphicFrame macro="">
      <xdr:nvGraphicFramePr>
        <xdr:cNvPr id="8975459" name="Chart 2">
          <a:extLst>
            <a:ext uri="{FF2B5EF4-FFF2-40B4-BE49-F238E27FC236}">
              <a16:creationId xmlns:a16="http://schemas.microsoft.com/office/drawing/2014/main" id="{00000000-0008-0000-7800-000063F4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9</xdr:col>
      <xdr:colOff>28575</xdr:colOff>
      <xdr:row>28</xdr:row>
      <xdr:rowOff>66675</xdr:rowOff>
    </xdr:from>
    <xdr:to>
      <xdr:col>16</xdr:col>
      <xdr:colOff>19050</xdr:colOff>
      <xdr:row>47</xdr:row>
      <xdr:rowOff>66675</xdr:rowOff>
    </xdr:to>
    <xdr:graphicFrame macro="">
      <xdr:nvGraphicFramePr>
        <xdr:cNvPr id="8959075" name="Chart 2">
          <a:extLst>
            <a:ext uri="{FF2B5EF4-FFF2-40B4-BE49-F238E27FC236}">
              <a16:creationId xmlns:a16="http://schemas.microsoft.com/office/drawing/2014/main" id="{00000000-0008-0000-7900-000063B4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8</xdr:col>
      <xdr:colOff>676275</xdr:colOff>
      <xdr:row>28</xdr:row>
      <xdr:rowOff>66675</xdr:rowOff>
    </xdr:from>
    <xdr:to>
      <xdr:col>15</xdr:col>
      <xdr:colOff>666750</xdr:colOff>
      <xdr:row>47</xdr:row>
      <xdr:rowOff>66675</xdr:rowOff>
    </xdr:to>
    <xdr:graphicFrame macro="">
      <xdr:nvGraphicFramePr>
        <xdr:cNvPr id="8962147" name="Chart 2">
          <a:extLst>
            <a:ext uri="{FF2B5EF4-FFF2-40B4-BE49-F238E27FC236}">
              <a16:creationId xmlns:a16="http://schemas.microsoft.com/office/drawing/2014/main" id="{00000000-0008-0000-7A00-000063C0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9</xdr:col>
      <xdr:colOff>57150</xdr:colOff>
      <xdr:row>28</xdr:row>
      <xdr:rowOff>123825</xdr:rowOff>
    </xdr:from>
    <xdr:to>
      <xdr:col>16</xdr:col>
      <xdr:colOff>47625</xdr:colOff>
      <xdr:row>47</xdr:row>
      <xdr:rowOff>123825</xdr:rowOff>
    </xdr:to>
    <xdr:graphicFrame macro="">
      <xdr:nvGraphicFramePr>
        <xdr:cNvPr id="8965219" name="Chart 2">
          <a:extLst>
            <a:ext uri="{FF2B5EF4-FFF2-40B4-BE49-F238E27FC236}">
              <a16:creationId xmlns:a16="http://schemas.microsoft.com/office/drawing/2014/main" id="{00000000-0008-0000-7B00-000063CC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9</xdr:col>
      <xdr:colOff>38100</xdr:colOff>
      <xdr:row>28</xdr:row>
      <xdr:rowOff>133350</xdr:rowOff>
    </xdr:from>
    <xdr:to>
      <xdr:col>16</xdr:col>
      <xdr:colOff>28575</xdr:colOff>
      <xdr:row>47</xdr:row>
      <xdr:rowOff>133350</xdr:rowOff>
    </xdr:to>
    <xdr:graphicFrame macro="">
      <xdr:nvGraphicFramePr>
        <xdr:cNvPr id="8995941" name="Chart 2">
          <a:extLst>
            <a:ext uri="{FF2B5EF4-FFF2-40B4-BE49-F238E27FC236}">
              <a16:creationId xmlns:a16="http://schemas.microsoft.com/office/drawing/2014/main" id="{00000000-0008-0000-7C00-0000654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8</xdr:col>
      <xdr:colOff>666750</xdr:colOff>
      <xdr:row>28</xdr:row>
      <xdr:rowOff>133350</xdr:rowOff>
    </xdr:from>
    <xdr:to>
      <xdr:col>15</xdr:col>
      <xdr:colOff>657225</xdr:colOff>
      <xdr:row>47</xdr:row>
      <xdr:rowOff>133350</xdr:rowOff>
    </xdr:to>
    <xdr:graphicFrame macro="">
      <xdr:nvGraphicFramePr>
        <xdr:cNvPr id="9000035" name="Chart 2">
          <a:extLst>
            <a:ext uri="{FF2B5EF4-FFF2-40B4-BE49-F238E27FC236}">
              <a16:creationId xmlns:a16="http://schemas.microsoft.com/office/drawing/2014/main" id="{00000000-0008-0000-7D00-0000635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9</xdr:col>
      <xdr:colOff>19050</xdr:colOff>
      <xdr:row>28</xdr:row>
      <xdr:rowOff>66675</xdr:rowOff>
    </xdr:from>
    <xdr:to>
      <xdr:col>16</xdr:col>
      <xdr:colOff>9525</xdr:colOff>
      <xdr:row>47</xdr:row>
      <xdr:rowOff>66675</xdr:rowOff>
    </xdr:to>
    <xdr:graphicFrame macro="">
      <xdr:nvGraphicFramePr>
        <xdr:cNvPr id="62597501" name="Chart 2">
          <a:extLst>
            <a:ext uri="{FF2B5EF4-FFF2-40B4-BE49-F238E27FC236}">
              <a16:creationId xmlns:a16="http://schemas.microsoft.com/office/drawing/2014/main" id="{00000000-0008-0000-7E00-00007D29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9</xdr:col>
      <xdr:colOff>38100</xdr:colOff>
      <xdr:row>28</xdr:row>
      <xdr:rowOff>38100</xdr:rowOff>
    </xdr:from>
    <xdr:to>
      <xdr:col>16</xdr:col>
      <xdr:colOff>28575</xdr:colOff>
      <xdr:row>47</xdr:row>
      <xdr:rowOff>38100</xdr:rowOff>
    </xdr:to>
    <xdr:graphicFrame macro="">
      <xdr:nvGraphicFramePr>
        <xdr:cNvPr id="62596477" name="Chart 2">
          <a:extLst>
            <a:ext uri="{FF2B5EF4-FFF2-40B4-BE49-F238E27FC236}">
              <a16:creationId xmlns:a16="http://schemas.microsoft.com/office/drawing/2014/main" id="{00000000-0008-0000-7F00-00007D25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9</xdr:col>
      <xdr:colOff>19050</xdr:colOff>
      <xdr:row>28</xdr:row>
      <xdr:rowOff>76200</xdr:rowOff>
    </xdr:from>
    <xdr:to>
      <xdr:col>16</xdr:col>
      <xdr:colOff>9525</xdr:colOff>
      <xdr:row>47</xdr:row>
      <xdr:rowOff>76200</xdr:rowOff>
    </xdr:to>
    <xdr:graphicFrame macro="">
      <xdr:nvGraphicFramePr>
        <xdr:cNvPr id="62593405" name="Chart 2">
          <a:extLst>
            <a:ext uri="{FF2B5EF4-FFF2-40B4-BE49-F238E27FC236}">
              <a16:creationId xmlns:a16="http://schemas.microsoft.com/office/drawing/2014/main" id="{00000000-0008-0000-8000-00007D19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9</xdr:col>
      <xdr:colOff>19050</xdr:colOff>
      <xdr:row>28</xdr:row>
      <xdr:rowOff>38100</xdr:rowOff>
    </xdr:from>
    <xdr:to>
      <xdr:col>16</xdr:col>
      <xdr:colOff>9525</xdr:colOff>
      <xdr:row>47</xdr:row>
      <xdr:rowOff>38100</xdr:rowOff>
    </xdr:to>
    <xdr:graphicFrame macro="">
      <xdr:nvGraphicFramePr>
        <xdr:cNvPr id="62598525" name="Chart 2">
          <a:extLst>
            <a:ext uri="{FF2B5EF4-FFF2-40B4-BE49-F238E27FC236}">
              <a16:creationId xmlns:a16="http://schemas.microsoft.com/office/drawing/2014/main" id="{00000000-0008-0000-8100-00007D2D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8</xdr:col>
      <xdr:colOff>667310</xdr:colOff>
      <xdr:row>28</xdr:row>
      <xdr:rowOff>12327</xdr:rowOff>
    </xdr:from>
    <xdr:to>
      <xdr:col>15</xdr:col>
      <xdr:colOff>657784</xdr:colOff>
      <xdr:row>47</xdr:row>
      <xdr:rowOff>12327</xdr:rowOff>
    </xdr:to>
    <xdr:graphicFrame macro="">
      <xdr:nvGraphicFramePr>
        <xdr:cNvPr id="3" name="Chart 2">
          <a:extLst>
            <a:ext uri="{FF2B5EF4-FFF2-40B4-BE49-F238E27FC236}">
              <a16:creationId xmlns:a16="http://schemas.microsoft.com/office/drawing/2014/main" id="{00000000-0008-0000-8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8</xdr:col>
      <xdr:colOff>667310</xdr:colOff>
      <xdr:row>28</xdr:row>
      <xdr:rowOff>12327</xdr:rowOff>
    </xdr:from>
    <xdr:to>
      <xdr:col>15</xdr:col>
      <xdr:colOff>657784</xdr:colOff>
      <xdr:row>47</xdr:row>
      <xdr:rowOff>12327</xdr:rowOff>
    </xdr:to>
    <xdr:graphicFrame macro="">
      <xdr:nvGraphicFramePr>
        <xdr:cNvPr id="3" name="Chart 2">
          <a:extLst>
            <a:ext uri="{FF2B5EF4-FFF2-40B4-BE49-F238E27FC236}">
              <a16:creationId xmlns:a16="http://schemas.microsoft.com/office/drawing/2014/main" id="{00000000-0008-0000-8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9</xdr:col>
      <xdr:colOff>28575</xdr:colOff>
      <xdr:row>28</xdr:row>
      <xdr:rowOff>57150</xdr:rowOff>
    </xdr:from>
    <xdr:to>
      <xdr:col>16</xdr:col>
      <xdr:colOff>19050</xdr:colOff>
      <xdr:row>47</xdr:row>
      <xdr:rowOff>57150</xdr:rowOff>
    </xdr:to>
    <xdr:graphicFrame macro="">
      <xdr:nvGraphicFramePr>
        <xdr:cNvPr id="62599550" name="Chart 2">
          <a:extLst>
            <a:ext uri="{FF2B5EF4-FFF2-40B4-BE49-F238E27FC236}">
              <a16:creationId xmlns:a16="http://schemas.microsoft.com/office/drawing/2014/main" id="{00000000-0008-0000-8400-00007E31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9</xdr:col>
      <xdr:colOff>47625</xdr:colOff>
      <xdr:row>28</xdr:row>
      <xdr:rowOff>38100</xdr:rowOff>
    </xdr:from>
    <xdr:to>
      <xdr:col>16</xdr:col>
      <xdr:colOff>38100</xdr:colOff>
      <xdr:row>47</xdr:row>
      <xdr:rowOff>38100</xdr:rowOff>
    </xdr:to>
    <xdr:graphicFrame macro="">
      <xdr:nvGraphicFramePr>
        <xdr:cNvPr id="9044067" name="Chart 2">
          <a:extLst>
            <a:ext uri="{FF2B5EF4-FFF2-40B4-BE49-F238E27FC236}">
              <a16:creationId xmlns:a16="http://schemas.microsoft.com/office/drawing/2014/main" id="{00000000-0008-0000-8500-000063008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9</xdr:col>
      <xdr:colOff>19050</xdr:colOff>
      <xdr:row>28</xdr:row>
      <xdr:rowOff>47625</xdr:rowOff>
    </xdr:from>
    <xdr:to>
      <xdr:col>16</xdr:col>
      <xdr:colOff>9525</xdr:colOff>
      <xdr:row>47</xdr:row>
      <xdr:rowOff>47625</xdr:rowOff>
    </xdr:to>
    <xdr:graphicFrame macro="">
      <xdr:nvGraphicFramePr>
        <xdr:cNvPr id="9046115" name="Chart 2">
          <a:extLst>
            <a:ext uri="{FF2B5EF4-FFF2-40B4-BE49-F238E27FC236}">
              <a16:creationId xmlns:a16="http://schemas.microsoft.com/office/drawing/2014/main" id="{00000000-0008-0000-8600-000063088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9</xdr:col>
      <xdr:colOff>19050</xdr:colOff>
      <xdr:row>28</xdr:row>
      <xdr:rowOff>47625</xdr:rowOff>
    </xdr:from>
    <xdr:to>
      <xdr:col>16</xdr:col>
      <xdr:colOff>9525</xdr:colOff>
      <xdr:row>47</xdr:row>
      <xdr:rowOff>47625</xdr:rowOff>
    </xdr:to>
    <xdr:graphicFrame macro="">
      <xdr:nvGraphicFramePr>
        <xdr:cNvPr id="3" name="Chart 2">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9</xdr:col>
      <xdr:colOff>57150</xdr:colOff>
      <xdr:row>28</xdr:row>
      <xdr:rowOff>76200</xdr:rowOff>
    </xdr:from>
    <xdr:to>
      <xdr:col>16</xdr:col>
      <xdr:colOff>47625</xdr:colOff>
      <xdr:row>47</xdr:row>
      <xdr:rowOff>76200</xdr:rowOff>
    </xdr:to>
    <xdr:graphicFrame macro="">
      <xdr:nvGraphicFramePr>
        <xdr:cNvPr id="3" name="Chart 2">
          <a:extLst>
            <a:ext uri="{FF2B5EF4-FFF2-40B4-BE49-F238E27FC236}">
              <a16:creationId xmlns:a16="http://schemas.microsoft.com/office/drawing/2014/main" id="{00000000-0008-0000-8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9</xdr:col>
      <xdr:colOff>38100</xdr:colOff>
      <xdr:row>28</xdr:row>
      <xdr:rowOff>104775</xdr:rowOff>
    </xdr:from>
    <xdr:to>
      <xdr:col>16</xdr:col>
      <xdr:colOff>28575</xdr:colOff>
      <xdr:row>47</xdr:row>
      <xdr:rowOff>104775</xdr:rowOff>
    </xdr:to>
    <xdr:graphicFrame macro="">
      <xdr:nvGraphicFramePr>
        <xdr:cNvPr id="62600573" name="Chart 2">
          <a:extLst>
            <a:ext uri="{FF2B5EF4-FFF2-40B4-BE49-F238E27FC236}">
              <a16:creationId xmlns:a16="http://schemas.microsoft.com/office/drawing/2014/main" id="{00000000-0008-0000-8900-00007D35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17</xdr:col>
      <xdr:colOff>361949</xdr:colOff>
      <xdr:row>28</xdr:row>
      <xdr:rowOff>28576</xdr:rowOff>
    </xdr:from>
    <xdr:to>
      <xdr:col>24</xdr:col>
      <xdr:colOff>0</xdr:colOff>
      <xdr:row>45</xdr:row>
      <xdr:rowOff>9526</xdr:rowOff>
    </xdr:to>
    <xdr:graphicFrame macro="">
      <xdr:nvGraphicFramePr>
        <xdr:cNvPr id="3" name="Chart 2">
          <a:extLst>
            <a:ext uri="{FF2B5EF4-FFF2-40B4-BE49-F238E27FC236}">
              <a16:creationId xmlns:a16="http://schemas.microsoft.com/office/drawing/2014/main" id="{00000000-0008-0000-8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2" name="Chart 1">
          <a:extLst>
            <a:ext uri="{FF2B5EF4-FFF2-40B4-BE49-F238E27FC236}">
              <a16:creationId xmlns:a16="http://schemas.microsoft.com/office/drawing/2014/main" id="{0BEACDEE-4E31-42FC-B93C-155B7D24F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18</xdr:col>
      <xdr:colOff>0</xdr:colOff>
      <xdr:row>23</xdr:row>
      <xdr:rowOff>142875</xdr:rowOff>
    </xdr:from>
    <xdr:to>
      <xdr:col>24</xdr:col>
      <xdr:colOff>47625</xdr:colOff>
      <xdr:row>39</xdr:row>
      <xdr:rowOff>66675</xdr:rowOff>
    </xdr:to>
    <xdr:graphicFrame macro="">
      <xdr:nvGraphicFramePr>
        <xdr:cNvPr id="2" name="Chart 1">
          <a:extLst>
            <a:ext uri="{FF2B5EF4-FFF2-40B4-BE49-F238E27FC236}">
              <a16:creationId xmlns:a16="http://schemas.microsoft.com/office/drawing/2014/main" id="{00000000-0008-0000-8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18</xdr:col>
      <xdr:colOff>165177</xdr:colOff>
      <xdr:row>20</xdr:row>
      <xdr:rowOff>6505</xdr:rowOff>
    </xdr:from>
    <xdr:to>
      <xdr:col>23</xdr:col>
      <xdr:colOff>670002</xdr:colOff>
      <xdr:row>34</xdr:row>
      <xdr:rowOff>109886</xdr:rowOff>
    </xdr:to>
    <xdr:graphicFrame macro="">
      <xdr:nvGraphicFramePr>
        <xdr:cNvPr id="62534495" name="Chart 2">
          <a:extLst>
            <a:ext uri="{FF2B5EF4-FFF2-40B4-BE49-F238E27FC236}">
              <a16:creationId xmlns:a16="http://schemas.microsoft.com/office/drawing/2014/main" id="{00000000-0008-0000-8E00-00005F33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18</xdr:col>
      <xdr:colOff>239677</xdr:colOff>
      <xdr:row>19</xdr:row>
      <xdr:rowOff>88605</xdr:rowOff>
    </xdr:from>
    <xdr:to>
      <xdr:col>24</xdr:col>
      <xdr:colOff>0</xdr:colOff>
      <xdr:row>33</xdr:row>
      <xdr:rowOff>151956</xdr:rowOff>
    </xdr:to>
    <xdr:graphicFrame macro="">
      <xdr:nvGraphicFramePr>
        <xdr:cNvPr id="62538591" name="Chart 2">
          <a:extLst>
            <a:ext uri="{FF2B5EF4-FFF2-40B4-BE49-F238E27FC236}">
              <a16:creationId xmlns:a16="http://schemas.microsoft.com/office/drawing/2014/main" id="{00000000-0008-0000-8F00-00005F43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18</xdr:col>
      <xdr:colOff>158540</xdr:colOff>
      <xdr:row>28</xdr:row>
      <xdr:rowOff>18258</xdr:rowOff>
    </xdr:from>
    <xdr:to>
      <xdr:col>23</xdr:col>
      <xdr:colOff>653840</xdr:colOff>
      <xdr:row>50</xdr:row>
      <xdr:rowOff>149045</xdr:rowOff>
    </xdr:to>
    <xdr:graphicFrame macro="">
      <xdr:nvGraphicFramePr>
        <xdr:cNvPr id="62542687" name="Chart 2">
          <a:extLst>
            <a:ext uri="{FF2B5EF4-FFF2-40B4-BE49-F238E27FC236}">
              <a16:creationId xmlns:a16="http://schemas.microsoft.com/office/drawing/2014/main" id="{00000000-0008-0000-9000-00005F53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17</xdr:col>
      <xdr:colOff>595313</xdr:colOff>
      <xdr:row>22</xdr:row>
      <xdr:rowOff>76200</xdr:rowOff>
    </xdr:from>
    <xdr:to>
      <xdr:col>24</xdr:col>
      <xdr:colOff>57150</xdr:colOff>
      <xdr:row>41</xdr:row>
      <xdr:rowOff>26194</xdr:rowOff>
    </xdr:to>
    <xdr:graphicFrame macro="">
      <xdr:nvGraphicFramePr>
        <xdr:cNvPr id="62548831" name="Chart 2">
          <a:extLst>
            <a:ext uri="{FF2B5EF4-FFF2-40B4-BE49-F238E27FC236}">
              <a16:creationId xmlns:a16="http://schemas.microsoft.com/office/drawing/2014/main" id="{00000000-0008-0000-9100-00005F6B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18</xdr:col>
      <xdr:colOff>217260</xdr:colOff>
      <xdr:row>19</xdr:row>
      <xdr:rowOff>78013</xdr:rowOff>
    </xdr:from>
    <xdr:to>
      <xdr:col>23</xdr:col>
      <xdr:colOff>723899</xdr:colOff>
      <xdr:row>36</xdr:row>
      <xdr:rowOff>68035</xdr:rowOff>
    </xdr:to>
    <xdr:graphicFrame macro="">
      <xdr:nvGraphicFramePr>
        <xdr:cNvPr id="62547807" name="Chart 2">
          <a:extLst>
            <a:ext uri="{FF2B5EF4-FFF2-40B4-BE49-F238E27FC236}">
              <a16:creationId xmlns:a16="http://schemas.microsoft.com/office/drawing/2014/main" id="{00000000-0008-0000-9200-00005F67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18</xdr:col>
      <xdr:colOff>214893</xdr:colOff>
      <xdr:row>41</xdr:row>
      <xdr:rowOff>128007</xdr:rowOff>
    </xdr:from>
    <xdr:to>
      <xdr:col>24</xdr:col>
      <xdr:colOff>0</xdr:colOff>
      <xdr:row>57</xdr:row>
      <xdr:rowOff>166107</xdr:rowOff>
    </xdr:to>
    <xdr:graphicFrame macro="">
      <xdr:nvGraphicFramePr>
        <xdr:cNvPr id="62537593" name="Chart 2">
          <a:extLst>
            <a:ext uri="{FF2B5EF4-FFF2-40B4-BE49-F238E27FC236}">
              <a16:creationId xmlns:a16="http://schemas.microsoft.com/office/drawing/2014/main" id="{00000000-0008-0000-9300-0000793F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18</xdr:col>
      <xdr:colOff>173173</xdr:colOff>
      <xdr:row>22</xdr:row>
      <xdr:rowOff>112578</xdr:rowOff>
    </xdr:from>
    <xdr:to>
      <xdr:col>23</xdr:col>
      <xdr:colOff>677080</xdr:colOff>
      <xdr:row>39</xdr:row>
      <xdr:rowOff>64953</xdr:rowOff>
    </xdr:to>
    <xdr:graphicFrame macro="">
      <xdr:nvGraphicFramePr>
        <xdr:cNvPr id="62553951" name="Chart 2">
          <a:extLst>
            <a:ext uri="{FF2B5EF4-FFF2-40B4-BE49-F238E27FC236}">
              <a16:creationId xmlns:a16="http://schemas.microsoft.com/office/drawing/2014/main" id="{00000000-0008-0000-9400-00005F7F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18</xdr:col>
      <xdr:colOff>14763</xdr:colOff>
      <xdr:row>30</xdr:row>
      <xdr:rowOff>123825</xdr:rowOff>
    </xdr:from>
    <xdr:to>
      <xdr:col>23</xdr:col>
      <xdr:colOff>552450</xdr:colOff>
      <xdr:row>47</xdr:row>
      <xdr:rowOff>114300</xdr:rowOff>
    </xdr:to>
    <xdr:graphicFrame macro="">
      <xdr:nvGraphicFramePr>
        <xdr:cNvPr id="62585532" name="Chart 2">
          <a:extLst>
            <a:ext uri="{FF2B5EF4-FFF2-40B4-BE49-F238E27FC236}">
              <a16:creationId xmlns:a16="http://schemas.microsoft.com/office/drawing/2014/main" id="{00000000-0008-0000-9500-0000BCFA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18</xdr:col>
      <xdr:colOff>235322</xdr:colOff>
      <xdr:row>20</xdr:row>
      <xdr:rowOff>100853</xdr:rowOff>
    </xdr:from>
    <xdr:to>
      <xdr:col>24</xdr:col>
      <xdr:colOff>0</xdr:colOff>
      <xdr:row>34</xdr:row>
      <xdr:rowOff>134470</xdr:rowOff>
    </xdr:to>
    <xdr:graphicFrame macro="">
      <xdr:nvGraphicFramePr>
        <xdr:cNvPr id="10" name="Chart 2">
          <a:extLst>
            <a:ext uri="{FF2B5EF4-FFF2-40B4-BE49-F238E27FC236}">
              <a16:creationId xmlns:a16="http://schemas.microsoft.com/office/drawing/2014/main" id="{00000000-0008-0000-9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66675</xdr:rowOff>
    </xdr:to>
    <xdr:graphicFrame macro="">
      <xdr:nvGraphicFramePr>
        <xdr:cNvPr id="63598519" name="Chart 2">
          <a:extLst>
            <a:ext uri="{FF2B5EF4-FFF2-40B4-BE49-F238E27FC236}">
              <a16:creationId xmlns:a16="http://schemas.microsoft.com/office/drawing/2014/main" id="{00000000-0008-0000-0D00-0000B76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17</xdr:col>
      <xdr:colOff>652463</xdr:colOff>
      <xdr:row>34</xdr:row>
      <xdr:rowOff>90488</xdr:rowOff>
    </xdr:from>
    <xdr:to>
      <xdr:col>23</xdr:col>
      <xdr:colOff>647700</xdr:colOff>
      <xdr:row>52</xdr:row>
      <xdr:rowOff>42863</xdr:rowOff>
    </xdr:to>
    <xdr:graphicFrame macro="">
      <xdr:nvGraphicFramePr>
        <xdr:cNvPr id="2" name="Chart 1">
          <a:extLst>
            <a:ext uri="{FF2B5EF4-FFF2-40B4-BE49-F238E27FC236}">
              <a16:creationId xmlns:a16="http://schemas.microsoft.com/office/drawing/2014/main" id="{00000000-0008-0000-9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19</xdr:col>
      <xdr:colOff>1</xdr:colOff>
      <xdr:row>21</xdr:row>
      <xdr:rowOff>92448</xdr:rowOff>
    </xdr:from>
    <xdr:to>
      <xdr:col>24</xdr:col>
      <xdr:colOff>0</xdr:colOff>
      <xdr:row>40</xdr:row>
      <xdr:rowOff>31750</xdr:rowOff>
    </xdr:to>
    <xdr:graphicFrame macro="">
      <xdr:nvGraphicFramePr>
        <xdr:cNvPr id="62564963" name="Chart 2">
          <a:extLst>
            <a:ext uri="{FF2B5EF4-FFF2-40B4-BE49-F238E27FC236}">
              <a16:creationId xmlns:a16="http://schemas.microsoft.com/office/drawing/2014/main" id="{00000000-0008-0000-9800-000063AA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19</xdr:col>
      <xdr:colOff>4481</xdr:colOff>
      <xdr:row>19</xdr:row>
      <xdr:rowOff>75077</xdr:rowOff>
    </xdr:from>
    <xdr:to>
      <xdr:col>23</xdr:col>
      <xdr:colOff>652181</xdr:colOff>
      <xdr:row>37</xdr:row>
      <xdr:rowOff>93007</xdr:rowOff>
    </xdr:to>
    <xdr:graphicFrame macro="">
      <xdr:nvGraphicFramePr>
        <xdr:cNvPr id="62567011" name="Chart 2">
          <a:extLst>
            <a:ext uri="{FF2B5EF4-FFF2-40B4-BE49-F238E27FC236}">
              <a16:creationId xmlns:a16="http://schemas.microsoft.com/office/drawing/2014/main" id="{00000000-0008-0000-9900-000063B2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18</xdr:col>
      <xdr:colOff>198344</xdr:colOff>
      <xdr:row>43</xdr:row>
      <xdr:rowOff>101974</xdr:rowOff>
    </xdr:from>
    <xdr:to>
      <xdr:col>23</xdr:col>
      <xdr:colOff>672354</xdr:colOff>
      <xdr:row>59</xdr:row>
      <xdr:rowOff>193523</xdr:rowOff>
    </xdr:to>
    <xdr:graphicFrame macro="">
      <xdr:nvGraphicFramePr>
        <xdr:cNvPr id="62570083" name="Chart 2">
          <a:extLst>
            <a:ext uri="{FF2B5EF4-FFF2-40B4-BE49-F238E27FC236}">
              <a16:creationId xmlns:a16="http://schemas.microsoft.com/office/drawing/2014/main" id="{00000000-0008-0000-9A00-000063BE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19</xdr:col>
      <xdr:colOff>1</xdr:colOff>
      <xdr:row>47</xdr:row>
      <xdr:rowOff>128588</xdr:rowOff>
    </xdr:from>
    <xdr:to>
      <xdr:col>23</xdr:col>
      <xdr:colOff>704851</xdr:colOff>
      <xdr:row>64</xdr:row>
      <xdr:rowOff>176213</xdr:rowOff>
    </xdr:to>
    <xdr:graphicFrame macro="">
      <xdr:nvGraphicFramePr>
        <xdr:cNvPr id="62572131" name="Chart 2">
          <a:extLst>
            <a:ext uri="{FF2B5EF4-FFF2-40B4-BE49-F238E27FC236}">
              <a16:creationId xmlns:a16="http://schemas.microsoft.com/office/drawing/2014/main" id="{00000000-0008-0000-9B00-000063C6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17</xdr:col>
      <xdr:colOff>95250</xdr:colOff>
      <xdr:row>26</xdr:row>
      <xdr:rowOff>133350</xdr:rowOff>
    </xdr:from>
    <xdr:to>
      <xdr:col>23</xdr:col>
      <xdr:colOff>509322</xdr:colOff>
      <xdr:row>43</xdr:row>
      <xdr:rowOff>113336</xdr:rowOff>
    </xdr:to>
    <xdr:graphicFrame macro="">
      <xdr:nvGraphicFramePr>
        <xdr:cNvPr id="5" name="Chart 4">
          <a:extLst>
            <a:ext uri="{FF2B5EF4-FFF2-40B4-BE49-F238E27FC236}">
              <a16:creationId xmlns:a16="http://schemas.microsoft.com/office/drawing/2014/main" id="{00000000-0008-0000-9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666750</xdr:colOff>
      <xdr:row>30</xdr:row>
      <xdr:rowOff>38100</xdr:rowOff>
    </xdr:from>
    <xdr:to>
      <xdr:col>15</xdr:col>
      <xdr:colOff>657225</xdr:colOff>
      <xdr:row>49</xdr:row>
      <xdr:rowOff>28575</xdr:rowOff>
    </xdr:to>
    <xdr:graphicFrame macro="">
      <xdr:nvGraphicFramePr>
        <xdr:cNvPr id="63600567" name="Chart 2">
          <a:extLst>
            <a:ext uri="{FF2B5EF4-FFF2-40B4-BE49-F238E27FC236}">
              <a16:creationId xmlns:a16="http://schemas.microsoft.com/office/drawing/2014/main" id="{00000000-0008-0000-0E00-0000B777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30</xdr:row>
      <xdr:rowOff>38100</xdr:rowOff>
    </xdr:from>
    <xdr:to>
      <xdr:col>15</xdr:col>
      <xdr:colOff>657225</xdr:colOff>
      <xdr:row>49</xdr:row>
      <xdr:rowOff>38100</xdr:rowOff>
    </xdr:to>
    <xdr:graphicFrame macro="">
      <xdr:nvGraphicFramePr>
        <xdr:cNvPr id="63605688" name="Chart 2">
          <a:extLst>
            <a:ext uri="{FF2B5EF4-FFF2-40B4-BE49-F238E27FC236}">
              <a16:creationId xmlns:a16="http://schemas.microsoft.com/office/drawing/2014/main" id="{00000000-0008-0000-0F00-0000B88B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9525</xdr:colOff>
      <xdr:row>37</xdr:row>
      <xdr:rowOff>47625</xdr:rowOff>
    </xdr:from>
    <xdr:to>
      <xdr:col>15</xdr:col>
      <xdr:colOff>666750</xdr:colOff>
      <xdr:row>56</xdr:row>
      <xdr:rowOff>47625</xdr:rowOff>
    </xdr:to>
    <xdr:graphicFrame macro="">
      <xdr:nvGraphicFramePr>
        <xdr:cNvPr id="6" name="Chart 2">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30</xdr:row>
      <xdr:rowOff>47625</xdr:rowOff>
    </xdr:from>
    <xdr:to>
      <xdr:col>15</xdr:col>
      <xdr:colOff>666750</xdr:colOff>
      <xdr:row>49</xdr:row>
      <xdr:rowOff>66675</xdr:rowOff>
    </xdr:to>
    <xdr:graphicFrame macro="">
      <xdr:nvGraphicFramePr>
        <xdr:cNvPr id="62596049" name="Chart 2">
          <a:extLst>
            <a:ext uri="{FF2B5EF4-FFF2-40B4-BE49-F238E27FC236}">
              <a16:creationId xmlns:a16="http://schemas.microsoft.com/office/drawing/2014/main" id="{00000000-0008-0000-1100-0000D123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47625</xdr:colOff>
      <xdr:row>37</xdr:row>
      <xdr:rowOff>57150</xdr:rowOff>
    </xdr:from>
    <xdr:to>
      <xdr:col>16</xdr:col>
      <xdr:colOff>38100</xdr:colOff>
      <xdr:row>56</xdr:row>
      <xdr:rowOff>76200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114301</xdr:rowOff>
    </xdr:from>
    <xdr:to>
      <xdr:col>1</xdr:col>
      <xdr:colOff>1620418</xdr:colOff>
      <xdr:row>2</xdr:row>
      <xdr:rowOff>88107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2401" y="114301"/>
          <a:ext cx="1620417" cy="28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9525</xdr:colOff>
      <xdr:row>37</xdr:row>
      <xdr:rowOff>47625</xdr:rowOff>
    </xdr:from>
    <xdr:to>
      <xdr:col>15</xdr:col>
      <xdr:colOff>666750</xdr:colOff>
      <xdr:row>56</xdr:row>
      <xdr:rowOff>47625</xdr:rowOff>
    </xdr:to>
    <xdr:graphicFrame macro="">
      <xdr:nvGraphicFramePr>
        <xdr:cNvPr id="4" name="Chart 2">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838200</xdr:colOff>
      <xdr:row>29</xdr:row>
      <xdr:rowOff>114300</xdr:rowOff>
    </xdr:from>
    <xdr:to>
      <xdr:col>15</xdr:col>
      <xdr:colOff>152400</xdr:colOff>
      <xdr:row>47</xdr:row>
      <xdr:rowOff>95250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657785</xdr:colOff>
      <xdr:row>30</xdr:row>
      <xdr:rowOff>90767</xdr:rowOff>
    </xdr:from>
    <xdr:to>
      <xdr:col>15</xdr:col>
      <xdr:colOff>648260</xdr:colOff>
      <xdr:row>49</xdr:row>
      <xdr:rowOff>90767</xdr:rowOff>
    </xdr:to>
    <xdr:graphicFrame macro="">
      <xdr:nvGraphicFramePr>
        <xdr:cNvPr id="63616949" name="Chart 2">
          <a:extLst>
            <a:ext uri="{FF2B5EF4-FFF2-40B4-BE49-F238E27FC236}">
              <a16:creationId xmlns:a16="http://schemas.microsoft.com/office/drawing/2014/main" id="{00000000-0008-0000-1500-0000B5B7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23093" name="Chart 2">
          <a:extLst>
            <a:ext uri="{FF2B5EF4-FFF2-40B4-BE49-F238E27FC236}">
              <a16:creationId xmlns:a16="http://schemas.microsoft.com/office/drawing/2014/main" id="{00000000-0008-0000-1600-0000B5C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47625</xdr:colOff>
      <xdr:row>37</xdr:row>
      <xdr:rowOff>85725</xdr:rowOff>
    </xdr:from>
    <xdr:to>
      <xdr:col>16</xdr:col>
      <xdr:colOff>19050</xdr:colOff>
      <xdr:row>55</xdr:row>
      <xdr:rowOff>0</xdr:rowOff>
    </xdr:to>
    <xdr:graphicFrame macro="">
      <xdr:nvGraphicFramePr>
        <xdr:cNvPr id="4" name="Chart 2">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19050</xdr:colOff>
      <xdr:row>29</xdr:row>
      <xdr:rowOff>123825</xdr:rowOff>
    </xdr:from>
    <xdr:to>
      <xdr:col>16</xdr:col>
      <xdr:colOff>9525</xdr:colOff>
      <xdr:row>48</xdr:row>
      <xdr:rowOff>123825</xdr:rowOff>
    </xdr:to>
    <xdr:graphicFrame macro="">
      <xdr:nvGraphicFramePr>
        <xdr:cNvPr id="63620042" name="Chart 2">
          <a:extLst>
            <a:ext uri="{FF2B5EF4-FFF2-40B4-BE49-F238E27FC236}">
              <a16:creationId xmlns:a16="http://schemas.microsoft.com/office/drawing/2014/main" id="{00000000-0008-0000-1900-0000CAC3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26165" name="Chart 2">
          <a:extLst>
            <a:ext uri="{FF2B5EF4-FFF2-40B4-BE49-F238E27FC236}">
              <a16:creationId xmlns:a16="http://schemas.microsoft.com/office/drawing/2014/main" id="{00000000-0008-0000-1A00-0000B5DB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32309" name="Chart 2">
          <a:extLst>
            <a:ext uri="{FF2B5EF4-FFF2-40B4-BE49-F238E27FC236}">
              <a16:creationId xmlns:a16="http://schemas.microsoft.com/office/drawing/2014/main" id="{00000000-0008-0000-1B00-0000B5F3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38453" name="Chart 2">
          <a:extLst>
            <a:ext uri="{FF2B5EF4-FFF2-40B4-BE49-F238E27FC236}">
              <a16:creationId xmlns:a16="http://schemas.microsoft.com/office/drawing/2014/main" id="{00000000-0008-0000-1C00-0000B50B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133350</xdr:rowOff>
    </xdr:from>
    <xdr:to>
      <xdr:col>2</xdr:col>
      <xdr:colOff>1620417</xdr:colOff>
      <xdr:row>2</xdr:row>
      <xdr:rowOff>114299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33525" y="133350"/>
          <a:ext cx="1620417" cy="28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666750</xdr:colOff>
      <xdr:row>30</xdr:row>
      <xdr:rowOff>60512</xdr:rowOff>
    </xdr:from>
    <xdr:to>
      <xdr:col>15</xdr:col>
      <xdr:colOff>657225</xdr:colOff>
      <xdr:row>49</xdr:row>
      <xdr:rowOff>60513</xdr:rowOff>
    </xdr:to>
    <xdr:graphicFrame macro="">
      <xdr:nvGraphicFramePr>
        <xdr:cNvPr id="62215131" name="Chart 2">
          <a:extLst>
            <a:ext uri="{FF2B5EF4-FFF2-40B4-BE49-F238E27FC236}">
              <a16:creationId xmlns:a16="http://schemas.microsoft.com/office/drawing/2014/main" id="{00000000-0008-0000-1F00-0000DB53B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53813" name="Chart 2">
          <a:extLst>
            <a:ext uri="{FF2B5EF4-FFF2-40B4-BE49-F238E27FC236}">
              <a16:creationId xmlns:a16="http://schemas.microsoft.com/office/drawing/2014/main" id="{00000000-0008-0000-2000-0000B54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7844</xdr:colOff>
      <xdr:row>30</xdr:row>
      <xdr:rowOff>124385</xdr:rowOff>
    </xdr:from>
    <xdr:to>
      <xdr:col>15</xdr:col>
      <xdr:colOff>670672</xdr:colOff>
      <xdr:row>49</xdr:row>
      <xdr:rowOff>124385</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59958" name="Chart 2">
          <a:extLst>
            <a:ext uri="{FF2B5EF4-FFF2-40B4-BE49-F238E27FC236}">
              <a16:creationId xmlns:a16="http://schemas.microsoft.com/office/drawing/2014/main" id="{00000000-0008-0000-2200-0000B65F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657225</xdr:colOff>
      <xdr:row>30</xdr:row>
      <xdr:rowOff>57150</xdr:rowOff>
    </xdr:from>
    <xdr:to>
      <xdr:col>15</xdr:col>
      <xdr:colOff>647700</xdr:colOff>
      <xdr:row>49</xdr:row>
      <xdr:rowOff>57150</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71222" name="Chart 2">
          <a:extLst>
            <a:ext uri="{FF2B5EF4-FFF2-40B4-BE49-F238E27FC236}">
              <a16:creationId xmlns:a16="http://schemas.microsoft.com/office/drawing/2014/main" id="{00000000-0008-0000-2600-0000B68B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9525</xdr:colOff>
      <xdr:row>37</xdr:row>
      <xdr:rowOff>47625</xdr:rowOff>
    </xdr:from>
    <xdr:to>
      <xdr:col>15</xdr:col>
      <xdr:colOff>666750</xdr:colOff>
      <xdr:row>56</xdr:row>
      <xdr:rowOff>47625</xdr:rowOff>
    </xdr:to>
    <xdr:graphicFrame macro="">
      <xdr:nvGraphicFramePr>
        <xdr:cNvPr id="4" name="Chart 2">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95250</xdr:colOff>
      <xdr:row>37</xdr:row>
      <xdr:rowOff>123825</xdr:rowOff>
    </xdr:from>
    <xdr:to>
      <xdr:col>16</xdr:col>
      <xdr:colOff>66675</xdr:colOff>
      <xdr:row>54</xdr:row>
      <xdr:rowOff>19049</xdr:rowOff>
    </xdr:to>
    <xdr:graphicFrame macro="">
      <xdr:nvGraphicFramePr>
        <xdr:cNvPr id="4" name="Chart 2">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77366" name="Chart 2">
          <a:extLst>
            <a:ext uri="{FF2B5EF4-FFF2-40B4-BE49-F238E27FC236}">
              <a16:creationId xmlns:a16="http://schemas.microsoft.com/office/drawing/2014/main" id="{00000000-0008-0000-2900-0000B6A3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142875</xdr:rowOff>
    </xdr:from>
    <xdr:to>
      <xdr:col>2</xdr:col>
      <xdr:colOff>1620417</xdr:colOff>
      <xdr:row>2</xdr:row>
      <xdr:rowOff>123824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33525" y="142875"/>
          <a:ext cx="1620417" cy="28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86582" name="Chart 2">
          <a:extLst>
            <a:ext uri="{FF2B5EF4-FFF2-40B4-BE49-F238E27FC236}">
              <a16:creationId xmlns:a16="http://schemas.microsoft.com/office/drawing/2014/main" id="{00000000-0008-0000-2A00-0000B6C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38100</xdr:colOff>
      <xdr:row>30</xdr:row>
      <xdr:rowOff>66675</xdr:rowOff>
    </xdr:from>
    <xdr:to>
      <xdr:col>16</xdr:col>
      <xdr:colOff>28575</xdr:colOff>
      <xdr:row>49</xdr:row>
      <xdr:rowOff>57150</xdr:rowOff>
    </xdr:to>
    <xdr:graphicFrame macro="">
      <xdr:nvGraphicFramePr>
        <xdr:cNvPr id="63322043" name="Chart 2">
          <a:extLst>
            <a:ext uri="{FF2B5EF4-FFF2-40B4-BE49-F238E27FC236}">
              <a16:creationId xmlns:a16="http://schemas.microsoft.com/office/drawing/2014/main" id="{00000000-0008-0000-2B00-0000BB37C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52181</xdr:colOff>
      <xdr:row>30</xdr:row>
      <xdr:rowOff>110572</xdr:rowOff>
    </xdr:from>
    <xdr:to>
      <xdr:col>16</xdr:col>
      <xdr:colOff>42656</xdr:colOff>
      <xdr:row>49</xdr:row>
      <xdr:rowOff>110572</xdr:rowOff>
    </xdr:to>
    <xdr:graphicFrame macro="">
      <xdr:nvGraphicFramePr>
        <xdr:cNvPr id="63691702" name="Chart 2">
          <a:extLst>
            <a:ext uri="{FF2B5EF4-FFF2-40B4-BE49-F238E27FC236}">
              <a16:creationId xmlns:a16="http://schemas.microsoft.com/office/drawing/2014/main" id="{00000000-0008-0000-2C00-0000B6DB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94774" name="Chart 2">
          <a:extLst>
            <a:ext uri="{FF2B5EF4-FFF2-40B4-BE49-F238E27FC236}">
              <a16:creationId xmlns:a16="http://schemas.microsoft.com/office/drawing/2014/main" id="{00000000-0008-0000-2D00-0000B6E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97846" name="Chart 2">
          <a:extLst>
            <a:ext uri="{FF2B5EF4-FFF2-40B4-BE49-F238E27FC236}">
              <a16:creationId xmlns:a16="http://schemas.microsoft.com/office/drawing/2014/main" id="{00000000-0008-0000-2E00-0000B6F3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581025</xdr:colOff>
      <xdr:row>31</xdr:row>
      <xdr:rowOff>85725</xdr:rowOff>
    </xdr:from>
    <xdr:to>
      <xdr:col>15</xdr:col>
      <xdr:colOff>571500</xdr:colOff>
      <xdr:row>50</xdr:row>
      <xdr:rowOff>95250</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07062" name="Chart 2">
          <a:extLst>
            <a:ext uri="{FF2B5EF4-FFF2-40B4-BE49-F238E27FC236}">
              <a16:creationId xmlns:a16="http://schemas.microsoft.com/office/drawing/2014/main" id="{00000000-0008-0000-3100-0000B617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1</xdr:col>
      <xdr:colOff>1639467</xdr:colOff>
      <xdr:row>2</xdr:row>
      <xdr:rowOff>104774</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80975" y="123825"/>
          <a:ext cx="1620417" cy="28574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9</xdr:col>
      <xdr:colOff>7844</xdr:colOff>
      <xdr:row>30</xdr:row>
      <xdr:rowOff>124385</xdr:rowOff>
    </xdr:from>
    <xdr:to>
      <xdr:col>15</xdr:col>
      <xdr:colOff>670672</xdr:colOff>
      <xdr:row>49</xdr:row>
      <xdr:rowOff>124385</xdr:rowOff>
    </xdr:to>
    <xdr:graphicFrame macro="">
      <xdr:nvGraphicFramePr>
        <xdr:cNvPr id="63710134" name="Chart 2">
          <a:extLst>
            <a:ext uri="{FF2B5EF4-FFF2-40B4-BE49-F238E27FC236}">
              <a16:creationId xmlns:a16="http://schemas.microsoft.com/office/drawing/2014/main" id="{00000000-0008-0000-3400-0000B623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8</xdr:col>
      <xdr:colOff>657225</xdr:colOff>
      <xdr:row>34</xdr:row>
      <xdr:rowOff>152400</xdr:rowOff>
    </xdr:from>
    <xdr:to>
      <xdr:col>15</xdr:col>
      <xdr:colOff>628650</xdr:colOff>
      <xdr:row>53</xdr:row>
      <xdr:rowOff>142875</xdr:rowOff>
    </xdr:to>
    <xdr:graphicFrame macro="">
      <xdr:nvGraphicFramePr>
        <xdr:cNvPr id="4" name="Chart 2">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57150</xdr:rowOff>
    </xdr:to>
    <xdr:graphicFrame macro="">
      <xdr:nvGraphicFramePr>
        <xdr:cNvPr id="63713207" name="Chart 2">
          <a:extLst>
            <a:ext uri="{FF2B5EF4-FFF2-40B4-BE49-F238E27FC236}">
              <a16:creationId xmlns:a16="http://schemas.microsoft.com/office/drawing/2014/main" id="{00000000-0008-0000-3600-0000B72F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719350" name="Chart 2">
          <a:extLst>
            <a:ext uri="{FF2B5EF4-FFF2-40B4-BE49-F238E27FC236}">
              <a16:creationId xmlns:a16="http://schemas.microsoft.com/office/drawing/2014/main" id="{00000000-0008-0000-3700-0000B647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725494" name="Chart 2">
          <a:extLst>
            <a:ext uri="{FF2B5EF4-FFF2-40B4-BE49-F238E27FC236}">
              <a16:creationId xmlns:a16="http://schemas.microsoft.com/office/drawing/2014/main" id="{00000000-0008-0000-3800-0000B65F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9</xdr:col>
      <xdr:colOff>102053</xdr:colOff>
      <xdr:row>30</xdr:row>
      <xdr:rowOff>57150</xdr:rowOff>
    </xdr:from>
    <xdr:to>
      <xdr:col>16</xdr:col>
      <xdr:colOff>92528</xdr:colOff>
      <xdr:row>49</xdr:row>
      <xdr:rowOff>76200</xdr:rowOff>
    </xdr:to>
    <xdr:graphicFrame macro="">
      <xdr:nvGraphicFramePr>
        <xdr:cNvPr id="63857593" name="Chart 2">
          <a:extLst>
            <a:ext uri="{FF2B5EF4-FFF2-40B4-BE49-F238E27FC236}">
              <a16:creationId xmlns:a16="http://schemas.microsoft.com/office/drawing/2014/main" id="{00000000-0008-0000-3900-0000B963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31638" name="Chart 2">
          <a:extLst>
            <a:ext uri="{FF2B5EF4-FFF2-40B4-BE49-F238E27FC236}">
              <a16:creationId xmlns:a16="http://schemas.microsoft.com/office/drawing/2014/main" id="{00000000-0008-0000-3A00-0000B677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8</xdr:col>
      <xdr:colOff>657225</xdr:colOff>
      <xdr:row>28</xdr:row>
      <xdr:rowOff>66675</xdr:rowOff>
    </xdr:from>
    <xdr:to>
      <xdr:col>15</xdr:col>
      <xdr:colOff>581025</xdr:colOff>
      <xdr:row>46</xdr:row>
      <xdr:rowOff>123825</xdr:rowOff>
    </xdr:to>
    <xdr:graphicFrame macro="">
      <xdr:nvGraphicFramePr>
        <xdr:cNvPr id="63302587" name="Chart 2">
          <a:extLst>
            <a:ext uri="{FF2B5EF4-FFF2-40B4-BE49-F238E27FC236}">
              <a16:creationId xmlns:a16="http://schemas.microsoft.com/office/drawing/2014/main" id="{00000000-0008-0000-3C00-0000BBEB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807416" name="Chart 2">
          <a:extLst>
            <a:ext uri="{FF2B5EF4-FFF2-40B4-BE49-F238E27FC236}">
              <a16:creationId xmlns:a16="http://schemas.microsoft.com/office/drawing/2014/main" id="{00000000-0008-0000-3D00-0000B89F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356860" name="Chart 2">
          <a:extLst>
            <a:ext uri="{FF2B5EF4-FFF2-40B4-BE49-F238E27FC236}">
              <a16:creationId xmlns:a16="http://schemas.microsoft.com/office/drawing/2014/main" id="{00000000-0008-0000-3E00-0000BCBFC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2</xdr:col>
      <xdr:colOff>222147</xdr:colOff>
      <xdr:row>2</xdr:row>
      <xdr:rowOff>104774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79070" y="123825"/>
          <a:ext cx="1620417" cy="28574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9</xdr:col>
      <xdr:colOff>9525</xdr:colOff>
      <xdr:row>30</xdr:row>
      <xdr:rowOff>66675</xdr:rowOff>
    </xdr:from>
    <xdr:to>
      <xdr:col>16</xdr:col>
      <xdr:colOff>0</xdr:colOff>
      <xdr:row>49</xdr:row>
      <xdr:rowOff>85725</xdr:rowOff>
    </xdr:to>
    <xdr:graphicFrame macro="">
      <xdr:nvGraphicFramePr>
        <xdr:cNvPr id="63602617" name="Chart 2">
          <a:extLst>
            <a:ext uri="{FF2B5EF4-FFF2-40B4-BE49-F238E27FC236}">
              <a16:creationId xmlns:a16="http://schemas.microsoft.com/office/drawing/2014/main" id="{00000000-0008-0000-4000-0000B97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45975" name="Chart 2">
          <a:extLst>
            <a:ext uri="{FF2B5EF4-FFF2-40B4-BE49-F238E27FC236}">
              <a16:creationId xmlns:a16="http://schemas.microsoft.com/office/drawing/2014/main" id="{00000000-0008-0000-4100-0000B7AF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8</xdr:col>
      <xdr:colOff>675216</xdr:colOff>
      <xdr:row>30</xdr:row>
      <xdr:rowOff>58209</xdr:rowOff>
    </xdr:from>
    <xdr:to>
      <xdr:col>15</xdr:col>
      <xdr:colOff>665692</xdr:colOff>
      <xdr:row>49</xdr:row>
      <xdr:rowOff>58209</xdr:rowOff>
    </xdr:to>
    <xdr:graphicFrame macro="">
      <xdr:nvGraphicFramePr>
        <xdr:cNvPr id="3" name="Chart 2">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571500</xdr:colOff>
      <xdr:row>28</xdr:row>
      <xdr:rowOff>28575</xdr:rowOff>
    </xdr:from>
    <xdr:to>
      <xdr:col>16</xdr:col>
      <xdr:colOff>0</xdr:colOff>
      <xdr:row>48</xdr:row>
      <xdr:rowOff>9525</xdr:rowOff>
    </xdr:to>
    <xdr:graphicFrame macro="">
      <xdr:nvGraphicFramePr>
        <xdr:cNvPr id="63641525" name="Chart 2">
          <a:extLst>
            <a:ext uri="{FF2B5EF4-FFF2-40B4-BE49-F238E27FC236}">
              <a16:creationId xmlns:a16="http://schemas.microsoft.com/office/drawing/2014/main" id="{00000000-0008-0000-1D00-0000B51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9</xdr:col>
      <xdr:colOff>88446</xdr:colOff>
      <xdr:row>37</xdr:row>
      <xdr:rowOff>57150</xdr:rowOff>
    </xdr:from>
    <xdr:to>
      <xdr:col>16</xdr:col>
      <xdr:colOff>78921</xdr:colOff>
      <xdr:row>56</xdr:row>
      <xdr:rowOff>76200</xdr:rowOff>
    </xdr:to>
    <xdr:graphicFrame macro="">
      <xdr:nvGraphicFramePr>
        <xdr:cNvPr id="3" name="Chart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8</xdr:col>
      <xdr:colOff>675216</xdr:colOff>
      <xdr:row>30</xdr:row>
      <xdr:rowOff>58209</xdr:rowOff>
    </xdr:from>
    <xdr:to>
      <xdr:col>15</xdr:col>
      <xdr:colOff>665692</xdr:colOff>
      <xdr:row>49</xdr:row>
      <xdr:rowOff>58209</xdr:rowOff>
    </xdr:to>
    <xdr:graphicFrame macro="">
      <xdr:nvGraphicFramePr>
        <xdr:cNvPr id="63716278" name="Chart 2">
          <a:extLst>
            <a:ext uri="{FF2B5EF4-FFF2-40B4-BE49-F238E27FC236}">
              <a16:creationId xmlns:a16="http://schemas.microsoft.com/office/drawing/2014/main" id="{00000000-0008-0000-4500-0000B63B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755191" name="Chart 2">
          <a:extLst>
            <a:ext uri="{FF2B5EF4-FFF2-40B4-BE49-F238E27FC236}">
              <a16:creationId xmlns:a16="http://schemas.microsoft.com/office/drawing/2014/main" id="{00000000-0008-0000-4600-0000B7D3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9</xdr:col>
      <xdr:colOff>45243</xdr:colOff>
      <xdr:row>37</xdr:row>
      <xdr:rowOff>35719</xdr:rowOff>
    </xdr:from>
    <xdr:to>
      <xdr:col>16</xdr:col>
      <xdr:colOff>35718</xdr:colOff>
      <xdr:row>56</xdr:row>
      <xdr:rowOff>35719</xdr:rowOff>
    </xdr:to>
    <xdr:graphicFrame macro="">
      <xdr:nvGraphicFramePr>
        <xdr:cNvPr id="4" name="Chart 2">
          <a:extLst>
            <a:ext uri="{FF2B5EF4-FFF2-40B4-BE49-F238E27FC236}">
              <a16:creationId xmlns:a16="http://schemas.microsoft.com/office/drawing/2014/main" id="{00000000-0008-0000-4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71575" name="Chart 2">
          <a:extLst>
            <a:ext uri="{FF2B5EF4-FFF2-40B4-BE49-F238E27FC236}">
              <a16:creationId xmlns:a16="http://schemas.microsoft.com/office/drawing/2014/main" id="{00000000-0008-0000-4800-0000B713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114301</xdr:rowOff>
    </xdr:from>
    <xdr:to>
      <xdr:col>1</xdr:col>
      <xdr:colOff>1620418</xdr:colOff>
      <xdr:row>2</xdr:row>
      <xdr:rowOff>95250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2401" y="114301"/>
          <a:ext cx="1620417" cy="28574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384508" name="Chart 2">
          <a:extLst>
            <a:ext uri="{FF2B5EF4-FFF2-40B4-BE49-F238E27FC236}">
              <a16:creationId xmlns:a16="http://schemas.microsoft.com/office/drawing/2014/main" id="{00000000-0008-0000-4C00-0000BC2B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76695" name="Chart 2">
          <a:extLst>
            <a:ext uri="{FF2B5EF4-FFF2-40B4-BE49-F238E27FC236}">
              <a16:creationId xmlns:a16="http://schemas.microsoft.com/office/drawing/2014/main" id="{00000000-0008-0000-4D00-0000B727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19050</xdr:colOff>
      <xdr:row>37</xdr:row>
      <xdr:rowOff>57150</xdr:rowOff>
    </xdr:from>
    <xdr:to>
      <xdr:col>16</xdr:col>
      <xdr:colOff>9525</xdr:colOff>
      <xdr:row>56</xdr:row>
      <xdr:rowOff>57150</xdr:rowOff>
    </xdr:to>
    <xdr:graphicFrame macro="">
      <xdr:nvGraphicFramePr>
        <xdr:cNvPr id="3" name="Chart 2">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785911" name="Chart 2">
          <a:extLst>
            <a:ext uri="{FF2B5EF4-FFF2-40B4-BE49-F238E27FC236}">
              <a16:creationId xmlns:a16="http://schemas.microsoft.com/office/drawing/2014/main" id="{00000000-0008-0000-4F00-0000B74B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395772" name="Chart 2">
          <a:extLst>
            <a:ext uri="{FF2B5EF4-FFF2-40B4-BE49-F238E27FC236}">
              <a16:creationId xmlns:a16="http://schemas.microsoft.com/office/drawing/2014/main" id="{00000000-0008-0000-5000-0000BC57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57150</xdr:rowOff>
    </xdr:to>
    <xdr:graphicFrame macro="">
      <xdr:nvGraphicFramePr>
        <xdr:cNvPr id="63427517" name="Chart 2">
          <a:extLst>
            <a:ext uri="{FF2B5EF4-FFF2-40B4-BE49-F238E27FC236}">
              <a16:creationId xmlns:a16="http://schemas.microsoft.com/office/drawing/2014/main" id="{00000000-0008-0000-5D00-0000BDD3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401916" name="Chart 2">
          <a:extLst>
            <a:ext uri="{FF2B5EF4-FFF2-40B4-BE49-F238E27FC236}">
              <a16:creationId xmlns:a16="http://schemas.microsoft.com/office/drawing/2014/main" id="{00000000-0008-0000-5100-0000BC6F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7844</xdr:colOff>
      <xdr:row>30</xdr:row>
      <xdr:rowOff>68355</xdr:rowOff>
    </xdr:from>
    <xdr:to>
      <xdr:col>15</xdr:col>
      <xdr:colOff>670672</xdr:colOff>
      <xdr:row>49</xdr:row>
      <xdr:rowOff>68355</xdr:rowOff>
    </xdr:to>
    <xdr:graphicFrame macro="">
      <xdr:nvGraphicFramePr>
        <xdr:cNvPr id="63795090" name="Chart 2">
          <a:extLst>
            <a:ext uri="{FF2B5EF4-FFF2-40B4-BE49-F238E27FC236}">
              <a16:creationId xmlns:a16="http://schemas.microsoft.com/office/drawing/2014/main" id="{00000000-0008-0000-5200-0000926F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650359</xdr:colOff>
      <xdr:row>28</xdr:row>
      <xdr:rowOff>112527</xdr:rowOff>
    </xdr:from>
    <xdr:to>
      <xdr:col>15</xdr:col>
      <xdr:colOff>640833</xdr:colOff>
      <xdr:row>47</xdr:row>
      <xdr:rowOff>112527</xdr:rowOff>
    </xdr:to>
    <xdr:graphicFrame macro="">
      <xdr:nvGraphicFramePr>
        <xdr:cNvPr id="4" name="Chart 2">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798199" name="Chart 2">
          <a:extLst>
            <a:ext uri="{FF2B5EF4-FFF2-40B4-BE49-F238E27FC236}">
              <a16:creationId xmlns:a16="http://schemas.microsoft.com/office/drawing/2014/main" id="{00000000-0008-0000-5300-0000B77B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804344" name="Chart 2">
          <a:extLst>
            <a:ext uri="{FF2B5EF4-FFF2-40B4-BE49-F238E27FC236}">
              <a16:creationId xmlns:a16="http://schemas.microsoft.com/office/drawing/2014/main" id="{00000000-0008-0000-5400-0000B893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9</xdr:col>
      <xdr:colOff>38100</xdr:colOff>
      <xdr:row>28</xdr:row>
      <xdr:rowOff>66675</xdr:rowOff>
    </xdr:from>
    <xdr:to>
      <xdr:col>16</xdr:col>
      <xdr:colOff>28575</xdr:colOff>
      <xdr:row>47</xdr:row>
      <xdr:rowOff>57150</xdr:rowOff>
    </xdr:to>
    <xdr:graphicFrame macro="">
      <xdr:nvGraphicFramePr>
        <xdr:cNvPr id="63419324" name="Chart 2">
          <a:extLst>
            <a:ext uri="{FF2B5EF4-FFF2-40B4-BE49-F238E27FC236}">
              <a16:creationId xmlns:a16="http://schemas.microsoft.com/office/drawing/2014/main" id="{00000000-0008-0000-5600-0000BCB3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840184" name="Chart 2">
          <a:extLst>
            <a:ext uri="{FF2B5EF4-FFF2-40B4-BE49-F238E27FC236}">
              <a16:creationId xmlns:a16="http://schemas.microsoft.com/office/drawing/2014/main" id="{00000000-0008-0000-5700-0000B81F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424445" name="Chart 2">
          <a:extLst>
            <a:ext uri="{FF2B5EF4-FFF2-40B4-BE49-F238E27FC236}">
              <a16:creationId xmlns:a16="http://schemas.microsoft.com/office/drawing/2014/main" id="{00000000-0008-0000-5900-0000BDC7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8</xdr:col>
      <xdr:colOff>664633</xdr:colOff>
      <xdr:row>37</xdr:row>
      <xdr:rowOff>35983</xdr:rowOff>
    </xdr:from>
    <xdr:to>
      <xdr:col>15</xdr:col>
      <xdr:colOff>655108</xdr:colOff>
      <xdr:row>56</xdr:row>
      <xdr:rowOff>35983</xdr:rowOff>
    </xdr:to>
    <xdr:graphicFrame macro="">
      <xdr:nvGraphicFramePr>
        <xdr:cNvPr id="3" name="Chart 2">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9</xdr:col>
      <xdr:colOff>333375</xdr:colOff>
      <xdr:row>29</xdr:row>
      <xdr:rowOff>57150</xdr:rowOff>
    </xdr:from>
    <xdr:to>
      <xdr:col>15</xdr:col>
      <xdr:colOff>495300</xdr:colOff>
      <xdr:row>47</xdr:row>
      <xdr:rowOff>38100</xdr:rowOff>
    </xdr:to>
    <xdr:graphicFrame macro="">
      <xdr:nvGraphicFramePr>
        <xdr:cNvPr id="2" name="Chart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9</xdr:col>
      <xdr:colOff>19050</xdr:colOff>
      <xdr:row>28</xdr:row>
      <xdr:rowOff>57150</xdr:rowOff>
    </xdr:from>
    <xdr:to>
      <xdr:col>16</xdr:col>
      <xdr:colOff>9525</xdr:colOff>
      <xdr:row>47</xdr:row>
      <xdr:rowOff>57150</xdr:rowOff>
    </xdr:to>
    <xdr:graphicFrame macro="">
      <xdr:nvGraphicFramePr>
        <xdr:cNvPr id="3" name="Chart 2">
          <a:extLst>
            <a:ext uri="{FF2B5EF4-FFF2-40B4-BE49-F238E27FC236}">
              <a16:creationId xmlns:a16="http://schemas.microsoft.com/office/drawing/2014/main" id="{00000000-0008-0000-5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5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568139</xdr:colOff>
      <xdr:row>28</xdr:row>
      <xdr:rowOff>101974</xdr:rowOff>
    </xdr:from>
    <xdr:to>
      <xdr:col>15</xdr:col>
      <xdr:colOff>558614</xdr:colOff>
      <xdr:row>47</xdr:row>
      <xdr:rowOff>101974</xdr:rowOff>
    </xdr:to>
    <xdr:graphicFrame macro="">
      <xdr:nvGraphicFramePr>
        <xdr:cNvPr id="63594355" name="Chart 2">
          <a:extLst>
            <a:ext uri="{FF2B5EF4-FFF2-40B4-BE49-F238E27FC236}">
              <a16:creationId xmlns:a16="http://schemas.microsoft.com/office/drawing/2014/main" id="{00000000-0008-0000-0900-0000735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831992" name="Chart 2">
          <a:extLst>
            <a:ext uri="{FF2B5EF4-FFF2-40B4-BE49-F238E27FC236}">
              <a16:creationId xmlns:a16="http://schemas.microsoft.com/office/drawing/2014/main" id="{00000000-0008-0000-6000-0000B8FF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438780" name="Chart 2">
          <a:extLst>
            <a:ext uri="{FF2B5EF4-FFF2-40B4-BE49-F238E27FC236}">
              <a16:creationId xmlns:a16="http://schemas.microsoft.com/office/drawing/2014/main" id="{00000000-0008-0000-6100-0000BCFF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843256" name="Chart 2">
          <a:extLst>
            <a:ext uri="{FF2B5EF4-FFF2-40B4-BE49-F238E27FC236}">
              <a16:creationId xmlns:a16="http://schemas.microsoft.com/office/drawing/2014/main" id="{00000000-0008-0000-6200-0000B82B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846329" name="Chart 2">
          <a:extLst>
            <a:ext uri="{FF2B5EF4-FFF2-40B4-BE49-F238E27FC236}">
              <a16:creationId xmlns:a16="http://schemas.microsoft.com/office/drawing/2014/main" id="{00000000-0008-0000-6300-0000B937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9</xdr:col>
      <xdr:colOff>61383</xdr:colOff>
      <xdr:row>28</xdr:row>
      <xdr:rowOff>78316</xdr:rowOff>
    </xdr:from>
    <xdr:to>
      <xdr:col>16</xdr:col>
      <xdr:colOff>51858</xdr:colOff>
      <xdr:row>47</xdr:row>
      <xdr:rowOff>78316</xdr:rowOff>
    </xdr:to>
    <xdr:graphicFrame macro="">
      <xdr:nvGraphicFramePr>
        <xdr:cNvPr id="63849400" name="Chart 2">
          <a:extLst>
            <a:ext uri="{FF2B5EF4-FFF2-40B4-BE49-F238E27FC236}">
              <a16:creationId xmlns:a16="http://schemas.microsoft.com/office/drawing/2014/main" id="{00000000-0008-0000-6500-0000B843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852472" name="Chart 2">
          <a:extLst>
            <a:ext uri="{FF2B5EF4-FFF2-40B4-BE49-F238E27FC236}">
              <a16:creationId xmlns:a16="http://schemas.microsoft.com/office/drawing/2014/main" id="{00000000-0008-0000-6600-0000B84F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9</xdr:col>
      <xdr:colOff>9525</xdr:colOff>
      <xdr:row>29</xdr:row>
      <xdr:rowOff>47625</xdr:rowOff>
    </xdr:from>
    <xdr:to>
      <xdr:col>16</xdr:col>
      <xdr:colOff>0</xdr:colOff>
      <xdr:row>48</xdr:row>
      <xdr:rowOff>47625</xdr:rowOff>
    </xdr:to>
    <xdr:graphicFrame macro="">
      <xdr:nvGraphicFramePr>
        <xdr:cNvPr id="8928358" name="Chart 2">
          <a:extLst>
            <a:ext uri="{FF2B5EF4-FFF2-40B4-BE49-F238E27FC236}">
              <a16:creationId xmlns:a16="http://schemas.microsoft.com/office/drawing/2014/main" id="{00000000-0008-0000-6800-0000663C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8</xdr:col>
      <xdr:colOff>676275</xdr:colOff>
      <xdr:row>28</xdr:row>
      <xdr:rowOff>85725</xdr:rowOff>
    </xdr:from>
    <xdr:to>
      <xdr:col>15</xdr:col>
      <xdr:colOff>666750</xdr:colOff>
      <xdr:row>47</xdr:row>
      <xdr:rowOff>85725</xdr:rowOff>
    </xdr:to>
    <xdr:graphicFrame macro="">
      <xdr:nvGraphicFramePr>
        <xdr:cNvPr id="8931429" name="Chart 2">
          <a:extLst>
            <a:ext uri="{FF2B5EF4-FFF2-40B4-BE49-F238E27FC236}">
              <a16:creationId xmlns:a16="http://schemas.microsoft.com/office/drawing/2014/main" id="{00000000-0008-0000-6900-0000654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9</xdr:col>
      <xdr:colOff>19050</xdr:colOff>
      <xdr:row>28</xdr:row>
      <xdr:rowOff>76200</xdr:rowOff>
    </xdr:from>
    <xdr:to>
      <xdr:col>16</xdr:col>
      <xdr:colOff>9525</xdr:colOff>
      <xdr:row>47</xdr:row>
      <xdr:rowOff>76200</xdr:rowOff>
    </xdr:to>
    <xdr:graphicFrame macro="">
      <xdr:nvGraphicFramePr>
        <xdr:cNvPr id="3" name="Chart 2">
          <a:extLst>
            <a:ext uri="{FF2B5EF4-FFF2-40B4-BE49-F238E27FC236}">
              <a16:creationId xmlns:a16="http://schemas.microsoft.com/office/drawing/2014/main" id="{00000000-0008-0000-6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9</xdr:col>
      <xdr:colOff>38100</xdr:colOff>
      <xdr:row>28</xdr:row>
      <xdr:rowOff>104775</xdr:rowOff>
    </xdr:from>
    <xdr:to>
      <xdr:col>16</xdr:col>
      <xdr:colOff>28575</xdr:colOff>
      <xdr:row>47</xdr:row>
      <xdr:rowOff>104775</xdr:rowOff>
    </xdr:to>
    <xdr:graphicFrame macro="">
      <xdr:nvGraphicFramePr>
        <xdr:cNvPr id="8937568" name="Chart 2">
          <a:extLst>
            <a:ext uri="{FF2B5EF4-FFF2-40B4-BE49-F238E27FC236}">
              <a16:creationId xmlns:a16="http://schemas.microsoft.com/office/drawing/2014/main" id="{00000000-0008-0000-6C00-00006060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XI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XIS"/>
    </sheetNames>
    <sheetDataSet>
      <sheetData sheetId="0" refreshError="1"/>
    </sheetDataSet>
  </externalBook>
</externalLink>
</file>

<file path=xl/theme/theme1.xml><?xml version="1.0" encoding="utf-8"?>
<a:theme xmlns:a="http://schemas.openxmlformats.org/drawingml/2006/main" name="New Street Research">
  <a:themeElements>
    <a:clrScheme name="New Street Research Colours">
      <a:dk1>
        <a:sysClr val="windowText" lastClr="000000"/>
      </a:dk1>
      <a:lt1>
        <a:sysClr val="window" lastClr="FFFFFF"/>
      </a:lt1>
      <a:dk2>
        <a:srgbClr val="38464F"/>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tx1"/>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New Street Research" id="{8C27A2A4-9FF4-435C-9C93-C5F34403D250}" vid="{90E13F94-FF82-4402-86B3-2E8E28C59F2E}"/>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2.xml"/><Relationship Id="rId1" Type="http://schemas.openxmlformats.org/officeDocument/2006/relationships/printerSettings" Target="../printerSettings/printerSettings134.bin"/><Relationship Id="rId4" Type="http://schemas.openxmlformats.org/officeDocument/2006/relationships/comments" Target="../comments3.xml"/></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4.xml"/><Relationship Id="rId1" Type="http://schemas.openxmlformats.org/officeDocument/2006/relationships/printerSettings" Target="../printerSettings/printerSettings136.bin"/><Relationship Id="rId4" Type="http://schemas.openxmlformats.org/officeDocument/2006/relationships/comments" Target="../comments4.xm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6.xml"/><Relationship Id="rId1" Type="http://schemas.openxmlformats.org/officeDocument/2006/relationships/printerSettings" Target="../printerSettings/printerSettings138.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9.xml"/><Relationship Id="rId1" Type="http://schemas.openxmlformats.org/officeDocument/2006/relationships/printerSettings" Target="../printerSettings/printerSettings141.bin"/><Relationship Id="rId4" Type="http://schemas.openxmlformats.org/officeDocument/2006/relationships/comments" Target="../comments6.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2.xml"/><Relationship Id="rId1" Type="http://schemas.openxmlformats.org/officeDocument/2006/relationships/printerSettings" Target="../printerSettings/printerSettings82.bin"/><Relationship Id="rId4" Type="http://schemas.openxmlformats.org/officeDocument/2006/relationships/comments" Target="../comments2.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EDBB6-5DBF-4D52-A8AC-268FF9C6F3CC}">
  <sheetPr codeName="Sheet2"/>
  <dimension ref="A1:B1"/>
  <sheetViews>
    <sheetView topLeftCell="A34" zoomScale="70" zoomScaleNormal="70" workbookViewId="0">
      <selection activeCell="H57" sqref="H57"/>
    </sheetView>
  </sheetViews>
  <sheetFormatPr defaultRowHeight="14.4"/>
  <sheetData>
    <row r="1" spans="1:2">
      <c r="B1" t="s">
        <v>1264</v>
      </c>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7">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554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201</v>
      </c>
      <c r="C9" s="287">
        <f>Prices!C80</f>
        <v>269</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44">
      <c r="B10" s="5" t="s">
        <v>269</v>
      </c>
      <c r="C10" s="5"/>
      <c r="D10" s="527">
        <v>2974</v>
      </c>
      <c r="E10" s="527">
        <v>2974</v>
      </c>
      <c r="F10" s="527">
        <v>2974</v>
      </c>
      <c r="G10" s="527">
        <v>2974</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44">
      <c r="B11" s="41" t="s">
        <v>270</v>
      </c>
      <c r="C11" s="5"/>
      <c r="D11" s="528">
        <f>$C$9*D10</f>
        <v>800006</v>
      </c>
      <c r="E11" s="528">
        <f>$C$9*E10</f>
        <v>800006</v>
      </c>
      <c r="F11" s="528">
        <f>$C$9*F10</f>
        <v>800006</v>
      </c>
      <c r="G11" s="528">
        <f>$C$9*G10</f>
        <v>800006</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44">
      <c r="B12" s="5" t="s">
        <v>24</v>
      </c>
      <c r="C12" s="249"/>
      <c r="D12" s="529">
        <v>185106.75053299998</v>
      </c>
      <c r="E12" s="529">
        <v>143898.915581287</v>
      </c>
      <c r="F12" s="529">
        <v>109787.79566976719</v>
      </c>
      <c r="G12" s="529">
        <v>84572.006423372935</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44">
      <c r="B13" s="5" t="s">
        <v>524</v>
      </c>
      <c r="C13" s="257"/>
      <c r="D13" s="529">
        <v>64208.940711000003</v>
      </c>
      <c r="E13" s="529">
        <v>64208.940711000003</v>
      </c>
      <c r="F13" s="529">
        <v>64208.940711000003</v>
      </c>
      <c r="G13" s="529">
        <v>64208.940711000003</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44">
      <c r="B14" s="5" t="s">
        <v>527</v>
      </c>
      <c r="C14" s="257"/>
      <c r="D14" s="529"/>
      <c r="E14" s="529">
        <f t="shared" ref="E14:G15" si="2">D14</f>
        <v>0</v>
      </c>
      <c r="F14" s="529">
        <f t="shared" si="2"/>
        <v>0</v>
      </c>
      <c r="G14" s="529">
        <f t="shared" si="2"/>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44">
      <c r="B15" s="5" t="s">
        <v>526</v>
      </c>
      <c r="C15" s="274"/>
      <c r="D15" s="529"/>
      <c r="E15" s="529">
        <f t="shared" si="2"/>
        <v>0</v>
      </c>
      <c r="F15" s="529">
        <f t="shared" si="2"/>
        <v>0</v>
      </c>
      <c r="G15" s="529">
        <f t="shared" si="2"/>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44">
      <c r="B16" s="5" t="s">
        <v>529</v>
      </c>
      <c r="C16" s="257"/>
      <c r="D16" s="529">
        <v>0</v>
      </c>
      <c r="E16" s="529">
        <v>0</v>
      </c>
      <c r="F16" s="529">
        <v>41881.806200250023</v>
      </c>
      <c r="G16" s="529">
        <v>91098.633371796997</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1049321.6912440001</v>
      </c>
      <c r="E18" s="530">
        <f>E11+E12+E13-E14+E15-E16-E17</f>
        <v>1008113.856292287</v>
      </c>
      <c r="F18" s="530">
        <f>F11+F12+F13-F14+F15-F16-F17</f>
        <v>932120.93018051714</v>
      </c>
      <c r="G18" s="530">
        <f>G11+G12+G13-G14+G15-G16-G17</f>
        <v>857688.31376257585</v>
      </c>
      <c r="H18" s="276">
        <f>IF(D18=0,"nm",IF(G18=0,"nm",(G18/D18)^(1/3)-1))</f>
        <v>-6.5010040026795557E-2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915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185483.55184509998</v>
      </c>
      <c r="D23" s="536">
        <v>188873</v>
      </c>
      <c r="E23" s="536">
        <v>211303.35353839732</v>
      </c>
      <c r="F23" s="536">
        <v>222564.92736682881</v>
      </c>
      <c r="G23" s="536">
        <v>229511.91328874772</v>
      </c>
      <c r="H23" s="279">
        <f t="shared" ref="H23:H30" si="4">IF(D23=0,"nm",IF(G23=0,"nm",(G23/D23)^(1/3)-1))</f>
        <v>6.7116376718759252E-2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89711</v>
      </c>
      <c r="D24" s="536">
        <v>93371</v>
      </c>
      <c r="E24" s="536">
        <v>108667.95439570496</v>
      </c>
      <c r="F24" s="536">
        <v>115754.52468408296</v>
      </c>
      <c r="G24" s="536">
        <v>119688.97229597429</v>
      </c>
      <c r="H24" s="279">
        <f t="shared" si="4"/>
        <v>8.6293987917293702E-2</v>
      </c>
      <c r="I24" s="249"/>
      <c r="J24" s="17"/>
      <c r="K24" s="17"/>
      <c r="L24" s="17"/>
      <c r="M24" s="17"/>
      <c r="N24" s="17"/>
      <c r="O24" s="248"/>
      <c r="S24" s="88"/>
      <c r="T24" s="42"/>
      <c r="U24" s="42"/>
      <c r="V24" s="42"/>
      <c r="W24" s="42" t="s">
        <v>555</v>
      </c>
      <c r="X24" s="42" t="s">
        <v>252</v>
      </c>
      <c r="Y24" s="42"/>
      <c r="Z24" s="42"/>
      <c r="AA24" s="42"/>
    </row>
    <row r="25" spans="2:27">
      <c r="B25" s="5" t="s">
        <v>179</v>
      </c>
      <c r="C25" s="544">
        <v>57492</v>
      </c>
      <c r="D25" s="536">
        <v>56283</v>
      </c>
      <c r="E25" s="536">
        <v>82667.954395704961</v>
      </c>
      <c r="F25" s="536">
        <v>89754.524684082964</v>
      </c>
      <c r="G25" s="536">
        <v>89852.423568437094</v>
      </c>
      <c r="H25" s="279">
        <f t="shared" si="4"/>
        <v>0.16873895371596181</v>
      </c>
      <c r="I25" s="248"/>
      <c r="J25" s="247" t="s">
        <v>10</v>
      </c>
      <c r="K25" s="247"/>
      <c r="L25" s="321">
        <v>0</v>
      </c>
      <c r="M25" s="321">
        <v>0</v>
      </c>
      <c r="N25" s="321">
        <v>0</v>
      </c>
      <c r="O25" s="321">
        <v>0</v>
      </c>
      <c r="P25" s="279" t="str">
        <f>IF(L25=0,"nm",IF(O25=0,"nm",(O25/L25)^(1/3)-1))</f>
        <v>nm</v>
      </c>
      <c r="S25" s="88"/>
      <c r="T25" s="42"/>
      <c r="U25" s="42"/>
      <c r="V25" s="147" t="s">
        <v>268</v>
      </c>
      <c r="W25" s="288">
        <f t="shared" ref="W25:W33" si="6">D37/L9</f>
        <v>2.5806577175985561</v>
      </c>
      <c r="X25" s="288">
        <v>1</v>
      </c>
      <c r="Y25" s="42"/>
      <c r="Z25" s="42"/>
      <c r="AA25" s="42"/>
    </row>
    <row r="26" spans="2:27">
      <c r="B26" s="5" t="s">
        <v>581</v>
      </c>
      <c r="C26" s="544">
        <v>46473.504008950214</v>
      </c>
      <c r="D26" s="536">
        <v>45479.853813029593</v>
      </c>
      <c r="E26" s="536">
        <v>66800.392319863167</v>
      </c>
      <c r="F26" s="536">
        <v>72526.742740970614</v>
      </c>
      <c r="G26" s="536">
        <v>72605.850587902809</v>
      </c>
      <c r="H26" s="279">
        <f t="shared" si="4"/>
        <v>0.16873895371596181</v>
      </c>
      <c r="I26" s="249"/>
      <c r="J26" s="249" t="s">
        <v>11</v>
      </c>
      <c r="K26" s="249"/>
      <c r="L26" s="281">
        <f>D11+L25</f>
        <v>800006</v>
      </c>
      <c r="M26" s="281">
        <f>E11+M25</f>
        <v>800006</v>
      </c>
      <c r="N26" s="281">
        <f>F11+N25</f>
        <v>800006</v>
      </c>
      <c r="O26" s="281">
        <f>G11+O25</f>
        <v>800006</v>
      </c>
      <c r="P26" s="279">
        <f>IF(L26=0,"nm",IF(O26=0,"nm",(O26/L26)^(1/3)-1))</f>
        <v>0</v>
      </c>
      <c r="Q26" s="5"/>
      <c r="S26" s="88"/>
      <c r="T26" s="42"/>
      <c r="U26" s="42"/>
      <c r="V26" s="147" t="s">
        <v>180</v>
      </c>
      <c r="W26" s="288">
        <f t="shared" si="6"/>
        <v>1.7034893240064697</v>
      </c>
      <c r="X26" s="288">
        <v>1</v>
      </c>
      <c r="Y26" s="42"/>
      <c r="Z26" s="42"/>
      <c r="AA26" s="42"/>
    </row>
    <row r="27" spans="2:27">
      <c r="B27" s="5" t="s">
        <v>582</v>
      </c>
      <c r="C27" s="545">
        <v>262227.78111499996</v>
      </c>
      <c r="D27" s="536">
        <v>339993.90056599997</v>
      </c>
      <c r="E27" s="536">
        <v>301539.02750486374</v>
      </c>
      <c r="F27" s="536">
        <v>273120.92998916551</v>
      </c>
      <c r="G27" s="536">
        <v>254595.21752692928</v>
      </c>
      <c r="H27" s="279">
        <f t="shared" si="4"/>
        <v>-9.1915272113775037E-2</v>
      </c>
      <c r="I27" s="249"/>
      <c r="J27" s="248"/>
      <c r="K27" s="248"/>
      <c r="L27" s="248"/>
      <c r="M27" s="248"/>
      <c r="N27" s="248"/>
      <c r="O27" s="248"/>
      <c r="Q27" s="41"/>
      <c r="S27" s="88"/>
      <c r="T27" s="42"/>
      <c r="U27" s="42"/>
      <c r="V27" s="147" t="s">
        <v>181</v>
      </c>
      <c r="W27" s="288">
        <f t="shared" si="6"/>
        <v>1.4663347511077582</v>
      </c>
      <c r="X27" s="288">
        <v>1</v>
      </c>
      <c r="Y27" s="42"/>
      <c r="Z27" s="42"/>
      <c r="AA27" s="42"/>
    </row>
    <row r="28" spans="2:27" ht="12.6" thickBot="1">
      <c r="B28" s="5" t="s">
        <v>587</v>
      </c>
      <c r="C28" s="544">
        <v>113252.04700000001</v>
      </c>
      <c r="D28" s="536">
        <v>139223.822358</v>
      </c>
      <c r="E28" s="536">
        <v>120672.19920344</v>
      </c>
      <c r="F28" s="536">
        <v>108057.0954583392</v>
      </c>
      <c r="G28" s="536">
        <v>103315.37363920786</v>
      </c>
      <c r="H28" s="279">
        <f t="shared" si="4"/>
        <v>-9.4648693737996559E-2</v>
      </c>
      <c r="I28" s="248"/>
      <c r="J28" s="306" t="s">
        <v>1352</v>
      </c>
      <c r="K28" s="306"/>
      <c r="L28" s="306"/>
      <c r="M28" s="306"/>
      <c r="N28" s="266"/>
      <c r="O28" s="266"/>
      <c r="P28" s="266"/>
      <c r="Q28" s="5"/>
      <c r="S28" s="88"/>
      <c r="T28" s="42"/>
      <c r="U28" s="42"/>
      <c r="V28" s="147" t="s">
        <v>461</v>
      </c>
      <c r="W28" s="288">
        <f t="shared" si="6"/>
        <v>1.3937185223967308</v>
      </c>
      <c r="X28" s="288">
        <v>1</v>
      </c>
      <c r="Y28" s="42"/>
      <c r="Z28" s="42"/>
      <c r="AA28" s="42"/>
    </row>
    <row r="29" spans="2:27" ht="12.6" thickTop="1">
      <c r="B29" s="5" t="s">
        <v>583</v>
      </c>
      <c r="C29" s="544">
        <v>46094.000000000007</v>
      </c>
      <c r="D29" s="536">
        <v>43229</v>
      </c>
      <c r="E29" s="536">
        <v>68119.3038513106</v>
      </c>
      <c r="F29" s="536">
        <v>72957.207101519074</v>
      </c>
      <c r="G29" s="536">
        <v>71666.380996538355</v>
      </c>
      <c r="H29" s="279">
        <f t="shared" si="4"/>
        <v>0.18353224573047422</v>
      </c>
      <c r="I29" s="252"/>
      <c r="J29" s="249"/>
      <c r="K29" s="249"/>
      <c r="L29" s="249"/>
      <c r="M29" s="249"/>
      <c r="N29" s="249"/>
      <c r="O29" s="251"/>
      <c r="Q29" s="5"/>
      <c r="S29" s="88"/>
      <c r="T29" s="42"/>
      <c r="U29" s="42"/>
      <c r="V29" s="147" t="s">
        <v>525</v>
      </c>
      <c r="W29" s="288">
        <f t="shared" si="6"/>
        <v>2.0812940969609257</v>
      </c>
      <c r="X29" s="288">
        <v>1</v>
      </c>
      <c r="Y29" s="42"/>
      <c r="Z29" s="42"/>
      <c r="AA29" s="42"/>
    </row>
    <row r="30" spans="2:27">
      <c r="B30" s="5" t="s">
        <v>584</v>
      </c>
      <c r="C30" s="545">
        <v>27019.664000000001</v>
      </c>
      <c r="D30" s="536">
        <v>28913.84</v>
      </c>
      <c r="E30" s="536">
        <v>33216.306884424295</v>
      </c>
      <c r="F30" s="536">
        <v>46015.137124672205</v>
      </c>
      <c r="G30" s="536">
        <v>54347.441655050527</v>
      </c>
      <c r="H30" s="279">
        <f t="shared" si="4"/>
        <v>0.23412109882484144</v>
      </c>
      <c r="I30" s="254"/>
      <c r="J30" s="248"/>
      <c r="K30" s="248"/>
      <c r="L30" s="248"/>
      <c r="M30" s="248"/>
      <c r="N30" s="248"/>
      <c r="O30" s="5"/>
      <c r="Q30" s="5"/>
      <c r="S30" s="88"/>
      <c r="T30" s="42"/>
      <c r="U30" s="42"/>
      <c r="V30" s="147" t="s">
        <v>588</v>
      </c>
      <c r="W30" s="288">
        <f t="shared" si="6"/>
        <v>2.4771735521278986</v>
      </c>
      <c r="X30" s="288">
        <v>1</v>
      </c>
      <c r="Y30" s="42"/>
      <c r="Z30" s="42"/>
      <c r="AA30" s="42"/>
    </row>
    <row r="31" spans="2:27">
      <c r="B31" s="5" t="s">
        <v>585</v>
      </c>
      <c r="C31" s="545">
        <v>22870.06</v>
      </c>
      <c r="D31" s="536">
        <v>25606.14</v>
      </c>
      <c r="E31" s="536">
        <v>30614.852636801061</v>
      </c>
      <c r="F31" s="536">
        <v>41881.806200250023</v>
      </c>
      <c r="G31" s="536">
        <v>49216.827171546975</v>
      </c>
      <c r="H31" s="279">
        <f>IF(D31=0,"nm",IF(G31=0,"nm",(G31/D31)^(1/3)-1))</f>
        <v>0.24333979009018925</v>
      </c>
      <c r="I31" s="254"/>
      <c r="J31" s="252"/>
      <c r="K31" s="252"/>
      <c r="L31" s="252"/>
      <c r="M31" s="252"/>
      <c r="N31" s="252"/>
      <c r="O31" s="5"/>
      <c r="Q31" s="5"/>
      <c r="S31" s="88"/>
      <c r="T31" s="42"/>
      <c r="U31" s="42"/>
      <c r="V31" s="147" t="s">
        <v>470</v>
      </c>
      <c r="W31" s="288">
        <f t="shared" si="6"/>
        <v>0.94006025311010255</v>
      </c>
      <c r="X31" s="288">
        <v>1</v>
      </c>
      <c r="Y31" s="42"/>
      <c r="Z31" s="42"/>
      <c r="AA31" s="42"/>
    </row>
    <row r="32" spans="2:27">
      <c r="B32" s="5" t="s">
        <v>601</v>
      </c>
      <c r="C32" s="546">
        <v>0</v>
      </c>
      <c r="D32" s="536">
        <v>0</v>
      </c>
      <c r="E32" s="536">
        <v>0</v>
      </c>
      <c r="F32" s="536">
        <v>0</v>
      </c>
      <c r="G32" s="536">
        <v>0</v>
      </c>
      <c r="H32" s="279" t="str">
        <f>IF(D32=0,"nm",IF(G32=0,"nm",(G32/D32)^(1/3)-1))</f>
        <v>nm</v>
      </c>
      <c r="I32" s="254"/>
      <c r="J32" s="254"/>
      <c r="K32" s="254"/>
      <c r="L32" s="254"/>
      <c r="M32" s="254"/>
      <c r="N32" s="254"/>
      <c r="O32" s="251"/>
      <c r="Q32" s="5"/>
      <c r="S32" s="88"/>
      <c r="T32" s="42"/>
      <c r="U32" s="42"/>
      <c r="V32" s="147" t="s">
        <v>528</v>
      </c>
      <c r="W32" s="288">
        <f t="shared" si="6"/>
        <v>1.2930815701772449</v>
      </c>
      <c r="X32" s="288">
        <v>1</v>
      </c>
      <c r="Y32" s="42"/>
      <c r="Z32" s="42"/>
      <c r="AA32" s="42"/>
    </row>
    <row r="33" spans="2:27">
      <c r="B33" s="5" t="s">
        <v>5</v>
      </c>
      <c r="C33" s="545">
        <v>5231</v>
      </c>
      <c r="D33" s="536">
        <v>6145</v>
      </c>
      <c r="E33" s="536">
        <v>6287.9820189983839</v>
      </c>
      <c r="F33" s="536">
        <v>5496.537455689835</v>
      </c>
      <c r="G33" s="536">
        <v>4906.0865989232298</v>
      </c>
      <c r="H33" s="279">
        <f>IF(D33=0,"nm",IF(G33=0,"nm",(G33/D33)^(1/3)-1))</f>
        <v>-7.230665552270632E-2</v>
      </c>
      <c r="I33" s="5"/>
      <c r="J33" s="254"/>
      <c r="K33" s="254"/>
      <c r="L33" s="254"/>
      <c r="M33" s="254"/>
      <c r="N33" s="254"/>
      <c r="O33" s="251"/>
      <c r="Q33" s="5"/>
      <c r="S33" s="88"/>
      <c r="T33" s="42"/>
      <c r="U33" s="42"/>
      <c r="V33" s="147" t="s">
        <v>575</v>
      </c>
      <c r="W33" s="288">
        <f t="shared" si="6"/>
        <v>0.81162982117269178</v>
      </c>
      <c r="X33" s="288">
        <v>1</v>
      </c>
      <c r="Y33" s="42"/>
      <c r="Z33" s="42"/>
      <c r="AA33" s="42"/>
    </row>
    <row r="34" spans="2:27">
      <c r="H34" s="276"/>
      <c r="I34" s="49"/>
      <c r="J34" s="254"/>
      <c r="K34" s="254"/>
      <c r="L34" s="254"/>
      <c r="M34" s="254"/>
      <c r="N34" s="254"/>
      <c r="O34" s="251"/>
      <c r="Q34" s="5"/>
      <c r="S34" s="88"/>
      <c r="T34" s="42"/>
      <c r="U34" s="42"/>
      <c r="V34" s="147" t="s">
        <v>576</v>
      </c>
      <c r="W34" s="288">
        <f>D47/L19</f>
        <v>1.0637616011224731</v>
      </c>
      <c r="X34" s="288">
        <v>1</v>
      </c>
      <c r="Y34" s="288"/>
      <c r="Z34" s="288"/>
      <c r="AA34" s="42"/>
    </row>
    <row r="35" spans="2:27" ht="12.6" thickBot="1">
      <c r="B35" s="306" t="s">
        <v>640</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 t="shared" ref="D37:G41" si="8">D$18/D23</f>
        <v>5.5556998154527122</v>
      </c>
      <c r="E37" s="525">
        <f t="shared" si="8"/>
        <v>4.7709316459527749</v>
      </c>
      <c r="F37" s="525">
        <f t="shared" si="8"/>
        <v>4.1880854329047397</v>
      </c>
      <c r="G37" s="525">
        <f t="shared" si="8"/>
        <v>3.7370099942634472</v>
      </c>
      <c r="H37" s="17">
        <f t="shared" ref="H37:H45" si="9">H23</f>
        <v>6.7116376718759252E-2</v>
      </c>
      <c r="I37" s="5"/>
      <c r="J37" s="259"/>
      <c r="K37" s="259"/>
      <c r="L37" s="259"/>
      <c r="M37" s="259"/>
      <c r="N37" s="259"/>
      <c r="O37" s="18"/>
      <c r="Q37" s="5"/>
      <c r="R37" s="5"/>
      <c r="S37" s="42"/>
      <c r="T37" s="42"/>
      <c r="U37" s="42"/>
      <c r="V37" s="42"/>
      <c r="W37" s="42"/>
      <c r="X37" s="42"/>
      <c r="Y37" s="42"/>
      <c r="Z37" s="42"/>
      <c r="AA37" s="42"/>
    </row>
    <row r="38" spans="2:27">
      <c r="B38" s="5" t="s">
        <v>180</v>
      </c>
      <c r="C38" s="247"/>
      <c r="D38" s="525">
        <f t="shared" si="8"/>
        <v>11.238196990971502</v>
      </c>
      <c r="E38" s="525">
        <f t="shared" si="8"/>
        <v>9.2770114418582637</v>
      </c>
      <c r="F38" s="525">
        <f t="shared" si="8"/>
        <v>8.0525658303592014</v>
      </c>
      <c r="G38" s="525">
        <f t="shared" si="8"/>
        <v>7.1659760904424106</v>
      </c>
      <c r="H38" s="17">
        <f t="shared" si="9"/>
        <v>8.6293987917293702E-2</v>
      </c>
      <c r="I38" s="259"/>
      <c r="J38" s="17"/>
      <c r="K38" s="17"/>
      <c r="L38" s="17"/>
      <c r="M38" s="17"/>
      <c r="N38" s="17"/>
      <c r="O38" s="5"/>
      <c r="Q38" s="5"/>
      <c r="R38" s="5"/>
      <c r="S38" s="42"/>
      <c r="T38" s="42"/>
      <c r="U38" s="42"/>
      <c r="V38" s="42"/>
      <c r="W38" s="42"/>
      <c r="X38" s="42"/>
      <c r="Y38" s="42"/>
      <c r="Z38" s="42"/>
      <c r="AA38" s="42"/>
    </row>
    <row r="39" spans="2:27">
      <c r="B39" s="5" t="s">
        <v>181</v>
      </c>
      <c r="C39" s="247"/>
      <c r="D39" s="525">
        <f t="shared" si="8"/>
        <v>18.643670224472757</v>
      </c>
      <c r="E39" s="525">
        <f t="shared" si="8"/>
        <v>12.194735719076458</v>
      </c>
      <c r="F39" s="525">
        <f t="shared" si="8"/>
        <v>10.385224961765289</v>
      </c>
      <c r="G39" s="525">
        <f t="shared" si="8"/>
        <v>9.5455223098051221</v>
      </c>
      <c r="H39" s="17">
        <f t="shared" si="9"/>
        <v>0.16873895371596181</v>
      </c>
      <c r="I39" s="17"/>
      <c r="J39" s="5"/>
      <c r="K39" s="5"/>
      <c r="L39" s="5"/>
      <c r="M39" s="5"/>
      <c r="N39" s="5"/>
      <c r="O39" s="5"/>
      <c r="Q39" s="5"/>
      <c r="R39" s="5"/>
      <c r="S39" s="42"/>
      <c r="T39" s="42"/>
      <c r="U39" s="42"/>
      <c r="V39" s="42"/>
      <c r="W39" s="42"/>
      <c r="X39" s="42"/>
      <c r="Y39" s="42"/>
      <c r="Z39" s="42"/>
      <c r="AA39" s="42"/>
    </row>
    <row r="40" spans="2:27">
      <c r="B40" s="5" t="s">
        <v>461</v>
      </c>
      <c r="C40" s="247"/>
      <c r="D40" s="525">
        <f t="shared" si="8"/>
        <v>23.072230960939859</v>
      </c>
      <c r="E40" s="525">
        <f t="shared" si="8"/>
        <v>15.091436162007739</v>
      </c>
      <c r="F40" s="525">
        <f t="shared" si="8"/>
        <v>12.852099721472239</v>
      </c>
      <c r="G40" s="525">
        <f t="shared" si="8"/>
        <v>11.812936654797337</v>
      </c>
      <c r="H40" s="17">
        <f t="shared" si="9"/>
        <v>0.16873895371596181</v>
      </c>
      <c r="I40" s="5"/>
      <c r="J40" s="259"/>
      <c r="K40" s="259"/>
      <c r="L40" s="259"/>
      <c r="M40" s="259"/>
      <c r="N40" s="259"/>
      <c r="O40" s="18"/>
      <c r="Q40" s="5"/>
      <c r="R40" s="5"/>
      <c r="S40" s="42"/>
      <c r="T40" s="42"/>
      <c r="U40" s="42"/>
      <c r="V40" s="42"/>
      <c r="W40" s="288"/>
      <c r="X40" s="288"/>
      <c r="Y40" s="42"/>
      <c r="Z40" s="42"/>
      <c r="AA40" s="42"/>
    </row>
    <row r="41" spans="2:27">
      <c r="B41" s="5" t="s">
        <v>525</v>
      </c>
      <c r="C41" s="247"/>
      <c r="D41" s="525">
        <f t="shared" si="8"/>
        <v>3.08629563500156</v>
      </c>
      <c r="E41" s="525">
        <f t="shared" si="8"/>
        <v>3.3432284524961746</v>
      </c>
      <c r="F41" s="525">
        <f t="shared" si="8"/>
        <v>3.4128506014441795</v>
      </c>
      <c r="G41" s="525">
        <f t="shared" si="8"/>
        <v>3.3688312062336978</v>
      </c>
      <c r="H41" s="17">
        <f t="shared" si="9"/>
        <v>-9.1915272113775037E-2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7.5369406863846571</v>
      </c>
      <c r="E42" s="525">
        <f>E18/E28</f>
        <v>8.3541516848691746</v>
      </c>
      <c r="F42" s="525">
        <f>F18/F28</f>
        <v>8.6261890181926191</v>
      </c>
      <c r="G42" s="525">
        <f>G18/G28</f>
        <v>8.3016523441878718</v>
      </c>
      <c r="H42" s="17">
        <f t="shared" si="9"/>
        <v>-9.4648693737996559E-2</v>
      </c>
      <c r="I42" s="248"/>
      <c r="J42" s="5"/>
      <c r="K42" s="5"/>
      <c r="L42" s="5"/>
      <c r="M42" s="5"/>
      <c r="N42" s="5"/>
      <c r="O42" s="5"/>
      <c r="Q42" s="5"/>
      <c r="R42" s="5"/>
      <c r="S42" s="42"/>
      <c r="T42" s="42"/>
      <c r="U42" s="42"/>
      <c r="V42" s="42"/>
      <c r="W42" s="288"/>
      <c r="X42" s="288"/>
      <c r="Y42" s="288"/>
      <c r="Z42" s="288"/>
      <c r="AA42" s="42"/>
    </row>
    <row r="43" spans="2:27">
      <c r="B43" s="5" t="s">
        <v>470</v>
      </c>
      <c r="C43" s="247"/>
      <c r="D43" s="525">
        <f>L26/D29</f>
        <v>18.506234240903098</v>
      </c>
      <c r="E43" s="525">
        <f>M26/E29</f>
        <v>11.744189308602396</v>
      </c>
      <c r="F43" s="525">
        <f>N26/F29</f>
        <v>10.965414272051303</v>
      </c>
      <c r="G43" s="525">
        <f>O26/G29</f>
        <v>11.162918915057844</v>
      </c>
      <c r="H43" s="17">
        <f t="shared" si="9"/>
        <v>0.18353224573047422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27.66861821190129</v>
      </c>
      <c r="E44" s="525">
        <f>E11/E30</f>
        <v>24.08473653569045</v>
      </c>
      <c r="F44" s="525">
        <f>F11/F30</f>
        <v>17.385713701830003</v>
      </c>
      <c r="G44" s="525">
        <f>G11/G30</f>
        <v>14.720214524130322</v>
      </c>
      <c r="H44" s="17">
        <f t="shared" si="9"/>
        <v>0.23412109882484144</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3.2007434944237918E-2</v>
      </c>
      <c r="E45" s="248">
        <f>E31/E11</f>
        <v>3.8268278783910446E-2</v>
      </c>
      <c r="F45" s="248">
        <f>F31/F11</f>
        <v>5.235186511132419E-2</v>
      </c>
      <c r="G45" s="248">
        <f>G31/G11</f>
        <v>6.1520572560139514E-2</v>
      </c>
      <c r="H45" s="17">
        <f t="shared" si="9"/>
        <v>0.24333979009018925</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3.2007434944237918E-2</v>
      </c>
      <c r="E46" s="248">
        <f>(E31+E32)/E11</f>
        <v>3.8268278783910446E-2</v>
      </c>
      <c r="F46" s="248">
        <f>(F31+F32)/F11</f>
        <v>5.235186511132419E-2</v>
      </c>
      <c r="G46" s="248">
        <f>(G31+G32)/G11</f>
        <v>6.1520572560139514E-2</v>
      </c>
      <c r="H46" s="279">
        <f>((G31+G32)/(D31+D32))^(1/3)-1</f>
        <v>0.24333979009018925</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5.4035844731164517E-2</v>
      </c>
      <c r="E47" s="248">
        <f>1/E43</f>
        <v>8.5148491200454257E-2</v>
      </c>
      <c r="F47" s="248">
        <f>1/F43</f>
        <v>9.1195824908212042E-2</v>
      </c>
      <c r="G47" s="248">
        <f>1/G43</f>
        <v>8.9582304378390099E-2</v>
      </c>
      <c r="H47" s="17">
        <f>H29</f>
        <v>0.18353224573047422</v>
      </c>
      <c r="I47" s="17"/>
      <c r="J47" s="248"/>
      <c r="K47" s="248"/>
      <c r="L47" s="248"/>
      <c r="M47" s="248"/>
      <c r="N47" s="248"/>
      <c r="O47" s="248"/>
      <c r="Q47" s="5"/>
      <c r="R47" s="5"/>
      <c r="S47" s="42"/>
      <c r="T47" s="42"/>
      <c r="U47" s="42"/>
      <c r="V47" s="42"/>
      <c r="W47" s="42"/>
      <c r="X47" s="42"/>
      <c r="Y47" s="42"/>
      <c r="Z47" s="42"/>
      <c r="AA47" s="326"/>
    </row>
    <row r="48" spans="2:27">
      <c r="B48" s="5" t="s">
        <v>613</v>
      </c>
      <c r="C48" s="257"/>
      <c r="D48" s="305">
        <f>D31/D29</f>
        <v>0.59233708852853406</v>
      </c>
      <c r="E48" s="305">
        <f>E31/E29</f>
        <v>0.449429910552617</v>
      </c>
      <c r="F48" s="305">
        <f>F31/F29</f>
        <v>0.57405988886021908</v>
      </c>
      <c r="G48" s="305">
        <f>G31/G29</f>
        <v>0.68674916309676992</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90">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706</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354</v>
      </c>
      <c r="C11" s="5"/>
      <c r="D11" s="271">
        <f>AMT!D11+CCI!D11+SBAC!D11</f>
        <v>188730.19003072887</v>
      </c>
      <c r="E11" s="271">
        <f>AMT!E11+CCI!E11+SBAC!E11</f>
        <v>187597.25163353319</v>
      </c>
      <c r="F11" s="271">
        <f>AMT!F11+CCI!F11+SBAC!F11</f>
        <v>184235.75978757977</v>
      </c>
      <c r="G11" s="271">
        <f>AMT!G11+CCI!G11+SBAC!G11</f>
        <v>180747.15099771426</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49"/>
      <c r="D12" s="228">
        <f>AMT!D12+CCI!D12+SBAC!D12</f>
        <v>66618.764899926333</v>
      </c>
      <c r="E12" s="228">
        <f>AMT!E12+CCI!E12+SBAC!E12</f>
        <v>67596.719009572145</v>
      </c>
      <c r="F12" s="228">
        <f>AMT!F12+CCI!F12+SBAC!F12</f>
        <v>69151.624129725475</v>
      </c>
      <c r="G12" s="228">
        <f>AMT!G12+CCI!G12+SBAC!G12</f>
        <v>70715.145365651697</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57"/>
      <c r="D13" s="228">
        <f>AMT!D13+CCI!D13+SBAC!D13</f>
        <v>0</v>
      </c>
      <c r="E13" s="228">
        <f>AMT!E13+CCI!E13+SBAC!E13</f>
        <v>0</v>
      </c>
      <c r="F13" s="228">
        <f>AMT!F13+CCI!F13+SBAC!F13</f>
        <v>0</v>
      </c>
      <c r="G13" s="228">
        <f>AMT!G13+CCI!G13+SBAC!G13</f>
        <v>0</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74"/>
      <c r="D14" s="228">
        <f>AMT!D14+CCI!D14+SBAC!D14</f>
        <v>0</v>
      </c>
      <c r="E14" s="228">
        <f>AMT!E14+CCI!E14+SBAC!E14</f>
        <v>0</v>
      </c>
      <c r="F14" s="228">
        <f>AMT!F14+CCI!F14+SBAC!F14</f>
        <v>0</v>
      </c>
      <c r="G14" s="228">
        <f>AMT!G14+CCI!G14+SBAC!G14</f>
        <v>0</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57"/>
      <c r="D15" s="228">
        <f>AMT!D15+CCI!D15+SBAC!D15</f>
        <v>0</v>
      </c>
      <c r="E15" s="228">
        <f>AMT!E15+CCI!E15+SBAC!E15</f>
        <v>0</v>
      </c>
      <c r="F15" s="228">
        <f>AMT!F15+CCI!F15+SBAC!F15</f>
        <v>0</v>
      </c>
      <c r="G15" s="228">
        <f>AMT!G15+CCI!G15+SBAC!G15</f>
        <v>0</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57"/>
      <c r="D16" s="228">
        <f>AMT!D16+CCI!D16+SBAC!D16</f>
        <v>9000.06682</v>
      </c>
      <c r="E16" s="228">
        <f>AMT!E16+CCI!E16+SBAC!E16</f>
        <v>11618.434680663933</v>
      </c>
      <c r="F16" s="228">
        <f>AMT!F16+CCI!F16+SBAC!F16</f>
        <v>18204.524339510805</v>
      </c>
      <c r="G16" s="228">
        <f>AMT!G16+CCI!G16+SBAC!G16</f>
        <v>23332.88240883789</v>
      </c>
      <c r="H16" s="247"/>
      <c r="I16" s="247"/>
      <c r="J16" s="5" t="s">
        <v>715</v>
      </c>
      <c r="L16" s="64" t="s">
        <v>115</v>
      </c>
      <c r="M16" s="64" t="s">
        <v>115</v>
      </c>
      <c r="N16" s="64" t="s">
        <v>115</v>
      </c>
      <c r="O16" s="64" t="s">
        <v>115</v>
      </c>
      <c r="P16" s="17">
        <f>'AGG DM'!H44</f>
        <v>8.8584802895584236E-2</v>
      </c>
      <c r="S16" s="88"/>
      <c r="T16" s="88"/>
      <c r="U16" s="88"/>
      <c r="V16" s="42"/>
      <c r="W16" s="42"/>
      <c r="X16" s="42"/>
      <c r="Y16" s="42"/>
      <c r="Z16" s="42"/>
      <c r="AA16" s="42"/>
    </row>
    <row r="17" spans="2:27">
      <c r="B17" s="5" t="s">
        <v>6</v>
      </c>
      <c r="C17" s="257"/>
      <c r="D17" s="228">
        <f>AMT!D17+CCI!D17+SBAC!D17</f>
        <v>528.55199756305979</v>
      </c>
      <c r="E17" s="228">
        <f>AMT!E17+CCI!E17+SBAC!E17</f>
        <v>528.55199756305979</v>
      </c>
      <c r="F17" s="228">
        <f>AMT!F17+CCI!F17+SBAC!F17</f>
        <v>528.55199756305979</v>
      </c>
      <c r="G17" s="228">
        <f>AMT!G17+CCI!G17+SBAC!G17</f>
        <v>520.90143247519075</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355</v>
      </c>
      <c r="C18" s="249"/>
      <c r="D18" s="275">
        <f>AMT!D18+CCI!D18+SBAC!D18</f>
        <v>245820.33611309214</v>
      </c>
      <c r="E18" s="275">
        <f>AMT!E18+CCI!E18+SBAC!E18</f>
        <v>243046.98396487837</v>
      </c>
      <c r="F18" s="275">
        <f>AMT!F18+CCI!F18+SBAC!F18</f>
        <v>234654.30758023134</v>
      </c>
      <c r="G18" s="275">
        <f>AMT!G18+CCI!G18+SBAC!G18</f>
        <v>227608.51252205289</v>
      </c>
      <c r="H18" s="276">
        <f>IF(D18=0,"nm",IF(G18=0,"nm",(G18/D18)^(1/3)-1))</f>
        <v>-2.5331574047368632E-2</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88"/>
      <c r="T18" s="42"/>
      <c r="U18" s="42"/>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'AGG DM'!H47</f>
        <v>6.900159277298723E-2</v>
      </c>
      <c r="S19" s="88"/>
      <c r="T19" s="42"/>
      <c r="U19" s="42"/>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'AGG DM'!H48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6">
        <f>AMT!C23+CCI!C23+SBAC!C23</f>
        <v>20330.553999999996</v>
      </c>
      <c r="D23" s="228">
        <f>AMT!D23+CCI!D23+SBAC!D23</f>
        <v>20980.671337876058</v>
      </c>
      <c r="E23" s="228">
        <f>AMT!E23+CCI!E23+SBAC!E23</f>
        <v>21397.695248276163</v>
      </c>
      <c r="F23" s="228">
        <f>AMT!F23+CCI!F23+SBAC!F23</f>
        <v>21963.717227889796</v>
      </c>
      <c r="G23" s="228">
        <f>AMT!G23+CCI!G23+SBAC!G23</f>
        <v>22670.53684759626</v>
      </c>
      <c r="H23" s="279">
        <f t="shared" ref="H23:H33" si="0">IF(D23=0,"nm",IF(G23=0,"nm",(G23/D23)^(1/3)-1))</f>
        <v>2.6157777948455641E-2</v>
      </c>
      <c r="I23" s="249"/>
      <c r="J23" s="306" t="s">
        <v>9</v>
      </c>
      <c r="K23" s="306"/>
      <c r="L23" s="265" t="str">
        <f>L5</f>
        <v>2023E</v>
      </c>
      <c r="M23" s="265" t="str">
        <f>M5</f>
        <v>2024E</v>
      </c>
      <c r="N23" s="265" t="str">
        <f>N5</f>
        <v>2025E</v>
      </c>
      <c r="O23" s="265" t="str">
        <f>O5</f>
        <v>2026E</v>
      </c>
      <c r="P23" s="282" t="str">
        <f>P5</f>
        <v>23E-26E</v>
      </c>
      <c r="S23" s="42"/>
      <c r="T23" s="42"/>
      <c r="U23" s="42"/>
      <c r="V23" s="42"/>
      <c r="W23" s="42" t="s">
        <v>713</v>
      </c>
      <c r="X23" s="42" t="s">
        <v>605</v>
      </c>
      <c r="Y23" s="42"/>
      <c r="Z23" s="42"/>
      <c r="AA23" s="42"/>
    </row>
    <row r="24" spans="2:27" ht="12.6" thickTop="1">
      <c r="B24" s="5" t="s">
        <v>478</v>
      </c>
      <c r="C24" s="366">
        <f>AMT!C24+CCI!C24+SBAC!C24</f>
        <v>12753.286</v>
      </c>
      <c r="D24" s="228">
        <f>AMT!D24+CCI!D24+SBAC!D24</f>
        <v>13398.495233792335</v>
      </c>
      <c r="E24" s="228">
        <f>AMT!E24+CCI!E24+SBAC!E24</f>
        <v>13642.554700643803</v>
      </c>
      <c r="F24" s="228">
        <f>AMT!F24+CCI!F24+SBAC!F24</f>
        <v>14023.629356396848</v>
      </c>
      <c r="G24" s="228">
        <f>AMT!G24+CCI!G24+SBAC!G24</f>
        <v>14665.022918091196</v>
      </c>
      <c r="H24" s="279">
        <f t="shared" si="0"/>
        <v>3.0565437622663838E-2</v>
      </c>
      <c r="I24" s="248"/>
      <c r="J24" s="17"/>
      <c r="K24" s="17"/>
      <c r="L24" s="17"/>
      <c r="M24" s="17"/>
      <c r="N24" s="17"/>
      <c r="O24" s="248"/>
      <c r="S24" s="42"/>
      <c r="T24" s="42"/>
      <c r="U24" s="42"/>
      <c r="V24" s="147" t="s">
        <v>268</v>
      </c>
      <c r="W24" s="288">
        <f t="shared" ref="W24:W31" si="1">E37/M9</f>
        <v>4.7822745848488095</v>
      </c>
      <c r="X24" s="288">
        <v>1</v>
      </c>
      <c r="Y24" s="42"/>
      <c r="Z24" s="42"/>
      <c r="AA24" s="42"/>
    </row>
    <row r="25" spans="2:27">
      <c r="B25" s="5" t="s">
        <v>179</v>
      </c>
      <c r="C25" s="366">
        <f>AMT!C25+CCI!C25+SBAC!C25</f>
        <v>9355.2430000000004</v>
      </c>
      <c r="D25" s="228">
        <f>AMT!D25+CCI!D25+SBAC!D25</f>
        <v>9814.9989997257271</v>
      </c>
      <c r="E25" s="228">
        <f>AMT!E25+CCI!E25+SBAC!E25</f>
        <v>10299.61243550371</v>
      </c>
      <c r="F25" s="228">
        <f>AMT!F25+CCI!F25+SBAC!F25</f>
        <v>10730.037794068146</v>
      </c>
      <c r="G25" s="228">
        <f>AMT!G25+CCI!G25+SBAC!G25</f>
        <v>11405.283916278449</v>
      </c>
      <c r="H25" s="279">
        <f t="shared" si="0"/>
        <v>5.1328926157078847E-2</v>
      </c>
      <c r="I25" s="249"/>
      <c r="J25" s="247" t="s">
        <v>10</v>
      </c>
      <c r="K25" s="247"/>
      <c r="L25" s="363">
        <f>AMT!L25+CCI!L25+SBAC!L25</f>
        <v>0</v>
      </c>
      <c r="M25" s="363">
        <f>AMT!M25+CCI!M25+SBAC!M25</f>
        <v>0</v>
      </c>
      <c r="N25" s="363">
        <f>AMT!N25+CCI!N25+SBAC!N25</f>
        <v>0</v>
      </c>
      <c r="O25" s="363">
        <f>AMT!O25+CCI!O25+SBAC!O25</f>
        <v>0</v>
      </c>
      <c r="P25" s="349" t="str">
        <f>IF(L25=0,"nm",IF(O25=0,"nm",(O25/L25)^(1/3)-1))</f>
        <v>nm</v>
      </c>
      <c r="Q25" s="5"/>
      <c r="S25" s="42"/>
      <c r="T25" s="42"/>
      <c r="U25" s="42"/>
      <c r="V25" s="147" t="s">
        <v>180</v>
      </c>
      <c r="W25" s="288">
        <f t="shared" si="1"/>
        <v>2.5222259220248686</v>
      </c>
      <c r="X25" s="288">
        <v>1</v>
      </c>
      <c r="Y25" s="42"/>
      <c r="Z25" s="42"/>
      <c r="AA25" s="42"/>
    </row>
    <row r="26" spans="2:27">
      <c r="B26" s="5" t="s">
        <v>581</v>
      </c>
      <c r="C26" s="366">
        <f>AMT!C26+CCI!C26+SBAC!C26</f>
        <v>8419.7187000000013</v>
      </c>
      <c r="D26" s="228">
        <f>AMT!D26+CCI!D26+SBAC!D26</f>
        <v>8833.499099753155</v>
      </c>
      <c r="E26" s="228">
        <f>AMT!E26+CCI!E26+SBAC!E26</f>
        <v>9269.6511919533368</v>
      </c>
      <c r="F26" s="228">
        <f>AMT!F26+CCI!F26+SBAC!F26</f>
        <v>9657.0340146613325</v>
      </c>
      <c r="G26" s="228">
        <f>AMT!G26+CCI!G26+SBAC!G26</f>
        <v>10264.755524650604</v>
      </c>
      <c r="H26" s="279">
        <f t="shared" si="0"/>
        <v>5.1328926157078847E-2</v>
      </c>
      <c r="I26" s="249"/>
      <c r="J26" s="249" t="s">
        <v>11</v>
      </c>
      <c r="K26" s="249"/>
      <c r="L26" s="271">
        <f>AMT!L26+CCI!L26+SBAC!L26</f>
        <v>188730.19003072887</v>
      </c>
      <c r="M26" s="271">
        <f>AMT!M26+CCI!M26+SBAC!M26</f>
        <v>187597.25163353319</v>
      </c>
      <c r="N26" s="271">
        <f>AMT!N26+CCI!N26+SBAC!N26</f>
        <v>184235.75978757977</v>
      </c>
      <c r="O26" s="271">
        <f>AMT!O26+CCI!O26+SBAC!O26</f>
        <v>180747.15099771426</v>
      </c>
      <c r="P26" s="349">
        <f>IF(L26=0,"nm",IF(O26=0,"nm",(O26/L26)^(1/3)-1))</f>
        <v>-1.4303167183614129E-2</v>
      </c>
      <c r="Q26" s="41"/>
      <c r="S26" s="42"/>
      <c r="T26" s="42"/>
      <c r="U26" s="42"/>
      <c r="V26" s="147" t="s">
        <v>181</v>
      </c>
      <c r="W26" s="288">
        <f t="shared" si="1"/>
        <v>1.8680283710958399</v>
      </c>
      <c r="X26" s="288">
        <v>1</v>
      </c>
      <c r="Y26" s="42"/>
      <c r="Z26" s="42"/>
      <c r="AA26" s="42"/>
    </row>
    <row r="27" spans="2:27">
      <c r="B27" s="5" t="s">
        <v>582</v>
      </c>
      <c r="C27" s="366">
        <f>AMT!C27+CCI!C27+SBAC!C27</f>
        <v>81108.028000000006</v>
      </c>
      <c r="D27" s="228">
        <f>AMT!D27+CCI!D27+SBAC!D27</f>
        <v>79407.4418089221</v>
      </c>
      <c r="E27" s="228">
        <f>AMT!E27+CCI!E27+SBAC!E27</f>
        <v>68544.682453918824</v>
      </c>
      <c r="F27" s="228">
        <f>AMT!F27+CCI!F27+SBAC!F27</f>
        <v>59220.870863764525</v>
      </c>
      <c r="G27" s="228">
        <f>AMT!G27+CCI!G27+SBAC!G27</f>
        <v>50370.960559042091</v>
      </c>
      <c r="H27" s="279">
        <f t="shared" si="0"/>
        <v>-0.14077611221633957</v>
      </c>
      <c r="I27" s="248"/>
      <c r="J27" s="248"/>
      <c r="K27" s="248"/>
      <c r="L27" s="248"/>
      <c r="M27" s="248"/>
      <c r="N27" s="248"/>
      <c r="O27" s="248"/>
      <c r="Q27" s="5"/>
      <c r="S27" s="42"/>
      <c r="T27" s="42"/>
      <c r="U27" s="42"/>
      <c r="V27" s="147" t="s">
        <v>461</v>
      </c>
      <c r="W27" s="288">
        <f t="shared" si="1"/>
        <v>1.4590694600057992</v>
      </c>
      <c r="X27" s="288">
        <v>1</v>
      </c>
      <c r="Y27" s="42"/>
      <c r="Z27" s="42"/>
      <c r="AA27" s="42"/>
    </row>
    <row r="28" spans="2:27" ht="12.6" thickBot="1">
      <c r="B28" s="5" t="s">
        <v>587</v>
      </c>
      <c r="C28" s="366">
        <f>AMT!C28+CCI!C28+SBAC!C28</f>
        <v>38119.027000000002</v>
      </c>
      <c r="D28" s="228">
        <f>AMT!D28+CCI!D28+SBAC!D28</f>
        <v>37457.241934235943</v>
      </c>
      <c r="E28" s="228">
        <f>AMT!E28+CCI!E28+SBAC!E28</f>
        <v>36282.193649885761</v>
      </c>
      <c r="F28" s="228">
        <f>AMT!F28+CCI!F28+SBAC!F28</f>
        <v>35256.435100975097</v>
      </c>
      <c r="G28" s="228">
        <f>AMT!G28+CCI!G28+SBAC!G28</f>
        <v>32627.478260506166</v>
      </c>
      <c r="H28" s="279">
        <f t="shared" si="0"/>
        <v>-4.4972440556020565E-2</v>
      </c>
      <c r="I28" s="252"/>
      <c r="J28" s="306" t="s">
        <v>747</v>
      </c>
      <c r="K28" s="306"/>
      <c r="L28" s="306"/>
      <c r="M28" s="306"/>
      <c r="N28" s="266"/>
      <c r="O28" s="266"/>
      <c r="P28" s="266"/>
      <c r="Q28" s="5"/>
      <c r="S28" s="42"/>
      <c r="T28" s="42"/>
      <c r="U28" s="42"/>
      <c r="V28" s="147" t="s">
        <v>525</v>
      </c>
      <c r="W28" s="288">
        <f t="shared" si="1"/>
        <v>2.3296229978741683</v>
      </c>
      <c r="X28" s="288">
        <v>1</v>
      </c>
      <c r="Y28" s="42"/>
      <c r="Z28" s="42"/>
      <c r="AA28" s="42"/>
    </row>
    <row r="29" spans="2:27" ht="12.6" thickTop="1">
      <c r="B29" s="5" t="s">
        <v>583</v>
      </c>
      <c r="C29" s="366">
        <f>AMT!C29+CCI!C29+SBAC!C29</f>
        <v>7566.2480000000014</v>
      </c>
      <c r="D29" s="228">
        <f>AMT!D29+CCI!D29+SBAC!D29</f>
        <v>7130.5285531773543</v>
      </c>
      <c r="E29" s="228">
        <f>AMT!E29+CCI!E29+SBAC!E29</f>
        <v>7552.8008981585117</v>
      </c>
      <c r="F29" s="228">
        <f>AMT!F29+CCI!F29+SBAC!F29</f>
        <v>7857.6646766435406</v>
      </c>
      <c r="G29" s="228">
        <f>AMT!G29+CCI!G29+SBAC!G29</f>
        <v>8576.2799460442711</v>
      </c>
      <c r="H29" s="279">
        <f t="shared" si="0"/>
        <v>6.3471221095444452E-2</v>
      </c>
      <c r="I29" s="254"/>
      <c r="J29" s="249"/>
      <c r="K29" s="249"/>
      <c r="L29" s="249"/>
      <c r="M29" s="249"/>
      <c r="N29" s="249"/>
      <c r="O29" s="251"/>
      <c r="Q29" s="5"/>
      <c r="S29" s="42"/>
      <c r="T29" s="42"/>
      <c r="U29" s="42"/>
      <c r="V29" s="147" t="s">
        <v>588</v>
      </c>
      <c r="W29" s="288">
        <f t="shared" si="1"/>
        <v>1.9066223770109534</v>
      </c>
      <c r="X29" s="288">
        <v>1</v>
      </c>
      <c r="Y29" s="42"/>
      <c r="Z29" s="42"/>
      <c r="AA29" s="42"/>
    </row>
    <row r="30" spans="2:27">
      <c r="B30" s="5" t="s">
        <v>584</v>
      </c>
      <c r="C30" s="366">
        <f>AMT!C30+CCI!C30+SBAC!C30</f>
        <v>5193.6150000000007</v>
      </c>
      <c r="D30" s="228">
        <f>AMT!D30+CCI!D30+SBAC!D30</f>
        <v>5168.4723074898793</v>
      </c>
      <c r="E30" s="228">
        <f>AMT!E30+CCI!E30+SBAC!E30</f>
        <v>5540.6569574229561</v>
      </c>
      <c r="F30" s="228">
        <f>AMT!F30+CCI!F30+SBAC!F30</f>
        <v>6004.5241615517807</v>
      </c>
      <c r="G30" s="228">
        <f>AMT!G30+CCI!G30+SBAC!G30</f>
        <v>6979.9643867653022</v>
      </c>
      <c r="H30" s="279">
        <f t="shared" si="0"/>
        <v>0.1053428450222762</v>
      </c>
      <c r="I30" s="254"/>
      <c r="J30" s="248"/>
      <c r="K30" s="248"/>
      <c r="L30" s="248"/>
      <c r="M30" s="248"/>
      <c r="N30" s="248"/>
      <c r="O30" s="5"/>
      <c r="Q30" s="5"/>
      <c r="S30" s="42"/>
      <c r="T30" s="42"/>
      <c r="U30" s="42"/>
      <c r="V30" s="147" t="s">
        <v>470</v>
      </c>
      <c r="W30" s="288">
        <f t="shared" si="1"/>
        <v>1.9594616257528727</v>
      </c>
      <c r="X30" s="288">
        <v>1</v>
      </c>
      <c r="Y30" s="42"/>
      <c r="Z30" s="42"/>
      <c r="AA30" s="42"/>
    </row>
    <row r="31" spans="2:27">
      <c r="B31" s="5" t="s">
        <v>585</v>
      </c>
      <c r="C31" s="366">
        <f>AMT!C31+CCI!C31+SBAC!C31</f>
        <v>5539.1659999999993</v>
      </c>
      <c r="D31" s="228">
        <f>AMT!D31+CCI!D31+SBAC!D31</f>
        <v>6051.3571389813524</v>
      </c>
      <c r="E31" s="228">
        <f>AMT!E31+CCI!E31+SBAC!E31</f>
        <v>8657.971858816396</v>
      </c>
      <c r="F31" s="228">
        <f>AMT!F31+CCI!F31+SBAC!F31</f>
        <v>9159.4034027602247</v>
      </c>
      <c r="G31" s="228">
        <f>AMT!G31+CCI!G31+SBAC!G31</f>
        <v>9583.0830940492779</v>
      </c>
      <c r="H31" s="279">
        <f t="shared" si="0"/>
        <v>0.16560344677482641</v>
      </c>
      <c r="I31" s="254"/>
      <c r="J31" s="252"/>
      <c r="K31" s="252"/>
      <c r="L31" s="252"/>
      <c r="M31" s="252"/>
      <c r="N31" s="252"/>
      <c r="O31" s="5"/>
      <c r="Q31" s="5"/>
      <c r="S31" s="42"/>
      <c r="T31" s="42"/>
      <c r="U31" s="42"/>
      <c r="V31" s="147" t="s">
        <v>528</v>
      </c>
      <c r="W31" s="288" t="e">
        <f t="shared" si="1"/>
        <v>#VALUE!</v>
      </c>
      <c r="X31" s="288">
        <v>1</v>
      </c>
      <c r="Y31" s="42"/>
      <c r="Z31" s="42"/>
      <c r="AA31" s="42"/>
    </row>
    <row r="32" spans="2:27">
      <c r="B32" s="5" t="s">
        <v>601</v>
      </c>
      <c r="C32" s="366">
        <f>AMT!C32+CCI!C32+SBAC!C32</f>
        <v>515.46699999999998</v>
      </c>
      <c r="D32" s="228">
        <f>AMT!D32+CCI!D32+SBAC!D32</f>
        <v>-665.48549899444083</v>
      </c>
      <c r="E32" s="228">
        <f>AMT!E32+CCI!E32+SBAC!E32</f>
        <v>7581.1521528415033</v>
      </c>
      <c r="F32" s="228">
        <f>AMT!F32+CCI!F32+SBAC!F32</f>
        <v>6582.2259571748291</v>
      </c>
      <c r="G32" s="228">
        <f>AMT!G32+CCI!G32+SBAC!G32</f>
        <v>8045.0963750406745</v>
      </c>
      <c r="H32" s="279">
        <f t="shared" si="0"/>
        <v>-3.2950785365153834</v>
      </c>
      <c r="I32" s="5"/>
      <c r="J32" s="254"/>
      <c r="K32" s="254"/>
      <c r="L32" s="254"/>
      <c r="M32" s="254"/>
      <c r="N32" s="254"/>
      <c r="O32" s="251"/>
      <c r="Q32" s="5"/>
      <c r="S32" s="42"/>
      <c r="T32" s="42"/>
      <c r="U32" s="42"/>
      <c r="V32" s="147" t="s">
        <v>575</v>
      </c>
      <c r="W32" s="288">
        <f>M17/E45</f>
        <v>0.84725668905924734</v>
      </c>
      <c r="X32" s="288">
        <v>1</v>
      </c>
      <c r="Y32" s="42"/>
      <c r="Z32" s="42"/>
      <c r="AA32" s="42"/>
    </row>
    <row r="33" spans="2:42">
      <c r="B33" s="5" t="s">
        <v>5</v>
      </c>
      <c r="C33" s="366">
        <f>AMT!C33+CCI!C33+SBAC!C33</f>
        <v>-2152.663</v>
      </c>
      <c r="D33" s="228">
        <f>AMT!D33+CCI!D33+SBAC!D33</f>
        <v>-2542.1089338636789</v>
      </c>
      <c r="E33" s="228">
        <f>AMT!E33+CCI!E33+SBAC!E33</f>
        <v>-2572.4048667784436</v>
      </c>
      <c r="F33" s="228">
        <f>AMT!F33+CCI!F33+SBAC!F33</f>
        <v>-2686.622077758298</v>
      </c>
      <c r="G33" s="228">
        <f>AMT!G33+CCI!G33+SBAC!G33</f>
        <v>-2602.9143589238001</v>
      </c>
      <c r="H33" s="279">
        <f t="shared" si="0"/>
        <v>7.9103558790658557E-3</v>
      </c>
      <c r="I33" s="49"/>
      <c r="J33" s="254"/>
      <c r="K33" s="254"/>
      <c r="L33" s="254"/>
      <c r="M33" s="254"/>
      <c r="N33" s="254"/>
      <c r="O33" s="251"/>
      <c r="Q33" s="5"/>
      <c r="S33" s="42"/>
      <c r="T33" s="42"/>
      <c r="U33" s="42"/>
      <c r="V33" s="147" t="s">
        <v>261</v>
      </c>
      <c r="W33" s="288">
        <f>N19/F47</f>
        <v>2.0685023348275702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712</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11.716514317123721</v>
      </c>
      <c r="E37" s="64">
        <f t="shared" si="2"/>
        <v>11.358559001089553</v>
      </c>
      <c r="F37" s="64">
        <f t="shared" si="2"/>
        <v>10.683724669440947</v>
      </c>
      <c r="G37" s="64">
        <f t="shared" si="2"/>
        <v>10.039837788234205</v>
      </c>
      <c r="H37" s="17">
        <f t="shared" ref="H37:H45" si="3">H23</f>
        <v>2.6157777948455641E-2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18.346861481363135</v>
      </c>
      <c r="E38" s="64">
        <f t="shared" si="2"/>
        <v>17.815357115878655</v>
      </c>
      <c r="F38" s="64">
        <f t="shared" si="2"/>
        <v>16.732780196675282</v>
      </c>
      <c r="G38" s="64">
        <f t="shared" si="2"/>
        <v>15.520501658491678</v>
      </c>
      <c r="H38" s="17">
        <f t="shared" si="3"/>
        <v>3.0565437622663838E-2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25.045375564476512</v>
      </c>
      <c r="E39" s="64">
        <f t="shared" si="2"/>
        <v>23.597682484349907</v>
      </c>
      <c r="F39" s="64">
        <f t="shared" si="2"/>
        <v>21.868917154229834</v>
      </c>
      <c r="G39" s="64">
        <f t="shared" si="2"/>
        <v>19.956409169016258</v>
      </c>
      <c r="H39" s="17">
        <f t="shared" si="3"/>
        <v>5.1328926157078847E-2</v>
      </c>
      <c r="I39" s="5"/>
      <c r="J39" s="5"/>
      <c r="K39" s="5"/>
      <c r="L39" s="5"/>
      <c r="M39" s="5"/>
      <c r="N39" s="5"/>
      <c r="O39" s="5"/>
      <c r="Q39" s="5"/>
      <c r="R39" s="5"/>
      <c r="S39" s="42"/>
      <c r="T39" s="42"/>
      <c r="U39" s="42"/>
      <c r="V39" s="42"/>
      <c r="W39" s="288"/>
      <c r="X39" s="288"/>
      <c r="Y39" s="42"/>
      <c r="Z39" s="42"/>
      <c r="AA39" s="42"/>
    </row>
    <row r="40" spans="2:42">
      <c r="B40" s="5" t="s">
        <v>461</v>
      </c>
      <c r="C40" s="247"/>
      <c r="D40" s="64">
        <f t="shared" si="2"/>
        <v>27.828195071640568</v>
      </c>
      <c r="E40" s="64">
        <f t="shared" si="2"/>
        <v>26.219647204833233</v>
      </c>
      <c r="F40" s="64">
        <f t="shared" si="2"/>
        <v>24.298796838033148</v>
      </c>
      <c r="G40" s="64">
        <f t="shared" si="2"/>
        <v>22.17378796557362</v>
      </c>
      <c r="H40" s="17">
        <f t="shared" si="3"/>
        <v>5.1328926157078847E-2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3.0956838617797171</v>
      </c>
      <c r="E41" s="64">
        <f t="shared" si="2"/>
        <v>3.5458182205202253</v>
      </c>
      <c r="F41" s="64">
        <f t="shared" si="2"/>
        <v>3.9623582726442019</v>
      </c>
      <c r="G41" s="64">
        <f t="shared" si="2"/>
        <v>4.5186454654812991</v>
      </c>
      <c r="H41" s="17">
        <f t="shared" si="3"/>
        <v>-0.14077611221633957</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6.5626918432670882</v>
      </c>
      <c r="E42" s="64">
        <f>E18/E28</f>
        <v>6.6987951806393502</v>
      </c>
      <c r="F42" s="64">
        <f>F18/F28</f>
        <v>6.6556447612521508</v>
      </c>
      <c r="G42" s="64">
        <f>G18/G28</f>
        <v>6.9759762217836165</v>
      </c>
      <c r="H42" s="17">
        <f t="shared" si="3"/>
        <v>-4.4972440556020565E-2</v>
      </c>
      <c r="I42" s="247"/>
      <c r="J42" s="5"/>
      <c r="K42" s="5"/>
      <c r="L42" s="5"/>
      <c r="M42" s="5"/>
      <c r="N42" s="5"/>
      <c r="O42" s="5"/>
      <c r="Q42" s="5"/>
      <c r="R42" s="5"/>
      <c r="S42" s="42"/>
      <c r="T42" s="42"/>
      <c r="U42" s="42"/>
      <c r="V42" s="42"/>
      <c r="W42" s="288"/>
      <c r="X42" s="288"/>
      <c r="Y42" s="288"/>
      <c r="Z42" s="288"/>
      <c r="AA42" s="42"/>
    </row>
    <row r="43" spans="2:42">
      <c r="B43" s="5" t="s">
        <v>470</v>
      </c>
      <c r="C43" s="247"/>
      <c r="D43" s="64">
        <f>L26/D29</f>
        <v>26.46791028508412</v>
      </c>
      <c r="E43" s="64">
        <f>M26/E29</f>
        <v>24.838103660229184</v>
      </c>
      <c r="F43" s="64">
        <f>N26/F29</f>
        <v>23.446630439093443</v>
      </c>
      <c r="G43" s="64">
        <f>O26/G29</f>
        <v>21.075239163698498</v>
      </c>
      <c r="H43" s="17">
        <f t="shared" si="3"/>
        <v>6.3471221095444452E-2</v>
      </c>
      <c r="I43" s="247"/>
      <c r="J43" s="247"/>
      <c r="K43" s="247"/>
      <c r="L43" s="247"/>
      <c r="M43" s="247"/>
      <c r="N43" s="247"/>
      <c r="O43" s="18"/>
      <c r="Q43" s="5"/>
      <c r="R43" s="5"/>
      <c r="S43" s="42"/>
      <c r="T43" s="42"/>
      <c r="U43" s="42"/>
      <c r="V43" s="42"/>
      <c r="W43" s="325"/>
      <c r="X43" s="325"/>
      <c r="Y43" s="288"/>
      <c r="Z43" s="288"/>
      <c r="AA43" s="42"/>
    </row>
    <row r="44" spans="2:42">
      <c r="B44" s="5" t="s">
        <v>715</v>
      </c>
      <c r="C44" s="69"/>
      <c r="D44" s="64">
        <f>D11/D30</f>
        <v>36.51566242451004</v>
      </c>
      <c r="E44" s="64">
        <f>E11/E30</f>
        <v>33.8583047236311</v>
      </c>
      <c r="F44" s="64">
        <f>F11/F30</f>
        <v>30.682824288938619</v>
      </c>
      <c r="G44" s="64">
        <f>G11/G30</f>
        <v>25.895139427993158</v>
      </c>
      <c r="H44" s="17">
        <f t="shared" si="3"/>
        <v>0.1053428450222762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3.2063535452362318E-2</v>
      </c>
      <c r="E45" s="248">
        <f>E31/E11</f>
        <v>4.6151912053218884E-2</v>
      </c>
      <c r="F45" s="248">
        <f>F31/F11</f>
        <v>4.9715665478411129E-2</v>
      </c>
      <c r="G45" s="248">
        <f>G31/G11</f>
        <v>5.3019276050279021E-2</v>
      </c>
      <c r="H45" s="17">
        <f t="shared" si="3"/>
        <v>0.16560344677482641</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2.8537414385636919E-2</v>
      </c>
      <c r="E46" s="248">
        <f>(E31+E32)/E11</f>
        <v>8.6563762902990948E-2</v>
      </c>
      <c r="F46" s="248">
        <f>(F31+F32)/F11</f>
        <v>8.5442855274594054E-2</v>
      </c>
      <c r="G46" s="248">
        <f>(G31+G32)/G11</f>
        <v>9.752950113893015E-2</v>
      </c>
      <c r="H46" s="279">
        <f>((G31+G32)/(D31+D32))^(1/3)-1</f>
        <v>0.48474027103495088</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3.7781600029207663E-2</v>
      </c>
      <c r="E47" s="248">
        <f>1/E43</f>
        <v>4.0260722544660357E-2</v>
      </c>
      <c r="F47" s="248">
        <f>1/F43</f>
        <v>4.2650051682166776E-2</v>
      </c>
      <c r="G47" s="248">
        <f>1/G43</f>
        <v>4.7449046354001601E-2</v>
      </c>
      <c r="H47" s="17">
        <f>H29</f>
        <v>6.3471221095444452E-2</v>
      </c>
      <c r="I47" s="247"/>
      <c r="J47" s="248"/>
      <c r="K47" s="248"/>
      <c r="L47" s="248"/>
      <c r="M47" s="248"/>
      <c r="N47" s="248"/>
      <c r="O47" s="248"/>
      <c r="Q47" s="5"/>
      <c r="R47" s="5"/>
      <c r="S47" s="5"/>
      <c r="T47" s="5"/>
      <c r="U47" s="5"/>
      <c r="AA47" s="303"/>
      <c r="AB47" s="303"/>
    </row>
    <row r="48" spans="2:42">
      <c r="B48" s="5" t="s">
        <v>613</v>
      </c>
      <c r="C48" s="5"/>
      <c r="D48" s="305">
        <f>D31/D29</f>
        <v>0.84865477977573978</v>
      </c>
      <c r="E48" s="305">
        <f>E31/E29</f>
        <v>1.1463259756956312</v>
      </c>
      <c r="F48" s="305">
        <f>F31/F29</f>
        <v>1.1656648355059014</v>
      </c>
      <c r="G48" s="305">
        <f>G31/G29</f>
        <v>1.1173939230457823</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21"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88">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708</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354</v>
      </c>
      <c r="C11" s="5"/>
      <c r="D11" s="271">
        <f>'US TELCO'!D11+'US OTHER'!D11+'US TOWERS'!D11</f>
        <v>1015445.227835692</v>
      </c>
      <c r="E11" s="271">
        <f>'US TELCO'!E11+'US OTHER'!E11+'US TOWERS'!E11</f>
        <v>984404.94804954098</v>
      </c>
      <c r="F11" s="271">
        <f>'US TELCO'!F11+'US OTHER'!F11+'US TOWERS'!F11</f>
        <v>947938.29168410785</v>
      </c>
      <c r="G11" s="271">
        <f>'US TELCO'!G11+'US OTHER'!G11+'US TOWERS'!G11</f>
        <v>909209.51873527677</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49"/>
      <c r="D12" s="228">
        <f>'US TELCO'!D12+'US OTHER'!D12+'US TOWERS'!D12</f>
        <v>627378.80730428093</v>
      </c>
      <c r="E12" s="228">
        <f>'US TELCO'!E12+'US OTHER'!E12+'US TOWERS'!E12</f>
        <v>628023.01761307556</v>
      </c>
      <c r="F12" s="228">
        <f>'US TELCO'!F12+'US OTHER'!F12+'US TOWERS'!F12</f>
        <v>621065.27672328078</v>
      </c>
      <c r="G12" s="228">
        <f>'US TELCO'!G12+'US OTHER'!G12+'US TOWERS'!G12</f>
        <v>613476.64695300523</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57"/>
      <c r="D13" s="228">
        <f>'US TELCO'!D13+'US OTHER'!D13+'US TOWERS'!D13</f>
        <v>1333.7951000000005</v>
      </c>
      <c r="E13" s="228">
        <f>'US TELCO'!E13+'US OTHER'!E13+'US TOWERS'!E13</f>
        <v>1333.7951000000005</v>
      </c>
      <c r="F13" s="228">
        <f>'US TELCO'!F13+'US OTHER'!F13+'US TOWERS'!F13</f>
        <v>1333.7951000000005</v>
      </c>
      <c r="G13" s="228">
        <f>'US TELCO'!G13+'US OTHER'!G13+'US TOWERS'!G13</f>
        <v>1333.7951000000005</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74"/>
      <c r="D14" s="228">
        <f>'US TELCO'!D14+'US OTHER'!D14+'US TOWERS'!D14</f>
        <v>20971.455000000002</v>
      </c>
      <c r="E14" s="228">
        <f>'US TELCO'!E14+'US OTHER'!E14+'US TOWERS'!E14</f>
        <v>22159.0924151455</v>
      </c>
      <c r="F14" s="228">
        <f>'US TELCO'!F14+'US OTHER'!F14+'US TOWERS'!F14</f>
        <v>22102.869155009073</v>
      </c>
      <c r="G14" s="228">
        <f>'US TELCO'!G14+'US OTHER'!G14+'US TOWERS'!G14</f>
        <v>22582.377942112998</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57"/>
      <c r="D15" s="228">
        <f>'US TELCO'!D15+'US OTHER'!D15+'US TOWERS'!D15</f>
        <v>23116.053</v>
      </c>
      <c r="E15" s="228">
        <f>'US TELCO'!E15+'US OTHER'!E15+'US TOWERS'!E15</f>
        <v>23116.053</v>
      </c>
      <c r="F15" s="228">
        <f>'US TELCO'!F15+'US OTHER'!F15+'US TOWERS'!F15</f>
        <v>23116.053</v>
      </c>
      <c r="G15" s="228">
        <f>'US TELCO'!G15+'US OTHER'!G15+'US TOWERS'!G15</f>
        <v>23116.053</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57"/>
      <c r="D16" s="228">
        <f>'US TELCO'!D16+'US OTHER'!D16+'US TOWERS'!D16</f>
        <v>67341.359808797482</v>
      </c>
      <c r="E16" s="228">
        <f>'US TELCO'!E16+'US OTHER'!E16+'US TOWERS'!E16</f>
        <v>97475.320611897812</v>
      </c>
      <c r="F16" s="228">
        <f>'US TELCO'!F16+'US OTHER'!F16+'US TOWERS'!F16</f>
        <v>131752.68257435266</v>
      </c>
      <c r="G16" s="228">
        <f>'US TELCO'!G16+'US OTHER'!G16+'US TOWERS'!G16</f>
        <v>164828.37513384008</v>
      </c>
      <c r="H16" s="247"/>
      <c r="I16" s="247"/>
      <c r="J16" s="5" t="s">
        <v>528</v>
      </c>
      <c r="L16" s="64">
        <f>'AGG DM'!D44</f>
        <v>15.638044643718967</v>
      </c>
      <c r="M16" s="64">
        <f>'AGG DM'!E44</f>
        <v>14.220962153693332</v>
      </c>
      <c r="N16" s="64">
        <f>'AGG DM'!F44</f>
        <v>12.502249176356969</v>
      </c>
      <c r="O16" s="64">
        <f>'AGG DM'!G44</f>
        <v>11.233113481631298</v>
      </c>
      <c r="P16" s="17">
        <f>'AGG DM'!H44</f>
        <v>8.8584802895584236E-2</v>
      </c>
      <c r="S16" s="88"/>
      <c r="T16" s="88"/>
      <c r="U16" s="88"/>
      <c r="V16" s="42"/>
      <c r="W16" s="42"/>
      <c r="X16" s="42"/>
      <c r="Y16" s="42"/>
      <c r="Z16" s="42"/>
      <c r="AA16" s="42"/>
    </row>
    <row r="17" spans="2:27">
      <c r="B17" s="5" t="s">
        <v>6</v>
      </c>
      <c r="C17" s="257"/>
      <c r="D17" s="228">
        <f>'US TELCO'!D17+'US OTHER'!D17+'US TOWERS'!D17</f>
        <v>528.55199756305979</v>
      </c>
      <c r="E17" s="228">
        <f>'US TELCO'!E17+'US OTHER'!E17+'US TOWERS'!E17</f>
        <v>528.55199756305979</v>
      </c>
      <c r="F17" s="228">
        <f>'US TELCO'!F17+'US OTHER'!F17+'US TOWERS'!F17</f>
        <v>528.55199756305979</v>
      </c>
      <c r="G17" s="228">
        <f>'US TELCO'!G17+'US OTHER'!G17+'US TOWERS'!G17</f>
        <v>520.90143247519075</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355</v>
      </c>
      <c r="C18" s="249"/>
      <c r="D18" s="275">
        <f>'US TELCO'!D18+'US OTHER'!D18+'US TOWERS'!D18</f>
        <v>1578432.5164336124</v>
      </c>
      <c r="E18" s="275">
        <f>'US TELCO'!E18+'US OTHER'!E18+'US TOWERS'!E18</f>
        <v>1516714.8487380103</v>
      </c>
      <c r="F18" s="275">
        <f>'US TELCO'!F18+'US OTHER'!F18+'US TOWERS'!F18</f>
        <v>1439069.3127804636</v>
      </c>
      <c r="G18" s="275">
        <f>'US TELCO'!G18+'US OTHER'!G18+'US TOWERS'!G18</f>
        <v>1359204.3592798538</v>
      </c>
      <c r="H18" s="276">
        <f>IF(D18=0,"nm",IF(G18=0,"nm",(G18/D18)^(1/3)-1))</f>
        <v>-4.8622418790341904E-2</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88"/>
      <c r="T18" s="42"/>
      <c r="U18" s="42"/>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'AGG DM'!H47</f>
        <v>6.900159277298723E-2</v>
      </c>
      <c r="S19" s="88"/>
      <c r="T19" s="42"/>
      <c r="U19" s="42"/>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'AGG DM'!H48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'US TELCO'!C23+'US OTHER'!C23+'US TOWERS'!C23</f>
        <v>567041.71301800001</v>
      </c>
      <c r="D23" s="228">
        <f>'US TELCO'!D23+'US OTHER'!D23+'US TOWERS'!D23</f>
        <v>564158.80224766931</v>
      </c>
      <c r="E23" s="228">
        <f>'US TELCO'!E23+'US OTHER'!E23+'US TOWERS'!E23</f>
        <v>569180.30330204859</v>
      </c>
      <c r="F23" s="228">
        <f>'US TELCO'!F23+'US OTHER'!F23+'US TOWERS'!F23</f>
        <v>577733.78742653993</v>
      </c>
      <c r="G23" s="228">
        <f>'US TELCO'!G23+'US OTHER'!G23+'US TOWERS'!G23</f>
        <v>589174.06107805122</v>
      </c>
      <c r="H23" s="279">
        <f t="shared" ref="H23:H33" si="0">IF(D23=0,"nm",IF(G23=0,"nm",(G23/D23)^(1/3)-1))</f>
        <v>1.456704127626085E-2</v>
      </c>
      <c r="I23" s="249"/>
      <c r="J23" s="306" t="s">
        <v>9</v>
      </c>
      <c r="K23" s="306"/>
      <c r="L23" s="265" t="str">
        <f>L5</f>
        <v>2023E</v>
      </c>
      <c r="M23" s="265" t="str">
        <f>M5</f>
        <v>2024E</v>
      </c>
      <c r="N23" s="265" t="str">
        <f>N5</f>
        <v>2025E</v>
      </c>
      <c r="O23" s="265" t="str">
        <f>O5</f>
        <v>2026E</v>
      </c>
      <c r="P23" s="282" t="str">
        <f>P5</f>
        <v>23E-26E</v>
      </c>
      <c r="S23" s="42"/>
      <c r="T23" s="42"/>
      <c r="U23" s="42"/>
      <c r="V23" s="42"/>
      <c r="W23" s="42" t="s">
        <v>714</v>
      </c>
      <c r="X23" s="42" t="s">
        <v>605</v>
      </c>
      <c r="Y23" s="42"/>
      <c r="Z23" s="42"/>
      <c r="AA23" s="42"/>
    </row>
    <row r="24" spans="2:27" ht="12.6" thickTop="1">
      <c r="B24" s="5" t="s">
        <v>478</v>
      </c>
      <c r="C24" s="365">
        <f>'US TELCO'!C24+'US OTHER'!C24+'US TOWERS'!C24</f>
        <v>195915.53804499999</v>
      </c>
      <c r="D24" s="228">
        <f>'US TELCO'!D24+'US OTHER'!D24+'US TOWERS'!D24</f>
        <v>200550.78827498649</v>
      </c>
      <c r="E24" s="228">
        <f>'US TELCO'!E24+'US OTHER'!E24+'US TOWERS'!E24</f>
        <v>206658.15588432585</v>
      </c>
      <c r="F24" s="228">
        <f>'US TELCO'!F24+'US OTHER'!F24+'US TOWERS'!F24</f>
        <v>212514.88310085898</v>
      </c>
      <c r="G24" s="228">
        <f>'US TELCO'!G24+'US OTHER'!G24+'US TOWERS'!G24</f>
        <v>219609.29455932349</v>
      </c>
      <c r="H24" s="279">
        <f t="shared" si="0"/>
        <v>3.0723349651247567E-2</v>
      </c>
      <c r="I24" s="248"/>
      <c r="J24" s="17"/>
      <c r="K24" s="17"/>
      <c r="L24" s="17"/>
      <c r="M24" s="17"/>
      <c r="N24" s="17"/>
      <c r="O24" s="248"/>
      <c r="S24" s="42"/>
      <c r="T24" s="42"/>
      <c r="U24" s="42"/>
      <c r="V24" s="147" t="s">
        <v>268</v>
      </c>
      <c r="W24" s="288">
        <f t="shared" ref="W24:W31" si="1">E37/M9</f>
        <v>1.1219289277823448</v>
      </c>
      <c r="X24" s="288">
        <v>1</v>
      </c>
      <c r="Y24" s="42"/>
      <c r="Z24" s="42"/>
      <c r="AA24" s="42"/>
    </row>
    <row r="25" spans="2:27">
      <c r="B25" s="5" t="s">
        <v>179</v>
      </c>
      <c r="C25" s="365">
        <f>'US TELCO'!C25+'US OTHER'!C25+'US TOWERS'!C25</f>
        <v>103407.915045</v>
      </c>
      <c r="D25" s="228">
        <f>'US TELCO'!D25+'US OTHER'!D25+'US TOWERS'!D25</f>
        <v>113601.48406566201</v>
      </c>
      <c r="E25" s="228">
        <f>'US TELCO'!E25+'US OTHER'!E25+'US TOWERS'!E25</f>
        <v>127242.07128103625</v>
      </c>
      <c r="F25" s="228">
        <f>'US TELCO'!F25+'US OTHER'!F25+'US TOWERS'!F25</f>
        <v>134618.86958686405</v>
      </c>
      <c r="G25" s="228">
        <f>'US TELCO'!G25+'US OTHER'!G25+'US TOWERS'!G25</f>
        <v>145158.22259261017</v>
      </c>
      <c r="H25" s="279">
        <f t="shared" si="0"/>
        <v>8.5140265808479887E-2</v>
      </c>
      <c r="I25" s="249"/>
      <c r="J25" s="247" t="s">
        <v>10</v>
      </c>
      <c r="K25" s="247"/>
      <c r="L25" s="332">
        <f>'US TELCO'!L25+'US OTHER'!L25+'US TOWERS'!L25</f>
        <v>0</v>
      </c>
      <c r="M25" s="332">
        <f>'US TELCO'!M25+'US OTHER'!M25+'US TOWERS'!M25</f>
        <v>0</v>
      </c>
      <c r="N25" s="332">
        <f>'US TELCO'!N25+'US OTHER'!N25+'US TOWERS'!N25</f>
        <v>0</v>
      </c>
      <c r="O25" s="332">
        <f>'US TELCO'!O25+'US OTHER'!O25+'US TOWERS'!O25</f>
        <v>0</v>
      </c>
      <c r="P25" s="349" t="str">
        <f>IF(L25=0,"nm",IF(O25=0,"nm",(O25/L25)^(1/3)-1))</f>
        <v>nm</v>
      </c>
      <c r="Q25" s="5"/>
      <c r="S25" s="42"/>
      <c r="T25" s="42"/>
      <c r="U25" s="42"/>
      <c r="V25" s="147" t="s">
        <v>180</v>
      </c>
      <c r="W25" s="288">
        <f t="shared" si="1"/>
        <v>1.0390605142793192</v>
      </c>
      <c r="X25" s="288">
        <v>1</v>
      </c>
      <c r="Y25" s="42"/>
      <c r="Z25" s="42"/>
      <c r="AA25" s="42"/>
    </row>
    <row r="26" spans="2:27">
      <c r="B26" s="5" t="s">
        <v>581</v>
      </c>
      <c r="C26" s="365">
        <f>'US TELCO'!C26+'US OTHER'!C26+'US TOWERS'!C26</f>
        <v>66846.791496000005</v>
      </c>
      <c r="D26" s="228">
        <f>'US TELCO'!D26+'US OTHER'!D26+'US TOWERS'!D26</f>
        <v>77904.781461398568</v>
      </c>
      <c r="E26" s="228">
        <f>'US TELCO'!E26+'US OTHER'!E26+'US TOWERS'!E26</f>
        <v>86918.201706274442</v>
      </c>
      <c r="F26" s="228">
        <f>'US TELCO'!F26+'US OTHER'!F26+'US TOWERS'!F26</f>
        <v>91833.591018883046</v>
      </c>
      <c r="G26" s="228">
        <f>'US TELCO'!G26+'US OTHER'!G26+'US TOWERS'!G26</f>
        <v>99828.801356951692</v>
      </c>
      <c r="H26" s="279">
        <f t="shared" si="0"/>
        <v>8.6168610036252424E-2</v>
      </c>
      <c r="I26" s="249"/>
      <c r="J26" s="249" t="s">
        <v>11</v>
      </c>
      <c r="K26" s="249"/>
      <c r="L26" s="229">
        <f>'US TELCO'!L26+'US OTHER'!L26+'US TOWERS'!L26</f>
        <v>999827.80209103297</v>
      </c>
      <c r="M26" s="229">
        <f>'US TELCO'!M26+'US OTHER'!M26+'US TOWERS'!M26</f>
        <v>968812.1657314928</v>
      </c>
      <c r="N26" s="229">
        <f>'US TELCO'!N26+'US OTHER'!N26+'US TOWERS'!N26</f>
        <v>932345.04481152166</v>
      </c>
      <c r="O26" s="229">
        <f>'US TELCO'!O26+'US OTHER'!O26+'US TOWERS'!O26</f>
        <v>893615.80730815255</v>
      </c>
      <c r="P26" s="349">
        <f>IF(L26=0,"nm",IF(O26=0,"nm",(O26/L26)^(1/3)-1))</f>
        <v>-3.6743656255991519E-2</v>
      </c>
      <c r="Q26" s="41"/>
      <c r="S26" s="42"/>
      <c r="T26" s="42"/>
      <c r="U26" s="42"/>
      <c r="V26" s="147" t="s">
        <v>181</v>
      </c>
      <c r="W26" s="288">
        <f t="shared" si="1"/>
        <v>0.94359867668155262</v>
      </c>
      <c r="X26" s="288">
        <v>1</v>
      </c>
      <c r="Y26" s="42"/>
      <c r="Z26" s="42"/>
      <c r="AA26" s="42"/>
    </row>
    <row r="27" spans="2:27">
      <c r="B27" s="5" t="s">
        <v>582</v>
      </c>
      <c r="C27" s="365">
        <f>'US TELCO'!C27+'US OTHER'!C27+'US TOWERS'!C27</f>
        <v>806803.87500000012</v>
      </c>
      <c r="D27" s="228">
        <f>'US TELCO'!D27+'US OTHER'!D27+'US TOWERS'!D27</f>
        <v>1088256.2117379443</v>
      </c>
      <c r="E27" s="228">
        <f>'US TELCO'!E27+'US OTHER'!E27+'US TOWERS'!E27</f>
        <v>925167.12984910596</v>
      </c>
      <c r="F27" s="228">
        <f>'US TELCO'!F27+'US OTHER'!F27+'US TOWERS'!F27</f>
        <v>905018.7088984655</v>
      </c>
      <c r="G27" s="228">
        <f>'US TELCO'!G27+'US OTHER'!G27+'US TOWERS'!G27</f>
        <v>880015.03057787253</v>
      </c>
      <c r="H27" s="279">
        <f t="shared" si="0"/>
        <v>-6.8349592237772261E-2</v>
      </c>
      <c r="I27" s="248"/>
      <c r="J27" s="248"/>
      <c r="K27" s="248"/>
      <c r="L27" s="248"/>
      <c r="M27" s="248"/>
      <c r="N27" s="248"/>
      <c r="O27" s="248"/>
      <c r="Q27" s="5"/>
      <c r="S27" s="42"/>
      <c r="T27" s="42"/>
      <c r="U27" s="42"/>
      <c r="V27" s="147" t="s">
        <v>461</v>
      </c>
      <c r="W27" s="288">
        <f t="shared" si="1"/>
        <v>0.97105164795574073</v>
      </c>
      <c r="X27" s="288">
        <v>1</v>
      </c>
      <c r="Y27" s="42"/>
      <c r="Z27" s="42"/>
      <c r="AA27" s="42"/>
    </row>
    <row r="28" spans="2:27" ht="12.6" thickBot="1">
      <c r="B28" s="5" t="s">
        <v>587</v>
      </c>
      <c r="C28" s="365">
        <f>'US TELCO'!C28+'US OTHER'!C28+'US TOWERS'!C28</f>
        <v>326402.54300000001</v>
      </c>
      <c r="D28" s="228">
        <f>'US TELCO'!D28+'US OTHER'!D28+'US TOWERS'!D28</f>
        <v>419797.76756211923</v>
      </c>
      <c r="E28" s="228">
        <f>'US TELCO'!E28+'US OTHER'!E28+'US TOWERS'!E28</f>
        <v>417463.08757243672</v>
      </c>
      <c r="F28" s="228">
        <f>'US TELCO'!F28+'US OTHER'!F28+'US TOWERS'!F28</f>
        <v>413161.55524360208</v>
      </c>
      <c r="G28" s="228">
        <f>'US TELCO'!G28+'US OTHER'!G28+'US TOWERS'!G28</f>
        <v>403671.56889592367</v>
      </c>
      <c r="H28" s="279">
        <f t="shared" si="0"/>
        <v>-1.2972288534417564E-2</v>
      </c>
      <c r="I28" s="252"/>
      <c r="J28" s="306" t="s">
        <v>747</v>
      </c>
      <c r="K28" s="306"/>
      <c r="L28" s="306"/>
      <c r="M28" s="306"/>
      <c r="N28" s="266"/>
      <c r="O28" s="266"/>
      <c r="P28" s="266"/>
      <c r="Q28" s="5"/>
      <c r="S28" s="42"/>
      <c r="T28" s="42"/>
      <c r="U28" s="42"/>
      <c r="V28" s="147" t="s">
        <v>525</v>
      </c>
      <c r="W28" s="288">
        <f t="shared" si="1"/>
        <v>1.0770923015586888</v>
      </c>
      <c r="X28" s="288">
        <v>1</v>
      </c>
      <c r="Y28" s="42"/>
      <c r="Z28" s="42"/>
      <c r="AA28" s="42"/>
    </row>
    <row r="29" spans="2:27" ht="12.6" thickTop="1">
      <c r="B29" s="5" t="s">
        <v>583</v>
      </c>
      <c r="C29" s="365">
        <f>'US TELCO'!C29+'US OTHER'!C29+'US TOWERS'!C29</f>
        <v>87384.349094097081</v>
      </c>
      <c r="D29" s="228">
        <f>'US TELCO'!D29+'US OTHER'!D29+'US TOWERS'!D29</f>
        <v>90326.295622470221</v>
      </c>
      <c r="E29" s="228">
        <f>'US TELCO'!E29+'US OTHER'!E29+'US TOWERS'!E29</f>
        <v>88769.613104180215</v>
      </c>
      <c r="F29" s="228">
        <f>'US TELCO'!F29+'US OTHER'!F29+'US TOWERS'!F29</f>
        <v>92467.142182573167</v>
      </c>
      <c r="G29" s="228">
        <f>'US TELCO'!G29+'US OTHER'!G29+'US TOWERS'!G29</f>
        <v>98768.754017966916</v>
      </c>
      <c r="H29" s="279">
        <f t="shared" si="0"/>
        <v>3.0232212958454241E-2</v>
      </c>
      <c r="I29" s="254"/>
      <c r="J29" s="249"/>
      <c r="K29" s="249"/>
      <c r="L29" s="249"/>
      <c r="M29" s="249"/>
      <c r="N29" s="249"/>
      <c r="O29" s="251"/>
      <c r="Q29" s="5"/>
      <c r="S29" s="42"/>
      <c r="T29" s="42"/>
      <c r="U29" s="42"/>
      <c r="V29" s="147" t="s">
        <v>588</v>
      </c>
      <c r="W29" s="288">
        <f t="shared" si="1"/>
        <v>1.0340792993368972</v>
      </c>
      <c r="X29" s="288">
        <v>1</v>
      </c>
      <c r="Y29" s="42"/>
      <c r="Z29" s="42"/>
      <c r="AA29" s="42"/>
    </row>
    <row r="30" spans="2:27">
      <c r="B30" s="5" t="s">
        <v>584</v>
      </c>
      <c r="C30" s="365">
        <f>'US TELCO'!C30+'US OTHER'!C30+'US TOWERS'!C30</f>
        <v>72569.812743450515</v>
      </c>
      <c r="D30" s="228">
        <f>'US TELCO'!D30+'US OTHER'!D30+'US TOWERS'!D30</f>
        <v>71332.926847313574</v>
      </c>
      <c r="E30" s="228">
        <f>'US TELCO'!E30+'US OTHER'!E30+'US TOWERS'!E30</f>
        <v>74005.598929417276</v>
      </c>
      <c r="F30" s="228">
        <f>'US TELCO'!F30+'US OTHER'!F30+'US TOWERS'!F30</f>
        <v>79124.676180749375</v>
      </c>
      <c r="G30" s="228">
        <f>'US TELCO'!G30+'US OTHER'!G30+'US TOWERS'!G30</f>
        <v>85762.867321108468</v>
      </c>
      <c r="H30" s="279">
        <f t="shared" si="0"/>
        <v>6.3334119736071282E-2</v>
      </c>
      <c r="I30" s="254"/>
      <c r="J30" s="248"/>
      <c r="K30" s="248"/>
      <c r="L30" s="248"/>
      <c r="M30" s="248"/>
      <c r="N30" s="248"/>
      <c r="O30" s="5"/>
      <c r="Q30" s="5"/>
      <c r="S30" s="42"/>
      <c r="T30" s="42"/>
      <c r="U30" s="42"/>
      <c r="V30" s="147" t="s">
        <v>470</v>
      </c>
      <c r="W30" s="288">
        <f t="shared" si="1"/>
        <v>0.86098103270569393</v>
      </c>
      <c r="X30" s="288">
        <v>1</v>
      </c>
      <c r="Y30" s="42"/>
      <c r="Z30" s="42"/>
      <c r="AA30" s="42"/>
    </row>
    <row r="31" spans="2:27">
      <c r="B31" s="5" t="s">
        <v>585</v>
      </c>
      <c r="C31" s="365">
        <f>'US TELCO'!C31+'US OTHER'!C31+'US TOWERS'!C31</f>
        <v>30948.165999999997</v>
      </c>
      <c r="D31" s="228">
        <f>'US TELCO'!D31+'US OTHER'!D31+'US TOWERS'!D31</f>
        <v>30749.650127778823</v>
      </c>
      <c r="E31" s="228">
        <f>'US TELCO'!E31+'US OTHER'!E31+'US TOWERS'!E31</f>
        <v>36173.564801252804</v>
      </c>
      <c r="F31" s="228">
        <f>'US TELCO'!F31+'US OTHER'!F31+'US TOWERS'!F31</f>
        <v>36850.675706368209</v>
      </c>
      <c r="G31" s="228">
        <f>'US TELCO'!G31+'US OTHER'!G31+'US TOWERS'!G31</f>
        <v>37530.417584209601</v>
      </c>
      <c r="H31" s="279">
        <f t="shared" si="0"/>
        <v>6.8680141560880426E-2</v>
      </c>
      <c r="I31" s="254"/>
      <c r="J31" s="252"/>
      <c r="K31" s="252"/>
      <c r="L31" s="252"/>
      <c r="M31" s="252"/>
      <c r="N31" s="252"/>
      <c r="O31" s="5"/>
      <c r="Q31" s="5"/>
      <c r="S31" s="42"/>
      <c r="T31" s="42"/>
      <c r="U31" s="42"/>
      <c r="V31" s="147" t="s">
        <v>528</v>
      </c>
      <c r="W31" s="288">
        <f t="shared" si="1"/>
        <v>0.93536309266600004</v>
      </c>
      <c r="X31" s="288">
        <v>1</v>
      </c>
      <c r="Y31" s="42"/>
      <c r="Z31" s="42"/>
      <c r="AA31" s="42"/>
    </row>
    <row r="32" spans="2:27">
      <c r="B32" s="5" t="s">
        <v>601</v>
      </c>
      <c r="C32" s="365">
        <f>'US TELCO'!C32+'US OTHER'!C32+'US TOWERS'!C32</f>
        <v>27120.467000000001</v>
      </c>
      <c r="D32" s="228">
        <f>'US TELCO'!D32+'US OTHER'!D32+'US TOWERS'!D32</f>
        <v>24506.718379057078</v>
      </c>
      <c r="E32" s="228">
        <f>'US TELCO'!E32+'US OTHER'!E32+'US TOWERS'!E32</f>
        <v>47417.856174864683</v>
      </c>
      <c r="F32" s="228">
        <f>'US TELCO'!F32+'US OTHER'!F32+'US TOWERS'!F32</f>
        <v>48877.705049502234</v>
      </c>
      <c r="G32" s="228">
        <f>'US TELCO'!G32+'US OTHER'!G32+'US TOWERS'!G32</f>
        <v>63543.293840686383</v>
      </c>
      <c r="H32" s="279">
        <f t="shared" si="0"/>
        <v>0.37381479061401857</v>
      </c>
      <c r="I32" s="5"/>
      <c r="J32" s="254"/>
      <c r="K32" s="254"/>
      <c r="L32" s="254"/>
      <c r="M32" s="254"/>
      <c r="N32" s="254"/>
      <c r="O32" s="251"/>
      <c r="Q32" s="5"/>
      <c r="S32" s="42"/>
      <c r="T32" s="42"/>
      <c r="U32" s="42"/>
      <c r="V32" s="147" t="s">
        <v>575</v>
      </c>
      <c r="W32" s="288">
        <f>M17/E45</f>
        <v>1.0641116141005427</v>
      </c>
      <c r="X32" s="288">
        <v>1</v>
      </c>
      <c r="Y32" s="42"/>
      <c r="Z32" s="42"/>
      <c r="AA32" s="42"/>
    </row>
    <row r="33" spans="2:42">
      <c r="B33" s="5" t="s">
        <v>5</v>
      </c>
      <c r="C33" s="365">
        <f>'US TELCO'!C33+'US OTHER'!C33+'US TOWERS'!C33</f>
        <v>5963.0320000000011</v>
      </c>
      <c r="D33" s="228">
        <f>'US TELCO'!D33+'US OTHER'!D33+'US TOWERS'!D33</f>
        <v>8063.651098156859</v>
      </c>
      <c r="E33" s="228">
        <f>'US TELCO'!E33+'US OTHER'!E33+'US TOWERS'!E33</f>
        <v>9939.3300137655278</v>
      </c>
      <c r="F33" s="228">
        <f>'US TELCO'!F33+'US OTHER'!F33+'US TOWERS'!F33</f>
        <v>8537.3901147619345</v>
      </c>
      <c r="G33" s="228">
        <f>'US TELCO'!G33+'US OTHER'!G33+'US TOWERS'!G33</f>
        <v>7272.6366205462336</v>
      </c>
      <c r="H33" s="279">
        <f t="shared" si="0"/>
        <v>-3.3830359487422523E-2</v>
      </c>
      <c r="I33" s="49"/>
      <c r="J33" s="254"/>
      <c r="K33" s="254"/>
      <c r="L33" s="254"/>
      <c r="M33" s="254"/>
      <c r="N33" s="254"/>
      <c r="O33" s="251"/>
      <c r="Q33" s="5"/>
      <c r="S33" s="42"/>
      <c r="T33" s="42"/>
      <c r="U33" s="42"/>
      <c r="V33" s="147" t="s">
        <v>261</v>
      </c>
      <c r="W33" s="288">
        <f>N19/F47</f>
        <v>0.88953862153974306</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707</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2.7978514385399422</v>
      </c>
      <c r="E37" s="64">
        <f t="shared" si="2"/>
        <v>2.6647353043296209</v>
      </c>
      <c r="F37" s="64">
        <f t="shared" si="2"/>
        <v>2.4908865364974768</v>
      </c>
      <c r="G37" s="64">
        <f t="shared" si="2"/>
        <v>2.3069657153487486</v>
      </c>
      <c r="H37" s="17">
        <f t="shared" ref="H37:H45" si="3">H23</f>
        <v>1.456704127626085E-2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7.8704877203939709</v>
      </c>
      <c r="E38" s="64">
        <f t="shared" si="2"/>
        <v>7.3392450554284983</v>
      </c>
      <c r="F38" s="64">
        <f t="shared" si="2"/>
        <v>6.7716166123644399</v>
      </c>
      <c r="G38" s="64">
        <f t="shared" si="2"/>
        <v>6.1891932306748938</v>
      </c>
      <c r="H38" s="17">
        <f t="shared" si="3"/>
        <v>3.0723349651247567E-2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13.894470916605927</v>
      </c>
      <c r="E39" s="64">
        <f t="shared" si="2"/>
        <v>11.919916372534377</v>
      </c>
      <c r="F39" s="64">
        <f t="shared" si="2"/>
        <v>10.689952435322532</v>
      </c>
      <c r="G39" s="64">
        <f t="shared" si="2"/>
        <v>9.3636056918008119</v>
      </c>
      <c r="H39" s="17">
        <f t="shared" si="3"/>
        <v>8.5140265808479887E-2</v>
      </c>
      <c r="I39" s="5"/>
      <c r="J39" s="5"/>
      <c r="K39" s="5"/>
      <c r="L39" s="5"/>
      <c r="M39" s="5"/>
      <c r="N39" s="5"/>
      <c r="O39" s="5"/>
      <c r="Q39" s="5"/>
      <c r="R39" s="5"/>
      <c r="S39" s="42"/>
      <c r="T39" s="42"/>
      <c r="U39" s="42"/>
      <c r="V39" s="42"/>
      <c r="W39" s="288"/>
      <c r="X39" s="288"/>
      <c r="Y39" s="42"/>
      <c r="Z39" s="42"/>
      <c r="AA39" s="42"/>
    </row>
    <row r="40" spans="2:42">
      <c r="B40" s="5" t="s">
        <v>461</v>
      </c>
      <c r="C40" s="247"/>
      <c r="D40" s="64">
        <f t="shared" si="2"/>
        <v>20.261047997621532</v>
      </c>
      <c r="E40" s="64">
        <f t="shared" si="2"/>
        <v>17.449910593680883</v>
      </c>
      <c r="F40" s="64">
        <f t="shared" si="2"/>
        <v>15.670402265817511</v>
      </c>
      <c r="G40" s="64">
        <f t="shared" si="2"/>
        <v>13.615352892196215</v>
      </c>
      <c r="H40" s="17">
        <f t="shared" si="3"/>
        <v>8.6168610036252424E-2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1.4504236221292566</v>
      </c>
      <c r="E41" s="64">
        <f t="shared" si="2"/>
        <v>1.6393955208778173</v>
      </c>
      <c r="F41" s="64">
        <f t="shared" si="2"/>
        <v>1.590098965503169</v>
      </c>
      <c r="G41" s="64">
        <f t="shared" si="2"/>
        <v>1.5445240274899803</v>
      </c>
      <c r="H41" s="17">
        <f t="shared" si="3"/>
        <v>-6.8349592237772261E-2</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3.7599831118683715</v>
      </c>
      <c r="E42" s="64">
        <f>E18/E28</f>
        <v>3.633171156659055</v>
      </c>
      <c r="F42" s="64">
        <f>F18/F28</f>
        <v>3.4830668403597747</v>
      </c>
      <c r="G42" s="64">
        <f>G18/G28</f>
        <v>3.3671045077496888</v>
      </c>
      <c r="H42" s="17">
        <f t="shared" si="3"/>
        <v>-1.2972288534417564E-2</v>
      </c>
      <c r="I42" s="247"/>
      <c r="J42" s="5"/>
      <c r="K42" s="5"/>
      <c r="L42" s="5"/>
      <c r="M42" s="5"/>
      <c r="N42" s="5"/>
      <c r="O42" s="5"/>
      <c r="Q42" s="5"/>
      <c r="R42" s="5"/>
      <c r="S42" s="42"/>
      <c r="T42" s="42"/>
      <c r="U42" s="42"/>
      <c r="V42" s="42"/>
      <c r="W42" s="288"/>
      <c r="X42" s="288"/>
      <c r="Y42" s="288"/>
      <c r="Z42" s="288"/>
      <c r="AA42" s="42"/>
    </row>
    <row r="43" spans="2:42">
      <c r="B43" s="5" t="s">
        <v>470</v>
      </c>
      <c r="C43" s="247"/>
      <c r="D43" s="64">
        <f>L26/D29</f>
        <v>11.069066822688438</v>
      </c>
      <c r="E43" s="64">
        <f>M26/E29</f>
        <v>10.913781550388112</v>
      </c>
      <c r="F43" s="64">
        <f>N26/F29</f>
        <v>10.082987565146533</v>
      </c>
      <c r="G43" s="64">
        <f>O26/G29</f>
        <v>9.0475557395975237</v>
      </c>
      <c r="H43" s="17">
        <f t="shared" si="3"/>
        <v>3.0232212958454241E-2</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14.23529459276539</v>
      </c>
      <c r="E44" s="64">
        <f>E11/E30</f>
        <v>13.301763140764736</v>
      </c>
      <c r="F44" s="64">
        <f>F11/F30</f>
        <v>11.980311799553833</v>
      </c>
      <c r="G44" s="64">
        <f>G11/G30</f>
        <v>10.601435646164511</v>
      </c>
      <c r="H44" s="17">
        <f t="shared" si="3"/>
        <v>6.3334119736071282E-2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3.0281938685475202E-2</v>
      </c>
      <c r="E45" s="248">
        <f>E31/E11</f>
        <v>3.6746630411524851E-2</v>
      </c>
      <c r="F45" s="248">
        <f>F31/F11</f>
        <v>3.8874551254701691E-2</v>
      </c>
      <c r="G45" s="248">
        <f>G31/G11</f>
        <v>4.127807376721588E-2</v>
      </c>
      <c r="H45" s="17">
        <f t="shared" si="3"/>
        <v>6.8680141560880426E-2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5.4415902494917109E-2</v>
      </c>
      <c r="E46" s="248">
        <f>(E31+E32)/E11</f>
        <v>8.4915685502944746E-2</v>
      </c>
      <c r="F46" s="248">
        <f>(F31+F32)/F11</f>
        <v>9.0436668196582012E-2</v>
      </c>
      <c r="G46" s="248">
        <f>(G31+G32)/G11</f>
        <v>0.11116657859619743</v>
      </c>
      <c r="H46" s="279">
        <f>((G31+G32)/(D31+D32))^(1/3)-1</f>
        <v>0.22297794371219681</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9.0341852300528575E-2</v>
      </c>
      <c r="E47" s="248">
        <f>1/E43</f>
        <v>9.1627269190158775E-2</v>
      </c>
      <c r="F47" s="248">
        <f>1/F43</f>
        <v>9.917695460189406E-2</v>
      </c>
      <c r="G47" s="248">
        <f>1/G43</f>
        <v>0.11052708916988496</v>
      </c>
      <c r="H47" s="17">
        <f>H29</f>
        <v>3.0232212958454241E-2</v>
      </c>
      <c r="I47" s="247"/>
      <c r="J47" s="248"/>
      <c r="K47" s="248"/>
      <c r="L47" s="248"/>
      <c r="M47" s="248"/>
      <c r="N47" s="248"/>
      <c r="O47" s="248"/>
      <c r="Q47" s="5"/>
      <c r="R47" s="5"/>
      <c r="S47" s="5"/>
      <c r="T47" s="5"/>
      <c r="U47" s="5"/>
      <c r="AA47" s="303"/>
      <c r="AB47" s="303"/>
    </row>
    <row r="48" spans="2:42">
      <c r="B48" s="5" t="s">
        <v>613</v>
      </c>
      <c r="C48" s="5"/>
      <c r="D48" s="305">
        <f>D31/D29</f>
        <v>0.34042855312367443</v>
      </c>
      <c r="E48" s="305">
        <f>E31/E29</f>
        <v>0.40749940814543628</v>
      </c>
      <c r="F48" s="305">
        <f>F31/F29</f>
        <v>0.39852724802079237</v>
      </c>
      <c r="G48" s="305">
        <f>G31/G29</f>
        <v>0.379982697537953</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20">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155</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452</v>
      </c>
      <c r="C11" s="5"/>
      <c r="D11" s="271">
        <f>(BT!D11/Prices!$F$153)+DT!D11+ORA!D11+KPN!D11+OTE!D11+(SWISS!D11/Prices!$F$148)+TI!D11+TEF!D11+(TNOR!D11/Prices!$F$157)+(TELIA!D11/Prices!$F$158)+PROX!D11</f>
        <v>285639.1134153154</v>
      </c>
      <c r="E11" s="271">
        <f>(BT!E11/Prices!$F$153)+DT!E11+ORA!E11+KPN!E11+OTE!E11+(SWISS!E11/Prices!$F$148)+TI!E11+TEF!E11+(TNOR!E11/Prices!$F$157)+(TELIA!E11/Prices!$F$158)+PROX!E11</f>
        <v>282555.32005599263</v>
      </c>
      <c r="F11" s="271">
        <f>(BT!F11/Prices!$F$153)+DT!F11+ORA!F11+KPN!F11+OTE!F11+(SWISS!F11/Prices!$F$148)+TI!F11+TEF!F11+(TNOR!F11/Prices!$F$157)+(TELIA!F11/Prices!$F$158)+PROX!F11</f>
        <v>282057.05702661059</v>
      </c>
      <c r="G11" s="271">
        <f>(BT!G11/Prices!$F$153)+DT!G11+ORA!G11+KPN!G11+OTE!G11+(SWISS!G11/Prices!$F$148)+TI!G11+TEF!G11+(TNOR!G11/Prices!$F$157)+(TELIA!G11/Prices!$F$158)+PROX!G11</f>
        <v>281587.64778622444</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49"/>
      <c r="D12" s="228">
        <f>(BT!D12/Prices!$F$153)+DT!D12+ORA!D12+KPN!D12+OTE!D12+(SWISS!D12/Prices!$F$148)+TI!D12+TEF!D12+(TNOR!D12/Prices!$F$157)+(TELIA!D12/Prices!$F$158)+PROX!D12</f>
        <v>215143.0519550007</v>
      </c>
      <c r="E12" s="228">
        <f>(BT!E12/Prices!$F$153)+DT!E12+ORA!E12+KPN!E12+OTE!E12+(SWISS!E12/Prices!$F$148)+TI!E12+TEF!E12+(TNOR!E12/Prices!$F$157)+(TELIA!E12/Prices!$F$158)+PROX!E12</f>
        <v>217368.28112582606</v>
      </c>
      <c r="F12" s="228">
        <f>(BT!F12/Prices!$F$153)+DT!F12+ORA!F12+KPN!F12+OTE!F12+(SWISS!F12/Prices!$F$148)+TI!F12+TEF!F12+(TNOR!F12/Prices!$F$157)+(TELIA!F12/Prices!$F$158)+PROX!F12</f>
        <v>219159.65599149538</v>
      </c>
      <c r="G12" s="228">
        <f>(BT!G12/Prices!$F$153)+DT!G12+ORA!G12+KPN!G12+OTE!G12+(SWISS!G12/Prices!$F$148)+TI!G12+TEF!G12+(TNOR!G12/Prices!$F$157)+(TELIA!G12/Prices!$F$158)+PROX!G12</f>
        <v>223620.67144723289</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57"/>
      <c r="D13" s="228">
        <f>(BT!D13/Prices!$F$153)+DT!D13+ORA!D13+KPN!D13+OTE!D13+(SWISS!D13/Prices!$F$148)+TI!D13+TEF!D13+(TNOR!D13/Prices!$F$157)+(TELIA!D13/Prices!$F$158)+PROX!D13</f>
        <v>62985.10217735012</v>
      </c>
      <c r="E13" s="228">
        <f>(BT!E13/Prices!$F$153)+DT!E13+ORA!E13+KPN!E13+OTE!E13+(SWISS!E13/Prices!$F$148)+TI!E13+TEF!E13+(TNOR!E13/Prices!$F$157)+(TELIA!E13/Prices!$F$158)+PROX!E13</f>
        <v>61476.218143901067</v>
      </c>
      <c r="F13" s="228">
        <f>(BT!F13/Prices!$F$153)+DT!F13+ORA!F13+KPN!F13+OTE!F13+(SWISS!F13/Prices!$F$148)+TI!F13+TEF!F13+(TNOR!F13/Prices!$F$157)+(TELIA!F13/Prices!$F$158)+PROX!F13</f>
        <v>59762.290620275875</v>
      </c>
      <c r="G13" s="228">
        <f>(BT!G13/Prices!$F$153)+DT!G13+ORA!G13+KPN!G13+OTE!G13+(SWISS!G13/Prices!$F$148)+TI!G13+TEF!G13+(TNOR!G13/Prices!$F$157)+(TELIA!G13/Prices!$F$158)+PROX!G13</f>
        <v>58189.941437252179</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74"/>
      <c r="D14" s="228">
        <f>(BT!D14/Prices!$F$153)+DT!D14+ORA!D14+KPN!D14+OTE!D14+(SWISS!D14/Prices!$F$148)+TI!D14+TEF!D14+(TNOR!D14/Prices!$F$157)+(TELIA!D14/Prices!$F$158)+PROX!D14</f>
        <v>20101.243118508894</v>
      </c>
      <c r="E14" s="228">
        <f>(BT!E14/Prices!$F$153)+DT!E14+ORA!E14+KPN!E14+OTE!E14+(SWISS!E14/Prices!$F$148)+TI!E14+TEF!E14+(TNOR!E14/Prices!$F$157)+(TELIA!E14/Prices!$F$158)+PROX!E14</f>
        <v>20101.243118508894</v>
      </c>
      <c r="F14" s="228">
        <f>(BT!F14/Prices!$F$153)+DT!F14+ORA!F14+KPN!F14+OTE!F14+(SWISS!F14/Prices!$F$148)+TI!F14+TEF!F14+(TNOR!F14/Prices!$F$157)+(TELIA!F14/Prices!$F$158)+PROX!F14</f>
        <v>20101.243118508894</v>
      </c>
      <c r="G14" s="228">
        <f>(BT!G14/Prices!$F$153)+DT!G14+ORA!G14+KPN!G14+OTE!G14+(SWISS!G14/Prices!$F$148)+TI!G14+TEF!G14+(TNOR!G14/Prices!$F$157)+(TELIA!G14/Prices!$F$158)+PROX!G14</f>
        <v>20101.243118508894</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57"/>
      <c r="D15" s="228">
        <f>(BT!D15/Prices!$F$153)+DT!D15+ORA!D15+KPN!D15+OTE!D15+(SWISS!D15/Prices!$F$148)+TI!D15+TEF!D15+(TNOR!D15/Prices!$F$157)+(TELIA!D15/Prices!$F$158)+PROX!D15</f>
        <v>110780.1064584761</v>
      </c>
      <c r="E15" s="228">
        <f>(BT!E15/Prices!$F$153)+DT!E15+ORA!E15+KPN!E15+OTE!E15+(SWISS!E15/Prices!$F$148)+TI!E15+TEF!E15+(TNOR!E15/Prices!$F$157)+(TELIA!E15/Prices!$F$158)+PROX!E15</f>
        <v>107716.63818165738</v>
      </c>
      <c r="F15" s="228">
        <f>(BT!F15/Prices!$F$153)+DT!F15+ORA!F15+KPN!F15+OTE!F15+(SWISS!F15/Prices!$F$148)+TI!F15+TEF!F15+(TNOR!F15/Prices!$F$157)+(TELIA!F15/Prices!$F$158)+PROX!F15</f>
        <v>105470.69007829959</v>
      </c>
      <c r="G15" s="228">
        <f>(BT!G15/Prices!$F$153)+DT!G15+ORA!G15+KPN!G15+OTE!G15+(SWISS!G15/Prices!$F$148)+TI!G15+TEF!G15+(TNOR!G15/Prices!$F$157)+(TELIA!G15/Prices!$F$158)+PROX!G15</f>
        <v>102879.33003804772</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57"/>
      <c r="D16" s="228">
        <f>(BT!D16/Prices!$F$153)+DT!D16+ORA!D16+KPN!D16+OTE!D16+(SWISS!D16/Prices!$F$148)+TI!D16+TEF!D16+(TNOR!D16/Prices!$F$157)+(TELIA!D16/Prices!$F$158)+PROX!D16</f>
        <v>0</v>
      </c>
      <c r="E16" s="228">
        <f>(BT!E16/Prices!$F$153)+DT!E16+ORA!E16+KPN!E16+OTE!E16+(SWISS!E16/Prices!$F$148)+TI!E16+TEF!E16+(TNOR!E16/Prices!$F$157)+(TELIA!E16/Prices!$F$158)+PROX!E16</f>
        <v>8037.5594495723899</v>
      </c>
      <c r="F16" s="228">
        <f>(BT!F16/Prices!$F$153)+DT!F16+ORA!F16+KPN!F16+OTE!F16+(SWISS!F16/Prices!$F$148)+TI!F16+TEF!F16+(TNOR!F16/Prices!$F$157)+(TELIA!F16/Prices!$F$158)+PROX!F16</f>
        <v>21249.216174383037</v>
      </c>
      <c r="G16" s="228">
        <f>(BT!G16/Prices!$F$153)+DT!G16+ORA!G16+KPN!G16+OTE!G16+(SWISS!G16/Prices!$F$148)+TI!G16+TEF!G16+(TNOR!G16/Prices!$F$157)+(TELIA!G16/Prices!$F$158)+PROX!G16</f>
        <v>35339.609878928146</v>
      </c>
      <c r="H16" s="247"/>
      <c r="I16" s="247"/>
      <c r="J16" s="5" t="s">
        <v>528</v>
      </c>
      <c r="L16" s="64">
        <f>'AGG DM'!D44</f>
        <v>15.638044643718967</v>
      </c>
      <c r="M16" s="64">
        <f>'AGG DM'!E44</f>
        <v>14.220962153693332</v>
      </c>
      <c r="N16" s="64">
        <f>'AGG DM'!F44</f>
        <v>12.502249176356969</v>
      </c>
      <c r="O16" s="64">
        <f>'AGG DM'!G44</f>
        <v>11.233113481631298</v>
      </c>
      <c r="P16" s="17">
        <f>'AGG DM'!H44</f>
        <v>8.8584802895584236E-2</v>
      </c>
      <c r="S16" s="88"/>
      <c r="T16" s="88"/>
      <c r="U16" s="88"/>
      <c r="V16" s="42"/>
      <c r="W16" s="42"/>
      <c r="X16" s="42"/>
      <c r="Y16" s="42"/>
      <c r="Z16" s="42"/>
      <c r="AA16" s="42"/>
    </row>
    <row r="17" spans="2:27">
      <c r="B17" s="5" t="s">
        <v>6</v>
      </c>
      <c r="C17" s="257"/>
      <c r="D17" s="228">
        <f>(BT!D17/Prices!$F$153)+DT!D17+ORA!D17+KPN!D17+OTE!D17+(SWISS!D17/Prices!$F$148)+TI!D17+TEF!D17+(TNOR!D17/Prices!$F$157)+(TELIA!D17/Prices!$F$158)+PROX!D17</f>
        <v>4940.4879593624291</v>
      </c>
      <c r="E17" s="228">
        <f>(BT!E17/Prices!$F$153)+DT!E17+ORA!E17+KPN!E17+OTE!E17+(SWISS!E17/Prices!$F$148)+TI!E17+TEF!E17+(TNOR!E17/Prices!$F$157)+(TELIA!E17/Prices!$F$158)+PROX!E17</f>
        <v>4869.8145890482765</v>
      </c>
      <c r="F17" s="228">
        <f>(BT!F17/Prices!$F$153)+DT!F17+ORA!F17+KPN!F17+OTE!F17+(SWISS!F17/Prices!$F$148)+TI!F17+TEF!F17+(TNOR!F17/Prices!$F$157)+(TELIA!F17/Prices!$F$158)+PROX!F17</f>
        <v>4783.2331444551355</v>
      </c>
      <c r="G17" s="228">
        <f>(BT!G17/Prices!$F$153)+DT!G17+ORA!G17+KPN!G17+OTE!G17+(SWISS!G17/Prices!$F$148)+TI!G17+TEF!G17+(TNOR!G17/Prices!$F$157)+(TELIA!G17/Prices!$F$158)+PROX!G17</f>
        <v>4720.4203300581285</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451</v>
      </c>
      <c r="C18" s="249"/>
      <c r="D18" s="275">
        <f>(BT!D18/Prices!$F$153)+DT!D18+ORA!D18+KPN!D18+OTE!D18+(SWISS!D18/Prices!$F$148)+TI!D18+TEF!D18+(TNOR!D18/Prices!$F$157)+(TELIA!D18/Prices!$F$158)+PROX!D18</f>
        <v>649505.64292827109</v>
      </c>
      <c r="E18" s="275">
        <f>(BT!E18/Prices!$F$153)+DT!E18+ORA!E18+KPN!E18+OTE!E18+(SWISS!E18/Prices!$F$148)+TI!E18+TEF!E18+(TNOR!E18/Prices!$F$157)+(TELIA!E18/Prices!$F$158)+PROX!E18</f>
        <v>636107.84035024769</v>
      </c>
      <c r="F18" s="275">
        <f>(BT!F18/Prices!$F$153)+DT!F18+ORA!F18+KPN!F18+OTE!F18+(SWISS!F18/Prices!$F$148)+TI!F18+TEF!F18+(TNOR!F18/Prices!$F$157)+(TELIA!F18/Prices!$F$158)+PROX!F18</f>
        <v>620316.00127933442</v>
      </c>
      <c r="G18" s="275">
        <f>(BT!G18/Prices!$F$153)+DT!G18+ORA!G18+KPN!G18+OTE!G18+(SWISS!G18/Prices!$F$148)+TI!G18+TEF!G18+(TNOR!G18/Prices!$F$157)+(TELIA!G18/Prices!$F$158)+PROX!G18</f>
        <v>606116.31738126208</v>
      </c>
      <c r="H18" s="276">
        <f>IF(D18=0,"nm",IF(G18=0,"nm",(G18/D18)^(1/3)-1))</f>
        <v>-2.2782994899245068E-2</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88"/>
      <c r="T18" s="88"/>
      <c r="U18" s="88"/>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'AGG DM'!H47</f>
        <v>6.900159277298723E-2</v>
      </c>
      <c r="S19" s="88"/>
      <c r="T19" s="88"/>
      <c r="U19" s="88"/>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'AGG DM'!H48</f>
        <v>nm</v>
      </c>
      <c r="S20" s="88"/>
      <c r="T20" s="88"/>
      <c r="U20" s="88"/>
      <c r="V20" s="42"/>
      <c r="W20" s="42"/>
      <c r="X20" s="42"/>
      <c r="Y20" s="42"/>
      <c r="Z20" s="42"/>
      <c r="AA20" s="42"/>
    </row>
    <row r="21" spans="2:27" ht="12.6" thickBot="1">
      <c r="B21" s="306" t="s">
        <v>156</v>
      </c>
      <c r="C21" s="265">
        <v>2020</v>
      </c>
      <c r="D21" s="265" t="str">
        <f>D5</f>
        <v>2023E</v>
      </c>
      <c r="E21" s="265" t="str">
        <f>E5</f>
        <v>2024E</v>
      </c>
      <c r="F21" s="265" t="str">
        <f>F5</f>
        <v>2025E</v>
      </c>
      <c r="G21" s="265" t="str">
        <f>G5</f>
        <v>2026E</v>
      </c>
      <c r="H21" s="282" t="str">
        <f>H5</f>
        <v>23E-26E</v>
      </c>
      <c r="I21" s="17"/>
      <c r="S21" s="88"/>
      <c r="T21" s="88"/>
      <c r="U21" s="88"/>
      <c r="V21" s="42"/>
      <c r="W21" s="42"/>
      <c r="X21" s="42"/>
      <c r="Y21" s="42"/>
      <c r="Z21" s="42"/>
      <c r="AA21" s="42"/>
    </row>
    <row r="22" spans="2:27" ht="12.6" thickTop="1">
      <c r="B22" s="5"/>
      <c r="C22" s="257"/>
      <c r="D22" s="17"/>
      <c r="E22" s="17"/>
      <c r="F22" s="17"/>
      <c r="G22" s="17"/>
      <c r="H22" s="17"/>
      <c r="I22" s="247"/>
      <c r="P22" s="277"/>
      <c r="S22" s="88"/>
      <c r="T22" s="88"/>
      <c r="U22" s="88"/>
      <c r="V22" s="88"/>
      <c r="W22" s="88"/>
      <c r="X22" s="88"/>
      <c r="Y22" s="42"/>
      <c r="Z22" s="42"/>
      <c r="AA22" s="42"/>
    </row>
    <row r="23" spans="2:27" ht="12.6" thickBot="1">
      <c r="B23" s="5" t="s">
        <v>579</v>
      </c>
      <c r="C23" s="365">
        <f>(BT!C23/Prices!$F$153)+DT!C23+ORA!C23+KPN!C23+OTE!C23+(SWISS!C23/Prices!$F$148)+TI!C23+TEF!C23+(TNOR!C23/Prices!$F$157)+(TELIA!C23/Prices!$F$158)+PROX!C23</f>
        <v>279313.31750271458</v>
      </c>
      <c r="D23" s="228">
        <f>(BT!D23/Prices!$F$153)+DT!D23+ORA!D23+KPN!D23+OTE!D23+(SWISS!D23/Prices!$F$148)+TI!D23+TEF!D23+(TNOR!D23/Prices!$F$157)+(TELIA!D23/Prices!$F$158)+PROX!D23</f>
        <v>279730.30684308393</v>
      </c>
      <c r="E23" s="228">
        <f>(BT!E23/Prices!$F$153)+DT!E23+ORA!E23+KPN!E23+OTE!E23+(SWISS!E23/Prices!$F$148)+TI!E23+TEF!E23+(TNOR!E23/Prices!$F$157)+(TELIA!E23/Prices!$F$158)+PROX!E23</f>
        <v>287673.66807787196</v>
      </c>
      <c r="F23" s="228">
        <f>(BT!F23/Prices!$F$153)+DT!F23+ORA!F23+KPN!F23+OTE!F23+(SWISS!F23/Prices!$F$148)+TI!F23+TEF!F23+(TNOR!F23/Prices!$F$157)+(TELIA!F23/Prices!$F$158)+PROX!F23</f>
        <v>292169.01382334606</v>
      </c>
      <c r="G23" s="228">
        <f>(BT!G23/Prices!$F$153)+DT!G23+ORA!G23+KPN!G23+OTE!G23+(SWISS!G23/Prices!$F$148)+TI!G23+TEF!G23+(TNOR!G23/Prices!$F$157)+(TELIA!G23/Prices!$F$158)+PROX!G23</f>
        <v>296622.46202104469</v>
      </c>
      <c r="H23" s="279">
        <f t="shared" ref="H23:H33" si="0">IF(D23=0,"nm",IF(G23=0,"nm",(G23/D23)^(1/3)-1))</f>
        <v>1.9736985261286089E-2</v>
      </c>
      <c r="I23" s="249"/>
      <c r="J23" s="306" t="s">
        <v>9</v>
      </c>
      <c r="K23" s="306"/>
      <c r="L23" s="265" t="str">
        <f>L5</f>
        <v>2023E</v>
      </c>
      <c r="M23" s="265" t="str">
        <f>M5</f>
        <v>2024E</v>
      </c>
      <c r="N23" s="265" t="str">
        <f>N5</f>
        <v>2025E</v>
      </c>
      <c r="O23" s="265" t="str">
        <f>O5</f>
        <v>2026E</v>
      </c>
      <c r="P23" s="282" t="str">
        <f>P5</f>
        <v>23E-26E</v>
      </c>
      <c r="S23" s="88"/>
      <c r="T23" s="42"/>
      <c r="U23" s="42"/>
      <c r="V23" s="42"/>
      <c r="W23" s="42" t="s">
        <v>560</v>
      </c>
      <c r="X23" s="42" t="s">
        <v>605</v>
      </c>
      <c r="Y23" s="42"/>
      <c r="Z23" s="42"/>
      <c r="AA23" s="42"/>
    </row>
    <row r="24" spans="2:27" ht="12.6" thickTop="1">
      <c r="B24" s="5" t="s">
        <v>478</v>
      </c>
      <c r="C24" s="365">
        <f>(BT!C24/Prices!$F$153)+DT!C24+ORA!C24+KPN!C24+OTE!C24+(SWISS!C24/Prices!$F$148)+TI!C24+TEF!C24+(TNOR!C24/Prices!$F$157)+(TELIA!C24/Prices!$F$158)+PROX!C24</f>
        <v>91891.255388773643</v>
      </c>
      <c r="D24" s="228">
        <f>(BT!D24/Prices!$F$153)+DT!D24+ORA!D24+KPN!D24+OTE!D24+(SWISS!D24/Prices!$F$148)+TI!D24+TEF!D24+(TNOR!D24/Prices!$F$157)+(TELIA!D24/Prices!$F$158)+PROX!D24</f>
        <v>92872.785147625822</v>
      </c>
      <c r="E24" s="228">
        <f>(BT!E24/Prices!$F$153)+DT!E24+ORA!E24+KPN!E24+OTE!E24+(SWISS!E24/Prices!$F$148)+TI!E24+TEF!E24+(TNOR!E24/Prices!$F$157)+(TELIA!E24/Prices!$F$158)+PROX!E24</f>
        <v>94600.668560176506</v>
      </c>
      <c r="F24" s="228">
        <f>(BT!F24/Prices!$F$153)+DT!F24+ORA!F24+KPN!F24+OTE!F24+(SWISS!F24/Prices!$F$148)+TI!F24+TEF!F24+(TNOR!F24/Prices!$F$157)+(TELIA!F24/Prices!$F$158)+PROX!F24</f>
        <v>98445.479520416469</v>
      </c>
      <c r="G24" s="228">
        <f>(BT!G24/Prices!$F$153)+DT!G24+ORA!G24+KPN!G24+OTE!G24+(SWISS!G24/Prices!$F$148)+TI!G24+TEF!G24+(TNOR!G24/Prices!$F$157)+(TELIA!G24/Prices!$F$158)+PROX!G24</f>
        <v>101694.37192366706</v>
      </c>
      <c r="H24" s="279">
        <f t="shared" si="0"/>
        <v>3.0709192948586983E-2</v>
      </c>
      <c r="I24" s="248"/>
      <c r="J24" s="17"/>
      <c r="K24" s="17"/>
      <c r="L24" s="17"/>
      <c r="M24" s="17"/>
      <c r="N24" s="17"/>
      <c r="O24" s="248"/>
      <c r="S24" s="88"/>
      <c r="T24" s="42"/>
      <c r="U24" s="42"/>
      <c r="V24" s="147" t="s">
        <v>268</v>
      </c>
      <c r="W24" s="288">
        <f t="shared" ref="W24:W31" si="1">E37/M9</f>
        <v>0.93098333652099419</v>
      </c>
      <c r="X24" s="288">
        <v>1</v>
      </c>
      <c r="Y24" s="42"/>
      <c r="Z24" s="42"/>
      <c r="AA24" s="42"/>
    </row>
    <row r="25" spans="2:27">
      <c r="B25" s="5" t="s">
        <v>179</v>
      </c>
      <c r="C25" s="365">
        <f>(BT!C25/Prices!$F$153)+DT!C25+ORA!C25+KPN!C25+OTE!C25+(SWISS!C25/Prices!$F$148)+TI!C25+TEF!C25+(TNOR!C25/Prices!$F$157)+(TELIA!C25/Prices!$F$158)+PROX!C25</f>
        <v>38144.976989800613</v>
      </c>
      <c r="D25" s="228">
        <f>(BT!D25/Prices!$F$153)+DT!D25+ORA!D25+KPN!D25+OTE!D25+(SWISS!D25/Prices!$F$148)+TI!D25+TEF!D25+(TNOR!D25/Prices!$F$157)+(TELIA!D25/Prices!$F$158)+PROX!D25</f>
        <v>45043.94490635988</v>
      </c>
      <c r="E25" s="228">
        <f>(BT!E25/Prices!$F$153)+DT!E25+ORA!E25+KPN!E25+OTE!E25+(SWISS!E25/Prices!$F$148)+TI!E25+TEF!E25+(TNOR!E25/Prices!$F$157)+(TELIA!E25/Prices!$F$158)+PROX!E25</f>
        <v>49307.852399121097</v>
      </c>
      <c r="F25" s="228">
        <f>(BT!F25/Prices!$F$153)+DT!F25+ORA!F25+KPN!F25+OTE!F25+(SWISS!F25/Prices!$F$148)+TI!F25+TEF!F25+(TNOR!F25/Prices!$F$157)+(TELIA!F25/Prices!$F$158)+PROX!F25</f>
        <v>53297.987179464733</v>
      </c>
      <c r="G25" s="228">
        <f>(BT!G25/Prices!$F$153)+DT!G25+ORA!G25+KPN!G25+OTE!G25+(SWISS!G25/Prices!$F$148)+TI!G25+TEF!G25+(TNOR!G25/Prices!$F$157)+(TELIA!G25/Prices!$F$158)+PROX!G25</f>
        <v>57767.691379248346</v>
      </c>
      <c r="H25" s="279">
        <f t="shared" si="0"/>
        <v>8.6466144407962187E-2</v>
      </c>
      <c r="I25" s="249"/>
      <c r="J25" s="247" t="s">
        <v>10</v>
      </c>
      <c r="K25" s="247"/>
      <c r="L25" s="332">
        <f>(BT!L25/Prices!$F$153)+DT!L25+ORA!L25+KPN!L25+OTE!L25+(SWISS!L25/Prices!$F$148)+TI!L25+TEF!L25+(TNOR!L25/Prices!$F$157)+(TELIA!L25/Prices!$F$158)+PROX!L25</f>
        <v>25224.786446150218</v>
      </c>
      <c r="M25" s="332">
        <f>(BT!M25/Prices!$F$153)+DT!M25+ORA!M25+KPN!M25+OTE!M25+(SWISS!M25/Prices!$F$148)+TI!M25+TEF!M25+(TNOR!M25/Prices!$F$157)+(TELIA!M25/Prices!$F$158)+PROX!M25</f>
        <v>25396.567414310128</v>
      </c>
      <c r="N25" s="332">
        <f>(BT!N25/Prices!$F$153)+DT!N25+ORA!N25+KPN!N25+OTE!N25+(SWISS!N25/Prices!$F$148)+TI!N25+TEF!N25+(TNOR!N25/Prices!$F$157)+(TELIA!N25/Prices!$F$158)+PROX!N25</f>
        <v>25329.958204516312</v>
      </c>
      <c r="O25" s="332">
        <f>(BT!O25/Prices!$F$153)+DT!O25+ORA!O25+KPN!O25+OTE!O25+(SWISS!O25/Prices!$F$148)+TI!O25+TEF!O25+(TNOR!O25/Prices!$F$157)+(TELIA!O25/Prices!$F$158)+PROX!O25</f>
        <v>22529.308256379001</v>
      </c>
      <c r="P25" s="349">
        <f>IF(L25=0,"nm",IF(O25=0,"nm",(O25/L25)^(1/3)-1))</f>
        <v>-3.6969327300897303E-2</v>
      </c>
      <c r="Q25" s="5"/>
      <c r="S25" s="88"/>
      <c r="T25" s="42"/>
      <c r="U25" s="42"/>
      <c r="V25" s="147" t="s">
        <v>180</v>
      </c>
      <c r="W25" s="288">
        <f t="shared" si="1"/>
        <v>0.95197599045257864</v>
      </c>
      <c r="X25" s="288">
        <v>1</v>
      </c>
      <c r="Y25" s="42"/>
      <c r="Z25" s="42"/>
      <c r="AA25" s="42"/>
    </row>
    <row r="26" spans="2:27">
      <c r="B26" s="5" t="s">
        <v>581</v>
      </c>
      <c r="C26" s="365">
        <f>(BT!C26/Prices!$F$153)+DT!C26+ORA!C26+KPN!C26+OTE!C26+(SWISS!C26/Prices!$F$148)+TI!C26+TEF!C26+(TNOR!C26/Prices!$F$157)+(TELIA!C26/Prices!$F$158)+PROX!C26</f>
        <v>28894.36170130179</v>
      </c>
      <c r="D26" s="228">
        <f>(BT!D26/Prices!$F$153)+DT!D26+ORA!D26+KPN!D26+OTE!D26+(SWISS!D26/Prices!$F$148)+TI!D26+TEF!D26+(TNOR!D26/Prices!$F$157)+(TELIA!D26/Prices!$F$158)+PROX!D26</f>
        <v>33583.982613442371</v>
      </c>
      <c r="E26" s="228">
        <f>(BT!E26/Prices!$F$153)+DT!E26+ORA!E26+KPN!E26+OTE!E26+(SWISS!E26/Prices!$F$148)+TI!E26+TEF!E26+(TNOR!E26/Prices!$F$157)+(TELIA!E26/Prices!$F$158)+PROX!E26</f>
        <v>36819.566152783322</v>
      </c>
      <c r="F26" s="228">
        <f>(BT!F26/Prices!$F$153)+DT!F26+ORA!F26+KPN!F26+OTE!F26+(SWISS!F26/Prices!$F$148)+TI!F26+TEF!F26+(TNOR!F26/Prices!$F$157)+(TELIA!F26/Prices!$F$158)+PROX!F26</f>
        <v>39608.78667611436</v>
      </c>
      <c r="G26" s="228">
        <f>(BT!G26/Prices!$F$153)+DT!G26+ORA!G26+KPN!G26+OTE!G26+(SWISS!G26/Prices!$F$148)+TI!G26+TEF!G26+(TNOR!G26/Prices!$F$157)+(TELIA!G26/Prices!$F$158)+PROX!G26</f>
        <v>42859.809225460165</v>
      </c>
      <c r="H26" s="279">
        <f t="shared" si="0"/>
        <v>8.469093930722682E-2</v>
      </c>
      <c r="I26" s="249"/>
      <c r="J26" s="249" t="s">
        <v>11</v>
      </c>
      <c r="K26" s="249"/>
      <c r="L26" s="281">
        <f>(BT!L26/Prices!$F$153)+DT!L26+ORA!L26+KPN!L26+OTE!L26+(SWISS!L26/Prices!$F$148)+TI!L26+TEF!L26+(TNOR!L26/Prices!$F$157)+(TELIA!L26/Prices!$F$158)+PROX!L26</f>
        <v>310863.89986146567</v>
      </c>
      <c r="M26" s="281">
        <f>(BT!M26/Prices!$F$153)+DT!M26+ORA!M26+KPN!M26+OTE!M26+(SWISS!M26/Prices!$F$148)+TI!M26+TEF!M26+(TNOR!M26/Prices!$F$157)+(TELIA!M26/Prices!$F$158)+PROX!M26</f>
        <v>307951.88747030275</v>
      </c>
      <c r="N26" s="281">
        <f>(BT!N26/Prices!$F$153)+DT!N26+ORA!N26+KPN!N26+OTE!N26+(SWISS!N26/Prices!$F$148)+TI!N26+TEF!N26+(TNOR!N26/Prices!$F$157)+(TELIA!N26/Prices!$F$158)+PROX!N26</f>
        <v>307387.01523112692</v>
      </c>
      <c r="O26" s="281">
        <f>(BT!O26/Prices!$F$153)+DT!O26+ORA!O26+KPN!O26+OTE!O26+(SWISS!O26/Prices!$F$148)+TI!O26+TEF!O26+(TNOR!O26/Prices!$F$157)+(TELIA!O26/Prices!$F$158)+PROX!O26</f>
        <v>304116.95604260347</v>
      </c>
      <c r="P26" s="349">
        <f>IF(L26=0,"nm",IF(O26=0,"nm",(O26/L26)^(1/3)-1))</f>
        <v>-7.2875971182160271E-3</v>
      </c>
      <c r="Q26" s="41"/>
      <c r="S26" s="88"/>
      <c r="T26" s="42"/>
      <c r="U26" s="42"/>
      <c r="V26" s="147" t="s">
        <v>181</v>
      </c>
      <c r="W26" s="288">
        <f t="shared" si="1"/>
        <v>1.0212422549568909</v>
      </c>
      <c r="X26" s="288">
        <v>1</v>
      </c>
      <c r="Y26" s="42"/>
      <c r="Z26" s="42"/>
      <c r="AA26" s="42"/>
    </row>
    <row r="27" spans="2:27">
      <c r="B27" s="5" t="s">
        <v>582</v>
      </c>
      <c r="C27" s="365">
        <f>(BT!C27/Prices!$F$153)+DT!C27+ORA!C27+KPN!C27+OTE!C27+(SWISS!C27/Prices!$F$148)+TI!C27+TEF!C27+(TNOR!C27/Prices!$F$157)+(TELIA!C27/Prices!$F$158)+PROX!C27</f>
        <v>442150.22599540721</v>
      </c>
      <c r="D27" s="228">
        <f>(BT!D27/Prices!$F$153)+DT!D27+ORA!D27+KPN!D27+OTE!D27+(SWISS!D27/Prices!$F$148)+TI!D27+TEF!D27+(TNOR!D27/Prices!$F$157)+(TELIA!D27/Prices!$F$158)+PROX!D27</f>
        <v>434057.49971911166</v>
      </c>
      <c r="E27" s="228">
        <f>(BT!E27/Prices!$F$153)+DT!E27+ORA!E27+KPN!E27+OTE!E27+(SWISS!E27/Prices!$F$148)+TI!E27+TEF!E27+(TNOR!E27/Prices!$F$157)+(TELIA!E27/Prices!$F$158)+PROX!E27</f>
        <v>435822.11319510353</v>
      </c>
      <c r="F27" s="228">
        <f>(BT!F27/Prices!$F$153)+DT!F27+ORA!F27+KPN!F27+OTE!F27+(SWISS!F27/Prices!$F$148)+TI!F27+TEF!F27+(TNOR!F27/Prices!$F$157)+(TELIA!F27/Prices!$F$158)+PROX!F27</f>
        <v>450393.72301996348</v>
      </c>
      <c r="G27" s="228">
        <f>(BT!G27/Prices!$F$153)+DT!G27+ORA!G27+KPN!G27+OTE!G27+(SWISS!G27/Prices!$F$148)+TI!G27+TEF!G27+(TNOR!G27/Prices!$F$157)+(TELIA!G27/Prices!$F$158)+PROX!G27</f>
        <v>468683.81445300183</v>
      </c>
      <c r="H27" s="279">
        <f t="shared" si="0"/>
        <v>2.5913859999424194E-2</v>
      </c>
      <c r="I27" s="248"/>
      <c r="J27" s="248"/>
      <c r="K27" s="248"/>
      <c r="L27" s="248"/>
      <c r="M27" s="248"/>
      <c r="N27" s="248"/>
      <c r="O27" s="248"/>
      <c r="Q27" s="5"/>
      <c r="S27" s="88"/>
      <c r="T27" s="42"/>
      <c r="U27" s="42"/>
      <c r="V27" s="147" t="s">
        <v>461</v>
      </c>
      <c r="W27" s="288">
        <f t="shared" si="1"/>
        <v>0.96139355218614142</v>
      </c>
      <c r="X27" s="288">
        <v>1</v>
      </c>
      <c r="Y27" s="42"/>
      <c r="Z27" s="42"/>
      <c r="AA27" s="42"/>
    </row>
    <row r="28" spans="2:27" ht="12.6" thickBot="1">
      <c r="B28" s="5" t="s">
        <v>587</v>
      </c>
      <c r="C28" s="365">
        <f>(BT!C28/Prices!$F$153)+DT!C28+ORA!C28+KPN!C28+OTE!C28+(SWISS!C28/Prices!$F$148)+TI!C28+TEF!C28+(TNOR!C28/Prices!$F$157)+(TELIA!C28/Prices!$F$158)+PROX!C28</f>
        <v>195366.75249215268</v>
      </c>
      <c r="D28" s="228">
        <f>(BT!D28/Prices!$F$153)+DT!D28+ORA!D28+KPN!D28+OTE!D28+(SWISS!D28/Prices!$F$148)+TI!D28+TEF!D28+(TNOR!D28/Prices!$F$157)+(TELIA!D28/Prices!$F$158)+PROX!D28</f>
        <v>196710.12273893206</v>
      </c>
      <c r="E28" s="228">
        <f>(BT!E28/Prices!$F$153)+DT!E28+ORA!E28+KPN!E28+OTE!E28+(SWISS!E28/Prices!$F$148)+TI!E28+TEF!E28+(TNOR!E28/Prices!$F$157)+(TELIA!E28/Prices!$F$158)+PROX!E28</f>
        <v>181813.4518433866</v>
      </c>
      <c r="F28" s="228">
        <f>(BT!F28/Prices!$F$153)+DT!F28+ORA!F28+KPN!F28+OTE!F28+(SWISS!F28/Prices!$F$148)+TI!F28+TEF!F28+(TNOR!F28/Prices!$F$157)+(TELIA!F28/Prices!$F$158)+PROX!F28</f>
        <v>180134.51957567831</v>
      </c>
      <c r="G28" s="228">
        <f>(BT!G28/Prices!$F$153)+DT!G28+ORA!G28+KPN!G28+OTE!G28+(SWISS!G28/Prices!$F$148)+TI!G28+TEF!G28+(TNOR!G28/Prices!$F$157)+(TELIA!G28/Prices!$F$158)+PROX!G28</f>
        <v>178684.86413573418</v>
      </c>
      <c r="H28" s="279">
        <f t="shared" si="0"/>
        <v>-3.1528111845970708E-2</v>
      </c>
      <c r="I28" s="252"/>
      <c r="J28" s="306" t="s">
        <v>747</v>
      </c>
      <c r="K28" s="306"/>
      <c r="L28" s="306"/>
      <c r="M28" s="306"/>
      <c r="N28" s="266"/>
      <c r="O28" s="266"/>
      <c r="P28" s="266"/>
      <c r="Q28" s="5"/>
      <c r="S28" s="88"/>
      <c r="T28" s="42"/>
      <c r="U28" s="42"/>
      <c r="V28" s="147" t="s">
        <v>525</v>
      </c>
      <c r="W28" s="288">
        <f t="shared" si="1"/>
        <v>0.95893829842594569</v>
      </c>
      <c r="X28" s="288">
        <v>1</v>
      </c>
      <c r="Y28" s="42"/>
      <c r="Z28" s="42"/>
      <c r="AA28" s="42"/>
    </row>
    <row r="29" spans="2:27" ht="12.6" thickTop="1">
      <c r="B29" s="5" t="s">
        <v>583</v>
      </c>
      <c r="C29" s="365">
        <f>(BT!C29/Prices!$F$153)+DT!C29+ORA!C29+KPN!C29+OTE!C29+(SWISS!C29/Prices!$F$148)+TI!C29+TEF!C29+(TNOR!C29/Prices!$F$157)+(TELIA!C29/Prices!$F$158)+PROX!C29</f>
        <v>20352.252313436009</v>
      </c>
      <c r="D29" s="228">
        <f>(BT!D29/Prices!$F$153)+DT!D29+ORA!D29+KPN!D29+OTE!D29+(SWISS!D29/Prices!$F$148)+TI!D29+TEF!D29+(TNOR!D29/Prices!$F$157)+(TELIA!D29/Prices!$F$158)+PROX!D29</f>
        <v>17831.317518559776</v>
      </c>
      <c r="E29" s="228">
        <f>(BT!E29/Prices!$F$153)+DT!E29+ORA!E29+KPN!E29+OTE!E29+(SWISS!E29/Prices!$F$148)+TI!E29+TEF!E29+(TNOR!E29/Prices!$F$157)+(TELIA!E29/Prices!$F$158)+PROX!E29</f>
        <v>20496.946919809008</v>
      </c>
      <c r="F29" s="228">
        <f>(BT!F29/Prices!$F$153)+DT!F29+ORA!F29+KPN!F29+OTE!F29+(SWISS!F29/Prices!$F$148)+TI!F29+TEF!F29+(TNOR!F29/Prices!$F$157)+(TELIA!F29/Prices!$F$158)+PROX!F29</f>
        <v>22377.725293546548</v>
      </c>
      <c r="G29" s="228">
        <f>(BT!G29/Prices!$F$153)+DT!G29+ORA!G29+KPN!G29+OTE!G29+(SWISS!G29/Prices!$F$148)+TI!G29+TEF!G29+(TNOR!G29/Prices!$F$157)+(TELIA!G29/Prices!$F$158)+PROX!G29</f>
        <v>25034.572442950659</v>
      </c>
      <c r="H29" s="279">
        <f t="shared" si="0"/>
        <v>0.11974444099464954</v>
      </c>
      <c r="I29" s="254"/>
      <c r="J29" s="249"/>
      <c r="K29" s="249"/>
      <c r="L29" s="249"/>
      <c r="M29" s="249"/>
      <c r="N29" s="249"/>
      <c r="O29" s="251"/>
      <c r="Q29" s="5"/>
      <c r="S29" s="88"/>
      <c r="T29" s="42"/>
      <c r="U29" s="42"/>
      <c r="V29" s="147" t="s">
        <v>588</v>
      </c>
      <c r="W29" s="288">
        <f t="shared" si="1"/>
        <v>0.99580137785707035</v>
      </c>
      <c r="X29" s="288">
        <v>1</v>
      </c>
      <c r="Y29" s="42"/>
      <c r="Z29" s="42"/>
      <c r="AA29" s="42"/>
    </row>
    <row r="30" spans="2:27">
      <c r="B30" s="5" t="s">
        <v>584</v>
      </c>
      <c r="C30" s="365">
        <f>(BT!C30/Prices!$F$153)+DT!C30+ORA!C30+KPN!C30+OTE!C30+(SWISS!C30/Prices!$F$148)+TI!C30+TEF!C30+(TNOR!C30/Prices!$F$157)+(TELIA!C30/Prices!$F$158)+PROX!C30</f>
        <v>21703.261578500369</v>
      </c>
      <c r="D30" s="228">
        <f>(BT!D30/Prices!$F$153)+DT!D30+ORA!D30+KPN!D30+OTE!D30+(SWISS!D30/Prices!$F$148)+TI!D30+TEF!D30+(TNOR!D30/Prices!$F$157)+(TELIA!D30/Prices!$F$158)+PROX!D30</f>
        <v>17747.810031035708</v>
      </c>
      <c r="E30" s="228">
        <f>(BT!E30/Prices!$F$153)+DT!E30+ORA!E30+KPN!E30+OTE!E30+(SWISS!E30/Prices!$F$148)+TI!E30+TEF!E30+(TNOR!E30/Prices!$F$157)+(TELIA!E30/Prices!$F$158)+PROX!E30</f>
        <v>19223.351135588546</v>
      </c>
      <c r="F30" s="228">
        <f>(BT!F30/Prices!$F$153)+DT!F30+ORA!F30+KPN!F30+OTE!F30+(SWISS!F30/Prices!$F$148)+TI!F30+TEF!F30+(TNOR!F30/Prices!$F$157)+(TELIA!F30/Prices!$F$158)+PROX!F30</f>
        <v>22569.847711733739</v>
      </c>
      <c r="G30" s="228">
        <f>(BT!G30/Prices!$F$153)+DT!G30+ORA!G30+KPN!G30+OTE!G30+(SWISS!G30/Prices!$F$148)+TI!G30+TEF!G30+(TNOR!G30/Prices!$F$157)+(TELIA!G30/Prices!$F$158)+PROX!G30</f>
        <v>24563.018994025755</v>
      </c>
      <c r="H30" s="279">
        <f t="shared" si="0"/>
        <v>0.11441168592236295</v>
      </c>
      <c r="I30" s="254"/>
      <c r="J30" s="248"/>
      <c r="K30" s="248"/>
      <c r="L30" s="248"/>
      <c r="M30" s="248"/>
      <c r="N30" s="248"/>
      <c r="O30" s="5"/>
      <c r="Q30" s="5"/>
      <c r="S30" s="88"/>
      <c r="T30" s="42"/>
      <c r="U30" s="42"/>
      <c r="V30" s="147" t="s">
        <v>470</v>
      </c>
      <c r="W30" s="288">
        <f t="shared" si="1"/>
        <v>1.1852556144828172</v>
      </c>
      <c r="X30" s="288">
        <v>1</v>
      </c>
      <c r="Y30" s="42"/>
      <c r="Z30" s="42"/>
      <c r="AA30" s="42"/>
    </row>
    <row r="31" spans="2:27">
      <c r="B31" s="5" t="s">
        <v>585</v>
      </c>
      <c r="C31" s="365">
        <f>(BT!C31/Prices!$F$153)+DT!C31+ORA!C31+KPN!C31+OTE!C31+(SWISS!C31/Prices!$F$148)+TI!C31+TEF!C31+(TNOR!C31/Prices!$F$157)+(TELIA!C31/Prices!$F$158)+PROX!C31</f>
        <v>12192.508238079374</v>
      </c>
      <c r="D31" s="228">
        <f>(BT!D31/Prices!$F$153)+DT!D31+ORA!D31+KPN!D31+OTE!D31+(SWISS!D31/Prices!$F$148)+TI!D31+TEF!D31+(TNOR!D31/Prices!$F$157)+(TELIA!D31/Prices!$F$158)+PROX!D31</f>
        <v>12660.408655549321</v>
      </c>
      <c r="E31" s="228">
        <f>(BT!E31/Prices!$F$153)+DT!E31+ORA!E31+KPN!E31+OTE!E31+(SWISS!E31/Prices!$F$148)+TI!E31+TEF!E31+(TNOR!E31/Prices!$F$157)+(TELIA!E31/Prices!$F$158)+PROX!E31</f>
        <v>13202.595126092889</v>
      </c>
      <c r="F31" s="228">
        <f>(BT!F31/Prices!$F$153)+DT!F31+ORA!F31+KPN!F31+OTE!F31+(SWISS!F31/Prices!$F$148)+TI!F31+TEF!F31+(TNOR!F31/Prices!$F$157)+(TELIA!F31/Prices!$F$158)+PROX!F31</f>
        <v>13994.689094073181</v>
      </c>
      <c r="G31" s="228">
        <f>(BT!G31/Prices!$F$153)+DT!G31+ORA!G31+KPN!G31+OTE!G31+(SWISS!G31/Prices!$F$148)+TI!G31+TEF!G31+(TNOR!G31/Prices!$F$157)+(TELIA!G31/Prices!$F$158)+PROX!G31</f>
        <v>14901.066661584024</v>
      </c>
      <c r="H31" s="279">
        <f t="shared" si="0"/>
        <v>5.581998392399945E-2</v>
      </c>
      <c r="I31" s="254"/>
      <c r="J31" s="252"/>
      <c r="K31" s="252"/>
      <c r="L31" s="252"/>
      <c r="M31" s="252"/>
      <c r="N31" s="252"/>
      <c r="O31" s="5"/>
      <c r="Q31" s="5"/>
      <c r="S31" s="88"/>
      <c r="T31" s="42"/>
      <c r="U31" s="42"/>
      <c r="V31" s="147" t="s">
        <v>528</v>
      </c>
      <c r="W31" s="288">
        <f t="shared" si="1"/>
        <v>1.0335831229510684</v>
      </c>
      <c r="X31" s="288">
        <v>1</v>
      </c>
      <c r="Y31" s="42"/>
      <c r="Z31" s="42"/>
      <c r="AA31" s="42"/>
    </row>
    <row r="32" spans="2:27">
      <c r="B32" s="5" t="s">
        <v>601</v>
      </c>
      <c r="C32" s="365">
        <f>(BT!C32/Prices!$F$153)+DT!C32+ORA!C32+KPN!C32+OTE!C32+(SWISS!C32/Prices!$F$148)+TI!C32+TEF!C32+(TNOR!C32/Prices!$F$157)+(TELIA!C32/Prices!$F$158)+PROX!C32</f>
        <v>0</v>
      </c>
      <c r="D32" s="228">
        <f>(BT!D32/Prices!$F$153)+DT!D32+ORA!D32+KPN!D32+OTE!D32+(SWISS!D32/Prices!$F$148)+TI!D32+TEF!D32+(TNOR!D32/Prices!$F$157)+(TELIA!D32/Prices!$F$158)+PROX!D32</f>
        <v>0</v>
      </c>
      <c r="E32" s="228">
        <f>(BT!E32/Prices!$F$153)+DT!E32+ORA!E32+KPN!E32+OTE!E32+(SWISS!E32/Prices!$F$148)+TI!E32+TEF!E32+(TNOR!E32/Prices!$F$157)+(TELIA!E32/Prices!$F$158)+PROX!E32</f>
        <v>0</v>
      </c>
      <c r="F32" s="228">
        <f>(BT!F32/Prices!$F$153)+DT!F32+ORA!F32+KPN!F32+OTE!F32+(SWISS!F32/Prices!$F$148)+TI!F32+TEF!F32+(TNOR!F32/Prices!$F$157)+(TELIA!F32/Prices!$F$158)+PROX!F32</f>
        <v>0</v>
      </c>
      <c r="G32" s="228">
        <f>(BT!G32/Prices!$F$153)+DT!G32+ORA!G32+KPN!G32+OTE!G32+(SWISS!G32/Prices!$F$148)+TI!G32+TEF!G32+(TNOR!G32/Prices!$F$157)+(TELIA!G32/Prices!$F$158)+PROX!G32</f>
        <v>0</v>
      </c>
      <c r="H32" s="279" t="str">
        <f t="shared" si="0"/>
        <v>nm</v>
      </c>
      <c r="I32" s="5"/>
      <c r="J32" s="254"/>
      <c r="K32" s="254"/>
      <c r="L32" s="254"/>
      <c r="M32" s="254"/>
      <c r="N32" s="254"/>
      <c r="O32" s="251"/>
      <c r="Q32" s="5"/>
      <c r="S32" s="88"/>
      <c r="T32" s="42"/>
      <c r="U32" s="42"/>
      <c r="V32" s="147" t="s">
        <v>575</v>
      </c>
      <c r="W32" s="288">
        <f>M17/E45</f>
        <v>0.83685244259588865</v>
      </c>
      <c r="X32" s="288">
        <v>1</v>
      </c>
      <c r="Y32" s="42"/>
      <c r="Z32" s="42"/>
      <c r="AA32" s="42"/>
    </row>
    <row r="33" spans="2:42">
      <c r="B33" s="5" t="s">
        <v>5</v>
      </c>
      <c r="C33" s="365">
        <f>(BT!C33/Prices!$F$153)+DT!C33+ORA!C33+KPN!C33+OTE!C33+(SWISS!C33/Prices!$F$148)+TI!C33+TEF!C33+(TNOR!C33/Prices!$F$157)+(TELIA!C33/Prices!$F$158)+PROX!C33</f>
        <v>9413.3502696124924</v>
      </c>
      <c r="D33" s="228">
        <f>(BT!D33/Prices!$F$153)+DT!D33+ORA!D33+KPN!D33+OTE!D33+(SWISS!D33/Prices!$F$148)+TI!D33+TEF!D33+(TNOR!D33/Prices!$F$157)+(TELIA!D33/Prices!$F$158)+PROX!D33</f>
        <v>12595.780172215927</v>
      </c>
      <c r="E33" s="228">
        <f>(BT!E33/Prices!$F$153)+DT!E33+ORA!E33+KPN!E33+OTE!E33+(SWISS!E33/Prices!$F$148)+TI!E33+TEF!E33+(TNOR!E33/Prices!$F$157)+(TELIA!E33/Prices!$F$158)+PROX!E33</f>
        <v>12234.011428399814</v>
      </c>
      <c r="F33" s="228">
        <f>(BT!F33/Prices!$F$153)+DT!F33+ORA!F33+KPN!F33+OTE!F33+(SWISS!F33/Prices!$F$148)+TI!F33+TEF!F33+(TNOR!F33/Prices!$F$157)+(TELIA!F33/Prices!$F$158)+PROX!F33</f>
        <v>12249.220591463563</v>
      </c>
      <c r="G33" s="228">
        <f>(BT!G33/Prices!$F$153)+DT!G33+ORA!G33+KPN!G33+OTE!G33+(SWISS!G33/Prices!$F$148)+TI!G33+TEF!G33+(TNOR!G33/Prices!$F$157)+(TELIA!G33/Prices!$F$158)+PROX!G33</f>
        <v>12443.689373602436</v>
      </c>
      <c r="H33" s="279">
        <f t="shared" si="0"/>
        <v>-4.0412235607876212E-3</v>
      </c>
      <c r="I33" s="49"/>
      <c r="J33" s="254"/>
      <c r="K33" s="254"/>
      <c r="L33" s="254"/>
      <c r="M33" s="254"/>
      <c r="N33" s="254"/>
      <c r="O33" s="251"/>
      <c r="Q33" s="5"/>
      <c r="S33" s="88"/>
      <c r="T33" s="42"/>
      <c r="U33" s="42"/>
      <c r="V33" s="147" t="s">
        <v>576</v>
      </c>
      <c r="W33" s="288">
        <f>M19/E47</f>
        <v>1.1852556144828172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88"/>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77</v>
      </c>
      <c r="C35" s="265"/>
      <c r="D35" s="265" t="str">
        <f>D5</f>
        <v>2023E</v>
      </c>
      <c r="E35" s="265" t="str">
        <f>E5</f>
        <v>2024E</v>
      </c>
      <c r="F35" s="265" t="str">
        <f>F5</f>
        <v>2025E</v>
      </c>
      <c r="G35" s="265" t="str">
        <f>G5</f>
        <v>2026E</v>
      </c>
      <c r="H35" s="265" t="str">
        <f>H5</f>
        <v>23E-26E</v>
      </c>
      <c r="I35" s="17"/>
      <c r="J35" s="5"/>
      <c r="K35" s="5"/>
      <c r="L35" s="5"/>
      <c r="M35" s="5"/>
      <c r="N35" s="5"/>
      <c r="O35" s="5"/>
      <c r="Q35" s="5"/>
      <c r="S35" s="88"/>
      <c r="T35" s="88"/>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2.3218994404228583</v>
      </c>
      <c r="E37" s="64">
        <f t="shared" si="2"/>
        <v>2.2112132980417805</v>
      </c>
      <c r="F37" s="64">
        <f t="shared" si="2"/>
        <v>2.1231409626976925</v>
      </c>
      <c r="G37" s="64">
        <f t="shared" si="2"/>
        <v>2.0433931848973041</v>
      </c>
      <c r="H37" s="17">
        <f t="shared" ref="H37:H45" si="3">H23</f>
        <v>1.9736985261286089E-2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6.993498061847184</v>
      </c>
      <c r="E38" s="64">
        <f t="shared" si="2"/>
        <v>6.7241368378449948</v>
      </c>
      <c r="F38" s="64">
        <f t="shared" si="2"/>
        <v>6.3011120906845495</v>
      </c>
      <c r="G38" s="64">
        <f t="shared" si="2"/>
        <v>5.9601756313143843</v>
      </c>
      <c r="H38" s="17">
        <f t="shared" si="3"/>
        <v>3.0709192948586983E-2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14.419377438599202</v>
      </c>
      <c r="E39" s="64">
        <f t="shared" si="2"/>
        <v>12.900741147703812</v>
      </c>
      <c r="F39" s="64">
        <f t="shared" si="2"/>
        <v>11.638638419695086</v>
      </c>
      <c r="G39" s="64">
        <f t="shared" si="2"/>
        <v>10.492306389778886</v>
      </c>
      <c r="H39" s="17">
        <f t="shared" si="3"/>
        <v>8.6466144407962187E-2</v>
      </c>
      <c r="I39" s="5"/>
      <c r="J39" s="5"/>
      <c r="K39" s="5"/>
      <c r="L39" s="5"/>
      <c r="M39" s="5"/>
      <c r="N39" s="5"/>
      <c r="O39" s="5"/>
      <c r="Q39" s="5"/>
      <c r="R39" s="5"/>
      <c r="S39" s="42"/>
      <c r="T39" s="42"/>
      <c r="U39" s="42"/>
      <c r="V39" s="42"/>
      <c r="W39" s="288"/>
      <c r="X39" s="288"/>
      <c r="Y39" s="42"/>
      <c r="Z39" s="42"/>
      <c r="AA39" s="42"/>
    </row>
    <row r="40" spans="2:42">
      <c r="B40" s="5" t="s">
        <v>461</v>
      </c>
      <c r="C40" s="247"/>
      <c r="D40" s="64">
        <f t="shared" si="2"/>
        <v>19.339744496779815</v>
      </c>
      <c r="E40" s="64">
        <f t="shared" si="2"/>
        <v>17.276353493974074</v>
      </c>
      <c r="F40" s="64">
        <f t="shared" si="2"/>
        <v>15.66107051831025</v>
      </c>
      <c r="G40" s="64">
        <f t="shared" si="2"/>
        <v>14.141834234325257</v>
      </c>
      <c r="H40" s="17">
        <f t="shared" si="3"/>
        <v>8.469093930722682E-2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1.4963585316428831</v>
      </c>
      <c r="E41" s="64">
        <f t="shared" si="2"/>
        <v>1.4595584324228235</v>
      </c>
      <c r="F41" s="64">
        <f t="shared" si="2"/>
        <v>1.3772749698197708</v>
      </c>
      <c r="G41" s="64">
        <f t="shared" si="2"/>
        <v>1.2932307425394174</v>
      </c>
      <c r="H41" s="17">
        <f t="shared" si="3"/>
        <v>2.5913859999424194E-2</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3.3018414806759897</v>
      </c>
      <c r="E42" s="64">
        <f>E18/E28</f>
        <v>3.4986841397092472</v>
      </c>
      <c r="F42" s="64">
        <f>F18/F28</f>
        <v>3.443626478370386</v>
      </c>
      <c r="G42" s="64">
        <f>G18/G28</f>
        <v>3.3920965847495546</v>
      </c>
      <c r="H42" s="17">
        <f t="shared" si="3"/>
        <v>-3.1528111845970708E-2</v>
      </c>
      <c r="I42" s="247"/>
      <c r="J42" s="5"/>
      <c r="K42" s="5"/>
      <c r="L42" s="5"/>
      <c r="M42" s="5"/>
      <c r="N42" s="5"/>
      <c r="O42" s="5"/>
      <c r="Q42" s="5"/>
      <c r="R42" s="5"/>
      <c r="S42" s="42"/>
      <c r="T42" s="42"/>
      <c r="U42" s="42"/>
      <c r="V42" s="42"/>
      <c r="W42" s="288"/>
      <c r="X42" s="288"/>
      <c r="Y42" s="288"/>
      <c r="Z42" s="288"/>
      <c r="AA42" s="42"/>
    </row>
    <row r="43" spans="2:42">
      <c r="B43" s="5" t="s">
        <v>470</v>
      </c>
      <c r="C43" s="247"/>
      <c r="D43" s="64">
        <f>L26/D29</f>
        <v>17.433591182362274</v>
      </c>
      <c r="E43" s="64">
        <f>M26/E29</f>
        <v>15.024280868517382</v>
      </c>
      <c r="F43" s="64">
        <f>N26/F29</f>
        <v>13.736294069164101</v>
      </c>
      <c r="G43" s="64">
        <f>O26/G29</f>
        <v>12.147878967600983</v>
      </c>
      <c r="H43" s="17">
        <f t="shared" si="3"/>
        <v>0.11974444099464954</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16.094330112606372</v>
      </c>
      <c r="E44" s="64">
        <f>E11/E30</f>
        <v>14.698546474183305</v>
      </c>
      <c r="F44" s="64">
        <f>F11/F30</f>
        <v>12.497074000192443</v>
      </c>
      <c r="G44" s="64">
        <f>G11/G30</f>
        <v>11.463885927650526</v>
      </c>
      <c r="H44" s="17">
        <f t="shared" si="3"/>
        <v>0.11441168592236295</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4.4323091834910081E-2</v>
      </c>
      <c r="E45" s="248">
        <f>E31/E11</f>
        <v>4.6725700027437436E-2</v>
      </c>
      <c r="F45" s="248">
        <f>F31/F11</f>
        <v>4.9616518166935478E-2</v>
      </c>
      <c r="G45" s="248">
        <f>G31/G11</f>
        <v>5.291804089679604E-2</v>
      </c>
      <c r="H45" s="17">
        <f t="shared" si="3"/>
        <v>5.581998392399945E-2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4.4323091834910081E-2</v>
      </c>
      <c r="E46" s="248">
        <f>(E31+E32)/E11</f>
        <v>4.6725700027437436E-2</v>
      </c>
      <c r="F46" s="248">
        <f>(F31+F32)/F11</f>
        <v>4.9616518166935478E-2</v>
      </c>
      <c r="G46" s="248">
        <f>(G31+G32)/G11</f>
        <v>5.291804089679604E-2</v>
      </c>
      <c r="H46" s="279">
        <f>((G31+G32)/(D31+D32))^(1/3)-1</f>
        <v>5.581998392399945E-2</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5.7360528277828914E-2</v>
      </c>
      <c r="E47" s="248">
        <f>1/E43</f>
        <v>6.6558926097784105E-2</v>
      </c>
      <c r="F47" s="248">
        <f>1/F43</f>
        <v>7.2799839240836328E-2</v>
      </c>
      <c r="G47" s="248">
        <f>1/G43</f>
        <v>8.2318897205598721E-2</v>
      </c>
      <c r="H47" s="17">
        <f>H29</f>
        <v>0.11974444099464954</v>
      </c>
      <c r="I47" s="247"/>
      <c r="J47" s="248"/>
      <c r="K47" s="248"/>
      <c r="L47" s="248"/>
      <c r="M47" s="248"/>
      <c r="N47" s="248"/>
      <c r="O47" s="248"/>
      <c r="Q47" s="5"/>
      <c r="R47" s="5"/>
      <c r="S47" s="5"/>
      <c r="T47" s="5"/>
      <c r="U47" s="5"/>
      <c r="AA47" s="303"/>
      <c r="AB47" s="303"/>
    </row>
    <row r="48" spans="2:42">
      <c r="B48" s="5" t="s">
        <v>613</v>
      </c>
      <c r="C48" s="5"/>
      <c r="D48" s="305">
        <f>D31/D29</f>
        <v>0.71000971422171699</v>
      </c>
      <c r="E48" s="305">
        <f>E31/E29</f>
        <v>0.64412496054880308</v>
      </c>
      <c r="F48" s="305">
        <f>F31/F29</f>
        <v>0.62538479271211145</v>
      </c>
      <c r="G48" s="305">
        <f>G31/G29</f>
        <v>0.59521953872153821</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2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1375</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452</v>
      </c>
      <c r="C11" s="5"/>
      <c r="D11" s="271">
        <f>(VOD!D11/Prices!$F$153)+ELISA!D11+(TELE2!D11/Prices!$F$158)+OBEL!D11+(LBTY!D11/Prices!$C$155)+NOS!D11+UTDI!D11</f>
        <v>52563.328083624307</v>
      </c>
      <c r="E11" s="271">
        <f>(VOD!E11/Prices!$F$153)+ELISA!E11+(TELE2!E11/Prices!$F$158)+OBEL!E11+(LBTY!E11/Prices!$C$155)+NOS!E11+UTDI!E11</f>
        <v>49748.235238689529</v>
      </c>
      <c r="F11" s="271">
        <f>(VOD!F11/Prices!$F$153)+ELISA!F11+(TELE2!F11/Prices!$F$158)+OBEL!F11+(LBTY!F11/Prices!$C$155)+NOS!F11+UTDI!F11</f>
        <v>47177.773280816349</v>
      </c>
      <c r="G11" s="271">
        <f>(VOD!G11/Prices!$F$153)+ELISA!G11+(TELE2!G11/Prices!$F$158)+OBEL!G11+(LBTY!G11/Prices!$C$155)+NOS!G11+UTDI!G11</f>
        <v>46653.907460017123</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49"/>
      <c r="D12" s="228">
        <f>(VOD!D12/Prices!$F$153)+ELISA!D12+(TELE2!D12/Prices!$F$158)+OBEL!D12+(LBTY!D12/Prices!$C$155)+NOS!D12+UTDI!D12</f>
        <v>52984.928022462176</v>
      </c>
      <c r="E12" s="228">
        <f>(VOD!E12/Prices!$F$153)+ELISA!E12+(TELE2!E12/Prices!$F$158)+OBEL!E12+(LBTY!E12/Prices!$C$155)+NOS!E12+UTDI!E12</f>
        <v>41011.289430801211</v>
      </c>
      <c r="F12" s="228">
        <f>(VOD!F12/Prices!$F$153)+ELISA!F12+(TELE2!F12/Prices!$F$158)+OBEL!F12+(LBTY!F12/Prices!$C$155)+NOS!F12+UTDI!F12</f>
        <v>41951.692584537624</v>
      </c>
      <c r="G12" s="228">
        <f>(VOD!G12/Prices!$F$153)+ELISA!G12+(TELE2!G12/Prices!$F$158)+OBEL!G12+(LBTY!G12/Prices!$C$155)+NOS!G12+UTDI!G12</f>
        <v>40257.188624923707</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57"/>
      <c r="D13" s="228">
        <f>(VOD!D13/Prices!$F$153)+ELISA!D13+(TELE2!D13/Prices!$F$158)+OBEL!D13+(LBTY!D13/Prices!$C$155)+NOS!D13+UTDI!D13</f>
        <v>11540.148000202005</v>
      </c>
      <c r="E13" s="228">
        <f>(VOD!E13/Prices!$F$153)+ELISA!E13+(TELE2!E13/Prices!$F$158)+OBEL!E13+(LBTY!E13/Prices!$C$155)+NOS!E13+UTDI!E13</f>
        <v>11717.058160050599</v>
      </c>
      <c r="F13" s="228">
        <f>(VOD!F13/Prices!$F$153)+ELISA!F13+(TELE2!F13/Prices!$F$158)+OBEL!F13+(LBTY!F13/Prices!$C$155)+NOS!F13+UTDI!F13</f>
        <v>11620.383430671969</v>
      </c>
      <c r="G13" s="228">
        <f>(VOD!G13/Prices!$F$153)+ELISA!G13+(TELE2!G13/Prices!$F$158)+OBEL!G13+(LBTY!G13/Prices!$C$155)+NOS!G13+UTDI!G13</f>
        <v>11671.95503432457</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74"/>
      <c r="D14" s="228">
        <f>(VOD!D14/Prices!$F$153)+ELISA!D14+(TELE2!D14/Prices!$F$158)+OBEL!D14+(LBTY!D14/Prices!$C$155)+NOS!D14+UTDI!D14</f>
        <v>14132.620601748586</v>
      </c>
      <c r="E14" s="228">
        <f>(VOD!E14/Prices!$F$153)+ELISA!E14+(TELE2!E14/Prices!$F$158)+OBEL!E14+(LBTY!E14/Prices!$C$155)+NOS!E14+UTDI!E14</f>
        <v>14132.620601748586</v>
      </c>
      <c r="F14" s="228">
        <f>(VOD!F14/Prices!$F$153)+ELISA!F14+(TELE2!F14/Prices!$F$158)+OBEL!F14+(LBTY!F14/Prices!$C$155)+NOS!F14+UTDI!F14</f>
        <v>14132.620601748586</v>
      </c>
      <c r="G14" s="228">
        <f>(VOD!G14/Prices!$F$153)+ELISA!G14+(TELE2!G14/Prices!$F$158)+OBEL!G14+(LBTY!G14/Prices!$C$155)+NOS!G14+UTDI!G14</f>
        <v>14132.620601748586</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57"/>
      <c r="D15" s="228">
        <f>(VOD!D15/Prices!$F$153)+ELISA!D15+(TELE2!D15/Prices!$F$158)+OBEL!D15+(LBTY!D15/Prices!$C$155)+NOS!D15+UTDI!D15</f>
        <v>5862.586811014462</v>
      </c>
      <c r="E15" s="228">
        <f>(VOD!E15/Prices!$F$153)+ELISA!E15+(TELE2!E15/Prices!$F$158)+OBEL!E15+(LBTY!E15/Prices!$C$155)+NOS!E15+UTDI!E15</f>
        <v>5862.586811014462</v>
      </c>
      <c r="F15" s="228">
        <f>(VOD!F15/Prices!$F$153)+ELISA!F15+(TELE2!F15/Prices!$F$158)+OBEL!F15+(LBTY!F15/Prices!$C$155)+NOS!F15+UTDI!F15</f>
        <v>5862.586811014462</v>
      </c>
      <c r="G15" s="228">
        <f>(VOD!G15/Prices!$F$153)+ELISA!G15+(TELE2!G15/Prices!$F$158)+OBEL!G15+(LBTY!G15/Prices!$C$155)+NOS!G15+UTDI!G15</f>
        <v>5862.586811014462</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57"/>
      <c r="D16" s="228">
        <f>(VOD!D16/Prices!$F$153)+ELISA!D16+(TELE2!D16/Prices!$F$158)+OBEL!D16+(LBTY!D16/Prices!$C$155)+NOS!D16+UTDI!D16</f>
        <v>30.007207000000001</v>
      </c>
      <c r="E16" s="228">
        <f>(VOD!E16/Prices!$F$153)+ELISA!E16+(TELE2!E16/Prices!$F$158)+OBEL!E16+(LBTY!E16/Prices!$C$155)+NOS!E16+UTDI!E16</f>
        <v>1004.2057612872283</v>
      </c>
      <c r="F16" s="228">
        <f>(VOD!F16/Prices!$F$153)+ELISA!F16+(TELE2!F16/Prices!$F$158)+OBEL!F16+(LBTY!F16/Prices!$C$155)+NOS!F16+UTDI!F16</f>
        <v>3212.2971594675701</v>
      </c>
      <c r="G16" s="228">
        <f>(VOD!G16/Prices!$F$153)+ELISA!G16+(TELE2!G16/Prices!$F$158)+OBEL!G16+(LBTY!G16/Prices!$C$155)+NOS!G16+UTDI!G16</f>
        <v>5445.5484624628225</v>
      </c>
      <c r="H16" s="247"/>
      <c r="I16" s="247"/>
      <c r="J16" s="5" t="s">
        <v>528</v>
      </c>
      <c r="L16" s="64">
        <f>'AGG DM'!D44</f>
        <v>15.638044643718967</v>
      </c>
      <c r="M16" s="64">
        <f>'AGG DM'!E44</f>
        <v>14.220962153693332</v>
      </c>
      <c r="N16" s="64">
        <f>'AGG DM'!F44</f>
        <v>12.502249176356969</v>
      </c>
      <c r="O16" s="64">
        <f>'AGG DM'!G44</f>
        <v>11.233113481631298</v>
      </c>
      <c r="P16" s="17">
        <f>'AGG DM'!H44</f>
        <v>8.8584802895584236E-2</v>
      </c>
      <c r="S16" s="88"/>
      <c r="T16" s="88"/>
      <c r="U16" s="88"/>
      <c r="V16" s="42"/>
      <c r="W16" s="42"/>
      <c r="X16" s="42"/>
      <c r="Y16" s="42"/>
      <c r="Z16" s="42"/>
      <c r="AA16" s="42"/>
    </row>
    <row r="17" spans="2:27">
      <c r="B17" s="5" t="s">
        <v>6</v>
      </c>
      <c r="C17" s="257"/>
      <c r="D17" s="228">
        <f>(VOD!D17/Prices!$F$153)+ELISA!D17+(TELE2!D17/Prices!$F$158)+OBEL!D17+(LBTY!D17/Prices!$C$155)+NOS!D17+UTDI!D17</f>
        <v>1392.755102373618</v>
      </c>
      <c r="E17" s="228">
        <f>(VOD!E17/Prices!$F$153)+ELISA!E17+(TELE2!E17/Prices!$F$158)+OBEL!E17+(LBTY!E17/Prices!$C$155)+NOS!E17+UTDI!E17</f>
        <v>1379.1233883368748</v>
      </c>
      <c r="F17" s="228">
        <f>(VOD!F17/Prices!$F$153)+ELISA!F17+(TELE2!F17/Prices!$F$158)+OBEL!F17+(LBTY!F17/Prices!$C$155)+NOS!F17+UTDI!F17</f>
        <v>1379.0345675186647</v>
      </c>
      <c r="G17" s="228">
        <f>(VOD!G17/Prices!$F$153)+ELISA!G17+(TELE2!G17/Prices!$F$158)+OBEL!G17+(LBTY!G17/Prices!$C$155)+NOS!G17+UTDI!G17</f>
        <v>1379.0345675186647</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451</v>
      </c>
      <c r="C18" s="249"/>
      <c r="D18" s="275">
        <f>(VOD!D18/Prices!$F$153)+ELISA!D18+(TELE2!D18/Prices!$F$158)+OBEL!D18+(LBTY!D18/Prices!$C$155)+NOS!D18+UTDI!D18</f>
        <v>107395.60800618076</v>
      </c>
      <c r="E18" s="275">
        <f>(VOD!E18/Prices!$F$153)+ELISA!E18+(TELE2!E18/Prices!$F$158)+OBEL!E18+(LBTY!E18/Prices!$C$155)+NOS!E18+UTDI!E18</f>
        <v>91823.219889183092</v>
      </c>
      <c r="F18" s="275">
        <f>(VOD!F18/Prices!$F$153)+ELISA!F18+(TELE2!F18/Prices!$F$158)+OBEL!F18+(LBTY!F18/Prices!$C$155)+NOS!F18+UTDI!F18</f>
        <v>87888.483778305585</v>
      </c>
      <c r="G18" s="275">
        <f>(VOD!G18/Prices!$F$153)+ELISA!G18+(TELE2!G18/Prices!$F$158)+OBEL!G18+(LBTY!G18/Prices!$C$155)+NOS!G18+UTDI!G18</f>
        <v>83488.434298549793</v>
      </c>
      <c r="H18" s="276">
        <f>IF(D18=0,"nm",IF(G18=0,"nm",(G18/D18)^(1/3)-1))</f>
        <v>-8.0510872030011393E-2</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88"/>
      <c r="T18" s="88"/>
      <c r="U18" s="88"/>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'AGG DM'!H47</f>
        <v>6.900159277298723E-2</v>
      </c>
      <c r="S19" s="88"/>
      <c r="T19" s="88"/>
      <c r="U19" s="88"/>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'AGG DM'!H48</f>
        <v>nm</v>
      </c>
      <c r="S20" s="88"/>
      <c r="T20" s="88"/>
      <c r="U20" s="88"/>
      <c r="V20" s="42"/>
      <c r="W20" s="42"/>
      <c r="X20" s="42"/>
      <c r="Y20" s="42"/>
      <c r="Z20" s="42"/>
      <c r="AA20" s="42"/>
    </row>
    <row r="21" spans="2:27" ht="12.6" thickBot="1">
      <c r="B21" s="306" t="s">
        <v>156</v>
      </c>
      <c r="C21" s="265">
        <v>2020</v>
      </c>
      <c r="D21" s="265" t="str">
        <f>D5</f>
        <v>2023E</v>
      </c>
      <c r="E21" s="265" t="str">
        <f>E5</f>
        <v>2024E</v>
      </c>
      <c r="F21" s="265" t="str">
        <f>F5</f>
        <v>2025E</v>
      </c>
      <c r="G21" s="265" t="str">
        <f>G5</f>
        <v>2026E</v>
      </c>
      <c r="H21" s="282" t="str">
        <f>H5</f>
        <v>23E-26E</v>
      </c>
      <c r="I21" s="17"/>
      <c r="S21" s="88"/>
      <c r="T21" s="88"/>
      <c r="U21" s="88"/>
      <c r="V21" s="42"/>
      <c r="W21" s="42"/>
      <c r="X21" s="42"/>
      <c r="Y21" s="42"/>
      <c r="Z21" s="42"/>
      <c r="AA21" s="42"/>
    </row>
    <row r="22" spans="2:27" ht="12.6" thickTop="1">
      <c r="B22" s="5"/>
      <c r="C22" s="257"/>
      <c r="D22" s="17"/>
      <c r="E22" s="17"/>
      <c r="F22" s="17"/>
      <c r="G22" s="17"/>
      <c r="H22" s="17"/>
      <c r="I22" s="247"/>
      <c r="P22" s="277"/>
      <c r="S22" s="88"/>
      <c r="T22" s="88"/>
      <c r="U22" s="88"/>
      <c r="V22" s="88"/>
      <c r="W22" s="88"/>
      <c r="X22" s="88"/>
      <c r="Y22" s="42"/>
      <c r="Z22" s="42"/>
      <c r="AA22" s="42"/>
    </row>
    <row r="23" spans="2:27" ht="12.6" thickBot="1">
      <c r="B23" s="5" t="s">
        <v>579</v>
      </c>
      <c r="C23" s="365">
        <f>(VOD!C23/Prices!$F$153)+ELISA!C23+(TELE2!C23/Prices!$F$158)+OBEL!C23+(LBTY!C23/Prices!$C$155)+NOS!C23+UTDI!C23</f>
        <v>53659.451432169408</v>
      </c>
      <c r="D23" s="228">
        <f>(VOD!D23/Prices!$F$153)+ELISA!D23+(TELE2!D23/Prices!$F$158)+OBEL!D23+(LBTY!D23/Prices!$C$155)+NOS!D23+UTDI!D23</f>
        <v>54823.899616717594</v>
      </c>
      <c r="E23" s="228">
        <f>(VOD!E23/Prices!$F$153)+ELISA!E23+(TELE2!E23/Prices!$F$158)+OBEL!E23+(LBTY!E23/Prices!$C$155)+NOS!E23+UTDI!E23</f>
        <v>56045.140830871474</v>
      </c>
      <c r="F23" s="228">
        <f>(VOD!F23/Prices!$F$153)+ELISA!F23+(TELE2!F23/Prices!$F$158)+OBEL!F23+(LBTY!F23/Prices!$C$155)+NOS!F23+UTDI!F23</f>
        <v>57026.955222181954</v>
      </c>
      <c r="G23" s="228">
        <f>(VOD!G23/Prices!$F$153)+ELISA!G23+(TELE2!G23/Prices!$F$158)+OBEL!G23+(LBTY!G23/Prices!$C$155)+NOS!G23+UTDI!G23</f>
        <v>57838.797395603913</v>
      </c>
      <c r="H23" s="279">
        <f t="shared" ref="H23:H33" si="0">IF(D23=0,"nm",IF(G23=0,"nm",(G23/D23)^(1/3)-1))</f>
        <v>1.8004685546411769E-2</v>
      </c>
      <c r="I23" s="249"/>
      <c r="J23" s="306" t="s">
        <v>9</v>
      </c>
      <c r="K23" s="306"/>
      <c r="L23" s="265" t="str">
        <f>L5</f>
        <v>2023E</v>
      </c>
      <c r="M23" s="265" t="str">
        <f>M5</f>
        <v>2024E</v>
      </c>
      <c r="N23" s="265" t="str">
        <f>N5</f>
        <v>2025E</v>
      </c>
      <c r="O23" s="265" t="str">
        <f>O5</f>
        <v>2026E</v>
      </c>
      <c r="P23" s="282" t="str">
        <f>P5</f>
        <v>23E-26E</v>
      </c>
      <c r="S23" s="88"/>
      <c r="T23" s="42"/>
      <c r="U23" s="42"/>
      <c r="V23" s="42"/>
      <c r="W23" s="42" t="s">
        <v>561</v>
      </c>
      <c r="X23" s="42" t="s">
        <v>605</v>
      </c>
      <c r="Y23" s="42"/>
      <c r="Z23" s="42"/>
      <c r="AA23" s="42"/>
    </row>
    <row r="24" spans="2:27" ht="12.6" thickTop="1">
      <c r="B24" s="5" t="s">
        <v>478</v>
      </c>
      <c r="C24" s="365">
        <f>(VOD!C24/Prices!$F$153)+ELISA!C24+(TELE2!C24/Prices!$F$158)+OBEL!C24+(LBTY!C24/Prices!$C$155)+NOS!C24+UTDI!C24</f>
        <v>25274.060225404031</v>
      </c>
      <c r="D24" s="228">
        <f>(VOD!D24/Prices!$F$153)+ELISA!D24+(TELE2!D24/Prices!$F$158)+OBEL!D24+(LBTY!D24/Prices!$C$155)+NOS!D24+UTDI!D24</f>
        <v>22001.488764467722</v>
      </c>
      <c r="E24" s="228">
        <f>(VOD!E24/Prices!$F$153)+ELISA!E24+(TELE2!E24/Prices!$F$158)+OBEL!E24+(LBTY!E24/Prices!$C$155)+NOS!E24+UTDI!E24</f>
        <v>22148.269496953973</v>
      </c>
      <c r="F24" s="228">
        <f>(VOD!F24/Prices!$F$153)+ELISA!F24+(TELE2!F24/Prices!$F$158)+OBEL!F24+(LBTY!F24/Prices!$C$155)+NOS!F24+UTDI!F24</f>
        <v>22964.581101145293</v>
      </c>
      <c r="G24" s="228">
        <f>(VOD!G24/Prices!$F$153)+ELISA!G24+(TELE2!G24/Prices!$F$158)+OBEL!G24+(LBTY!G24/Prices!$C$155)+NOS!G24+UTDI!G24</f>
        <v>23678.916428503129</v>
      </c>
      <c r="H24" s="279">
        <f t="shared" si="0"/>
        <v>2.4794026477105824E-2</v>
      </c>
      <c r="I24" s="248"/>
      <c r="J24" s="17"/>
      <c r="K24" s="17"/>
      <c r="L24" s="17"/>
      <c r="M24" s="17"/>
      <c r="N24" s="17"/>
      <c r="O24" s="248"/>
      <c r="S24" s="88"/>
      <c r="T24" s="42"/>
      <c r="U24" s="42"/>
      <c r="V24" s="147" t="s">
        <v>268</v>
      </c>
      <c r="W24" s="288">
        <f t="shared" ref="W24:W31" si="1">E37/M9</f>
        <v>0.68980418223111728</v>
      </c>
      <c r="X24" s="288">
        <v>1</v>
      </c>
      <c r="Y24" s="42"/>
      <c r="Z24" s="42"/>
      <c r="AA24" s="42"/>
    </row>
    <row r="25" spans="2:27">
      <c r="B25" s="5" t="s">
        <v>179</v>
      </c>
      <c r="C25" s="365">
        <f>(VOD!C25/Prices!$F$153)+ELISA!C25+(TELE2!C25/Prices!$F$158)+OBEL!C25+(LBTY!C25/Prices!$C$155)+NOS!C25+UTDI!C25</f>
        <v>9714.3486108846828</v>
      </c>
      <c r="D25" s="228">
        <f>(VOD!D25/Prices!$F$153)+ELISA!D25+(TELE2!D25/Prices!$F$158)+OBEL!D25+(LBTY!D25/Prices!$C$155)+NOS!D25+UTDI!D25</f>
        <v>8159.790669298045</v>
      </c>
      <c r="E25" s="228">
        <f>(VOD!E25/Prices!$F$153)+ELISA!E25+(TELE2!E25/Prices!$F$158)+OBEL!E25+(LBTY!E25/Prices!$C$155)+NOS!E25+UTDI!E25</f>
        <v>8036.8347925863609</v>
      </c>
      <c r="F25" s="228">
        <f>(VOD!F25/Prices!$F$153)+ELISA!F25+(TELE2!F25/Prices!$F$158)+OBEL!F25+(LBTY!F25/Prices!$C$155)+NOS!F25+UTDI!F25</f>
        <v>8928.961105057082</v>
      </c>
      <c r="G25" s="228">
        <f>(VOD!G25/Prices!$F$153)+ELISA!G25+(TELE2!G25/Prices!$F$158)+OBEL!G25+(LBTY!G25/Prices!$C$155)+NOS!G25+UTDI!G25</f>
        <v>9654.8930330376788</v>
      </c>
      <c r="H25" s="279">
        <f t="shared" si="0"/>
        <v>5.7684523659928821E-2</v>
      </c>
      <c r="I25" s="249"/>
      <c r="J25" s="247" t="s">
        <v>10</v>
      </c>
      <c r="K25" s="247"/>
      <c r="L25" s="332">
        <f>(VOD!L25/Prices!$F$153)+ELISA!L25+(TELE2!L25/Prices!$F$158)+OBEL!L25+(LBTY!L25/Prices!$C$155)+NOS!L25+UTDI!L25</f>
        <v>4990.347470317658</v>
      </c>
      <c r="M25" s="332">
        <f>(VOD!M25/Prices!$F$153)+ELISA!M25+(TELE2!M25/Prices!$F$158)+OBEL!M25+(LBTY!M25/Prices!$C$155)+NOS!M25+UTDI!M25</f>
        <v>4880.5804313031113</v>
      </c>
      <c r="N25" s="332">
        <f>(VOD!N25/Prices!$F$153)+ELISA!N25+(TELE2!N25/Prices!$F$158)+OBEL!N25+(LBTY!N25/Prices!$C$155)+NOS!N25+UTDI!N25</f>
        <v>4672.9041211709591</v>
      </c>
      <c r="O25" s="332">
        <f>(VOD!O25/Prices!$F$153)+ELISA!O25+(TELE2!O25/Prices!$F$158)+OBEL!O25+(LBTY!O25/Prices!$C$155)+NOS!O25+UTDI!O25</f>
        <v>3190.9563796112452</v>
      </c>
      <c r="P25" s="279">
        <f>IF(L25=0,"nm",IF(O25=0,"nm",(O25/L25)^(1/3)-1))</f>
        <v>-0.13848397429745418</v>
      </c>
      <c r="Q25" s="5"/>
      <c r="S25" s="88"/>
      <c r="T25" s="42"/>
      <c r="U25" s="42"/>
      <c r="V25" s="147" t="s">
        <v>180</v>
      </c>
      <c r="W25" s="288">
        <f t="shared" si="1"/>
        <v>0.58695143788644921</v>
      </c>
      <c r="X25" s="288">
        <v>1</v>
      </c>
      <c r="Y25" s="42"/>
      <c r="Z25" s="42"/>
      <c r="AA25" s="42"/>
    </row>
    <row r="26" spans="2:27">
      <c r="B26" s="5" t="s">
        <v>581</v>
      </c>
      <c r="C26" s="365">
        <f>(VOD!C26/Prices!$F$153)+ELISA!C26+(TELE2!C26/Prices!$F$158)+OBEL!C26+(LBTY!C26/Prices!$C$155)+NOS!C26+UTDI!C26</f>
        <v>7067.4735146039511</v>
      </c>
      <c r="D26" s="228">
        <f>(VOD!D26/Prices!$F$153)+ELISA!D26+(TELE2!D26/Prices!$F$158)+OBEL!D26+(LBTY!D26/Prices!$C$155)+NOS!D26+UTDI!D26</f>
        <v>5717.7438770394829</v>
      </c>
      <c r="E26" s="228">
        <f>(VOD!E26/Prices!$F$153)+ELISA!E26+(TELE2!E26/Prices!$F$158)+OBEL!E26+(LBTY!E26/Prices!$C$155)+NOS!E26+UTDI!E26</f>
        <v>5617.8819362898166</v>
      </c>
      <c r="F26" s="228">
        <f>(VOD!F26/Prices!$F$153)+ELISA!F26+(TELE2!F26/Prices!$F$158)+OBEL!F26+(LBTY!F26/Prices!$C$155)+NOS!F26+UTDI!F26</f>
        <v>6164.4410372325701</v>
      </c>
      <c r="G26" s="228">
        <f>(VOD!G26/Prices!$F$153)+ELISA!G26+(TELE2!G26/Prices!$F$158)+OBEL!G26+(LBTY!G26/Prices!$C$155)+NOS!G26+UTDI!G26</f>
        <v>6773.605222205746</v>
      </c>
      <c r="H26" s="279">
        <f t="shared" si="0"/>
        <v>5.8112215141036705E-2</v>
      </c>
      <c r="I26" s="249"/>
      <c r="J26" s="249" t="s">
        <v>11</v>
      </c>
      <c r="K26" s="249"/>
      <c r="L26" s="281">
        <f>(VOD!L26/Prices!$F$153)+ELISA!L26+(TELE2!L26/Prices!$F$158)+OBEL!L26+(LBTY!L26/Prices!$C$155)+NOS!L26+UTDI!L26</f>
        <v>57553.675553941954</v>
      </c>
      <c r="M26" s="281">
        <f>(VOD!M26/Prices!$F$153)+ELISA!M26+(TELE2!M26/Prices!$F$158)+OBEL!M26+(LBTY!M26/Prices!$C$155)+NOS!M26+UTDI!M26</f>
        <v>54628.81566999264</v>
      </c>
      <c r="N26" s="281">
        <f>(VOD!N26/Prices!$F$153)+ELISA!N26+(TELE2!N26/Prices!$F$158)+OBEL!N26+(LBTY!N26/Prices!$C$155)+NOS!N26+UTDI!N26</f>
        <v>51850.677401987305</v>
      </c>
      <c r="O26" s="281">
        <f>(VOD!O26/Prices!$F$153)+ELISA!O26+(TELE2!O26/Prices!$F$158)+OBEL!O26+(LBTY!O26/Prices!$C$155)+NOS!O26+UTDI!O26</f>
        <v>49844.863839628364</v>
      </c>
      <c r="P26" s="279">
        <f>IF(L26=0,"nm",IF(O26=0,"nm",(O26/L26)^(1/3)-1))</f>
        <v>-4.6803476060231386E-2</v>
      </c>
      <c r="Q26" s="41"/>
      <c r="S26" s="88"/>
      <c r="T26" s="42"/>
      <c r="U26" s="42"/>
      <c r="V26" s="147" t="s">
        <v>181</v>
      </c>
      <c r="W26" s="288">
        <f t="shared" si="1"/>
        <v>0.9044438113519413</v>
      </c>
      <c r="X26" s="288">
        <v>1</v>
      </c>
      <c r="Y26" s="42"/>
      <c r="Z26" s="42"/>
      <c r="AA26" s="42"/>
    </row>
    <row r="27" spans="2:27">
      <c r="B27" s="5" t="s">
        <v>582</v>
      </c>
      <c r="C27" s="365">
        <f>(VOD!C27/Prices!$F$153)+ELISA!C27+(TELE2!C27/Prices!$F$158)+OBEL!C27+(LBTY!C27/Prices!$C$155)+NOS!C27+UTDI!C27</f>
        <v>128247.47921445932</v>
      </c>
      <c r="D27" s="228">
        <f>(VOD!D27/Prices!$F$153)+ELISA!D27+(TELE2!D27/Prices!$F$158)+OBEL!D27+(LBTY!D27/Prices!$C$155)+NOS!D27+UTDI!D27</f>
        <v>127182.10391368355</v>
      </c>
      <c r="E27" s="228">
        <f>(VOD!E27/Prices!$F$153)+ELISA!E27+(TELE2!E27/Prices!$F$158)+OBEL!E27+(LBTY!E27/Prices!$C$155)+NOS!E27+UTDI!E27</f>
        <v>112667.96340780801</v>
      </c>
      <c r="F27" s="228">
        <f>(VOD!F27/Prices!$F$153)+ELISA!F27+(TELE2!F27/Prices!$F$158)+OBEL!F27+(LBTY!F27/Prices!$C$155)+NOS!F27+UTDI!F27</f>
        <v>113406.5280897895</v>
      </c>
      <c r="G27" s="228">
        <f>(VOD!G27/Prices!$F$153)+ELISA!G27+(TELE2!G27/Prices!$F$158)+OBEL!G27+(LBTY!G27/Prices!$C$155)+NOS!G27+UTDI!G27</f>
        <v>113928.01544762553</v>
      </c>
      <c r="H27" s="279">
        <f t="shared" si="0"/>
        <v>-3.6019662148356391E-2</v>
      </c>
      <c r="I27" s="248"/>
      <c r="J27" s="248"/>
      <c r="K27" s="248"/>
      <c r="L27" s="248"/>
      <c r="M27" s="248"/>
      <c r="N27" s="248"/>
      <c r="O27" s="248"/>
      <c r="Q27" s="5"/>
      <c r="S27" s="88"/>
      <c r="T27" s="42"/>
      <c r="U27" s="42"/>
      <c r="V27" s="147" t="s">
        <v>461</v>
      </c>
      <c r="W27" s="288">
        <f t="shared" si="1"/>
        <v>0.90955514169261931</v>
      </c>
      <c r="X27" s="288">
        <v>1</v>
      </c>
      <c r="Y27" s="42"/>
      <c r="Z27" s="42"/>
      <c r="AA27" s="42"/>
    </row>
    <row r="28" spans="2:27" ht="12.6" thickBot="1">
      <c r="B28" s="5" t="s">
        <v>587</v>
      </c>
      <c r="C28" s="365">
        <f>(VOD!C28/Prices!$F$153)+ELISA!C28+(TELE2!C28/Prices!$F$158)+OBEL!C28+(LBTY!C28/Prices!$C$155)+NOS!C28+UTDI!C28</f>
        <v>44896.966682896695</v>
      </c>
      <c r="D28" s="228">
        <f>(VOD!D28/Prices!$F$153)+ELISA!D28+(TELE2!D28/Prices!$F$158)+OBEL!D28+(LBTY!D28/Prices!$C$155)+NOS!D28+UTDI!D28</f>
        <v>35800.848131296581</v>
      </c>
      <c r="E28" s="228">
        <f>(VOD!E28/Prices!$F$153)+ELISA!E28+(TELE2!E28/Prices!$F$158)+OBEL!E28+(LBTY!E28/Prices!$C$155)+NOS!E28+UTDI!E28</f>
        <v>35845.163139763208</v>
      </c>
      <c r="F28" s="228">
        <f>(VOD!F28/Prices!$F$153)+ELISA!F28+(TELE2!F28/Prices!$F$158)+OBEL!F28+(LBTY!F28/Prices!$C$155)+NOS!F28+UTDI!F28</f>
        <v>36137.441129027575</v>
      </c>
      <c r="G28" s="228">
        <f>(VOD!G28/Prices!$F$153)+ELISA!G28+(TELE2!G28/Prices!$F$158)+OBEL!G28+(LBTY!G28/Prices!$C$155)+NOS!G28+UTDI!G28</f>
        <v>36319.227070122433</v>
      </c>
      <c r="H28" s="279">
        <f t="shared" si="0"/>
        <v>4.8033956462567584E-3</v>
      </c>
      <c r="I28" s="252"/>
      <c r="J28" s="306" t="s">
        <v>747</v>
      </c>
      <c r="K28" s="306"/>
      <c r="L28" s="306"/>
      <c r="M28" s="306"/>
      <c r="N28" s="266"/>
      <c r="O28" s="266"/>
      <c r="P28" s="266"/>
      <c r="Q28" s="5"/>
      <c r="S28" s="88"/>
      <c r="T28" s="42"/>
      <c r="U28" s="42"/>
      <c r="V28" s="147" t="s">
        <v>525</v>
      </c>
      <c r="W28" s="288">
        <f t="shared" si="1"/>
        <v>0.53545287075371562</v>
      </c>
      <c r="X28" s="288">
        <v>1</v>
      </c>
      <c r="Y28" s="42"/>
      <c r="Z28" s="42"/>
      <c r="AA28" s="42"/>
    </row>
    <row r="29" spans="2:27" ht="12.6" thickTop="1">
      <c r="B29" s="5" t="s">
        <v>583</v>
      </c>
      <c r="C29" s="365">
        <f>(VOD!C29/Prices!$F$153)+ELISA!C29+(TELE2!C29/Prices!$F$158)+OBEL!C29+(LBTY!C29/Prices!$C$155)+NOS!C29+UTDI!C29</f>
        <v>4409.9169051136532</v>
      </c>
      <c r="D29" s="228">
        <f>(VOD!D29/Prices!$F$153)+ELISA!D29+(TELE2!D29/Prices!$F$158)+OBEL!D29+(LBTY!D29/Prices!$C$155)+NOS!D29+UTDI!D29</f>
        <v>1596.7735508681067</v>
      </c>
      <c r="E29" s="228">
        <f>(VOD!E29/Prices!$F$153)+ELISA!E29+(TELE2!E29/Prices!$F$158)+OBEL!E29+(LBTY!E29/Prices!$C$155)+NOS!E29+UTDI!E29</f>
        <v>1583.8693884739332</v>
      </c>
      <c r="F29" s="228">
        <f>(VOD!F29/Prices!$F$153)+ELISA!F29+(TELE2!F29/Prices!$F$158)+OBEL!F29+(LBTY!F29/Prices!$C$155)+NOS!F29+UTDI!F29</f>
        <v>3183.4243749669395</v>
      </c>
      <c r="G29" s="228">
        <f>(VOD!G29/Prices!$F$153)+ELISA!G29+(TELE2!G29/Prices!$F$158)+OBEL!G29+(LBTY!G29/Prices!$C$155)+NOS!G29+UTDI!G29</f>
        <v>4174.0559078222632</v>
      </c>
      <c r="H29" s="279">
        <f t="shared" si="0"/>
        <v>0.37754240659126448</v>
      </c>
      <c r="I29" s="254"/>
      <c r="J29" s="249"/>
      <c r="K29" s="249"/>
      <c r="L29" s="249"/>
      <c r="M29" s="249"/>
      <c r="N29" s="249"/>
      <c r="O29" s="251"/>
      <c r="Q29" s="5"/>
      <c r="S29" s="88"/>
      <c r="T29" s="42"/>
      <c r="U29" s="42"/>
      <c r="V29" s="147" t="s">
        <v>588</v>
      </c>
      <c r="W29" s="288">
        <f t="shared" si="1"/>
        <v>0.72910477591462941</v>
      </c>
      <c r="X29" s="288">
        <v>1</v>
      </c>
      <c r="Y29" s="42"/>
      <c r="Z29" s="42"/>
      <c r="AA29" s="42"/>
    </row>
    <row r="30" spans="2:27">
      <c r="B30" s="5" t="s">
        <v>584</v>
      </c>
      <c r="C30" s="365">
        <f>(VOD!C30/Prices!$F$153)+ELISA!C30+(TELE2!C30/Prices!$F$158)+OBEL!C30+(LBTY!C30/Prices!$C$155)+NOS!C30+UTDI!C30</f>
        <v>4808.4213756800973</v>
      </c>
      <c r="D30" s="228">
        <f>(VOD!D30/Prices!$F$153)+ELISA!D30+(TELE2!D30/Prices!$F$158)+OBEL!D30+(LBTY!D30/Prices!$C$155)+NOS!D30+UTDI!D30</f>
        <v>2889.5788685175671</v>
      </c>
      <c r="E30" s="228">
        <f>(VOD!E30/Prices!$F$153)+ELISA!E30+(TELE2!E30/Prices!$F$158)+OBEL!E30+(LBTY!E30/Prices!$C$155)+NOS!E30+UTDI!E30</f>
        <v>3645.0944940841914</v>
      </c>
      <c r="F30" s="228">
        <f>(VOD!F30/Prices!$F$153)+ELISA!F30+(TELE2!F30/Prices!$F$158)+OBEL!F30+(LBTY!F30/Prices!$C$155)+NOS!F30+UTDI!F30</f>
        <v>4465.3939204509115</v>
      </c>
      <c r="G30" s="228">
        <f>(VOD!G30/Prices!$F$153)+ELISA!G30+(TELE2!G30/Prices!$F$158)+OBEL!G30+(LBTY!G30/Prices!$C$155)+NOS!G30+UTDI!G30</f>
        <v>5050.5400420868627</v>
      </c>
      <c r="H30" s="279">
        <f t="shared" si="0"/>
        <v>0.20457659904306258</v>
      </c>
      <c r="I30" s="254"/>
      <c r="J30" s="248"/>
      <c r="K30" s="248"/>
      <c r="L30" s="248"/>
      <c r="M30" s="248"/>
      <c r="N30" s="248"/>
      <c r="O30" s="5"/>
      <c r="Q30" s="5"/>
      <c r="S30" s="88"/>
      <c r="T30" s="42"/>
      <c r="U30" s="42"/>
      <c r="V30" s="147" t="s">
        <v>470</v>
      </c>
      <c r="W30" s="288">
        <f t="shared" si="1"/>
        <v>2.7209511662118349</v>
      </c>
      <c r="X30" s="288">
        <v>1</v>
      </c>
      <c r="Y30" s="42"/>
      <c r="Z30" s="42"/>
      <c r="AA30" s="42"/>
    </row>
    <row r="31" spans="2:27">
      <c r="B31" s="5" t="s">
        <v>585</v>
      </c>
      <c r="C31" s="365">
        <f>(VOD!C31/Prices!$F$153)+ELISA!C31+(TELE2!C31/Prices!$F$158)+OBEL!C31+(LBTY!C31/Prices!$C$155)+NOS!C31+UTDI!C31</f>
        <v>3408.7188337944931</v>
      </c>
      <c r="D31" s="228">
        <f>(VOD!D31/Prices!$F$153)+ELISA!D31+(TELE2!D31/Prices!$F$158)+OBEL!D31+(LBTY!D31/Prices!$C$155)+NOS!D31+UTDI!D31</f>
        <v>3476.7024528081324</v>
      </c>
      <c r="E31" s="228">
        <f>(VOD!E31/Prices!$F$153)+ELISA!E31+(TELE2!E31/Prices!$F$158)+OBEL!E31+(LBTY!E31/Prices!$C$155)+NOS!E31+UTDI!E31</f>
        <v>2141.7275250957869</v>
      </c>
      <c r="F31" s="228">
        <f>(VOD!F31/Prices!$F$153)+ELISA!F31+(TELE2!F31/Prices!$F$158)+OBEL!F31+(LBTY!F31/Prices!$C$155)+NOS!F31+UTDI!F31</f>
        <v>2080.6475926237231</v>
      </c>
      <c r="G31" s="228">
        <f>(VOD!G31/Prices!$F$153)+ELISA!G31+(TELE2!G31/Prices!$F$158)+OBEL!G31+(LBTY!G31/Prices!$C$155)+NOS!G31+UTDI!G31</f>
        <v>2100.435513817848</v>
      </c>
      <c r="H31" s="279">
        <f t="shared" si="0"/>
        <v>-0.15462913486104612</v>
      </c>
      <c r="I31" s="254"/>
      <c r="J31" s="252"/>
      <c r="K31" s="252"/>
      <c r="L31" s="252"/>
      <c r="M31" s="252"/>
      <c r="N31" s="252"/>
      <c r="O31" s="5"/>
      <c r="Q31" s="5"/>
      <c r="S31" s="88"/>
      <c r="T31" s="42"/>
      <c r="U31" s="42"/>
      <c r="V31" s="147" t="s">
        <v>528</v>
      </c>
      <c r="W31" s="288">
        <f t="shared" si="1"/>
        <v>0.95970975081980314</v>
      </c>
      <c r="X31" s="288">
        <v>1</v>
      </c>
      <c r="Y31" s="42"/>
      <c r="Z31" s="42"/>
      <c r="AA31" s="42"/>
    </row>
    <row r="32" spans="2:27">
      <c r="B32" s="5" t="s">
        <v>601</v>
      </c>
      <c r="C32" s="365">
        <f>(VOD!C32/Prices!$F$153)+ELISA!C32+(TELE2!C32/Prices!$F$158)+OBEL!C32+(LBTY!C32/Prices!$C$155)+NOS!C32+UTDI!C32</f>
        <v>0</v>
      </c>
      <c r="D32" s="228">
        <f>(VOD!D32/Prices!$F$153)+ELISA!D32+(TELE2!D32/Prices!$F$158)+OBEL!D32+(LBTY!D32/Prices!$C$155)+NOS!D32+UTDI!D32</f>
        <v>0</v>
      </c>
      <c r="E32" s="228">
        <f>(VOD!E32/Prices!$F$153)+ELISA!E32+(TELE2!E32/Prices!$F$158)+OBEL!E32+(LBTY!E32/Prices!$C$155)+NOS!E32+UTDI!E32</f>
        <v>0</v>
      </c>
      <c r="F32" s="228">
        <f>(VOD!F32/Prices!$F$153)+ELISA!F32+(TELE2!F32/Prices!$F$158)+OBEL!F32+(LBTY!F32/Prices!$C$155)+NOS!F32+UTDI!F32</f>
        <v>0</v>
      </c>
      <c r="G32" s="228">
        <f>(VOD!G32/Prices!$F$153)+ELISA!G32+(TELE2!G32/Prices!$F$158)+OBEL!G32+(LBTY!G32/Prices!$C$155)+NOS!G32+UTDI!G32</f>
        <v>0</v>
      </c>
      <c r="H32" s="279" t="str">
        <f t="shared" si="0"/>
        <v>nm</v>
      </c>
      <c r="I32" s="5"/>
      <c r="J32" s="254"/>
      <c r="K32" s="254"/>
      <c r="L32" s="254"/>
      <c r="M32" s="254"/>
      <c r="N32" s="254"/>
      <c r="O32" s="251"/>
      <c r="Q32" s="5"/>
      <c r="S32" s="88"/>
      <c r="T32" s="42"/>
      <c r="U32" s="42"/>
      <c r="V32" s="147" t="s">
        <v>575</v>
      </c>
      <c r="W32" s="288">
        <f>M17/E45</f>
        <v>0.90827668391359284</v>
      </c>
      <c r="X32" s="288">
        <v>1</v>
      </c>
      <c r="Y32" s="42"/>
      <c r="Z32" s="42"/>
      <c r="AA32" s="42"/>
    </row>
    <row r="33" spans="2:42">
      <c r="B33" s="5" t="s">
        <v>5</v>
      </c>
      <c r="C33" s="365">
        <f>(VOD!C33/Prices!$F$153)+ELISA!C33+(TELE2!C33/Prices!$F$158)+OBEL!C33+(LBTY!C33/Prices!$C$155)+NOS!C33+UTDI!C33</f>
        <v>13067.672781498184</v>
      </c>
      <c r="D33" s="228">
        <f>(VOD!D33/Prices!$F$153)+ELISA!D33+(TELE2!D33/Prices!$F$158)+OBEL!D33+(LBTY!D33/Prices!$C$155)+NOS!D33+UTDI!D33</f>
        <v>13183.82542835912</v>
      </c>
      <c r="E33" s="228">
        <f>(VOD!E33/Prices!$F$153)+ELISA!E33+(TELE2!E33/Prices!$F$158)+OBEL!E33+(LBTY!E33/Prices!$C$155)+NOS!E33+UTDI!E33</f>
        <v>12421.238658841316</v>
      </c>
      <c r="F33" s="228">
        <f>(VOD!F33/Prices!$F$153)+ELISA!F33+(TELE2!F33/Prices!$F$158)+OBEL!F33+(LBTY!F33/Prices!$C$155)+NOS!F33+UTDI!F33</f>
        <v>11778.703499817257</v>
      </c>
      <c r="G33" s="228">
        <f>(VOD!G33/Prices!$F$153)+ELISA!G33+(TELE2!G33/Prices!$F$158)+OBEL!G33+(LBTY!G33/Prices!$C$155)+NOS!G33+UTDI!G33</f>
        <v>11824.862597941237</v>
      </c>
      <c r="H33" s="279">
        <f t="shared" si="0"/>
        <v>-3.5612543288595755E-2</v>
      </c>
      <c r="I33" s="49"/>
      <c r="J33" s="254"/>
      <c r="K33" s="254"/>
      <c r="L33" s="254"/>
      <c r="M33" s="254"/>
      <c r="N33" s="254"/>
      <c r="O33" s="251"/>
      <c r="Q33" s="5"/>
      <c r="S33" s="88"/>
      <c r="T33" s="42"/>
      <c r="U33" s="42"/>
      <c r="V33" s="147" t="s">
        <v>576</v>
      </c>
      <c r="W33" s="288">
        <f>M19/E47</f>
        <v>2.7209511662118349</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88"/>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78</v>
      </c>
      <c r="C35" s="265"/>
      <c r="D35" s="265" t="str">
        <f>D5</f>
        <v>2023E</v>
      </c>
      <c r="E35" s="265" t="str">
        <f>E5</f>
        <v>2024E</v>
      </c>
      <c r="F35" s="265" t="str">
        <f>F5</f>
        <v>2025E</v>
      </c>
      <c r="G35" s="265" t="str">
        <f>G5</f>
        <v>2026E</v>
      </c>
      <c r="H35" s="265" t="str">
        <f>H5</f>
        <v>23E-26E</v>
      </c>
      <c r="I35" s="17"/>
      <c r="J35" s="5"/>
      <c r="K35" s="5"/>
      <c r="L35" s="5"/>
      <c r="M35" s="5"/>
      <c r="N35" s="5"/>
      <c r="O35" s="5"/>
      <c r="Q35" s="5"/>
      <c r="S35" s="88"/>
      <c r="T35" s="88"/>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1.9589195361329668</v>
      </c>
      <c r="E37" s="64">
        <f t="shared" si="2"/>
        <v>1.6383796798063159</v>
      </c>
      <c r="F37" s="64">
        <f t="shared" si="2"/>
        <v>1.5411744049087741</v>
      </c>
      <c r="G37" s="64">
        <f t="shared" si="2"/>
        <v>1.4434676732212866</v>
      </c>
      <c r="H37" s="17">
        <f t="shared" ref="H37:H45" si="3">H23</f>
        <v>1.8004685546411769E-2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4.8812882235325841</v>
      </c>
      <c r="E38" s="64">
        <f t="shared" si="2"/>
        <v>4.145841728258338</v>
      </c>
      <c r="F38" s="64">
        <f t="shared" si="2"/>
        <v>3.8271320252352607</v>
      </c>
      <c r="G38" s="64">
        <f t="shared" si="2"/>
        <v>3.5258553553595839</v>
      </c>
      <c r="H38" s="17">
        <f t="shared" si="3"/>
        <v>2.4794026477105824E-2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13.16156410853363</v>
      </c>
      <c r="E39" s="64">
        <f t="shared" si="2"/>
        <v>11.425296433104002</v>
      </c>
      <c r="F39" s="64">
        <f t="shared" si="2"/>
        <v>9.8430805940601882</v>
      </c>
      <c r="G39" s="64">
        <f t="shared" si="2"/>
        <v>8.6472666256233168</v>
      </c>
      <c r="H39" s="17">
        <f t="shared" si="3"/>
        <v>5.7684523659928821E-2</v>
      </c>
      <c r="I39" s="5"/>
      <c r="J39" s="5"/>
      <c r="K39" s="5"/>
      <c r="L39" s="5"/>
      <c r="M39" s="5"/>
      <c r="N39" s="5"/>
      <c r="O39" s="5"/>
      <c r="Q39" s="5"/>
      <c r="R39" s="5"/>
      <c r="S39" s="42"/>
      <c r="T39" s="42"/>
      <c r="U39" s="42"/>
      <c r="V39" s="42"/>
      <c r="W39" s="288"/>
      <c r="X39" s="288"/>
      <c r="Y39" s="42"/>
      <c r="Z39" s="42"/>
      <c r="AA39" s="42"/>
    </row>
    <row r="40" spans="2:42">
      <c r="B40" s="5" t="s">
        <v>461</v>
      </c>
      <c r="C40" s="247"/>
      <c r="D40" s="64">
        <f t="shared" si="2"/>
        <v>18.782864415708623</v>
      </c>
      <c r="E40" s="64">
        <f t="shared" si="2"/>
        <v>16.344811252802039</v>
      </c>
      <c r="F40" s="64">
        <f t="shared" si="2"/>
        <v>14.257332213491615</v>
      </c>
      <c r="G40" s="64">
        <f t="shared" si="2"/>
        <v>12.325553609893248</v>
      </c>
      <c r="H40" s="17">
        <f t="shared" si="3"/>
        <v>5.8112215141036705E-2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0.84442389849965394</v>
      </c>
      <c r="E41" s="64">
        <f t="shared" si="2"/>
        <v>0.81498961294635097</v>
      </c>
      <c r="F41" s="64">
        <f t="shared" si="2"/>
        <v>0.77498610757856878</v>
      </c>
      <c r="G41" s="64">
        <f t="shared" si="2"/>
        <v>0.73281741958307633</v>
      </c>
      <c r="H41" s="17">
        <f t="shared" si="3"/>
        <v>-3.6019662148356391E-2</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2.9998062507434589</v>
      </c>
      <c r="E42" s="64">
        <f>E18/E28</f>
        <v>2.5616627697063863</v>
      </c>
      <c r="F42" s="64">
        <f>F18/F28</f>
        <v>2.4320616245212983</v>
      </c>
      <c r="G42" s="64">
        <f>G18/G28</f>
        <v>2.298739291377446</v>
      </c>
      <c r="H42" s="17">
        <f t="shared" si="3"/>
        <v>4.8033956462567584E-3</v>
      </c>
      <c r="I42" s="247"/>
      <c r="J42" s="5"/>
      <c r="K42" s="5"/>
      <c r="L42" s="5"/>
      <c r="M42" s="5"/>
      <c r="N42" s="5"/>
      <c r="O42" s="5"/>
      <c r="Q42" s="5"/>
      <c r="R42" s="5"/>
      <c r="S42" s="42"/>
      <c r="T42" s="42"/>
      <c r="U42" s="42"/>
      <c r="V42" s="42"/>
      <c r="W42" s="288"/>
      <c r="X42" s="288"/>
      <c r="Y42" s="288"/>
      <c r="Z42" s="288"/>
      <c r="AA42" s="42"/>
    </row>
    <row r="43" spans="2:42">
      <c r="B43" s="5" t="s">
        <v>470</v>
      </c>
      <c r="C43" s="247"/>
      <c r="D43" s="64">
        <f>L26/D29</f>
        <v>36.043730510598792</v>
      </c>
      <c r="E43" s="64">
        <f>M26/E29</f>
        <v>34.490732675014193</v>
      </c>
      <c r="F43" s="64">
        <f>N26/F29</f>
        <v>16.287705091950169</v>
      </c>
      <c r="G43" s="64">
        <f>O26/G29</f>
        <v>11.941589892511526</v>
      </c>
      <c r="H43" s="17">
        <f t="shared" si="3"/>
        <v>0.37754240659126448</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18.190653543431651</v>
      </c>
      <c r="E44" s="64">
        <f>E11/E30</f>
        <v>13.647996044938878</v>
      </c>
      <c r="F44" s="64">
        <f>F11/F30</f>
        <v>10.565198529238016</v>
      </c>
      <c r="G44" s="64">
        <f>G11/G30</f>
        <v>9.2374096772312519</v>
      </c>
      <c r="H44" s="17">
        <f t="shared" si="3"/>
        <v>0.20457659904306258</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6.6143118778113894E-2</v>
      </c>
      <c r="E45" s="248">
        <f>E31/E11</f>
        <v>4.3051326641435336E-2</v>
      </c>
      <c r="F45" s="248">
        <f>F31/F11</f>
        <v>4.4102284782265591E-2</v>
      </c>
      <c r="G45" s="248">
        <f>G31/G11</f>
        <v>4.5021641876791196E-2</v>
      </c>
      <c r="H45" s="17">
        <f t="shared" si="3"/>
        <v>-0.15462913486104612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6.6143118778113894E-2</v>
      </c>
      <c r="E46" s="248">
        <f>(E31+E32)/E11</f>
        <v>4.3051326641435336E-2</v>
      </c>
      <c r="F46" s="248">
        <f>(F31+F32)/F11</f>
        <v>4.4102284782265591E-2</v>
      </c>
      <c r="G46" s="248">
        <f>(G31+G32)/G11</f>
        <v>4.5021641876791196E-2</v>
      </c>
      <c r="H46" s="279">
        <f>((G31+G32)/(D31+D32))^(1/3)-1</f>
        <v>-0.15462913486104612</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2.7744076038576149E-2</v>
      </c>
      <c r="E47" s="248">
        <f>1/E43</f>
        <v>2.8993295370742325E-2</v>
      </c>
      <c r="F47" s="248">
        <f>1/F43</f>
        <v>6.1396003571689631E-2</v>
      </c>
      <c r="G47" s="248">
        <f>1/G43</f>
        <v>8.3740943124088682E-2</v>
      </c>
      <c r="H47" s="17">
        <f>H29</f>
        <v>0.37754240659126448</v>
      </c>
      <c r="I47" s="247"/>
      <c r="J47" s="248"/>
      <c r="K47" s="248"/>
      <c r="L47" s="248"/>
      <c r="M47" s="248"/>
      <c r="N47" s="248"/>
      <c r="O47" s="248"/>
      <c r="Q47" s="5"/>
      <c r="R47" s="5"/>
      <c r="S47" s="5"/>
      <c r="T47" s="5"/>
      <c r="U47" s="5"/>
      <c r="AA47" s="303"/>
      <c r="AB47" s="303"/>
    </row>
    <row r="48" spans="2:42">
      <c r="B48" s="5" t="s">
        <v>613</v>
      </c>
      <c r="C48" s="5"/>
      <c r="D48" s="305">
        <f>D31/D29</f>
        <v>2.1773296851754451</v>
      </c>
      <c r="E48" s="305">
        <f>E31/E29</f>
        <v>1.3522122093409186</v>
      </c>
      <c r="F48" s="305">
        <f>F31/F29</f>
        <v>0.65358788133464962</v>
      </c>
      <c r="G48" s="305">
        <f>G31/G29</f>
        <v>0.50321211795021492</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7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1122</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452</v>
      </c>
      <c r="C11" s="5"/>
      <c r="D11" s="271">
        <f>INWIT!D11+CLNX!D11</f>
        <v>35667.065454299998</v>
      </c>
      <c r="E11" s="271">
        <f>INWIT!E11+CLNX!E11</f>
        <v>35485.926986300001</v>
      </c>
      <c r="F11" s="271">
        <f>INWIT!F11+CLNX!F11</f>
        <v>35269.488630135616</v>
      </c>
      <c r="G11" s="271">
        <f>INWIT!G11+CLNX!G11</f>
        <v>35269.488630135616</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49"/>
      <c r="D12" s="228">
        <f>INWIT!D12+CLNX!D12</f>
        <v>20512.684000000001</v>
      </c>
      <c r="E12" s="228">
        <f>INWIT!E12+CLNX!E12</f>
        <v>20787.463492032766</v>
      </c>
      <c r="F12" s="228">
        <f>INWIT!F12+CLNX!F12</f>
        <v>21151.134254628942</v>
      </c>
      <c r="G12" s="228">
        <f>INWIT!G12+CLNX!G12</f>
        <v>21406.024667121044</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57"/>
      <c r="D13" s="228">
        <f>INWIT!D13+CLNX!D13</f>
        <v>89.592031072631471</v>
      </c>
      <c r="E13" s="228">
        <f>INWIT!E13+CLNX!E13</f>
        <v>477.86169087484404</v>
      </c>
      <c r="F13" s="228">
        <f>INWIT!F13+CLNX!F13</f>
        <v>305.57766894558506</v>
      </c>
      <c r="G13" s="228">
        <f>INWIT!G13+CLNX!G13</f>
        <v>123.30117374442887</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74"/>
      <c r="D14" s="228">
        <f>INWIT!D14+CLNX!D14</f>
        <v>0</v>
      </c>
      <c r="E14" s="228">
        <f>INWIT!E14+CLNX!E14</f>
        <v>0</v>
      </c>
      <c r="F14" s="228">
        <f>INWIT!F14+CLNX!F14</f>
        <v>0</v>
      </c>
      <c r="G14" s="228">
        <f>INWIT!G14+CLNX!G14</f>
        <v>0</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57"/>
      <c r="D15" s="228">
        <f>INWIT!D15+CLNX!D15</f>
        <v>1241.7658536585366</v>
      </c>
      <c r="E15" s="228">
        <f>INWIT!E15+CLNX!E15</f>
        <v>1241.7658536585366</v>
      </c>
      <c r="F15" s="228">
        <f>INWIT!F15+CLNX!F15</f>
        <v>1241.7658536585366</v>
      </c>
      <c r="G15" s="228">
        <f>INWIT!G15+CLNX!G15</f>
        <v>1241.7658536585366</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57"/>
      <c r="D16" s="228">
        <f>INWIT!D16+CLNX!D16</f>
        <v>0</v>
      </c>
      <c r="E16" s="228">
        <f>INWIT!E16+CLNX!E16</f>
        <v>0</v>
      </c>
      <c r="F16" s="228">
        <f>INWIT!F16+CLNX!F16</f>
        <v>523.54431432187869</v>
      </c>
      <c r="G16" s="228">
        <f>INWIT!G16+CLNX!G16</f>
        <v>1529.2074522178982</v>
      </c>
      <c r="H16" s="247"/>
      <c r="I16" s="247"/>
      <c r="J16" s="5" t="s">
        <v>528</v>
      </c>
      <c r="L16" s="64">
        <f>'AGG DM'!D44</f>
        <v>15.638044643718967</v>
      </c>
      <c r="M16" s="64">
        <f>'AGG DM'!E44</f>
        <v>14.220962153693332</v>
      </c>
      <c r="N16" s="64">
        <f>'AGG DM'!F44</f>
        <v>12.502249176356969</v>
      </c>
      <c r="O16" s="64">
        <f>'AGG DM'!G44</f>
        <v>11.233113481631298</v>
      </c>
      <c r="P16" s="17">
        <f>'AGG DM'!H44</f>
        <v>8.8584802895584236E-2</v>
      </c>
      <c r="S16" s="88"/>
      <c r="T16" s="88"/>
      <c r="U16" s="88"/>
      <c r="V16" s="42"/>
      <c r="W16" s="42"/>
      <c r="X16" s="42"/>
      <c r="Y16" s="42"/>
      <c r="Z16" s="42"/>
      <c r="AA16" s="42"/>
    </row>
    <row r="17" spans="2:27">
      <c r="B17" s="5" t="s">
        <v>6</v>
      </c>
      <c r="C17" s="257"/>
      <c r="D17" s="228">
        <f>INWIT!D17+CLNX!D17</f>
        <v>430.14867383355971</v>
      </c>
      <c r="E17" s="228">
        <f>INWIT!E17+CLNX!E17</f>
        <v>333.11729691590631</v>
      </c>
      <c r="F17" s="228">
        <f>INWIT!F17+CLNX!F17</f>
        <v>230.45810013702888</v>
      </c>
      <c r="G17" s="228">
        <f>INWIT!G17+CLNX!G17</f>
        <v>121.84466994497654</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451</v>
      </c>
      <c r="C18" s="249"/>
      <c r="D18" s="275">
        <f>INWIT!D18+CLNX!D18</f>
        <v>57080.958665197613</v>
      </c>
      <c r="E18" s="275">
        <f>INWIT!E18+CLNX!E18</f>
        <v>57659.90072595024</v>
      </c>
      <c r="F18" s="275">
        <f>INWIT!F18+CLNX!F18</f>
        <v>57213.963992909761</v>
      </c>
      <c r="G18" s="275">
        <f>INWIT!G18+CLNX!G18</f>
        <v>56389.528202496746</v>
      </c>
      <c r="H18" s="276">
        <f>IF(D18=0,"nm",IF(G18=0,"nm",(G18/D18)^(1/3)-1))</f>
        <v>-4.0541318905039647E-3</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88"/>
      <c r="T18" s="88"/>
      <c r="U18" s="88"/>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'AGG DM'!H47</f>
        <v>6.900159277298723E-2</v>
      </c>
      <c r="S19" s="88"/>
      <c r="T19" s="88"/>
      <c r="U19" s="88"/>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'AGG DM'!H48</f>
        <v>nm</v>
      </c>
      <c r="S20" s="42"/>
      <c r="T20" s="42"/>
      <c r="U20" s="42"/>
      <c r="V20" s="42"/>
      <c r="W20" s="42"/>
      <c r="X20" s="42"/>
      <c r="Y20" s="42"/>
      <c r="Z20" s="42"/>
      <c r="AA20" s="42"/>
    </row>
    <row r="21" spans="2:27" ht="12.6" thickBot="1">
      <c r="B21" s="306" t="s">
        <v>156</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INWIT!C23+CLNX!C23</f>
        <v>5013.4941357809321</v>
      </c>
      <c r="D23" s="228">
        <f>INWIT!D23+CLNX!D23</f>
        <v>5335.3371328260673</v>
      </c>
      <c r="E23" s="228">
        <f>INWIT!E23+CLNX!E23</f>
        <v>5481.4205895523755</v>
      </c>
      <c r="F23" s="228">
        <f>INWIT!F23+CLNX!F23</f>
        <v>5755.8207572163074</v>
      </c>
      <c r="G23" s="228">
        <f>INWIT!G23+CLNX!G23</f>
        <v>6016.2749459348834</v>
      </c>
      <c r="H23" s="279">
        <f t="shared" ref="H23:H33" si="0">IF(D23=0,"nm",IF(G23=0,"nm",(G23/D23)^(1/3)-1))</f>
        <v>4.085109342861859E-2</v>
      </c>
      <c r="I23" s="249"/>
      <c r="J23" s="306" t="s">
        <v>9</v>
      </c>
      <c r="K23" s="306"/>
      <c r="L23" s="265" t="str">
        <f>L5</f>
        <v>2023E</v>
      </c>
      <c r="M23" s="265" t="str">
        <f>M5</f>
        <v>2024E</v>
      </c>
      <c r="N23" s="265" t="str">
        <f>N5</f>
        <v>2025E</v>
      </c>
      <c r="O23" s="265" t="str">
        <f>O5</f>
        <v>2026E</v>
      </c>
      <c r="P23" s="282" t="str">
        <f>P5</f>
        <v>23E-26E</v>
      </c>
      <c r="S23" s="42"/>
      <c r="T23" s="42"/>
      <c r="U23" s="42"/>
      <c r="V23" s="42"/>
      <c r="W23" s="42" t="s">
        <v>562</v>
      </c>
      <c r="X23" s="42" t="s">
        <v>605</v>
      </c>
      <c r="Y23" s="42"/>
      <c r="Z23" s="42"/>
      <c r="AA23" s="42"/>
    </row>
    <row r="24" spans="2:27" ht="12.6" thickTop="1">
      <c r="B24" s="5" t="s">
        <v>478</v>
      </c>
      <c r="C24" s="365">
        <f>INWIT!C24+CLNX!C24</f>
        <v>2271.6989999999996</v>
      </c>
      <c r="D24" s="228">
        <f>INWIT!D24+CLNX!D24</f>
        <v>2701.5264884017688</v>
      </c>
      <c r="E24" s="228">
        <f>INWIT!E24+CLNX!E24</f>
        <v>2935.9952897649259</v>
      </c>
      <c r="F24" s="228">
        <f>INWIT!F24+CLNX!F24</f>
        <v>3143.9279542280615</v>
      </c>
      <c r="G24" s="228">
        <f>INWIT!G24+CLNX!G24</f>
        <v>3363.2431425472819</v>
      </c>
      <c r="H24" s="279">
        <f t="shared" si="0"/>
        <v>7.5762361123245414E-2</v>
      </c>
      <c r="I24" s="248"/>
      <c r="J24" s="17"/>
      <c r="K24" s="17"/>
      <c r="L24" s="17"/>
      <c r="M24" s="17"/>
      <c r="N24" s="17"/>
      <c r="O24" s="248"/>
      <c r="S24" s="42"/>
      <c r="T24" s="42"/>
      <c r="U24" s="42"/>
      <c r="V24" s="147" t="s">
        <v>268</v>
      </c>
      <c r="W24" s="288">
        <f t="shared" ref="W24:W27" si="1">E37/M9</f>
        <v>4.4288608326336059</v>
      </c>
      <c r="X24" s="288">
        <v>1</v>
      </c>
      <c r="Y24" s="42"/>
      <c r="Z24" s="42"/>
      <c r="AA24" s="42"/>
    </row>
    <row r="25" spans="2:27">
      <c r="B25" s="5" t="s">
        <v>179</v>
      </c>
      <c r="C25" s="365">
        <f>INWIT!C25+CLNX!C25</f>
        <v>-432.44100000000003</v>
      </c>
      <c r="D25" s="228">
        <f>INWIT!D25+CLNX!D25</f>
        <v>911.38848840176877</v>
      </c>
      <c r="E25" s="228">
        <f>INWIT!E25+CLNX!E25</f>
        <v>1181.4173362987974</v>
      </c>
      <c r="F25" s="228">
        <f>INWIT!F25+CLNX!F25</f>
        <v>1310.2698250764411</v>
      </c>
      <c r="G25" s="228">
        <f>INWIT!G25+CLNX!G25</f>
        <v>1783.6788927438888</v>
      </c>
      <c r="H25" s="279">
        <f t="shared" si="0"/>
        <v>0.25084753805941973</v>
      </c>
      <c r="I25" s="249"/>
      <c r="J25" s="247" t="s">
        <v>10</v>
      </c>
      <c r="K25" s="247"/>
      <c r="L25" s="332">
        <f>INWIT!L25 + CLNX!L25</f>
        <v>0</v>
      </c>
      <c r="M25" s="332">
        <f>INWIT!M25 + CLNX!M25</f>
        <v>0</v>
      </c>
      <c r="N25" s="332">
        <f>INWIT!N25 + CLNX!N25</f>
        <v>0</v>
      </c>
      <c r="O25" s="332">
        <f>INWIT!O25 + CLNX!O25</f>
        <v>0</v>
      </c>
      <c r="P25" s="279" t="str">
        <f>IF(L25=0,"nm",IF(O25=0,"nm",(O25/L25)^(1/3)-1))</f>
        <v>nm</v>
      </c>
      <c r="Q25" s="5"/>
      <c r="S25" s="42"/>
      <c r="T25" s="42"/>
      <c r="U25" s="42"/>
      <c r="V25" s="147" t="s">
        <v>180</v>
      </c>
      <c r="W25" s="288">
        <f t="shared" si="1"/>
        <v>2.780404535338624</v>
      </c>
      <c r="X25" s="288">
        <v>1</v>
      </c>
      <c r="Y25" s="42"/>
      <c r="Z25" s="42"/>
      <c r="AA25" s="42"/>
    </row>
    <row r="26" spans="2:27">
      <c r="B26" s="5" t="s">
        <v>581</v>
      </c>
      <c r="C26" s="365">
        <f>INWIT!C26+CLNX!C26</f>
        <v>-350.51560131849988</v>
      </c>
      <c r="D26" s="228">
        <f>INWIT!D26+CLNX!D26</f>
        <v>673.90570639072394</v>
      </c>
      <c r="E26" s="228">
        <f>INWIT!E26+CLNX!E26</f>
        <v>875.7757378645174</v>
      </c>
      <c r="F26" s="228">
        <f>INWIT!F26+CLNX!F26</f>
        <v>969.81171224050877</v>
      </c>
      <c r="G26" s="228">
        <f>INWIT!G26+CLNX!G26</f>
        <v>1326.0195531655959</v>
      </c>
      <c r="H26" s="279">
        <f t="shared" si="0"/>
        <v>0.25309384872226159</v>
      </c>
      <c r="I26" s="249"/>
      <c r="J26" s="249" t="s">
        <v>11</v>
      </c>
      <c r="K26" s="249"/>
      <c r="L26" s="281">
        <f>INWIT!L26 + CLNX!L26</f>
        <v>35667.065454299998</v>
      </c>
      <c r="M26" s="281">
        <f>INWIT!M26 + CLNX!M26</f>
        <v>35485.926986300001</v>
      </c>
      <c r="N26" s="281">
        <f>INWIT!N26 + CLNX!N26</f>
        <v>35269.488630135616</v>
      </c>
      <c r="O26" s="281">
        <f>INWIT!O26 + CLNX!O26</f>
        <v>35269.488630135616</v>
      </c>
      <c r="P26" s="279">
        <f>IF(L26=0,"nm",IF(O26=0,"nm",(O26/L26)^(1/3)-1))</f>
        <v>-3.729521750326148E-3</v>
      </c>
      <c r="Q26" s="41"/>
      <c r="S26" s="42"/>
      <c r="T26" s="42"/>
      <c r="U26" s="42"/>
      <c r="V26" s="147" t="s">
        <v>181</v>
      </c>
      <c r="W26" s="288">
        <f t="shared" si="1"/>
        <v>3.8635333506539267</v>
      </c>
      <c r="X26" s="288">
        <v>1</v>
      </c>
      <c r="Y26" s="42"/>
      <c r="Z26" s="42"/>
      <c r="AA26" s="42"/>
    </row>
    <row r="27" spans="2:27">
      <c r="B27" s="5" t="s">
        <v>582</v>
      </c>
      <c r="C27" s="365">
        <f>INWIT!C27+CLNX!C27</f>
        <v>39494.085999999996</v>
      </c>
      <c r="D27" s="228">
        <f>INWIT!D27+CLNX!D27</f>
        <v>39027.722000000002</v>
      </c>
      <c r="E27" s="228">
        <f>INWIT!E27+CLNX!E27</f>
        <v>38686.608784602853</v>
      </c>
      <c r="F27" s="228">
        <f>INWIT!F27+CLNX!F27</f>
        <v>38692.697122576559</v>
      </c>
      <c r="G27" s="228">
        <f>INWIT!G27+CLNX!G27</f>
        <v>38460.525617952444</v>
      </c>
      <c r="H27" s="279">
        <f t="shared" si="0"/>
        <v>-4.8680482740720565E-3</v>
      </c>
      <c r="I27" s="248"/>
      <c r="J27" s="248"/>
      <c r="K27" s="248"/>
      <c r="L27" s="248"/>
      <c r="M27" s="248"/>
      <c r="N27" s="248"/>
      <c r="O27" s="248"/>
      <c r="Q27" s="5"/>
      <c r="S27" s="42"/>
      <c r="T27" s="42"/>
      <c r="U27" s="42"/>
      <c r="V27" s="147" t="s">
        <v>461</v>
      </c>
      <c r="W27" s="288">
        <f t="shared" si="1"/>
        <v>3.6637860462997902</v>
      </c>
      <c r="X27" s="288">
        <v>1</v>
      </c>
      <c r="Y27" s="42"/>
      <c r="Z27" s="42"/>
      <c r="AA27" s="42"/>
    </row>
    <row r="28" spans="2:27" ht="12.6" thickBot="1">
      <c r="B28" s="5" t="s">
        <v>587</v>
      </c>
      <c r="C28" s="365">
        <f>INWIT!C28+CLNX!C28</f>
        <v>933.00800000000004</v>
      </c>
      <c r="D28" s="228">
        <f>INWIT!D28+CLNX!D28</f>
        <v>1109.5530000000001</v>
      </c>
      <c r="E28" s="228">
        <f>INWIT!E28+CLNX!E28</f>
        <v>1242.0408108088011</v>
      </c>
      <c r="F28" s="228">
        <f>INWIT!F28+CLNX!F28</f>
        <v>1334.9442457333162</v>
      </c>
      <c r="G28" s="228">
        <f>INWIT!G28+CLNX!G28</f>
        <v>1397.9031281343148</v>
      </c>
      <c r="H28" s="279">
        <f t="shared" si="0"/>
        <v>8.0047878651871907E-2</v>
      </c>
      <c r="I28" s="252"/>
      <c r="J28" s="306" t="s">
        <v>747</v>
      </c>
      <c r="K28" s="306"/>
      <c r="L28" s="306"/>
      <c r="M28" s="306"/>
      <c r="N28" s="266"/>
      <c r="O28" s="266"/>
      <c r="P28" s="266"/>
      <c r="Q28" s="5"/>
      <c r="S28" s="42"/>
      <c r="T28" s="42"/>
      <c r="U28" s="42"/>
      <c r="V28" s="147" t="s">
        <v>525</v>
      </c>
      <c r="W28" s="288" t="e">
        <f>#REF!/M13</f>
        <v>#REF!</v>
      </c>
      <c r="X28" s="288">
        <v>1</v>
      </c>
      <c r="Y28" s="42"/>
      <c r="Z28" s="42"/>
      <c r="AA28" s="42"/>
    </row>
    <row r="29" spans="2:27" ht="12.6" thickTop="1">
      <c r="B29" s="5" t="s">
        <v>583</v>
      </c>
      <c r="C29" s="365">
        <f>INWIT!C29+CLNX!C29</f>
        <v>-913.98557362000042</v>
      </c>
      <c r="D29" s="228">
        <f>INWIT!D29+CLNX!D29</f>
        <v>371.09593940176865</v>
      </c>
      <c r="E29" s="228">
        <f>INWIT!E29+CLNX!E29</f>
        <v>487.01053336723305</v>
      </c>
      <c r="F29" s="228">
        <f>INWIT!F29+CLNX!F29</f>
        <v>587.62542672570385</v>
      </c>
      <c r="G29" s="228">
        <f>INWIT!G29+CLNX!G29</f>
        <v>978.52460040391702</v>
      </c>
      <c r="H29" s="279">
        <f t="shared" si="0"/>
        <v>0.38153486275944082</v>
      </c>
      <c r="I29" s="254"/>
      <c r="J29" s="249"/>
      <c r="K29" s="249"/>
      <c r="L29" s="249"/>
      <c r="M29" s="249"/>
      <c r="N29" s="249"/>
      <c r="O29" s="251"/>
      <c r="Q29" s="5"/>
      <c r="S29" s="42"/>
      <c r="T29" s="42"/>
      <c r="U29" s="42"/>
      <c r="V29" s="147" t="s">
        <v>588</v>
      </c>
      <c r="W29" s="288" t="e">
        <f>#REF!/M14</f>
        <v>#REF!</v>
      </c>
      <c r="X29" s="288">
        <v>1</v>
      </c>
      <c r="Y29" s="42"/>
      <c r="Z29" s="42"/>
      <c r="AA29" s="42"/>
    </row>
    <row r="30" spans="2:27">
      <c r="B30" s="5" t="s">
        <v>584</v>
      </c>
      <c r="C30" s="365">
        <f>INWIT!C30+CLNX!C30</f>
        <v>-3.7189000000002466</v>
      </c>
      <c r="D30" s="228">
        <f>INWIT!D30+CLNX!D30</f>
        <v>42.305488401768685</v>
      </c>
      <c r="E30" s="228">
        <f>INWIT!E30+CLNX!E30</f>
        <v>169.23744297009122</v>
      </c>
      <c r="F30" s="228">
        <f>INWIT!F30+CLNX!F30</f>
        <v>374.31188969940757</v>
      </c>
      <c r="G30" s="228">
        <f>INWIT!G30+CLNX!G30</f>
        <v>533.1587207797993</v>
      </c>
      <c r="H30" s="279">
        <f t="shared" si="0"/>
        <v>1.3271261945905319</v>
      </c>
      <c r="I30" s="254"/>
      <c r="J30" s="248"/>
      <c r="K30" s="248"/>
      <c r="L30" s="248"/>
      <c r="M30" s="248"/>
      <c r="N30" s="248"/>
      <c r="O30" s="5"/>
      <c r="Q30" s="5"/>
      <c r="S30" s="42"/>
      <c r="T30" s="42"/>
      <c r="U30" s="42"/>
      <c r="V30" s="147" t="s">
        <v>470</v>
      </c>
      <c r="W30" s="288">
        <f>E43/M15</f>
        <v>5.7482563469263432</v>
      </c>
      <c r="X30" s="288">
        <v>1</v>
      </c>
      <c r="Y30" s="42"/>
      <c r="Z30" s="42"/>
      <c r="AA30" s="42"/>
    </row>
    <row r="31" spans="2:27">
      <c r="B31" s="5" t="s">
        <v>585</v>
      </c>
      <c r="C31" s="365">
        <f>INWIT!C31+CLNX!C31</f>
        <v>369.43566398482</v>
      </c>
      <c r="D31" s="228">
        <f>INWIT!D31+CLNX!D31</f>
        <v>495.11399145624995</v>
      </c>
      <c r="E31" s="228">
        <f>INWIT!E31+CLNX!E31</f>
        <v>524.78216167999994</v>
      </c>
      <c r="F31" s="228">
        <f>INWIT!F31+CLNX!F31</f>
        <v>558.82313789601949</v>
      </c>
      <c r="G31" s="228">
        <f>INWIT!G31+CLNX!G31</f>
        <v>1043.5878732382209</v>
      </c>
      <c r="H31" s="279">
        <f t="shared" si="0"/>
        <v>0.28215719811332707</v>
      </c>
      <c r="I31" s="254"/>
      <c r="J31" s="252"/>
      <c r="K31" s="252"/>
      <c r="L31" s="252"/>
      <c r="M31" s="252"/>
      <c r="N31" s="252"/>
      <c r="O31" s="5"/>
      <c r="Q31" s="5"/>
      <c r="S31" s="42"/>
      <c r="T31" s="42"/>
      <c r="U31" s="42"/>
      <c r="V31" s="147" t="s">
        <v>528</v>
      </c>
      <c r="W31" s="288">
        <f>E44/M16</f>
        <v>14.74452272312254</v>
      </c>
      <c r="X31" s="288">
        <v>1</v>
      </c>
      <c r="Y31" s="42"/>
      <c r="Z31" s="42"/>
      <c r="AA31" s="42"/>
    </row>
    <row r="32" spans="2:27">
      <c r="B32" s="5" t="s">
        <v>601</v>
      </c>
      <c r="C32" s="365">
        <f>INWIT!C32+CLNX!C32</f>
        <v>0</v>
      </c>
      <c r="D32" s="228">
        <f>INWIT!D32+CLNX!D32</f>
        <v>0</v>
      </c>
      <c r="E32" s="228">
        <f>INWIT!E32+CLNX!E32</f>
        <v>0</v>
      </c>
      <c r="F32" s="228">
        <f>INWIT!F32+CLNX!F32</f>
        <v>0</v>
      </c>
      <c r="G32" s="228">
        <f>INWIT!G32+CLNX!G32</f>
        <v>0</v>
      </c>
      <c r="H32" s="279" t="str">
        <f t="shared" si="0"/>
        <v>nm</v>
      </c>
      <c r="I32" s="5"/>
      <c r="J32" s="254"/>
      <c r="K32" s="254"/>
      <c r="L32" s="254"/>
      <c r="M32" s="254"/>
      <c r="N32" s="254"/>
      <c r="O32" s="251"/>
      <c r="Q32" s="5"/>
      <c r="S32" s="42"/>
      <c r="T32" s="42"/>
      <c r="U32" s="42"/>
      <c r="V32" s="147" t="s">
        <v>575</v>
      </c>
      <c r="W32" s="288">
        <f>M17/E45</f>
        <v>2.644123859718098</v>
      </c>
      <c r="X32" s="288">
        <v>1</v>
      </c>
      <c r="Y32" s="42"/>
      <c r="Z32" s="42"/>
      <c r="AA32" s="42"/>
    </row>
    <row r="33" spans="2:42">
      <c r="B33" s="5" t="s">
        <v>5</v>
      </c>
      <c r="C33" s="365">
        <f>INWIT!C33+CLNX!C33</f>
        <v>-320.33009999999996</v>
      </c>
      <c r="D33" s="228">
        <f>INWIT!D33+CLNX!D33</f>
        <v>-367.58300000000003</v>
      </c>
      <c r="E33" s="228">
        <f>INWIT!E33+CLNX!E33</f>
        <v>-351.24143509666169</v>
      </c>
      <c r="F33" s="228">
        <f>INWIT!F33+CLNX!F33</f>
        <v>-347.66580298293189</v>
      </c>
      <c r="G33" s="228">
        <f>INWIT!G33+CLNX!G33</f>
        <v>-331.19115791680929</v>
      </c>
      <c r="H33" s="279">
        <f t="shared" si="0"/>
        <v>-3.4154252776131822E-2</v>
      </c>
      <c r="I33" s="49"/>
      <c r="J33" s="254"/>
      <c r="K33" s="254"/>
      <c r="L33" s="254"/>
      <c r="M33" s="254"/>
      <c r="N33" s="254"/>
      <c r="O33" s="251"/>
      <c r="Q33" s="5"/>
      <c r="S33" s="42"/>
      <c r="T33" s="42"/>
      <c r="U33" s="42"/>
      <c r="V33" s="147" t="s">
        <v>576</v>
      </c>
      <c r="W33" s="288">
        <f>M19/E47</f>
        <v>5.7482563469263432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0" si="2">D$18/D23</f>
        <v>10.698660130397885</v>
      </c>
      <c r="E37" s="553">
        <f t="shared" si="2"/>
        <v>10.519152796968434</v>
      </c>
      <c r="F37" s="553">
        <f t="shared" si="2"/>
        <v>9.9401920953112164</v>
      </c>
      <c r="G37" s="553">
        <f t="shared" si="2"/>
        <v>9.3728309808378025</v>
      </c>
      <c r="H37" s="17">
        <f t="shared" ref="H37:H41" si="3">H23</f>
        <v>4.085109342861859E-2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21.129150097272184</v>
      </c>
      <c r="E38" s="553">
        <f t="shared" si="2"/>
        <v>19.638962271825324</v>
      </c>
      <c r="F38" s="553">
        <f t="shared" si="2"/>
        <v>18.198242716079569</v>
      </c>
      <c r="G38" s="553">
        <f t="shared" si="2"/>
        <v>16.766414384119717</v>
      </c>
      <c r="H38" s="17">
        <f t="shared" si="3"/>
        <v>7.5762361123245414E-2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62.630765465664439</v>
      </c>
      <c r="E39" s="553">
        <f t="shared" si="2"/>
        <v>48.805700538126537</v>
      </c>
      <c r="F39" s="553">
        <f t="shared" si="2"/>
        <v>43.665787685808837</v>
      </c>
      <c r="G39" s="553">
        <f t="shared" si="2"/>
        <v>31.614170258947773</v>
      </c>
      <c r="H39" s="17">
        <f t="shared" si="3"/>
        <v>0.25084753805941973</v>
      </c>
      <c r="I39" s="5"/>
      <c r="J39" s="5"/>
      <c r="K39" s="5"/>
      <c r="L39" s="5"/>
      <c r="M39" s="5"/>
      <c r="N39" s="5"/>
      <c r="O39" s="5"/>
      <c r="Q39" s="5"/>
      <c r="R39" s="5"/>
      <c r="S39" s="42"/>
      <c r="T39" s="42"/>
      <c r="U39" s="42"/>
      <c r="V39" s="42"/>
      <c r="W39" s="288"/>
      <c r="X39" s="288"/>
      <c r="Y39" s="42"/>
      <c r="Z39" s="42"/>
      <c r="AA39" s="42"/>
    </row>
    <row r="40" spans="2:42">
      <c r="B40" s="5" t="s">
        <v>461</v>
      </c>
      <c r="C40" s="247"/>
      <c r="D40" s="553">
        <f t="shared" si="2"/>
        <v>84.701699546230927</v>
      </c>
      <c r="E40" s="553">
        <f t="shared" si="2"/>
        <v>65.838659639678482</v>
      </c>
      <c r="F40" s="553">
        <f t="shared" si="2"/>
        <v>58.994919602209308</v>
      </c>
      <c r="G40" s="553">
        <f t="shared" si="2"/>
        <v>42.525412289644201</v>
      </c>
      <c r="H40" s="17">
        <f t="shared" si="3"/>
        <v>0.25309384872226159</v>
      </c>
      <c r="I40" s="247"/>
      <c r="J40" s="259"/>
      <c r="K40" s="259"/>
      <c r="L40" s="259"/>
      <c r="M40" s="259"/>
      <c r="N40" s="259"/>
      <c r="O40" s="18"/>
      <c r="Q40" s="5"/>
      <c r="R40" s="5"/>
      <c r="S40" s="42"/>
      <c r="T40" s="42"/>
      <c r="U40" s="42"/>
      <c r="V40" s="42"/>
      <c r="W40" s="288"/>
      <c r="X40" s="288"/>
      <c r="Y40" s="288"/>
      <c r="Z40" s="288"/>
      <c r="AA40" s="42"/>
    </row>
    <row r="41" spans="2:42">
      <c r="B41" s="5" t="s">
        <v>525</v>
      </c>
      <c r="D41" s="553">
        <f>D18/D27</f>
        <v>1.4625746966527438</v>
      </c>
      <c r="E41" s="553">
        <f t="shared" ref="E41:G41" si="4">E18/E27</f>
        <v>1.4904356452380156</v>
      </c>
      <c r="F41" s="553">
        <f t="shared" si="4"/>
        <v>1.478676035729914</v>
      </c>
      <c r="G41" s="553">
        <f t="shared" si="4"/>
        <v>1.4661663431915106</v>
      </c>
      <c r="H41" s="17">
        <f t="shared" si="3"/>
        <v>-4.8680482740720565E-3</v>
      </c>
      <c r="I41" s="248"/>
      <c r="J41" s="17"/>
      <c r="K41" s="17"/>
      <c r="L41" s="17"/>
      <c r="M41" s="17"/>
      <c r="N41" s="17"/>
      <c r="O41" s="5"/>
      <c r="Q41" s="5"/>
      <c r="R41" s="5"/>
      <c r="S41" s="42"/>
      <c r="T41" s="42"/>
      <c r="U41" s="42"/>
      <c r="V41" s="42"/>
      <c r="W41" s="288"/>
      <c r="X41" s="288"/>
      <c r="Y41" s="288"/>
      <c r="Z41" s="288"/>
      <c r="AA41" s="42"/>
    </row>
    <row r="42" spans="2:42">
      <c r="B42" s="5" t="s">
        <v>588</v>
      </c>
      <c r="D42" s="553">
        <f>IFERROR(D18/D28,"na")</f>
        <v>51.445004127966492</v>
      </c>
      <c r="E42" s="553">
        <f>IFERROR(E18/E28,"na")</f>
        <v>46.423515414443465</v>
      </c>
      <c r="F42" s="553">
        <f>IFERROR(F18/F28,"na")</f>
        <v>42.858691796136242</v>
      </c>
      <c r="G42" s="553">
        <f>IFERROR(G18/G28,"na")</f>
        <v>40.338652276825485</v>
      </c>
      <c r="H42" s="17">
        <f>H28</f>
        <v>8.0047878651871907E-2</v>
      </c>
      <c r="I42" s="247"/>
      <c r="J42" s="5"/>
      <c r="K42" s="5"/>
      <c r="L42" s="5"/>
      <c r="M42" s="5"/>
      <c r="N42" s="5"/>
      <c r="O42" s="5"/>
      <c r="Q42" s="5"/>
      <c r="R42" s="5"/>
      <c r="S42" s="42"/>
      <c r="T42" s="42"/>
      <c r="U42" s="42"/>
      <c r="V42" s="42"/>
      <c r="W42" s="288"/>
      <c r="X42" s="288"/>
      <c r="Y42" s="288"/>
      <c r="Z42" s="288"/>
      <c r="AA42" s="42"/>
    </row>
    <row r="43" spans="2:42">
      <c r="B43" s="5" t="s">
        <v>470</v>
      </c>
      <c r="C43" s="247"/>
      <c r="D43" s="553">
        <f>L26/D29</f>
        <v>96.112788277332498</v>
      </c>
      <c r="E43" s="553">
        <f>M26/E29</f>
        <v>72.864803849204705</v>
      </c>
      <c r="F43" s="553">
        <f>N26/F29</f>
        <v>60.020358252126776</v>
      </c>
      <c r="G43" s="553">
        <f>O26/G29</f>
        <v>36.043538011795533</v>
      </c>
      <c r="H43" s="17">
        <f>H29</f>
        <v>0.38153486275944082</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843.08364710449359</v>
      </c>
      <c r="E44" s="553">
        <f>E11/E30</f>
        <v>209.68129961979699</v>
      </c>
      <c r="F44" s="553">
        <f>F11/F30</f>
        <v>94.224868620814846</v>
      </c>
      <c r="G44" s="553">
        <f>G11/G30</f>
        <v>66.151949232960817</v>
      </c>
      <c r="H44" s="17">
        <f>H30</f>
        <v>1.3271261945905319</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1.3881545486006877E-2</v>
      </c>
      <c r="E45" s="248">
        <f>E31/E11</f>
        <v>1.4788458587614234E-2</v>
      </c>
      <c r="F45" s="248">
        <f>F31/F11</f>
        <v>1.5844378798805132E-2</v>
      </c>
      <c r="G45" s="248">
        <f>G31/G11</f>
        <v>2.9588970914268913E-2</v>
      </c>
      <c r="H45" s="17">
        <f>H31</f>
        <v>0.28215719811332707</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1.3881545486006877E-2</v>
      </c>
      <c r="E46" s="248">
        <f>(E31+E32)/E11</f>
        <v>1.4788458587614234E-2</v>
      </c>
      <c r="F46" s="248">
        <f>(F31+F32)/F11</f>
        <v>1.5844378798805132E-2</v>
      </c>
      <c r="G46" s="248">
        <f>(G31+G32)/G11</f>
        <v>2.9588970914268913E-2</v>
      </c>
      <c r="H46" s="279">
        <f>((G31+G32)/(D31+D32))^(1/3)-1</f>
        <v>0.28215719811332707</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1.0404442716972375E-2</v>
      </c>
      <c r="E47" s="248">
        <f>1/E43</f>
        <v>1.3724047100566163E-2</v>
      </c>
      <c r="F47" s="248">
        <f>1/F43</f>
        <v>1.6661013514769646E-2</v>
      </c>
      <c r="G47" s="248">
        <f>1/G43</f>
        <v>2.7744224212194211E-2</v>
      </c>
      <c r="H47" s="17">
        <f>H29</f>
        <v>0.38153486275944082</v>
      </c>
      <c r="I47" s="247"/>
      <c r="J47" s="248"/>
      <c r="K47" s="248"/>
      <c r="L47" s="248"/>
      <c r="M47" s="248"/>
      <c r="N47" s="248"/>
      <c r="O47" s="248"/>
      <c r="Q47" s="5"/>
      <c r="R47" s="5"/>
      <c r="S47" s="5"/>
      <c r="T47" s="5"/>
      <c r="U47" s="5"/>
      <c r="AA47" s="303"/>
      <c r="AB47" s="303"/>
    </row>
    <row r="48" spans="2:42">
      <c r="B48" s="5" t="s">
        <v>613</v>
      </c>
      <c r="C48" s="5"/>
      <c r="D48" s="305">
        <f>D31/D29</f>
        <v>1.3341940422587395</v>
      </c>
      <c r="E48" s="305">
        <f>E31/E29</f>
        <v>1.077558134218598</v>
      </c>
      <c r="F48" s="305">
        <f>F31/F29</f>
        <v>0.95098529178668623</v>
      </c>
      <c r="G48" s="305">
        <f>G31/G29</f>
        <v>1.066491197878364</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69"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55">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26" width="9.109375" style="5"/>
    <col min="27" max="27" width="9.6640625" style="5" bestFit="1" customWidth="1"/>
    <col min="28"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604</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452</v>
      </c>
      <c r="C11" s="5"/>
      <c r="D11" s="271">
        <f>'W.EUR OTHER'!D11+'W.EUR INCUMB'!D11+'W.EUR TOWER'!D11</f>
        <v>373869.50695323967</v>
      </c>
      <c r="E11" s="271">
        <f>'W.EUR OTHER'!E11+'W.EUR INCUMB'!E11+'W.EUR TOWER'!E11</f>
        <v>367789.48228098213</v>
      </c>
      <c r="F11" s="271">
        <f>'W.EUR OTHER'!F11+'W.EUR INCUMB'!F11+'W.EUR TOWER'!F11</f>
        <v>364504.31893756252</v>
      </c>
      <c r="G11" s="271">
        <f>'W.EUR OTHER'!G11+'W.EUR INCUMB'!G11+'W.EUR TOWER'!G11</f>
        <v>363511.04387637717</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49"/>
      <c r="D12" s="228">
        <f>'W.EUR OTHER'!D12+'W.EUR INCUMB'!D12+'W.EUR TOWER'!D12</f>
        <v>288640.66397746291</v>
      </c>
      <c r="E12" s="228">
        <f>'W.EUR OTHER'!E12+'W.EUR INCUMB'!E12+'W.EUR TOWER'!E12</f>
        <v>279167.03404866002</v>
      </c>
      <c r="F12" s="228">
        <f>'W.EUR OTHER'!F12+'W.EUR INCUMB'!F12+'W.EUR TOWER'!F12</f>
        <v>282262.48283066199</v>
      </c>
      <c r="G12" s="228">
        <f>'W.EUR OTHER'!G12+'W.EUR INCUMB'!G12+'W.EUR TOWER'!G12</f>
        <v>285283.88473927765</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57"/>
      <c r="D13" s="228">
        <f>'W.EUR OTHER'!D13+'W.EUR INCUMB'!D13+'W.EUR TOWER'!D13</f>
        <v>74614.842208624759</v>
      </c>
      <c r="E13" s="228">
        <f>'W.EUR OTHER'!E13+'W.EUR INCUMB'!E13+'W.EUR TOWER'!E13</f>
        <v>73671.137994826509</v>
      </c>
      <c r="F13" s="228">
        <f>'W.EUR OTHER'!F13+'W.EUR INCUMB'!F13+'W.EUR TOWER'!F13</f>
        <v>71688.251719893422</v>
      </c>
      <c r="G13" s="228">
        <f>'W.EUR OTHER'!G13+'W.EUR INCUMB'!G13+'W.EUR TOWER'!G13</f>
        <v>69985.197645321183</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74"/>
      <c r="D14" s="228">
        <f>'W.EUR OTHER'!D14+'W.EUR INCUMB'!D14+'W.EUR TOWER'!D14</f>
        <v>34233.863720257476</v>
      </c>
      <c r="E14" s="228">
        <f>'W.EUR OTHER'!E14+'W.EUR INCUMB'!E14+'W.EUR TOWER'!E14</f>
        <v>34233.863720257476</v>
      </c>
      <c r="F14" s="228">
        <f>'W.EUR OTHER'!F14+'W.EUR INCUMB'!F14+'W.EUR TOWER'!F14</f>
        <v>34233.863720257476</v>
      </c>
      <c r="G14" s="228">
        <f>'W.EUR OTHER'!G14+'W.EUR INCUMB'!G14+'W.EUR TOWER'!G14</f>
        <v>34233.863720257476</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57"/>
      <c r="D15" s="228">
        <f>'W.EUR OTHER'!D15+'W.EUR INCUMB'!D15+'W.EUR TOWER'!D15</f>
        <v>117884.45912314911</v>
      </c>
      <c r="E15" s="228">
        <f>'W.EUR OTHER'!E15+'W.EUR INCUMB'!E15+'W.EUR TOWER'!E15</f>
        <v>114820.99084633039</v>
      </c>
      <c r="F15" s="228">
        <f>'W.EUR OTHER'!F15+'W.EUR INCUMB'!F15+'W.EUR TOWER'!F15</f>
        <v>112575.0427429726</v>
      </c>
      <c r="G15" s="228">
        <f>'W.EUR OTHER'!G15+'W.EUR INCUMB'!G15+'W.EUR TOWER'!G15</f>
        <v>109983.68270272072</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57"/>
      <c r="D16" s="228">
        <f>'W.EUR OTHER'!D16+'W.EUR INCUMB'!D16+'W.EUR TOWER'!D16</f>
        <v>30.007207000000001</v>
      </c>
      <c r="E16" s="228">
        <f>'W.EUR OTHER'!E16+'W.EUR INCUMB'!E16+'W.EUR TOWER'!E16</f>
        <v>9041.7652108596176</v>
      </c>
      <c r="F16" s="228">
        <f>'W.EUR OTHER'!F16+'W.EUR INCUMB'!F16+'W.EUR TOWER'!F16</f>
        <v>24985.057648172486</v>
      </c>
      <c r="G16" s="228">
        <f>'W.EUR OTHER'!G16+'W.EUR INCUMB'!G16+'W.EUR TOWER'!G16</f>
        <v>42314.365793608864</v>
      </c>
      <c r="H16" s="247"/>
      <c r="I16" s="247"/>
      <c r="J16" s="5" t="s">
        <v>528</v>
      </c>
      <c r="L16" s="64">
        <f>'AGG DM'!D44</f>
        <v>15.638044643718967</v>
      </c>
      <c r="M16" s="64">
        <f>'AGG DM'!E44</f>
        <v>14.220962153693332</v>
      </c>
      <c r="N16" s="64">
        <f>'AGG DM'!F44</f>
        <v>12.502249176356969</v>
      </c>
      <c r="O16" s="64">
        <f>'AGG DM'!G44</f>
        <v>11.233113481631298</v>
      </c>
      <c r="P16" s="17">
        <f>'AGG DM'!H44</f>
        <v>8.8584802895584236E-2</v>
      </c>
      <c r="S16" s="88"/>
      <c r="T16" s="88"/>
      <c r="U16" s="88"/>
      <c r="V16" s="42"/>
      <c r="W16" s="42"/>
      <c r="X16" s="42"/>
      <c r="Y16" s="42"/>
      <c r="Z16" s="42"/>
      <c r="AA16" s="42"/>
    </row>
    <row r="17" spans="2:27">
      <c r="B17" s="5" t="s">
        <v>6</v>
      </c>
      <c r="C17" s="257"/>
      <c r="D17" s="228">
        <f>'W.EUR OTHER'!D17+'W.EUR INCUMB'!D17+'W.EUR TOWER'!D17</f>
        <v>6763.3917355696067</v>
      </c>
      <c r="E17" s="228">
        <f>'W.EUR OTHER'!E17+'W.EUR INCUMB'!E17+'W.EUR TOWER'!E17</f>
        <v>6582.0552743010576</v>
      </c>
      <c r="F17" s="228">
        <f>'W.EUR OTHER'!F17+'W.EUR INCUMB'!F17+'W.EUR TOWER'!F17</f>
        <v>6392.7258121108289</v>
      </c>
      <c r="G17" s="228">
        <f>'W.EUR OTHER'!G17+'W.EUR INCUMB'!G17+'W.EUR TOWER'!G17</f>
        <v>6221.2995675217699</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451</v>
      </c>
      <c r="C18" s="249"/>
      <c r="D18" s="275">
        <f>'W.EUR OTHER'!D18+'W.EUR INCUMB'!D18+'W.EUR TOWER'!D18</f>
        <v>813982.20959964942</v>
      </c>
      <c r="E18" s="275">
        <f>'W.EUR OTHER'!E18+'W.EUR INCUMB'!E18+'W.EUR TOWER'!E18</f>
        <v>785590.960965381</v>
      </c>
      <c r="F18" s="275">
        <f>'W.EUR OTHER'!F18+'W.EUR INCUMB'!F18+'W.EUR TOWER'!F18</f>
        <v>765418.44905054977</v>
      </c>
      <c r="G18" s="275">
        <f>'W.EUR OTHER'!G18+'W.EUR INCUMB'!G18+'W.EUR TOWER'!G18</f>
        <v>745994.27988230856</v>
      </c>
      <c r="H18" s="276">
        <f>IF(D18=0,"nm",IF(G18=0,"nm",(G18/D18)^(1/3)-1))</f>
        <v>-2.8654957203011922E-2</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42"/>
      <c r="T18" s="42"/>
      <c r="U18" s="42"/>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'AGG DM'!H47</f>
        <v>6.900159277298723E-2</v>
      </c>
      <c r="S19" s="42"/>
      <c r="T19" s="42"/>
      <c r="U19" s="42"/>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'AGG DM'!H48</f>
        <v>nm</v>
      </c>
      <c r="S20" s="42"/>
      <c r="T20" s="42"/>
      <c r="U20" s="42"/>
      <c r="V20" s="42"/>
      <c r="W20" s="42"/>
      <c r="X20" s="42"/>
      <c r="Y20" s="42"/>
      <c r="Z20" s="42"/>
      <c r="AA20" s="42"/>
    </row>
    <row r="21" spans="2:27" ht="12.6" thickBot="1">
      <c r="B21" s="306" t="s">
        <v>156</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'W.EUR OTHER'!C23+'W.EUR INCUMB'!C23+'W.EUR TOWER'!C23</f>
        <v>337986.26307066495</v>
      </c>
      <c r="D23" s="228">
        <f>'W.EUR OTHER'!D23+'W.EUR INCUMB'!D23+'W.EUR TOWER'!D23</f>
        <v>339889.54359262757</v>
      </c>
      <c r="E23" s="228">
        <f>'W.EUR OTHER'!E23+'W.EUR INCUMB'!E23+'W.EUR TOWER'!E23</f>
        <v>349200.22949829581</v>
      </c>
      <c r="F23" s="228">
        <f>'W.EUR OTHER'!F23+'W.EUR INCUMB'!F23+'W.EUR TOWER'!F23</f>
        <v>354951.78980274434</v>
      </c>
      <c r="G23" s="228">
        <f>'W.EUR OTHER'!G23+'W.EUR INCUMB'!G23+'W.EUR TOWER'!G23</f>
        <v>360477.53436258348</v>
      </c>
      <c r="H23" s="279">
        <f t="shared" ref="H23:H33" si="0">IF(D23=0,"nm",IF(G23=0,"nm",(G23/D23)^(1/3)-1))</f>
        <v>1.9796381358042403E-2</v>
      </c>
      <c r="I23" s="249"/>
      <c r="J23" s="306" t="s">
        <v>9</v>
      </c>
      <c r="K23" s="306"/>
      <c r="L23" s="265" t="str">
        <f>L5</f>
        <v>2023E</v>
      </c>
      <c r="M23" s="265" t="str">
        <f>M5</f>
        <v>2024E</v>
      </c>
      <c r="N23" s="265" t="str">
        <f>N5</f>
        <v>2025E</v>
      </c>
      <c r="O23" s="265" t="str">
        <f>O5</f>
        <v>2026E</v>
      </c>
      <c r="P23" s="282" t="str">
        <f>P5</f>
        <v>23E-26E</v>
      </c>
      <c r="S23" s="42"/>
      <c r="T23" s="42"/>
      <c r="U23" s="42"/>
      <c r="V23" s="353"/>
      <c r="W23" s="354"/>
      <c r="X23" s="354" t="s">
        <v>140</v>
      </c>
      <c r="Y23" s="354" t="s">
        <v>158</v>
      </c>
      <c r="Z23" s="355" t="s">
        <v>580</v>
      </c>
      <c r="AA23" s="42"/>
    </row>
    <row r="24" spans="2:27" ht="12.6" thickTop="1">
      <c r="B24" s="5" t="s">
        <v>478</v>
      </c>
      <c r="C24" s="365">
        <f>'W.EUR OTHER'!C24+'W.EUR INCUMB'!C24+'W.EUR TOWER'!C24</f>
        <v>119437.01461417766</v>
      </c>
      <c r="D24" s="228">
        <f>'W.EUR OTHER'!D24+'W.EUR INCUMB'!D24+'W.EUR TOWER'!D24</f>
        <v>117575.80040049531</v>
      </c>
      <c r="E24" s="228">
        <f>'W.EUR OTHER'!E24+'W.EUR INCUMB'!E24+'W.EUR TOWER'!E24</f>
        <v>119684.9333468954</v>
      </c>
      <c r="F24" s="228">
        <f>'W.EUR OTHER'!F24+'W.EUR INCUMB'!F24+'W.EUR TOWER'!F24</f>
        <v>124553.98857578982</v>
      </c>
      <c r="G24" s="228">
        <f>'W.EUR OTHER'!G24+'W.EUR INCUMB'!G24+'W.EUR TOWER'!G24</f>
        <v>128736.53149471746</v>
      </c>
      <c r="H24" s="279">
        <f t="shared" si="0"/>
        <v>3.068974106741007E-2</v>
      </c>
      <c r="I24" s="248"/>
      <c r="J24" s="17"/>
      <c r="K24" s="17"/>
      <c r="L24" s="17"/>
      <c r="M24" s="17"/>
      <c r="N24" s="17"/>
      <c r="O24" s="248"/>
      <c r="S24" s="42"/>
      <c r="T24" s="42"/>
      <c r="U24" s="42"/>
      <c r="V24" s="356" t="s">
        <v>268</v>
      </c>
      <c r="W24" s="42"/>
      <c r="X24" s="357">
        <f>'W.EUR OTHER'!E37/M9</f>
        <v>0.68980418223111728</v>
      </c>
      <c r="Y24" s="357">
        <f>'W.EUR INCUMB'!E37/M9</f>
        <v>0.93098333652099419</v>
      </c>
      <c r="Z24" s="358">
        <v>1</v>
      </c>
      <c r="AA24" s="42"/>
    </row>
    <row r="25" spans="2:27">
      <c r="B25" s="5" t="s">
        <v>179</v>
      </c>
      <c r="C25" s="365">
        <f>'W.EUR OTHER'!C25+'W.EUR INCUMB'!C25+'W.EUR TOWER'!C25</f>
        <v>47426.884600685298</v>
      </c>
      <c r="D25" s="228">
        <f>'W.EUR OTHER'!D25+'W.EUR INCUMB'!D25+'W.EUR TOWER'!D25</f>
        <v>54115.124064059695</v>
      </c>
      <c r="E25" s="228">
        <f>'W.EUR OTHER'!E25+'W.EUR INCUMB'!E25+'W.EUR TOWER'!E25</f>
        <v>58526.104528006261</v>
      </c>
      <c r="F25" s="228">
        <f>'W.EUR OTHER'!F25+'W.EUR INCUMB'!F25+'W.EUR TOWER'!F25</f>
        <v>63537.21810959826</v>
      </c>
      <c r="G25" s="228">
        <f>'W.EUR OTHER'!G25+'W.EUR INCUMB'!G25+'W.EUR TOWER'!G25</f>
        <v>69206.263305029919</v>
      </c>
      <c r="H25" s="279">
        <f t="shared" si="0"/>
        <v>8.5447728413703405E-2</v>
      </c>
      <c r="I25" s="249"/>
      <c r="J25" s="247" t="s">
        <v>10</v>
      </c>
      <c r="K25" s="247"/>
      <c r="L25" s="332">
        <f>'W.EUR OTHER'!L25+'W.EUR INCUMB'!L25+'W.EUR TOWER'!L25</f>
        <v>30215.133916467876</v>
      </c>
      <c r="M25" s="332">
        <f>'W.EUR OTHER'!M25+'W.EUR INCUMB'!M25+'W.EUR TOWER'!M25</f>
        <v>30277.147845613239</v>
      </c>
      <c r="N25" s="332">
        <f>'W.EUR OTHER'!N25+'W.EUR INCUMB'!N25+'W.EUR TOWER'!N25</f>
        <v>30002.862325687271</v>
      </c>
      <c r="O25" s="332">
        <f>'W.EUR OTHER'!O25+'W.EUR INCUMB'!O25+'W.EUR TOWER'!O25</f>
        <v>25720.264635990246</v>
      </c>
      <c r="P25" s="279">
        <f>IF(L25=0,"nm",IF(O25=0,"nm",(O25/L25)^(1/3)-1))</f>
        <v>-5.2272164370670393E-2</v>
      </c>
      <c r="Q25" s="5"/>
      <c r="S25" s="42"/>
      <c r="T25" s="42"/>
      <c r="U25" s="42"/>
      <c r="V25" s="356" t="s">
        <v>180</v>
      </c>
      <c r="W25" s="42"/>
      <c r="X25" s="357">
        <f>'W.EUR OTHER'!E38/M10</f>
        <v>0.58695143788644921</v>
      </c>
      <c r="Y25" s="357">
        <f>'W.EUR INCUMB'!E38/M10</f>
        <v>0.95197599045257864</v>
      </c>
      <c r="Z25" s="358">
        <v>1</v>
      </c>
      <c r="AA25" s="42"/>
    </row>
    <row r="26" spans="2:27">
      <c r="B26" s="5" t="s">
        <v>581</v>
      </c>
      <c r="C26" s="365">
        <f>'W.EUR OTHER'!C26+'W.EUR INCUMB'!C26+'W.EUR TOWER'!C26</f>
        <v>35611.319614587243</v>
      </c>
      <c r="D26" s="228">
        <f>'W.EUR OTHER'!D26+'W.EUR INCUMB'!D26+'W.EUR TOWER'!D26</f>
        <v>39975.632196872575</v>
      </c>
      <c r="E26" s="228">
        <f>'W.EUR OTHER'!E26+'W.EUR INCUMB'!E26+'W.EUR TOWER'!E26</f>
        <v>43313.223826937654</v>
      </c>
      <c r="F26" s="228">
        <f>'W.EUR OTHER'!F26+'W.EUR INCUMB'!F26+'W.EUR TOWER'!F26</f>
        <v>46743.039425587442</v>
      </c>
      <c r="G26" s="228">
        <f>'W.EUR OTHER'!G26+'W.EUR INCUMB'!G26+'W.EUR TOWER'!G26</f>
        <v>50959.434000831512</v>
      </c>
      <c r="H26" s="279">
        <f t="shared" si="0"/>
        <v>8.4284089307849142E-2</v>
      </c>
      <c r="I26" s="249"/>
      <c r="J26" s="249" t="s">
        <v>11</v>
      </c>
      <c r="K26" s="249"/>
      <c r="L26" s="281">
        <f>'W.EUR OTHER'!L26+'W.EUR INCUMB'!L26+'W.EUR TOWER'!L26</f>
        <v>404084.64086970768</v>
      </c>
      <c r="M26" s="281">
        <f>'W.EUR OTHER'!M26+'W.EUR INCUMB'!M26+'W.EUR TOWER'!M26</f>
        <v>398066.63012659538</v>
      </c>
      <c r="N26" s="281">
        <f>'W.EUR OTHER'!N26+'W.EUR INCUMB'!N26+'W.EUR TOWER'!N26</f>
        <v>394507.18126324983</v>
      </c>
      <c r="O26" s="281">
        <f>'W.EUR OTHER'!O26+'W.EUR INCUMB'!O26+'W.EUR TOWER'!O26</f>
        <v>389231.30851236742</v>
      </c>
      <c r="P26" s="279">
        <f>IF(L26=0,"nm",IF(O26=0,"nm",(O26/L26)^(1/3)-1))</f>
        <v>-1.2405928302190228E-2</v>
      </c>
      <c r="Q26" s="41"/>
      <c r="S26" s="42"/>
      <c r="T26" s="42"/>
      <c r="U26" s="42"/>
      <c r="V26" s="356" t="s">
        <v>181</v>
      </c>
      <c r="W26" s="42"/>
      <c r="X26" s="357">
        <f>'W.EUR OTHER'!E39/M11</f>
        <v>0.9044438113519413</v>
      </c>
      <c r="Y26" s="357">
        <f>'W.EUR INCUMB'!E39/M11</f>
        <v>1.0212422549568909</v>
      </c>
      <c r="Z26" s="358">
        <v>1</v>
      </c>
      <c r="AA26" s="42"/>
    </row>
    <row r="27" spans="2:27">
      <c r="B27" s="5" t="s">
        <v>582</v>
      </c>
      <c r="C27" s="365">
        <f>'W.EUR OTHER'!C27+'W.EUR INCUMB'!C27+'W.EUR TOWER'!C27</f>
        <v>609891.79120986653</v>
      </c>
      <c r="D27" s="228">
        <f>'W.EUR OTHER'!D27+'W.EUR INCUMB'!D27+'W.EUR TOWER'!D27</f>
        <v>600267.32563279511</v>
      </c>
      <c r="E27" s="228">
        <f>'W.EUR OTHER'!E27+'W.EUR INCUMB'!E27+'W.EUR TOWER'!E27</f>
        <v>587176.68538751442</v>
      </c>
      <c r="F27" s="228">
        <f>'W.EUR OTHER'!F27+'W.EUR INCUMB'!F27+'W.EUR TOWER'!F27</f>
        <v>602492.94823232957</v>
      </c>
      <c r="G27" s="228">
        <f>'W.EUR OTHER'!G27+'W.EUR INCUMB'!G27+'W.EUR TOWER'!G27</f>
        <v>621072.35551857983</v>
      </c>
      <c r="H27" s="279">
        <f t="shared" si="0"/>
        <v>1.1422238221558301E-2</v>
      </c>
      <c r="I27" s="248"/>
      <c r="J27" s="248"/>
      <c r="K27" s="248"/>
      <c r="L27" s="248"/>
      <c r="M27" s="248"/>
      <c r="N27" s="248"/>
      <c r="O27" s="248"/>
      <c r="Q27" s="5"/>
      <c r="S27" s="42"/>
      <c r="T27" s="42"/>
      <c r="U27" s="42"/>
      <c r="V27" s="356" t="s">
        <v>461</v>
      </c>
      <c r="W27" s="42"/>
      <c r="X27" s="357">
        <f>'W.EUR OTHER'!E40/M12</f>
        <v>0.90955514169261931</v>
      </c>
      <c r="Y27" s="357">
        <f>'W.EUR INCUMB'!E40/M12</f>
        <v>0.96139355218614142</v>
      </c>
      <c r="Z27" s="358">
        <v>1</v>
      </c>
      <c r="AA27" s="42"/>
    </row>
    <row r="28" spans="2:27" ht="12.6" thickBot="1">
      <c r="B28" s="5" t="s">
        <v>587</v>
      </c>
      <c r="C28" s="365">
        <f>'W.EUR OTHER'!C28+'W.EUR INCUMB'!C28+'W.EUR TOWER'!C28</f>
        <v>241196.72717504937</v>
      </c>
      <c r="D28" s="228">
        <f>'W.EUR OTHER'!D28+'W.EUR INCUMB'!D28+'W.EUR TOWER'!D28</f>
        <v>233620.52387022864</v>
      </c>
      <c r="E28" s="228">
        <f>'W.EUR OTHER'!E28+'W.EUR INCUMB'!E28+'W.EUR TOWER'!E28</f>
        <v>218900.65579395861</v>
      </c>
      <c r="F28" s="228">
        <f>'W.EUR OTHER'!F28+'W.EUR INCUMB'!F28+'W.EUR TOWER'!F28</f>
        <v>217606.9049504392</v>
      </c>
      <c r="G28" s="228">
        <f>'W.EUR OTHER'!G28+'W.EUR INCUMB'!G28+'W.EUR TOWER'!G28</f>
        <v>216401.99433399094</v>
      </c>
      <c r="H28" s="279">
        <f t="shared" si="0"/>
        <v>-2.5197228816407735E-2</v>
      </c>
      <c r="I28" s="252"/>
      <c r="J28" s="306" t="s">
        <v>747</v>
      </c>
      <c r="K28" s="306"/>
      <c r="L28" s="306"/>
      <c r="M28" s="306"/>
      <c r="N28" s="266"/>
      <c r="O28" s="266"/>
      <c r="P28" s="266"/>
      <c r="Q28" s="5"/>
      <c r="S28" s="42"/>
      <c r="T28" s="42"/>
      <c r="U28" s="42"/>
      <c r="V28" s="356" t="s">
        <v>525</v>
      </c>
      <c r="W28" s="42"/>
      <c r="X28" s="357">
        <f>'W.EUR OTHER'!E41/M13</f>
        <v>0.53545287075371562</v>
      </c>
      <c r="Y28" s="357">
        <f>'W.EUR INCUMB'!E41/M13</f>
        <v>0.95893829842594569</v>
      </c>
      <c r="Z28" s="358">
        <v>1</v>
      </c>
      <c r="AA28" s="42"/>
    </row>
    <row r="29" spans="2:27" ht="12.6" thickTop="1">
      <c r="B29" s="5" t="s">
        <v>583</v>
      </c>
      <c r="C29" s="365">
        <f>'W.EUR OTHER'!C29+'W.EUR INCUMB'!C29+'W.EUR TOWER'!C29</f>
        <v>23848.183644929661</v>
      </c>
      <c r="D29" s="228">
        <f>'W.EUR OTHER'!D29+'W.EUR INCUMB'!D29+'W.EUR TOWER'!D29</f>
        <v>19799.187008829653</v>
      </c>
      <c r="E29" s="228">
        <f>'W.EUR OTHER'!E29+'W.EUR INCUMB'!E29+'W.EUR TOWER'!E29</f>
        <v>22567.826841650174</v>
      </c>
      <c r="F29" s="228">
        <f>'W.EUR OTHER'!F29+'W.EUR INCUMB'!F29+'W.EUR TOWER'!F29</f>
        <v>26148.775095239191</v>
      </c>
      <c r="G29" s="228">
        <f>'W.EUR OTHER'!G29+'W.EUR INCUMB'!G29+'W.EUR TOWER'!G29</f>
        <v>30187.152951176842</v>
      </c>
      <c r="H29" s="279">
        <f t="shared" si="0"/>
        <v>0.15095479305648385</v>
      </c>
      <c r="I29" s="254"/>
      <c r="J29" s="249"/>
      <c r="K29" s="249"/>
      <c r="L29" s="249"/>
      <c r="M29" s="249"/>
      <c r="N29" s="249"/>
      <c r="O29" s="251"/>
      <c r="Q29" s="5"/>
      <c r="S29" s="42"/>
      <c r="T29" s="42"/>
      <c r="U29" s="42"/>
      <c r="V29" s="356" t="s">
        <v>588</v>
      </c>
      <c r="W29" s="42"/>
      <c r="X29" s="357">
        <f>'W.EUR OTHER'!E42/M14</f>
        <v>0.72910477591462941</v>
      </c>
      <c r="Y29" s="357">
        <f>'W.EUR INCUMB'!E42/M14</f>
        <v>0.99580137785707035</v>
      </c>
      <c r="Z29" s="358">
        <v>1</v>
      </c>
      <c r="AA29" s="42"/>
    </row>
    <row r="30" spans="2:27">
      <c r="B30" s="5" t="s">
        <v>584</v>
      </c>
      <c r="C30" s="365">
        <f>'W.EUR OTHER'!C30+'W.EUR INCUMB'!C30+'W.EUR TOWER'!C30</f>
        <v>26507.964054180466</v>
      </c>
      <c r="D30" s="228">
        <f>'W.EUR OTHER'!D30+'W.EUR INCUMB'!D30+'W.EUR TOWER'!D30</f>
        <v>20679.694387955045</v>
      </c>
      <c r="E30" s="228">
        <f>'W.EUR OTHER'!E30+'W.EUR INCUMB'!E30+'W.EUR TOWER'!E30</f>
        <v>23037.683072642827</v>
      </c>
      <c r="F30" s="228">
        <f>'W.EUR OTHER'!F30+'W.EUR INCUMB'!F30+'W.EUR TOWER'!F30</f>
        <v>27409.55352188406</v>
      </c>
      <c r="G30" s="228">
        <f>'W.EUR OTHER'!G30+'W.EUR INCUMB'!G30+'W.EUR TOWER'!G30</f>
        <v>30146.717756892416</v>
      </c>
      <c r="H30" s="279">
        <f t="shared" si="0"/>
        <v>0.13387532966203497</v>
      </c>
      <c r="I30" s="254"/>
      <c r="J30" s="248"/>
      <c r="K30" s="248"/>
      <c r="L30" s="248"/>
      <c r="M30" s="248"/>
      <c r="N30" s="248"/>
      <c r="O30" s="5"/>
      <c r="Q30" s="5"/>
      <c r="S30" s="42"/>
      <c r="T30" s="42"/>
      <c r="U30" s="42"/>
      <c r="V30" s="356" t="s">
        <v>470</v>
      </c>
      <c r="W30" s="42"/>
      <c r="X30" s="357">
        <f>'W.EUR OTHER'!E43/M15</f>
        <v>2.7209511662118349</v>
      </c>
      <c r="Y30" s="357">
        <f>'W.EUR INCUMB'!E43/M15</f>
        <v>1.1852556144828172</v>
      </c>
      <c r="Z30" s="358">
        <v>1</v>
      </c>
      <c r="AA30" s="42"/>
    </row>
    <row r="31" spans="2:27">
      <c r="B31" s="5" t="s">
        <v>585</v>
      </c>
      <c r="C31" s="365">
        <f>'W.EUR OTHER'!C31+'W.EUR INCUMB'!C31+'W.EUR TOWER'!C31</f>
        <v>15970.662735858687</v>
      </c>
      <c r="D31" s="228">
        <f>'W.EUR OTHER'!D31+'W.EUR INCUMB'!D31+'W.EUR TOWER'!D31</f>
        <v>16632.225099813702</v>
      </c>
      <c r="E31" s="228">
        <f>'W.EUR OTHER'!E31+'W.EUR INCUMB'!E31+'W.EUR TOWER'!E31</f>
        <v>15869.104812868674</v>
      </c>
      <c r="F31" s="228">
        <f>'W.EUR OTHER'!F31+'W.EUR INCUMB'!F31+'W.EUR TOWER'!F31</f>
        <v>16634.159824592924</v>
      </c>
      <c r="G31" s="228">
        <f>'W.EUR OTHER'!G31+'W.EUR INCUMB'!G31+'W.EUR TOWER'!G31</f>
        <v>18045.090048640093</v>
      </c>
      <c r="H31" s="279">
        <f t="shared" si="0"/>
        <v>2.7549849186711883E-2</v>
      </c>
      <c r="I31" s="254"/>
      <c r="J31" s="252"/>
      <c r="K31" s="252"/>
      <c r="L31" s="252"/>
      <c r="M31" s="252"/>
      <c r="N31" s="252"/>
      <c r="O31" s="5"/>
      <c r="Q31" s="5"/>
      <c r="S31" s="42"/>
      <c r="T31" s="42"/>
      <c r="U31" s="42"/>
      <c r="V31" s="356" t="s">
        <v>528</v>
      </c>
      <c r="W31" s="42"/>
      <c r="X31" s="357">
        <f>'W.EUR OTHER'!E44/M16</f>
        <v>0.95970975081980314</v>
      </c>
      <c r="Y31" s="357">
        <f>'W.EUR INCUMB'!E44/M16</f>
        <v>1.0335831229510684</v>
      </c>
      <c r="Z31" s="358">
        <v>1</v>
      </c>
      <c r="AA31" s="42"/>
    </row>
    <row r="32" spans="2:27">
      <c r="B32" s="5" t="s">
        <v>601</v>
      </c>
      <c r="C32" s="365">
        <f>'W.EUR OTHER'!C32+'W.EUR INCUMB'!C32+'W.EUR TOWER'!C32</f>
        <v>0</v>
      </c>
      <c r="D32" s="228">
        <f>'W.EUR OTHER'!D32+'W.EUR INCUMB'!D32+'W.EUR TOWER'!D32</f>
        <v>0</v>
      </c>
      <c r="E32" s="228">
        <f>'W.EUR OTHER'!E32+'W.EUR INCUMB'!E32+'W.EUR TOWER'!E32</f>
        <v>0</v>
      </c>
      <c r="F32" s="228">
        <f>'W.EUR OTHER'!F32+'W.EUR INCUMB'!F32+'W.EUR TOWER'!F32</f>
        <v>0</v>
      </c>
      <c r="G32" s="228">
        <f>'W.EUR OTHER'!G32+'W.EUR INCUMB'!G32+'W.EUR TOWER'!G32</f>
        <v>0</v>
      </c>
      <c r="H32" s="279" t="str">
        <f t="shared" si="0"/>
        <v>nm</v>
      </c>
      <c r="I32" s="5"/>
      <c r="J32" s="254"/>
      <c r="K32" s="254"/>
      <c r="L32" s="254"/>
      <c r="M32" s="254"/>
      <c r="N32" s="254"/>
      <c r="O32" s="251"/>
      <c r="Q32" s="5"/>
      <c r="S32" s="42"/>
      <c r="T32" s="42"/>
      <c r="U32" s="42"/>
      <c r="V32" s="356" t="s">
        <v>575</v>
      </c>
      <c r="W32" s="42"/>
      <c r="X32" s="288">
        <f>N17/'W.EUR OTHER'!E45</f>
        <v>0.96879069440789811</v>
      </c>
      <c r="Y32" s="288">
        <f>N17/'W.EUR INCUMB'!E45</f>
        <v>0.89260780700228171</v>
      </c>
      <c r="Z32" s="358">
        <v>1</v>
      </c>
      <c r="AA32" s="42"/>
    </row>
    <row r="33" spans="2:42">
      <c r="B33" s="5" t="s">
        <v>5</v>
      </c>
      <c r="C33" s="365">
        <f>'W.EUR OTHER'!C33+'W.EUR INCUMB'!C33+'W.EUR TOWER'!C33</f>
        <v>22160.692951110679</v>
      </c>
      <c r="D33" s="228">
        <f>'W.EUR OTHER'!D33+'W.EUR INCUMB'!D33+'W.EUR TOWER'!D33</f>
        <v>25412.022600575048</v>
      </c>
      <c r="E33" s="228">
        <f>'W.EUR OTHER'!E33+'W.EUR INCUMB'!E33+'W.EUR TOWER'!E33</f>
        <v>24304.008652144468</v>
      </c>
      <c r="F33" s="228">
        <f>'W.EUR OTHER'!F33+'W.EUR INCUMB'!F33+'W.EUR TOWER'!F33</f>
        <v>23680.25828829789</v>
      </c>
      <c r="G33" s="228">
        <f>'W.EUR OTHER'!G33+'W.EUR INCUMB'!G33+'W.EUR TOWER'!G33</f>
        <v>23937.360813626867</v>
      </c>
      <c r="H33" s="279">
        <f t="shared" si="0"/>
        <v>-1.9730076866986246E-2</v>
      </c>
      <c r="I33" s="49"/>
      <c r="J33" s="254"/>
      <c r="K33" s="254"/>
      <c r="L33" s="254"/>
      <c r="M33" s="254"/>
      <c r="N33" s="254"/>
      <c r="O33" s="251"/>
      <c r="Q33" s="5"/>
      <c r="S33" s="42"/>
      <c r="T33" s="42"/>
      <c r="U33" s="42"/>
      <c r="V33" s="359" t="s">
        <v>576</v>
      </c>
      <c r="W33" s="362"/>
      <c r="X33" s="360">
        <f>N19/'W.EUR OTHER'!E47</f>
        <v>3.0428321567787258</v>
      </c>
      <c r="Y33" s="360">
        <f>N19/'W.EUR INCUMB'!E47</f>
        <v>1.3254680725387427</v>
      </c>
      <c r="Z33" s="361">
        <v>1</v>
      </c>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1">D$18/D23</f>
        <v>2.3948433393856994</v>
      </c>
      <c r="E37" s="64">
        <f t="shared" si="1"/>
        <v>2.2496862676581229</v>
      </c>
      <c r="F37" s="64">
        <f t="shared" si="1"/>
        <v>2.1564011537338974</v>
      </c>
      <c r="G37" s="64">
        <f t="shared" si="1"/>
        <v>2.0694612250980282</v>
      </c>
      <c r="H37" s="17">
        <f t="shared" ref="H37:H45" si="2">H23</f>
        <v>1.9796381358042403E-2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1"/>
        <v>6.9230420445959417</v>
      </c>
      <c r="E38" s="64">
        <f t="shared" si="1"/>
        <v>6.5638250279040582</v>
      </c>
      <c r="F38" s="64">
        <f t="shared" si="1"/>
        <v>6.1452744934362382</v>
      </c>
      <c r="G38" s="64">
        <f t="shared" si="1"/>
        <v>5.7947365151197934</v>
      </c>
      <c r="H38" s="17">
        <f t="shared" si="2"/>
        <v>3.068974106741007E-2</v>
      </c>
      <c r="I38" s="17"/>
      <c r="J38" s="17"/>
      <c r="K38" s="17"/>
      <c r="L38" s="17"/>
      <c r="M38" s="17"/>
      <c r="N38" s="17"/>
      <c r="O38" s="5"/>
      <c r="Q38" s="5"/>
      <c r="R38" s="5"/>
      <c r="S38" s="42"/>
      <c r="T38" s="42"/>
      <c r="U38" s="42"/>
      <c r="V38" s="42"/>
      <c r="W38" s="42"/>
      <c r="X38" s="42"/>
      <c r="Y38" s="42"/>
      <c r="Z38" s="42"/>
      <c r="AA38" s="42"/>
    </row>
    <row r="39" spans="2:42">
      <c r="B39" s="5" t="s">
        <v>181</v>
      </c>
      <c r="C39" s="247"/>
      <c r="D39" s="64">
        <f t="shared" si="1"/>
        <v>15.041676863497239</v>
      </c>
      <c r="E39" s="64">
        <f t="shared" si="1"/>
        <v>13.422915591271845</v>
      </c>
      <c r="F39" s="64">
        <f t="shared" si="1"/>
        <v>12.046773085504695</v>
      </c>
      <c r="G39" s="64">
        <f t="shared" si="1"/>
        <v>10.779288524714925</v>
      </c>
      <c r="H39" s="17">
        <f t="shared" si="2"/>
        <v>8.5447728413703405E-2</v>
      </c>
      <c r="I39" s="5"/>
      <c r="J39" s="5"/>
      <c r="K39" s="5"/>
      <c r="L39" s="5"/>
      <c r="M39" s="5"/>
      <c r="N39" s="5"/>
      <c r="O39" s="5"/>
      <c r="Q39" s="5"/>
      <c r="R39" s="5"/>
      <c r="S39" s="42"/>
      <c r="T39" s="42"/>
      <c r="U39" s="42"/>
      <c r="V39" s="42"/>
      <c r="W39" s="288"/>
      <c r="X39" s="288"/>
      <c r="Y39" s="42"/>
      <c r="Z39" s="42"/>
      <c r="AA39" s="42"/>
    </row>
    <row r="40" spans="2:42">
      <c r="B40" s="5" t="s">
        <v>461</v>
      </c>
      <c r="C40" s="247"/>
      <c r="D40" s="64">
        <f t="shared" si="1"/>
        <v>20.361959645589543</v>
      </c>
      <c r="E40" s="64">
        <f t="shared" si="1"/>
        <v>18.137439136469933</v>
      </c>
      <c r="F40" s="64">
        <f t="shared" si="1"/>
        <v>16.375025211380557</v>
      </c>
      <c r="G40" s="64">
        <f t="shared" si="1"/>
        <v>14.63898284015745</v>
      </c>
      <c r="H40" s="17">
        <f t="shared" si="2"/>
        <v>8.4284089307849142E-2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1"/>
        <v>1.3560328454352542</v>
      </c>
      <c r="E41" s="64">
        <f t="shared" si="1"/>
        <v>1.3379123873879983</v>
      </c>
      <c r="F41" s="64">
        <f t="shared" si="1"/>
        <v>1.2704189340244258</v>
      </c>
      <c r="G41" s="64">
        <f t="shared" si="1"/>
        <v>1.2011390834799305</v>
      </c>
      <c r="H41" s="17">
        <f t="shared" si="2"/>
        <v>1.1422238221558301E-2</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3.4842067645212524</v>
      </c>
      <c r="E42" s="64">
        <f>E18/E28</f>
        <v>3.5888013131619974</v>
      </c>
      <c r="F42" s="64">
        <f>F18/F28</f>
        <v>3.5174364031549308</v>
      </c>
      <c r="G42" s="64">
        <f>G18/G28</f>
        <v>3.4472615752836107</v>
      </c>
      <c r="H42" s="17">
        <f t="shared" si="2"/>
        <v>-2.5197228816407735E-2</v>
      </c>
      <c r="I42" s="247"/>
      <c r="J42" s="5"/>
      <c r="K42" s="5"/>
      <c r="L42" s="5"/>
      <c r="M42" s="5"/>
      <c r="N42" s="5"/>
      <c r="O42" s="5"/>
      <c r="Q42" s="5"/>
      <c r="R42" s="5"/>
      <c r="S42" s="42"/>
      <c r="T42" s="42"/>
      <c r="U42" s="42"/>
      <c r="V42" s="42"/>
      <c r="W42" s="288"/>
      <c r="X42" s="288"/>
      <c r="Y42" s="288"/>
      <c r="Z42" s="288"/>
      <c r="AA42" s="42"/>
    </row>
    <row r="43" spans="2:42">
      <c r="B43" s="5" t="s">
        <v>470</v>
      </c>
      <c r="C43" s="247"/>
      <c r="D43" s="64">
        <f>L26/D29</f>
        <v>20.409153198537997</v>
      </c>
      <c r="E43" s="64">
        <f>M26/E29</f>
        <v>17.638677969291283</v>
      </c>
      <c r="F43" s="64">
        <f>N26/F29</f>
        <v>15.087023381644988</v>
      </c>
      <c r="G43" s="64">
        <f>O26/G29</f>
        <v>12.893938992587021</v>
      </c>
      <c r="H43" s="17">
        <f t="shared" si="2"/>
        <v>0.15095479305648385</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18.079063449361282</v>
      </c>
      <c r="E44" s="64">
        <f>E11/E30</f>
        <v>15.964690595024763</v>
      </c>
      <c r="F44" s="64">
        <f>F11/F30</f>
        <v>13.298440583738026</v>
      </c>
      <c r="G44" s="64">
        <f>G11/G30</f>
        <v>12.0580637271289</v>
      </c>
      <c r="H44" s="17">
        <f t="shared" si="2"/>
        <v>0.13387532966203497</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4.4486712049222873E-2</v>
      </c>
      <c r="E45" s="248">
        <f>E31/E11</f>
        <v>4.3147250199898506E-2</v>
      </c>
      <c r="F45" s="248">
        <f>F31/F11</f>
        <v>4.5635014347915746E-2</v>
      </c>
      <c r="G45" s="248">
        <f>G31/G11</f>
        <v>4.9641105415154506E-2</v>
      </c>
      <c r="H45" s="17">
        <f t="shared" si="2"/>
        <v>2.7549849186711883E-2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4.4486712049222873E-2</v>
      </c>
      <c r="E46" s="248">
        <f>(E31+E32)/E11</f>
        <v>4.3147250199898506E-2</v>
      </c>
      <c r="F46" s="248">
        <f>(F31+F32)/F11</f>
        <v>4.5635014347915746E-2</v>
      </c>
      <c r="G46" s="248">
        <f>(G31+G32)/G11</f>
        <v>4.9641105415154506E-2</v>
      </c>
      <c r="H46" s="279">
        <f>((G31+G32)/(D31+D32))^(1/3)-1</f>
        <v>2.7549849186711883E-2</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4.8997623285596911E-2</v>
      </c>
      <c r="E47" s="248">
        <f>1/E43</f>
        <v>5.6693591307749223E-2</v>
      </c>
      <c r="F47" s="248">
        <f>1/F43</f>
        <v>6.6282127010992065E-2</v>
      </c>
      <c r="G47" s="248">
        <f>1/G43</f>
        <v>7.7555819100347825E-2</v>
      </c>
      <c r="H47" s="17">
        <f>H29</f>
        <v>0.15095479305648385</v>
      </c>
      <c r="I47" s="247"/>
      <c r="J47" s="248"/>
      <c r="K47" s="248"/>
      <c r="L47" s="248"/>
      <c r="M47" s="248"/>
      <c r="N47" s="248"/>
      <c r="O47" s="248"/>
      <c r="Q47" s="5"/>
      <c r="R47" s="5"/>
      <c r="S47" s="5"/>
      <c r="T47" s="5"/>
      <c r="U47" s="5"/>
      <c r="AA47" s="303"/>
      <c r="AB47" s="303"/>
    </row>
    <row r="48" spans="2:42">
      <c r="B48" s="5" t="s">
        <v>613</v>
      </c>
      <c r="C48" s="5"/>
      <c r="D48" s="305">
        <f>D31/D29</f>
        <v>0.84004586109502322</v>
      </c>
      <c r="E48" s="305">
        <f>E31/E29</f>
        <v>0.70317381129411016</v>
      </c>
      <c r="F48" s="305">
        <f>F31/F29</f>
        <v>0.63613533574738812</v>
      </c>
      <c r="G48" s="305">
        <f>G31/G29</f>
        <v>0.59777383040478504</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71">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26" width="9.109375" style="5"/>
    <col min="27" max="27" width="9.6640625" style="5" bestFit="1" customWidth="1"/>
    <col min="28"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1123</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452</v>
      </c>
      <c r="C11" s="5"/>
      <c r="D11" s="271">
        <f>'W.EUR OTHER'!D11+'W.EUR INCUMB'!D11</f>
        <v>338202.4414989397</v>
      </c>
      <c r="E11" s="271">
        <f>'W.EUR OTHER'!E11+'W.EUR INCUMB'!E11</f>
        <v>332303.55529468216</v>
      </c>
      <c r="F11" s="271">
        <f>'W.EUR OTHER'!F11+'W.EUR INCUMB'!F11</f>
        <v>329234.83030742692</v>
      </c>
      <c r="G11" s="271">
        <f>'W.EUR OTHER'!G11+'W.EUR INCUMB'!G11</f>
        <v>328241.55524624157</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49"/>
      <c r="D12" s="228">
        <f>'W.EUR OTHER'!D12+'W.EUR INCUMB'!D12</f>
        <v>268127.97997746291</v>
      </c>
      <c r="E12" s="228">
        <f>'W.EUR OTHER'!E12+'W.EUR INCUMB'!E12</f>
        <v>258379.57055662727</v>
      </c>
      <c r="F12" s="228">
        <f>'W.EUR OTHER'!F12+'W.EUR INCUMB'!F12</f>
        <v>261111.34857603302</v>
      </c>
      <c r="G12" s="228">
        <f>'W.EUR OTHER'!G12+'W.EUR INCUMB'!G12</f>
        <v>263877.86007215659</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57"/>
      <c r="D13" s="228">
        <f>'W.EUR OTHER'!D13+'W.EUR INCUMB'!D13</f>
        <v>74525.250177552123</v>
      </c>
      <c r="E13" s="228">
        <f>'W.EUR OTHER'!E13+'W.EUR INCUMB'!E13</f>
        <v>73193.276303951672</v>
      </c>
      <c r="F13" s="228">
        <f>'W.EUR OTHER'!F13+'W.EUR INCUMB'!F13</f>
        <v>71382.67405094784</v>
      </c>
      <c r="G13" s="228">
        <f>'W.EUR OTHER'!G13+'W.EUR INCUMB'!G13</f>
        <v>69861.896471576751</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74"/>
      <c r="D14" s="228">
        <f>'W.EUR OTHER'!D14+'W.EUR INCUMB'!D14</f>
        <v>34233.863720257476</v>
      </c>
      <c r="E14" s="228">
        <f>'W.EUR OTHER'!E14+'W.EUR INCUMB'!E14</f>
        <v>34233.863720257476</v>
      </c>
      <c r="F14" s="228">
        <f>'W.EUR OTHER'!F14+'W.EUR INCUMB'!F14</f>
        <v>34233.863720257476</v>
      </c>
      <c r="G14" s="228">
        <f>'W.EUR OTHER'!G14+'W.EUR INCUMB'!G14</f>
        <v>34233.863720257476</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57"/>
      <c r="D15" s="228">
        <f>'W.EUR OTHER'!D15+'W.EUR INCUMB'!D15</f>
        <v>116642.69326949057</v>
      </c>
      <c r="E15" s="228">
        <f>'W.EUR OTHER'!E15+'W.EUR INCUMB'!E15</f>
        <v>113579.22499267185</v>
      </c>
      <c r="F15" s="228">
        <f>'W.EUR OTHER'!F15+'W.EUR INCUMB'!F15</f>
        <v>111333.27688931406</v>
      </c>
      <c r="G15" s="228">
        <f>'W.EUR OTHER'!G15+'W.EUR INCUMB'!G15</f>
        <v>108741.91684906218</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57"/>
      <c r="D16" s="228">
        <f>'W.EUR OTHER'!D16+'W.EUR INCUMB'!D16</f>
        <v>30.007207000000001</v>
      </c>
      <c r="E16" s="228">
        <f>'W.EUR OTHER'!E16+'W.EUR INCUMB'!E16</f>
        <v>9041.7652108596176</v>
      </c>
      <c r="F16" s="228">
        <f>'W.EUR OTHER'!F16+'W.EUR INCUMB'!F16</f>
        <v>24461.513333850606</v>
      </c>
      <c r="G16" s="228">
        <f>'W.EUR OTHER'!G16+'W.EUR INCUMB'!G16</f>
        <v>40785.158341390968</v>
      </c>
      <c r="H16" s="247"/>
      <c r="I16" s="247"/>
      <c r="J16" s="5" t="s">
        <v>528</v>
      </c>
      <c r="L16" s="64">
        <f>'AGG DM'!D44</f>
        <v>15.638044643718967</v>
      </c>
      <c r="M16" s="64">
        <f>'AGG DM'!E44</f>
        <v>14.220962153693332</v>
      </c>
      <c r="N16" s="64">
        <f>'AGG DM'!F44</f>
        <v>12.502249176356969</v>
      </c>
      <c r="O16" s="64">
        <f>'AGG DM'!G44</f>
        <v>11.233113481631298</v>
      </c>
      <c r="P16" s="17">
        <f>'AGG DM'!H44</f>
        <v>8.8584802895584236E-2</v>
      </c>
      <c r="S16" s="88"/>
      <c r="T16" s="88"/>
      <c r="U16" s="88"/>
      <c r="V16" s="42"/>
      <c r="W16" s="42"/>
      <c r="X16" s="42"/>
      <c r="Y16" s="42"/>
      <c r="Z16" s="42"/>
      <c r="AA16" s="42"/>
    </row>
    <row r="17" spans="2:27">
      <c r="B17" s="5" t="s">
        <v>6</v>
      </c>
      <c r="C17" s="257"/>
      <c r="D17" s="228">
        <f>'W.EUR OTHER'!D17+'W.EUR INCUMB'!D17</f>
        <v>6333.2430617360469</v>
      </c>
      <c r="E17" s="228">
        <f>'W.EUR OTHER'!E17+'W.EUR INCUMB'!E17</f>
        <v>6248.9379773851515</v>
      </c>
      <c r="F17" s="228">
        <f>'W.EUR OTHER'!F17+'W.EUR INCUMB'!F17</f>
        <v>6162.2677119738</v>
      </c>
      <c r="G17" s="228">
        <f>'W.EUR OTHER'!G17+'W.EUR INCUMB'!G17</f>
        <v>6099.454897576793</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451</v>
      </c>
      <c r="C18" s="249"/>
      <c r="D18" s="275">
        <f>'W.EUR OTHER'!D18+'W.EUR INCUMB'!D18</f>
        <v>756901.25093445182</v>
      </c>
      <c r="E18" s="275">
        <f>'W.EUR OTHER'!E18+'W.EUR INCUMB'!E18</f>
        <v>727931.06023943075</v>
      </c>
      <c r="F18" s="275">
        <f>'W.EUR OTHER'!F18+'W.EUR INCUMB'!F18</f>
        <v>708204.48505764001</v>
      </c>
      <c r="G18" s="275">
        <f>'W.EUR OTHER'!G18+'W.EUR INCUMB'!G18</f>
        <v>689604.75167981186</v>
      </c>
      <c r="H18" s="276">
        <f>IF(D18=0,"nm",IF(G18=0,"nm",(G18/D18)^(1/3)-1))</f>
        <v>-3.0561326791597065E-2</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42"/>
      <c r="T18" s="42"/>
      <c r="U18" s="42"/>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'AGG DM'!H47</f>
        <v>6.900159277298723E-2</v>
      </c>
      <c r="S19" s="42"/>
      <c r="T19" s="42"/>
      <c r="U19" s="42"/>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'AGG DM'!H48</f>
        <v>nm</v>
      </c>
      <c r="S20" s="42"/>
      <c r="T20" s="42"/>
      <c r="U20" s="42"/>
      <c r="V20" s="42"/>
      <c r="W20" s="42"/>
      <c r="X20" s="42"/>
      <c r="Y20" s="42"/>
      <c r="Z20" s="42"/>
      <c r="AA20" s="42"/>
    </row>
    <row r="21" spans="2:27" ht="12.6" thickBot="1">
      <c r="B21" s="306" t="s">
        <v>156</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'W.EUR OTHER'!C23+'W.EUR INCUMB'!C23</f>
        <v>332972.76893488399</v>
      </c>
      <c r="D23" s="228">
        <f>'W.EUR OTHER'!D23+'W.EUR INCUMB'!D23</f>
        <v>334554.20645980153</v>
      </c>
      <c r="E23" s="228">
        <f>'W.EUR OTHER'!E23+'W.EUR INCUMB'!E23</f>
        <v>343718.80890874343</v>
      </c>
      <c r="F23" s="228">
        <f>'W.EUR OTHER'!F23+'W.EUR INCUMB'!F23</f>
        <v>349195.96904552804</v>
      </c>
      <c r="G23" s="228">
        <f>'W.EUR OTHER'!G23+'W.EUR INCUMB'!G23</f>
        <v>354461.25941664859</v>
      </c>
      <c r="H23" s="279">
        <f t="shared" ref="H23:H33" si="0">IF(D23=0,"nm",IF(G23=0,"nm",(G23/D23)^(1/3)-1))</f>
        <v>1.9453513880081541E-2</v>
      </c>
      <c r="I23" s="249"/>
      <c r="J23" s="306" t="s">
        <v>9</v>
      </c>
      <c r="K23" s="306"/>
      <c r="L23" s="265" t="str">
        <f>L5</f>
        <v>2023E</v>
      </c>
      <c r="M23" s="265" t="str">
        <f>M5</f>
        <v>2024E</v>
      </c>
      <c r="N23" s="265" t="str">
        <f>N5</f>
        <v>2025E</v>
      </c>
      <c r="O23" s="265" t="str">
        <f>O5</f>
        <v>2026E</v>
      </c>
      <c r="P23" s="282" t="str">
        <f>P5</f>
        <v>23E-26E</v>
      </c>
      <c r="S23" s="42"/>
      <c r="T23" s="42"/>
      <c r="U23" s="42"/>
      <c r="V23" s="353"/>
      <c r="W23" s="354"/>
      <c r="X23" s="354" t="s">
        <v>159</v>
      </c>
      <c r="Y23" s="354" t="s">
        <v>158</v>
      </c>
      <c r="Z23" s="355" t="s">
        <v>580</v>
      </c>
      <c r="AA23" s="42"/>
    </row>
    <row r="24" spans="2:27" ht="12.6" thickTop="1">
      <c r="B24" s="5" t="s">
        <v>478</v>
      </c>
      <c r="C24" s="365">
        <f>'W.EUR OTHER'!C24+'W.EUR INCUMB'!C24</f>
        <v>117165.31561417767</v>
      </c>
      <c r="D24" s="228">
        <f>'W.EUR OTHER'!D24+'W.EUR INCUMB'!D24</f>
        <v>114874.27391209354</v>
      </c>
      <c r="E24" s="228">
        <f>'W.EUR OTHER'!E24+'W.EUR INCUMB'!E24</f>
        <v>116748.93805713048</v>
      </c>
      <c r="F24" s="228">
        <f>'W.EUR OTHER'!F24+'W.EUR INCUMB'!F24</f>
        <v>121410.06062156176</v>
      </c>
      <c r="G24" s="228">
        <f>'W.EUR OTHER'!G24+'W.EUR INCUMB'!G24</f>
        <v>125373.28835217019</v>
      </c>
      <c r="H24" s="279">
        <f t="shared" si="0"/>
        <v>2.9581536721434487E-2</v>
      </c>
      <c r="I24" s="248"/>
      <c r="J24" s="17"/>
      <c r="K24" s="17"/>
      <c r="L24" s="17"/>
      <c r="M24" s="17"/>
      <c r="N24" s="17"/>
      <c r="O24" s="248"/>
      <c r="S24" s="42"/>
      <c r="T24" s="42"/>
      <c r="U24" s="42"/>
      <c r="V24" s="356" t="s">
        <v>268</v>
      </c>
      <c r="W24" s="42"/>
      <c r="X24" s="357">
        <f>'W.EUR OTHER'!E37/M9</f>
        <v>0.68980418223111728</v>
      </c>
      <c r="Y24" s="357">
        <f>'W.EUR INCUMB'!E37/M9</f>
        <v>0.93098333652099419</v>
      </c>
      <c r="Z24" s="358">
        <v>1</v>
      </c>
      <c r="AA24" s="42"/>
    </row>
    <row r="25" spans="2:27">
      <c r="B25" s="5" t="s">
        <v>179</v>
      </c>
      <c r="C25" s="365">
        <f>'W.EUR OTHER'!C25+'W.EUR INCUMB'!C25</f>
        <v>47859.325600685297</v>
      </c>
      <c r="D25" s="228">
        <f>'W.EUR OTHER'!D25+'W.EUR INCUMB'!D25</f>
        <v>53203.735575657927</v>
      </c>
      <c r="E25" s="228">
        <f>'W.EUR OTHER'!E25+'W.EUR INCUMB'!E25</f>
        <v>57344.68719170746</v>
      </c>
      <c r="F25" s="228">
        <f>'W.EUR OTHER'!F25+'W.EUR INCUMB'!F25</f>
        <v>62226.948284521815</v>
      </c>
      <c r="G25" s="228">
        <f>'W.EUR OTHER'!G25+'W.EUR INCUMB'!G25</f>
        <v>67422.584412286029</v>
      </c>
      <c r="H25" s="279">
        <f t="shared" si="0"/>
        <v>8.2150729256497801E-2</v>
      </c>
      <c r="I25" s="249"/>
      <c r="J25" s="247" t="s">
        <v>10</v>
      </c>
      <c r="K25" s="247"/>
      <c r="L25" s="332">
        <f>'W.EUR OTHER'!L25+'W.EUR INCUMB'!L25</f>
        <v>30215.133916467876</v>
      </c>
      <c r="M25" s="332">
        <f>'W.EUR OTHER'!M25+'W.EUR INCUMB'!M25</f>
        <v>30277.147845613239</v>
      </c>
      <c r="N25" s="332">
        <f>'W.EUR OTHER'!N25+'W.EUR INCUMB'!N25</f>
        <v>30002.862325687271</v>
      </c>
      <c r="O25" s="332">
        <f>'W.EUR OTHER'!O25+'W.EUR INCUMB'!O25</f>
        <v>25720.264635990246</v>
      </c>
      <c r="P25" s="279">
        <f>IF(L25=0,"nm",IF(O25=0,"nm",(O25/L25)^(1/3)-1))</f>
        <v>-5.2272164370670393E-2</v>
      </c>
      <c r="Q25" s="5"/>
      <c r="S25" s="42"/>
      <c r="T25" s="42"/>
      <c r="U25" s="42"/>
      <c r="V25" s="356" t="s">
        <v>180</v>
      </c>
      <c r="W25" s="42"/>
      <c r="X25" s="357">
        <f>'W.EUR OTHER'!E38/M10</f>
        <v>0.58695143788644921</v>
      </c>
      <c r="Y25" s="357">
        <f>'W.EUR INCUMB'!E38/M10</f>
        <v>0.95197599045257864</v>
      </c>
      <c r="Z25" s="358">
        <v>1</v>
      </c>
      <c r="AA25" s="42"/>
    </row>
    <row r="26" spans="2:27">
      <c r="B26" s="5" t="s">
        <v>581</v>
      </c>
      <c r="C26" s="365">
        <f>'W.EUR OTHER'!C26+'W.EUR INCUMB'!C26</f>
        <v>35961.835215905739</v>
      </c>
      <c r="D26" s="228">
        <f>'W.EUR OTHER'!D26+'W.EUR INCUMB'!D26</f>
        <v>39301.726490481851</v>
      </c>
      <c r="E26" s="228">
        <f>'W.EUR OTHER'!E26+'W.EUR INCUMB'!E26</f>
        <v>42437.448089073136</v>
      </c>
      <c r="F26" s="228">
        <f>'W.EUR OTHER'!F26+'W.EUR INCUMB'!F26</f>
        <v>45773.227713346932</v>
      </c>
      <c r="G26" s="228">
        <f>'W.EUR OTHER'!G26+'W.EUR INCUMB'!G26</f>
        <v>49633.414447665913</v>
      </c>
      <c r="H26" s="279">
        <f t="shared" si="0"/>
        <v>8.0904955579711668E-2</v>
      </c>
      <c r="I26" s="249"/>
      <c r="J26" s="249" t="s">
        <v>11</v>
      </c>
      <c r="K26" s="249"/>
      <c r="L26" s="281">
        <f>'W.EUR OTHER'!L26+'W.EUR INCUMB'!L26</f>
        <v>368417.57541540766</v>
      </c>
      <c r="M26" s="281">
        <f>'W.EUR OTHER'!M26+'W.EUR INCUMB'!M26</f>
        <v>362580.7031402954</v>
      </c>
      <c r="N26" s="281">
        <f>'W.EUR OTHER'!N26+'W.EUR INCUMB'!N26</f>
        <v>359237.69263311423</v>
      </c>
      <c r="O26" s="281">
        <f>'W.EUR OTHER'!O26+'W.EUR INCUMB'!O26</f>
        <v>353961.81988223182</v>
      </c>
      <c r="P26" s="279">
        <f>IF(L26=0,"nm",IF(O26=0,"nm",(O26/L26)^(1/3)-1))</f>
        <v>-1.3254033652613351E-2</v>
      </c>
      <c r="Q26" s="41"/>
      <c r="S26" s="42"/>
      <c r="T26" s="42"/>
      <c r="U26" s="42"/>
      <c r="V26" s="356" t="s">
        <v>181</v>
      </c>
      <c r="W26" s="42"/>
      <c r="X26" s="357">
        <f>'W.EUR OTHER'!E39/M11</f>
        <v>0.9044438113519413</v>
      </c>
      <c r="Y26" s="357">
        <f>'W.EUR INCUMB'!E39/M11</f>
        <v>1.0212422549568909</v>
      </c>
      <c r="Z26" s="358">
        <v>1</v>
      </c>
      <c r="AA26" s="42"/>
    </row>
    <row r="27" spans="2:27">
      <c r="B27" s="5" t="s">
        <v>582</v>
      </c>
      <c r="C27" s="365">
        <f>'W.EUR OTHER'!C27+'W.EUR INCUMB'!C27</f>
        <v>570397.70520986652</v>
      </c>
      <c r="D27" s="228">
        <f>'W.EUR OTHER'!D27+'W.EUR INCUMB'!D27</f>
        <v>561239.60363279516</v>
      </c>
      <c r="E27" s="228">
        <f>'W.EUR OTHER'!E27+'W.EUR INCUMB'!E27</f>
        <v>548490.07660291158</v>
      </c>
      <c r="F27" s="228">
        <f>'W.EUR OTHER'!F27+'W.EUR INCUMB'!F27</f>
        <v>563800.25110975304</v>
      </c>
      <c r="G27" s="228">
        <f>'W.EUR OTHER'!G27+'W.EUR INCUMB'!G27</f>
        <v>582611.82990062737</v>
      </c>
      <c r="H27" s="279">
        <f t="shared" si="0"/>
        <v>1.2535665734483725E-2</v>
      </c>
      <c r="I27" s="248"/>
      <c r="J27" s="248"/>
      <c r="K27" s="248"/>
      <c r="L27" s="248"/>
      <c r="M27" s="248"/>
      <c r="N27" s="248"/>
      <c r="O27" s="248"/>
      <c r="Q27" s="5"/>
      <c r="S27" s="42"/>
      <c r="T27" s="42"/>
      <c r="U27" s="42"/>
      <c r="V27" s="356" t="s">
        <v>461</v>
      </c>
      <c r="W27" s="42"/>
      <c r="X27" s="357">
        <f>'W.EUR OTHER'!E40/M12</f>
        <v>0.90955514169261931</v>
      </c>
      <c r="Y27" s="357">
        <f>'W.EUR INCUMB'!E40/M12</f>
        <v>0.96139355218614142</v>
      </c>
      <c r="Z27" s="358">
        <v>1</v>
      </c>
      <c r="AA27" s="42"/>
    </row>
    <row r="28" spans="2:27" ht="12.6" thickBot="1">
      <c r="B28" s="5" t="s">
        <v>587</v>
      </c>
      <c r="C28" s="365">
        <f>'W.EUR OTHER'!C28+'W.EUR INCUMB'!C28</f>
        <v>240263.71917504937</v>
      </c>
      <c r="D28" s="228">
        <f>'W.EUR OTHER'!D28+'W.EUR INCUMB'!D28</f>
        <v>232510.97087022863</v>
      </c>
      <c r="E28" s="228">
        <f>'W.EUR OTHER'!E28+'W.EUR INCUMB'!E28</f>
        <v>217658.6149831498</v>
      </c>
      <c r="F28" s="228">
        <f>'W.EUR OTHER'!F28+'W.EUR INCUMB'!F28</f>
        <v>216271.96070470588</v>
      </c>
      <c r="G28" s="228">
        <f>'W.EUR OTHER'!G28+'W.EUR INCUMB'!G28</f>
        <v>215004.09120585662</v>
      </c>
      <c r="H28" s="279">
        <f t="shared" si="0"/>
        <v>-2.5755958933759593E-2</v>
      </c>
      <c r="I28" s="252"/>
      <c r="J28" s="306" t="s">
        <v>747</v>
      </c>
      <c r="K28" s="306"/>
      <c r="L28" s="306"/>
      <c r="M28" s="306"/>
      <c r="N28" s="266"/>
      <c r="O28" s="266"/>
      <c r="P28" s="266"/>
      <c r="Q28" s="5"/>
      <c r="S28" s="42"/>
      <c r="T28" s="42"/>
      <c r="U28" s="42"/>
      <c r="V28" s="356" t="s">
        <v>525</v>
      </c>
      <c r="W28" s="42"/>
      <c r="X28" s="357">
        <f>'W.EUR OTHER'!E41/M13</f>
        <v>0.53545287075371562</v>
      </c>
      <c r="Y28" s="357">
        <f>'W.EUR INCUMB'!E41/M13</f>
        <v>0.95893829842594569</v>
      </c>
      <c r="Z28" s="358">
        <v>1</v>
      </c>
      <c r="AA28" s="42"/>
    </row>
    <row r="29" spans="2:27" ht="12.6" thickTop="1">
      <c r="B29" s="5" t="s">
        <v>583</v>
      </c>
      <c r="C29" s="365">
        <f>'W.EUR OTHER'!C29+'W.EUR INCUMB'!C29</f>
        <v>24762.169218549661</v>
      </c>
      <c r="D29" s="228">
        <f>'W.EUR OTHER'!D29+'W.EUR INCUMB'!D29</f>
        <v>19428.091069427883</v>
      </c>
      <c r="E29" s="228">
        <f>'W.EUR OTHER'!E29+'W.EUR INCUMB'!E29</f>
        <v>22080.816308282941</v>
      </c>
      <c r="F29" s="228">
        <f>'W.EUR OTHER'!F29+'W.EUR INCUMB'!F29</f>
        <v>25561.149668513488</v>
      </c>
      <c r="G29" s="228">
        <f>'W.EUR OTHER'!G29+'W.EUR INCUMB'!G29</f>
        <v>29208.628350772924</v>
      </c>
      <c r="H29" s="279">
        <f t="shared" si="0"/>
        <v>0.14558418831258679</v>
      </c>
      <c r="I29" s="254"/>
      <c r="J29" s="249"/>
      <c r="K29" s="249"/>
      <c r="L29" s="249"/>
      <c r="M29" s="249"/>
      <c r="N29" s="249"/>
      <c r="O29" s="251"/>
      <c r="Q29" s="5"/>
      <c r="S29" s="42"/>
      <c r="T29" s="42"/>
      <c r="U29" s="42"/>
      <c r="V29" s="356" t="s">
        <v>588</v>
      </c>
      <c r="W29" s="42"/>
      <c r="X29" s="357">
        <f>'W.EUR OTHER'!E42/M14</f>
        <v>0.72910477591462941</v>
      </c>
      <c r="Y29" s="357">
        <f>'W.EUR INCUMB'!E42/M14</f>
        <v>0.99580137785707035</v>
      </c>
      <c r="Z29" s="358">
        <v>1</v>
      </c>
      <c r="AA29" s="42"/>
    </row>
    <row r="30" spans="2:27">
      <c r="B30" s="5" t="s">
        <v>584</v>
      </c>
      <c r="C30" s="365">
        <f>'W.EUR OTHER'!C30+'W.EUR INCUMB'!C30</f>
        <v>26511.682954180465</v>
      </c>
      <c r="D30" s="228">
        <f>'W.EUR OTHER'!D30+'W.EUR INCUMB'!D30</f>
        <v>20637.388899553276</v>
      </c>
      <c r="E30" s="228">
        <f>'W.EUR OTHER'!E30+'W.EUR INCUMB'!E30</f>
        <v>22868.445629672737</v>
      </c>
      <c r="F30" s="228">
        <f>'W.EUR OTHER'!F30+'W.EUR INCUMB'!F30</f>
        <v>27035.24163218465</v>
      </c>
      <c r="G30" s="228">
        <f>'W.EUR OTHER'!G30+'W.EUR INCUMB'!G30</f>
        <v>29613.559036112616</v>
      </c>
      <c r="H30" s="279">
        <f t="shared" si="0"/>
        <v>0.12792083483359384</v>
      </c>
      <c r="I30" s="254"/>
      <c r="J30" s="248"/>
      <c r="K30" s="248"/>
      <c r="L30" s="248"/>
      <c r="M30" s="248"/>
      <c r="N30" s="248"/>
      <c r="O30" s="5"/>
      <c r="Q30" s="5"/>
      <c r="S30" s="42"/>
      <c r="T30" s="42"/>
      <c r="U30" s="42"/>
      <c r="V30" s="356" t="s">
        <v>470</v>
      </c>
      <c r="W30" s="42"/>
      <c r="X30" s="357">
        <f>'W.EUR OTHER'!E43/M15</f>
        <v>2.7209511662118349</v>
      </c>
      <c r="Y30" s="357">
        <f>'W.EUR INCUMB'!E43/M15</f>
        <v>1.1852556144828172</v>
      </c>
      <c r="Z30" s="358">
        <v>1</v>
      </c>
      <c r="AA30" s="42"/>
    </row>
    <row r="31" spans="2:27">
      <c r="B31" s="5" t="s">
        <v>585</v>
      </c>
      <c r="C31" s="365">
        <f>'W.EUR OTHER'!C31+'W.EUR INCUMB'!C31</f>
        <v>15601.227071873867</v>
      </c>
      <c r="D31" s="228">
        <f>'W.EUR OTHER'!D31+'W.EUR INCUMB'!D31</f>
        <v>16137.111108357454</v>
      </c>
      <c r="E31" s="228">
        <f>'W.EUR OTHER'!E31+'W.EUR INCUMB'!E31</f>
        <v>15344.322651188675</v>
      </c>
      <c r="F31" s="228">
        <f>'W.EUR OTHER'!F31+'W.EUR INCUMB'!F31</f>
        <v>16075.336686696905</v>
      </c>
      <c r="G31" s="228">
        <f>'W.EUR OTHER'!G31+'W.EUR INCUMB'!G31</f>
        <v>17001.502175401871</v>
      </c>
      <c r="H31" s="279">
        <f t="shared" si="0"/>
        <v>1.7545493833814652E-2</v>
      </c>
      <c r="I31" s="254"/>
      <c r="J31" s="252"/>
      <c r="K31" s="252"/>
      <c r="L31" s="252"/>
      <c r="M31" s="252"/>
      <c r="N31" s="252"/>
      <c r="O31" s="5"/>
      <c r="Q31" s="5"/>
      <c r="S31" s="42"/>
      <c r="T31" s="42"/>
      <c r="U31" s="42"/>
      <c r="V31" s="356" t="s">
        <v>528</v>
      </c>
      <c r="W31" s="42"/>
      <c r="X31" s="357">
        <f>'W.EUR OTHER'!E44/M16</f>
        <v>0.95970975081980314</v>
      </c>
      <c r="Y31" s="357">
        <f>'W.EUR INCUMB'!E44/M16</f>
        <v>1.0335831229510684</v>
      </c>
      <c r="Z31" s="358">
        <v>1</v>
      </c>
      <c r="AA31" s="42"/>
    </row>
    <row r="32" spans="2:27">
      <c r="B32" s="5" t="s">
        <v>601</v>
      </c>
      <c r="C32" s="365">
        <f>'W.EUR OTHER'!C32+'W.EUR INCUMB'!C32</f>
        <v>0</v>
      </c>
      <c r="D32" s="228">
        <f>'W.EUR OTHER'!D32+'W.EUR INCUMB'!D32</f>
        <v>0</v>
      </c>
      <c r="E32" s="228">
        <f>'W.EUR OTHER'!E32+'W.EUR INCUMB'!E32</f>
        <v>0</v>
      </c>
      <c r="F32" s="228">
        <f>'W.EUR OTHER'!F32+'W.EUR INCUMB'!F32</f>
        <v>0</v>
      </c>
      <c r="G32" s="228">
        <f>'W.EUR OTHER'!G32+'W.EUR INCUMB'!G32</f>
        <v>0</v>
      </c>
      <c r="H32" s="279" t="str">
        <f t="shared" si="0"/>
        <v>nm</v>
      </c>
      <c r="I32" s="5"/>
      <c r="J32" s="254"/>
      <c r="K32" s="254"/>
      <c r="L32" s="254"/>
      <c r="M32" s="254"/>
      <c r="N32" s="254"/>
      <c r="O32" s="251"/>
      <c r="Q32" s="5"/>
      <c r="S32" s="42"/>
      <c r="T32" s="42"/>
      <c r="U32" s="42"/>
      <c r="V32" s="356" t="s">
        <v>575</v>
      </c>
      <c r="W32" s="42"/>
      <c r="X32" s="288">
        <f>N17/'W.EUR OTHER'!E45</f>
        <v>0.96879069440789811</v>
      </c>
      <c r="Y32" s="288">
        <f>N17/'W.EUR INCUMB'!E45</f>
        <v>0.89260780700228171</v>
      </c>
      <c r="Z32" s="358">
        <v>1</v>
      </c>
      <c r="AA32" s="42"/>
    </row>
    <row r="33" spans="2:42">
      <c r="B33" s="5" t="s">
        <v>5</v>
      </c>
      <c r="C33" s="365">
        <f>'W.EUR OTHER'!C33+'W.EUR INCUMB'!C33</f>
        <v>22481.023051110678</v>
      </c>
      <c r="D33" s="228">
        <f>'W.EUR OTHER'!D33+'W.EUR INCUMB'!D33</f>
        <v>25779.605600575047</v>
      </c>
      <c r="E33" s="228">
        <f>'W.EUR OTHER'!E33+'W.EUR INCUMB'!E33</f>
        <v>24655.250087241129</v>
      </c>
      <c r="F33" s="228">
        <f>'W.EUR OTHER'!F33+'W.EUR INCUMB'!F33</f>
        <v>24027.92409128082</v>
      </c>
      <c r="G33" s="228">
        <f>'W.EUR OTHER'!G33+'W.EUR INCUMB'!G33</f>
        <v>24268.551971543675</v>
      </c>
      <c r="H33" s="279">
        <f t="shared" si="0"/>
        <v>-1.9932776923931472E-2</v>
      </c>
      <c r="I33" s="49"/>
      <c r="J33" s="254"/>
      <c r="K33" s="254"/>
      <c r="L33" s="254"/>
      <c r="M33" s="254"/>
      <c r="N33" s="254"/>
      <c r="O33" s="251"/>
      <c r="Q33" s="5"/>
      <c r="S33" s="42"/>
      <c r="T33" s="42"/>
      <c r="U33" s="42"/>
      <c r="V33" s="359" t="s">
        <v>576</v>
      </c>
      <c r="W33" s="362"/>
      <c r="X33" s="360">
        <f>N19/'W.EUR OTHER'!E47</f>
        <v>3.0428321567787258</v>
      </c>
      <c r="Y33" s="360">
        <f>N19/'W.EUR INCUMB'!E47</f>
        <v>1.3254680725387427</v>
      </c>
      <c r="Z33" s="361">
        <v>1</v>
      </c>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1">D$18/D23</f>
        <v>2.262417379066485</v>
      </c>
      <c r="E37" s="64">
        <f t="shared" si="1"/>
        <v>2.117809795019669</v>
      </c>
      <c r="F37" s="64">
        <f t="shared" si="1"/>
        <v>2.0281004015980053</v>
      </c>
      <c r="G37" s="64">
        <f t="shared" si="1"/>
        <v>1.9455010480262995</v>
      </c>
      <c r="H37" s="17">
        <f t="shared" ref="H37:H45" si="2">H23</f>
        <v>1.9453513880081541E-2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1"/>
        <v>6.588953515507427</v>
      </c>
      <c r="E38" s="64">
        <f t="shared" si="1"/>
        <v>6.2350122609528276</v>
      </c>
      <c r="F38" s="64">
        <f t="shared" si="1"/>
        <v>5.8331614483344287</v>
      </c>
      <c r="G38" s="64">
        <f t="shared" si="1"/>
        <v>5.5004120953000024</v>
      </c>
      <c r="H38" s="17">
        <f t="shared" si="2"/>
        <v>2.9581536721434487E-2</v>
      </c>
      <c r="I38" s="17"/>
      <c r="J38" s="17"/>
      <c r="K38" s="17"/>
      <c r="L38" s="17"/>
      <c r="M38" s="17"/>
      <c r="N38" s="17"/>
      <c r="O38" s="5"/>
      <c r="Q38" s="5"/>
      <c r="R38" s="5"/>
      <c r="S38" s="42"/>
      <c r="T38" s="42"/>
      <c r="U38" s="42"/>
      <c r="V38" s="42"/>
      <c r="W38" s="42"/>
      <c r="X38" s="42"/>
      <c r="Y38" s="42"/>
      <c r="Z38" s="42"/>
      <c r="AA38" s="42"/>
    </row>
    <row r="39" spans="2:42">
      <c r="B39" s="5" t="s">
        <v>181</v>
      </c>
      <c r="C39" s="247"/>
      <c r="D39" s="64">
        <f t="shared" si="1"/>
        <v>14.226468174553396</v>
      </c>
      <c r="E39" s="64">
        <f t="shared" si="1"/>
        <v>12.693958165747844</v>
      </c>
      <c r="F39" s="64">
        <f t="shared" si="1"/>
        <v>11.380993357082193</v>
      </c>
      <c r="G39" s="64">
        <f t="shared" si="1"/>
        <v>10.228097271722932</v>
      </c>
      <c r="H39" s="17">
        <f t="shared" si="2"/>
        <v>8.2150729256497801E-2</v>
      </c>
      <c r="I39" s="5"/>
      <c r="J39" s="5"/>
      <c r="K39" s="5"/>
      <c r="L39" s="5"/>
      <c r="M39" s="5"/>
      <c r="N39" s="5"/>
      <c r="O39" s="5"/>
      <c r="Q39" s="5"/>
      <c r="R39" s="5"/>
      <c r="S39" s="42"/>
      <c r="T39" s="42"/>
      <c r="U39" s="42"/>
      <c r="V39" s="42"/>
      <c r="W39" s="288"/>
      <c r="X39" s="288"/>
      <c r="Y39" s="42"/>
      <c r="Z39" s="42"/>
      <c r="AA39" s="42"/>
    </row>
    <row r="40" spans="2:42">
      <c r="B40" s="5" t="s">
        <v>461</v>
      </c>
      <c r="C40" s="247"/>
      <c r="D40" s="64">
        <f t="shared" si="1"/>
        <v>19.258727758887623</v>
      </c>
      <c r="E40" s="64">
        <f t="shared" si="1"/>
        <v>17.153035656422038</v>
      </c>
      <c r="F40" s="64">
        <f t="shared" si="1"/>
        <v>15.472024159902885</v>
      </c>
      <c r="G40" s="64">
        <f t="shared" si="1"/>
        <v>13.893961544937426</v>
      </c>
      <c r="H40" s="17">
        <f t="shared" si="2"/>
        <v>8.0904955579711668E-2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1"/>
        <v>1.3486240921616663</v>
      </c>
      <c r="E41" s="64">
        <f t="shared" si="1"/>
        <v>1.327154476062524</v>
      </c>
      <c r="F41" s="64">
        <f t="shared" si="1"/>
        <v>1.2561265867896472</v>
      </c>
      <c r="G41" s="64">
        <f t="shared" si="1"/>
        <v>1.1836435792892046</v>
      </c>
      <c r="H41" s="17">
        <f t="shared" si="2"/>
        <v>1.2535665734483725E-2</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3.2553356433099285</v>
      </c>
      <c r="E42" s="64">
        <f>E18/E28</f>
        <v>3.344370542354981</v>
      </c>
      <c r="F42" s="64">
        <f>F18/F28</f>
        <v>3.2746014913353032</v>
      </c>
      <c r="G42" s="64">
        <f>G18/G28</f>
        <v>3.207402928065898</v>
      </c>
      <c r="H42" s="17">
        <f t="shared" si="2"/>
        <v>-2.5755958933759593E-2</v>
      </c>
      <c r="I42" s="247"/>
      <c r="J42" s="5"/>
      <c r="K42" s="5"/>
      <c r="L42" s="5"/>
      <c r="M42" s="5"/>
      <c r="N42" s="5"/>
      <c r="O42" s="5"/>
      <c r="Q42" s="5"/>
      <c r="R42" s="5"/>
      <c r="S42" s="42"/>
      <c r="T42" s="42"/>
      <c r="U42" s="42"/>
      <c r="V42" s="42"/>
      <c r="W42" s="288"/>
      <c r="X42" s="288"/>
      <c r="Y42" s="288"/>
      <c r="Z42" s="288"/>
      <c r="AA42" s="42"/>
    </row>
    <row r="43" spans="2:42">
      <c r="B43" s="5" t="s">
        <v>470</v>
      </c>
      <c r="C43" s="247"/>
      <c r="D43" s="64">
        <f>L26/D29</f>
        <v>18.963138174452503</v>
      </c>
      <c r="E43" s="64">
        <f>M26/E29</f>
        <v>16.420620419014327</v>
      </c>
      <c r="F43" s="64">
        <f>N26/F29</f>
        <v>14.054050670327527</v>
      </c>
      <c r="G43" s="64">
        <f>O26/G29</f>
        <v>12.118399249407588</v>
      </c>
      <c r="H43" s="17">
        <f t="shared" si="2"/>
        <v>0.14558418831258679</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16.387850378991526</v>
      </c>
      <c r="E44" s="64">
        <f>E11/E30</f>
        <v>14.531094971470418</v>
      </c>
      <c r="F44" s="64">
        <f>F11/F30</f>
        <v>12.177987339143389</v>
      </c>
      <c r="G44" s="64">
        <f>G11/G30</f>
        <v>11.08416434667523</v>
      </c>
      <c r="H44" s="17">
        <f t="shared" si="2"/>
        <v>0.12792083483359384</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4.7714354269107327E-2</v>
      </c>
      <c r="E45" s="248">
        <f>E31/E11</f>
        <v>4.6175619871359923E-2</v>
      </c>
      <c r="F45" s="248">
        <f>F31/F11</f>
        <v>4.8826354950617976E-2</v>
      </c>
      <c r="G45" s="248">
        <f>G31/G11</f>
        <v>5.1795703205974687E-2</v>
      </c>
      <c r="H45" s="17">
        <f t="shared" si="2"/>
        <v>1.7545493833814652E-2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4.7714354269107327E-2</v>
      </c>
      <c r="E46" s="248">
        <f>(E31+E32)/E11</f>
        <v>4.6175619871359923E-2</v>
      </c>
      <c r="F46" s="248">
        <f>(F31+F32)/F11</f>
        <v>4.8826354950617976E-2</v>
      </c>
      <c r="G46" s="248">
        <f>(G31+G32)/G11</f>
        <v>5.1795703205974687E-2</v>
      </c>
      <c r="H46" s="279">
        <f>((G31+G32)/(D31+D32))^(1/3)-1</f>
        <v>1.7545493833814652E-2</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5.273388775636402E-2</v>
      </c>
      <c r="E47" s="248">
        <f>1/E43</f>
        <v>6.0899038798926608E-2</v>
      </c>
      <c r="F47" s="248">
        <f>1/F43</f>
        <v>7.1153863285217195E-2</v>
      </c>
      <c r="G47" s="248">
        <f>1/G43</f>
        <v>8.2519149552601617E-2</v>
      </c>
      <c r="H47" s="17">
        <f>H29</f>
        <v>0.14558418831258679</v>
      </c>
      <c r="I47" s="247"/>
      <c r="J47" s="248"/>
      <c r="K47" s="248"/>
      <c r="L47" s="248"/>
      <c r="M47" s="248"/>
      <c r="N47" s="248"/>
      <c r="O47" s="248"/>
      <c r="Q47" s="5"/>
      <c r="R47" s="5"/>
      <c r="S47" s="5"/>
      <c r="T47" s="5"/>
      <c r="U47" s="5"/>
      <c r="AA47" s="303"/>
      <c r="AB47" s="303"/>
    </row>
    <row r="48" spans="2:42">
      <c r="B48" s="5" t="s">
        <v>613</v>
      </c>
      <c r="C48" s="5"/>
      <c r="D48" s="305">
        <f>D31/D29</f>
        <v>0.83060713740172198</v>
      </c>
      <c r="E48" s="305">
        <f>E31/E29</f>
        <v>0.69491645765979781</v>
      </c>
      <c r="F48" s="305">
        <f>F31/F29</f>
        <v>0.62889724817419634</v>
      </c>
      <c r="G48" s="305">
        <f>G31/G29</f>
        <v>0.58207122810516965</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70"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54">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541</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91</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ASIA'!D37</f>
        <v>1.7392560784309079</v>
      </c>
      <c r="M9" s="64">
        <f>'AGG ASIA'!E37</f>
        <v>1.645641062859408</v>
      </c>
      <c r="N9" s="64">
        <f>'AGG ASIA'!F37</f>
        <v>1.4753902819831792</v>
      </c>
      <c r="O9" s="64">
        <f>'AGG ASIA'!G37</f>
        <v>1.3146477291448819</v>
      </c>
      <c r="P9" s="17">
        <f>'EM INCUMB'!H37</f>
        <v>3.7474232769618476E-2</v>
      </c>
    </row>
    <row r="10" spans="2:63">
      <c r="B10" s="5" t="s">
        <v>269</v>
      </c>
      <c r="C10" s="5"/>
      <c r="D10" s="332"/>
      <c r="E10" s="332"/>
      <c r="F10" s="332"/>
      <c r="G10" s="332"/>
      <c r="H10" s="247"/>
      <c r="I10" s="247"/>
      <c r="J10" s="5" t="s">
        <v>180</v>
      </c>
      <c r="L10" s="64">
        <f>'AGG ASIA'!D38</f>
        <v>5.753826910293756</v>
      </c>
      <c r="M10" s="64">
        <f>'AGG ASIA'!E38</f>
        <v>5.4333948092876518</v>
      </c>
      <c r="N10" s="64">
        <f>'AGG ASIA'!F38</f>
        <v>4.8003249234470307</v>
      </c>
      <c r="O10" s="64">
        <f>'AGG ASIA'!G38</f>
        <v>4.2431368016065516</v>
      </c>
      <c r="P10" s="17">
        <f>'EM INCUMB'!H38</f>
        <v>4.3154001905154393E-2</v>
      </c>
      <c r="W10" s="10"/>
      <c r="X10" s="10"/>
      <c r="Y10" s="10"/>
      <c r="Z10" s="10"/>
    </row>
    <row r="11" spans="2:63">
      <c r="B11" s="41" t="s">
        <v>354</v>
      </c>
      <c r="C11" s="5"/>
      <c r="D11" s="271">
        <f>(SINGTEL!D11/Prices!$C$176)+(NTT!D11/Prices!$C$161*1000)+((TLS!D11/Prices!$C$168))+(SPK!D11/Prices!$C$187)</f>
        <v>173395.24793884536</v>
      </c>
      <c r="E11" s="271">
        <f>(SINGTEL!E11/Prices!$C$176)+(NTT!E11/Prices!$C$161*1000)+((TLS!E11/Prices!$C$168))+(SPK!E11/Prices!$C$187)</f>
        <v>171741.2021037802</v>
      </c>
      <c r="F11" s="271">
        <f>(SINGTEL!F11/Prices!$C$176)+(NTT!F11/Prices!$C$161*1000)+((TLS!F11/Prices!$C$168))+(SPK!F11/Prices!$C$187)</f>
        <v>170087.86251990488</v>
      </c>
      <c r="G11" s="271">
        <f>(SINGTEL!G11/Prices!$C$176)+(NTT!G11/Prices!$C$161*1000)+((TLS!G11/Prices!$C$168))+(SPK!G11/Prices!$C$187)</f>
        <v>168435.22918721935</v>
      </c>
      <c r="H11" s="249"/>
      <c r="I11" s="249"/>
      <c r="J11" s="5" t="s">
        <v>181</v>
      </c>
      <c r="L11" s="64">
        <f>'AGG ASIA'!D39</f>
        <v>12.382909179272325</v>
      </c>
      <c r="M11" s="64">
        <f>'AGG ASIA'!E39</f>
        <v>10.944312764075084</v>
      </c>
      <c r="N11" s="64">
        <f>'AGG ASIA'!F39</f>
        <v>9.0842574079499983</v>
      </c>
      <c r="O11" s="64">
        <f>'AGG ASIA'!G39</f>
        <v>7.7548590618963793</v>
      </c>
      <c r="P11" s="17">
        <f>'EM INCUMB'!H39</f>
        <v>0.12721160462737946</v>
      </c>
      <c r="W11" s="10"/>
      <c r="X11" s="10"/>
      <c r="Y11" s="10"/>
      <c r="Z11" s="10"/>
    </row>
    <row r="12" spans="2:63">
      <c r="B12" s="5" t="s">
        <v>225</v>
      </c>
      <c r="C12" s="249"/>
      <c r="D12" s="228">
        <f>(SINGTEL!D12/Prices!$C$176)+(NTT!D12/Prices!$C$161*1000)+((TLS!D12/Prices!$C$168))+(SPK!D12/Prices!$C$187)</f>
        <v>60953.477209536206</v>
      </c>
      <c r="E12" s="228">
        <f>(SINGTEL!E12/Prices!$C$176)+(NTT!E12/Prices!$C$161*1000)+((TLS!E12/Prices!$C$168))+(SPK!E12/Prices!$C$187)</f>
        <v>61819.630454408281</v>
      </c>
      <c r="F12" s="228">
        <f>(SINGTEL!F12/Prices!$C$176)+(NTT!F12/Prices!$C$161*1000)+((TLS!F12/Prices!$C$168))+(SPK!F12/Prices!$C$187)</f>
        <v>61116.954233799857</v>
      </c>
      <c r="G12" s="228">
        <f>(SINGTEL!G12/Prices!$C$176)+(NTT!G12/Prices!$C$161*1000)+((TLS!G12/Prices!$C$168))+(SPK!G12/Prices!$C$187)</f>
        <v>60428.850627535568</v>
      </c>
      <c r="H12" s="247"/>
      <c r="I12" s="247"/>
      <c r="J12" s="5" t="s">
        <v>461</v>
      </c>
      <c r="L12" s="64">
        <f>'AGG ASIA'!D40</f>
        <v>16.307110667346684</v>
      </c>
      <c r="M12" s="64">
        <f>'AGG ASIA'!E40</f>
        <v>14.525408582878459</v>
      </c>
      <c r="N12" s="64">
        <f>'AGG ASIA'!F40</f>
        <v>12.093445085282967</v>
      </c>
      <c r="O12" s="64">
        <f>'AGG ASIA'!G40</f>
        <v>10.336160342227858</v>
      </c>
      <c r="P12" s="17">
        <f>'EM INCUMB'!H40</f>
        <v>0.14396851486850371</v>
      </c>
      <c r="W12" s="10"/>
      <c r="X12" s="10"/>
      <c r="Y12" s="10"/>
      <c r="Z12" s="10"/>
    </row>
    <row r="13" spans="2:63">
      <c r="B13" s="5" t="s">
        <v>524</v>
      </c>
      <c r="C13" s="257"/>
      <c r="D13" s="228">
        <f>(SINGTEL!D13/Prices!$C$176)+(NTT!D13/Prices!$C$161*1000)+((TLS!D13/Prices!$C$168))+(SPK!D13/Prices!$C$187)</f>
        <v>8059.759539209851</v>
      </c>
      <c r="E13" s="228">
        <f>(SINGTEL!E13/Prices!$C$176)+(NTT!E13/Prices!$C$161*1000)+((TLS!E13/Prices!$C$168))+(SPK!E13/Prices!$C$187)</f>
        <v>8059.759539209851</v>
      </c>
      <c r="F13" s="228">
        <f>(SINGTEL!F13/Prices!$C$176)+(NTT!F13/Prices!$C$161*1000)+((TLS!F13/Prices!$C$168))+(SPK!F13/Prices!$C$187)</f>
        <v>8059.759539209851</v>
      </c>
      <c r="G13" s="228">
        <f>(SINGTEL!G13/Prices!$C$176)+(NTT!G13/Prices!$C$161*1000)+((TLS!G13/Prices!$C$168))+(SPK!G13/Prices!$C$187)</f>
        <v>8059.759539209851</v>
      </c>
      <c r="H13" s="247"/>
      <c r="I13" s="247"/>
      <c r="J13" s="5" t="s">
        <v>525</v>
      </c>
      <c r="L13" s="64">
        <f>'AGG ASIA'!D41</f>
        <v>1.346953649249623</v>
      </c>
      <c r="M13" s="64">
        <f>'AGG ASIA'!E41</f>
        <v>1.3182972130051498</v>
      </c>
      <c r="N13" s="64">
        <f>'AGG ASIA'!F41</f>
        <v>1.2355212957944595</v>
      </c>
      <c r="O13" s="64">
        <f>'AGG ASIA'!G41</f>
        <v>1.1456348393165749</v>
      </c>
      <c r="P13" s="17">
        <f>'EM INCUMB'!H41</f>
        <v>-7.2107972668689069E-3</v>
      </c>
    </row>
    <row r="14" spans="2:63">
      <c r="B14" s="5" t="s">
        <v>527</v>
      </c>
      <c r="C14" s="274"/>
      <c r="D14" s="228">
        <f>(SINGTEL!D14/Prices!$C$176)+(NTT!D14/Prices!$C$161*1000)+((TLS!D14/Prices!$C$168))+(SPK!D14/Prices!$C$187)</f>
        <v>6286.646069641467</v>
      </c>
      <c r="E14" s="228">
        <f>(SINGTEL!E14/Prices!$C$176)+(NTT!E14/Prices!$C$161*1000)+((TLS!E14/Prices!$C$168))+(SPK!E14/Prices!$C$187)</f>
        <v>6389.0511684472622</v>
      </c>
      <c r="F14" s="228">
        <f>(SINGTEL!F14/Prices!$C$176)+(NTT!F14/Prices!$C$161*1000)+((TLS!F14/Prices!$C$168))+(SPK!F14/Prices!$C$187)</f>
        <v>6496.576522193347</v>
      </c>
      <c r="G14" s="228">
        <f>(SINGTEL!G14/Prices!$C$176)+(NTT!G14/Prices!$C$161*1000)+((TLS!G14/Prices!$C$168))+(SPK!G14/Prices!$C$187)</f>
        <v>6609.4781436267367</v>
      </c>
      <c r="H14" s="247"/>
      <c r="I14" s="247"/>
      <c r="J14" s="5" t="s">
        <v>588</v>
      </c>
      <c r="L14" s="64">
        <f>'AGG ASIA'!D42</f>
        <v>2.2697556245658514</v>
      </c>
      <c r="M14" s="64">
        <f>'AGG ASIA'!E42</f>
        <v>2.2161734424748434</v>
      </c>
      <c r="N14" s="64">
        <f>'AGG ASIA'!F42</f>
        <v>2.084060981832728</v>
      </c>
      <c r="O14" s="64">
        <f>'AGG ASIA'!G42</f>
        <v>1.9745436728106665</v>
      </c>
      <c r="P14" s="17">
        <f>'EM INCUMB'!H42</f>
        <v>-4.2191848028902523E-2</v>
      </c>
    </row>
    <row r="15" spans="2:63">
      <c r="B15" s="5" t="s">
        <v>526</v>
      </c>
      <c r="C15" s="257"/>
      <c r="D15" s="228">
        <f>(SINGTEL!D15/Prices!$C$176)+(NTT!D15/Prices!$C$161*1000)+((TLS!D15/Prices!$C$168))+(SPK!D15/Prices!$C$187)</f>
        <v>23614.136848715054</v>
      </c>
      <c r="E15" s="228">
        <f>(SINGTEL!E15/Prices!$C$176)+(NTT!E15/Prices!$C$161*1000)+((TLS!E15/Prices!$C$168))+(SPK!E15/Prices!$C$187)</f>
        <v>23614.136848715054</v>
      </c>
      <c r="F15" s="228">
        <f>(SINGTEL!F15/Prices!$C$176)+(NTT!F15/Prices!$C$161*1000)+((TLS!F15/Prices!$C$168))+(SPK!F15/Prices!$C$187)</f>
        <v>23614.136848715054</v>
      </c>
      <c r="G15" s="228">
        <f>(SINGTEL!G15/Prices!$C$176)+(NTT!G15/Prices!$C$161*1000)+((TLS!G15/Prices!$C$168))+(SPK!G15/Prices!$C$187)</f>
        <v>23614.136848715054</v>
      </c>
      <c r="H15" s="247"/>
      <c r="I15" s="247"/>
      <c r="J15" s="5" t="s">
        <v>470</v>
      </c>
      <c r="L15" s="64">
        <f>'AGG ASIA'!D43</f>
        <v>17.539344109924951</v>
      </c>
      <c r="M15" s="64">
        <f>'AGG ASIA'!E43</f>
        <v>14.974664444658854</v>
      </c>
      <c r="N15" s="64">
        <f>'AGG ASIA'!F43</f>
        <v>12.633550582468949</v>
      </c>
      <c r="O15" s="64">
        <f>'AGG ASIA'!G43</f>
        <v>11.15831950382889</v>
      </c>
      <c r="P15" s="17">
        <f>'EM INCUMB'!H43</f>
        <v>0.20633617097870616</v>
      </c>
      <c r="S15" s="88"/>
      <c r="T15" s="88"/>
      <c r="U15" s="88"/>
      <c r="V15" s="42"/>
      <c r="W15" s="42"/>
      <c r="X15" s="42"/>
      <c r="Y15" s="42"/>
      <c r="Z15" s="42"/>
      <c r="AA15" s="42"/>
    </row>
    <row r="16" spans="2:63">
      <c r="B16" s="5" t="s">
        <v>529</v>
      </c>
      <c r="C16" s="257"/>
      <c r="D16" s="228">
        <f>(SINGTEL!D16/Prices!$C$176)+(NTT!D16/Prices!$C$161*1000)+((TLS!D16/Prices!$C$168))+(SPK!D16/Prices!$C$187)</f>
        <v>7099.7608606868644</v>
      </c>
      <c r="E16" s="228">
        <f>(SINGTEL!E16/Prices!$C$176)+(NTT!E16/Prices!$C$161*1000)+((TLS!E16/Prices!$C$168))+(SPK!E16/Prices!$C$187)</f>
        <v>9122.1890881695545</v>
      </c>
      <c r="F16" s="228">
        <f>(SINGTEL!F16/Prices!$C$176)+(NTT!F16/Prices!$C$161*1000)+((TLS!F16/Prices!$C$168))+(SPK!F16/Prices!$C$187)</f>
        <v>17575.331270922332</v>
      </c>
      <c r="G16" s="228">
        <f>(SINGTEL!G16/Prices!$C$176)+(NTT!G16/Prices!$C$161*1000)+((TLS!G16/Prices!$C$168))+(SPK!G16/Prices!$C$187)</f>
        <v>26752.482123563848</v>
      </c>
      <c r="H16" s="247"/>
      <c r="I16" s="247"/>
      <c r="J16" s="5" t="s">
        <v>528</v>
      </c>
      <c r="L16" s="64">
        <f>'AGG ASIA'!D44</f>
        <v>17.856175471820396</v>
      </c>
      <c r="M16" s="64">
        <f>'AGG ASIA'!E44</f>
        <v>15.447474394566742</v>
      </c>
      <c r="N16" s="64">
        <f>'AGG ASIA'!F44</f>
        <v>13.493209459288536</v>
      </c>
      <c r="O16" s="64">
        <f>'AGG ASIA'!G44</f>
        <v>12.078856957970853</v>
      </c>
      <c r="P16" s="17">
        <f>'EM INCUMB'!H44</f>
        <v>0.15835578063954037</v>
      </c>
      <c r="S16" s="88"/>
      <c r="T16" s="88"/>
      <c r="U16" s="88"/>
      <c r="V16" s="42"/>
      <c r="W16" s="42"/>
      <c r="X16" s="42"/>
      <c r="Y16" s="42"/>
      <c r="Z16" s="42"/>
      <c r="AA16" s="42"/>
    </row>
    <row r="17" spans="2:27">
      <c r="B17" s="5" t="s">
        <v>6</v>
      </c>
      <c r="C17" s="257"/>
      <c r="D17" s="228">
        <f>(SINGTEL!D17/Prices!$C$176)+(NTT!D17/Prices!$C$161*1000)+((TLS!D17/Prices!$C$168))+(SPK!D17/Prices!$C$187)</f>
        <v>0</v>
      </c>
      <c r="E17" s="228">
        <f>(SINGTEL!E17/Prices!$C$176)+(NTT!E17/Prices!$C$161*1000)+((TLS!E17/Prices!$C$168))+(SPK!E17/Prices!$C$187)</f>
        <v>0</v>
      </c>
      <c r="F17" s="228">
        <f>(SINGTEL!F17/Prices!$C$176)+(NTT!F17/Prices!$C$161*1000)+((TLS!F17/Prices!$C$168))+(SPK!F17/Prices!$C$187)</f>
        <v>0</v>
      </c>
      <c r="G17" s="228">
        <f>(SINGTEL!G17/Prices!$C$176)+(NTT!G17/Prices!$C$161*1000)+((TLS!G17/Prices!$C$168))+(SPK!G17/Prices!$C$187)</f>
        <v>0</v>
      </c>
      <c r="H17" s="247"/>
      <c r="I17" s="247"/>
      <c r="J17" s="5" t="s">
        <v>575</v>
      </c>
      <c r="L17" s="248">
        <f>'AGG ASIA'!D45</f>
        <v>4.1570178104148543E-2</v>
      </c>
      <c r="M17" s="248">
        <f>'AGG ASIA'!E45</f>
        <v>4.6466022757273399E-2</v>
      </c>
      <c r="N17" s="248">
        <f>'AGG ASIA'!F45</f>
        <v>5.1854337593676546E-2</v>
      </c>
      <c r="O17" s="248">
        <f>'AGG ASIA'!G45</f>
        <v>5.8916419044893191E-2</v>
      </c>
      <c r="P17" s="17">
        <f>'EM INCUMB'!H45</f>
        <v>0.12766314772350529</v>
      </c>
      <c r="S17" s="88"/>
      <c r="T17" s="88"/>
      <c r="U17" s="88"/>
      <c r="V17" s="42"/>
      <c r="W17" s="42"/>
      <c r="X17" s="42"/>
      <c r="Y17" s="42"/>
      <c r="Z17" s="42"/>
      <c r="AA17" s="42"/>
    </row>
    <row r="18" spans="2:27" ht="12.6" thickBot="1">
      <c r="B18" s="41" t="s">
        <v>355</v>
      </c>
      <c r="C18" s="249"/>
      <c r="D18" s="275">
        <f>(SINGTEL!D18/Prices!$C$176)+(NTT!D18/Prices!$C$161*1000)+((TLS!D18/Prices!$C$168))+(SPK!D18/Prices!$C$187)</f>
        <v>252636.21460597817</v>
      </c>
      <c r="E18" s="275">
        <f>(SINGTEL!E18/Prices!$C$176)+(NTT!E18/Prices!$C$161*1000)+((TLS!E18/Prices!$C$168))+(SPK!E18/Prices!$C$187)</f>
        <v>249723.48868949659</v>
      </c>
      <c r="F18" s="275">
        <f>(SINGTEL!F18/Prices!$C$176)+(NTT!F18/Prices!$C$161*1000)+((TLS!F18/Prices!$C$168))+(SPK!F18/Prices!$C$187)</f>
        <v>238806.805348514</v>
      </c>
      <c r="G18" s="275">
        <f>(SINGTEL!G18/Prices!$C$176)+(NTT!G18/Prices!$C$161*1000)+((TLS!G18/Prices!$C$168))+(SPK!G18/Prices!$C$187)</f>
        <v>227176.01593548927</v>
      </c>
      <c r="H18" s="276">
        <f>IF(D18=0,"nm",IF(G18=0,"nm",(G18/D18)^(1/3)-1))</f>
        <v>-3.4788936730180908E-2</v>
      </c>
      <c r="I18" s="254"/>
      <c r="J18" s="5" t="s">
        <v>36</v>
      </c>
      <c r="L18" s="248" t="e">
        <f>'AGG ASIA'!D46</f>
        <v>#VALUE!</v>
      </c>
      <c r="M18" s="248" t="e">
        <f>'AGG ASIA'!E46</f>
        <v>#VALUE!</v>
      </c>
      <c r="N18" s="248" t="e">
        <f>'AGG ASIA'!F46</f>
        <v>#VALUE!</v>
      </c>
      <c r="O18" s="248" t="e">
        <f>'AGG ASIA'!G46</f>
        <v>#VALUE!</v>
      </c>
      <c r="P18" s="17">
        <f>'EM INCUMB'!H46</f>
        <v>0.17780813272638851</v>
      </c>
      <c r="S18" s="88"/>
      <c r="T18" s="88"/>
      <c r="U18" s="88"/>
      <c r="V18" s="42"/>
      <c r="W18" s="42"/>
      <c r="X18" s="42"/>
      <c r="Y18" s="42"/>
      <c r="Z18" s="42"/>
      <c r="AA18" s="42"/>
    </row>
    <row r="19" spans="2:27" ht="12.6" thickTop="1">
      <c r="B19" s="41"/>
      <c r="C19" s="249"/>
      <c r="D19" s="229"/>
      <c r="E19" s="229"/>
      <c r="F19" s="229"/>
      <c r="G19" s="229"/>
      <c r="H19" s="276"/>
      <c r="I19" s="17"/>
      <c r="J19" s="5" t="s">
        <v>576</v>
      </c>
      <c r="L19" s="248">
        <f>'AGG ASIA'!D47</f>
        <v>5.7014674763928727E-2</v>
      </c>
      <c r="M19" s="248">
        <f>'AGG ASIA'!E47</f>
        <v>6.6779459646368153E-2</v>
      </c>
      <c r="N19" s="248">
        <f>'AGG ASIA'!F47</f>
        <v>7.9154311645980052E-2</v>
      </c>
      <c r="O19" s="248">
        <f>'AGG ASIA'!G47</f>
        <v>8.9619229818330426E-2</v>
      </c>
      <c r="P19" s="17">
        <f>'EM INCUMB'!H47</f>
        <v>0.20633617097870616</v>
      </c>
      <c r="S19" s="88"/>
      <c r="T19" s="88"/>
      <c r="U19" s="88"/>
      <c r="V19" s="42"/>
      <c r="W19" s="42"/>
      <c r="X19" s="42"/>
      <c r="Y19" s="42"/>
      <c r="Z19" s="42"/>
      <c r="AA19" s="42"/>
    </row>
    <row r="20" spans="2:27">
      <c r="H20" s="277"/>
      <c r="I20" s="49"/>
      <c r="J20" s="5" t="s">
        <v>599</v>
      </c>
      <c r="L20" s="248">
        <f>'AGG ASIA'!D48</f>
        <v>0.7505693047054296</v>
      </c>
      <c r="M20" s="248">
        <f>'AGG ASIA'!E48</f>
        <v>0.71524318393069308</v>
      </c>
      <c r="N20" s="248">
        <f>'AGG ASIA'!F48</f>
        <v>0.67630153603419652</v>
      </c>
      <c r="O20" s="248">
        <f>'AGG ASIA'!G48</f>
        <v>0.68204757979094088</v>
      </c>
      <c r="P20" s="17" t="str">
        <f>'EM INCUMB'!H48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(SINGTEL!C23/Prices!$C$176)+(NTT!C23/Prices!$C$161*1000)+((TLS!C23/Prices!$C$168))+(SPK!C23/Prices!$C$187)</f>
        <v>127688.03027999075</v>
      </c>
      <c r="D23" s="228">
        <f>(SINGTEL!D23/Prices!$C$176)+(NTT!D23/Prices!$C$161*1000)+((TLS!D23/Prices!$C$168))+(SPK!D23/Prices!$C$187)</f>
        <v>128921.41012514025</v>
      </c>
      <c r="E23" s="228">
        <f>(SINGTEL!E23/Prices!$C$176)+(NTT!E23/Prices!$C$161*1000)+((TLS!E23/Prices!$C$168))+(SPK!E23/Prices!$C$187)</f>
        <v>130505.20087422684</v>
      </c>
      <c r="F23" s="228">
        <f>(SINGTEL!F23/Prices!$C$176)+(NTT!F23/Prices!$C$161*1000)+((TLS!F23/Prices!$C$168))+(SPK!F23/Prices!$C$187)</f>
        <v>133837.61395691626</v>
      </c>
      <c r="G23" s="228">
        <f>(SINGTEL!G23/Prices!$C$176)+(NTT!G23/Prices!$C$161*1000)+((TLS!G23/Prices!$C$168))+(SPK!G23/Prices!$C$187)</f>
        <v>138087.5495707037</v>
      </c>
      <c r="H23" s="279">
        <f t="shared" ref="H23:H33" si="0">IF(D23=0,"nm",IF(G23=0,"nm",(G23/D23)^(1/3)-1))</f>
        <v>2.3159070246300706E-2</v>
      </c>
      <c r="I23" s="249"/>
      <c r="J23" s="306" t="s">
        <v>9</v>
      </c>
      <c r="K23" s="306"/>
      <c r="L23" s="265" t="str">
        <f>L5</f>
        <v>2023E</v>
      </c>
      <c r="M23" s="265" t="str">
        <f>M5</f>
        <v>2024E</v>
      </c>
      <c r="N23" s="265" t="str">
        <f>N5</f>
        <v>2025E</v>
      </c>
      <c r="O23" s="265" t="str">
        <f>O5</f>
        <v>2026E</v>
      </c>
      <c r="P23" s="282" t="str">
        <f>P5</f>
        <v>23E-26E</v>
      </c>
      <c r="S23" s="42"/>
      <c r="T23" s="42"/>
      <c r="U23" s="42"/>
      <c r="V23" s="42"/>
      <c r="W23" s="42" t="s">
        <v>609</v>
      </c>
      <c r="X23" s="42" t="s">
        <v>610</v>
      </c>
      <c r="Y23" s="42"/>
      <c r="Z23" s="42"/>
      <c r="AA23" s="42"/>
    </row>
    <row r="24" spans="2:27" ht="12.6" thickTop="1">
      <c r="B24" s="5" t="s">
        <v>478</v>
      </c>
      <c r="C24" s="365">
        <f>(SINGTEL!C24/Prices!$C$176)+(NTT!C24/Prices!$C$161*1000)+((TLS!C24/Prices!$C$168))+(SPK!C24/Prices!$C$187)</f>
        <v>32973.966980218145</v>
      </c>
      <c r="D24" s="228">
        <f>(SINGTEL!D24/Prices!$C$176)+(NTT!D24/Prices!$C$161*1000)+((TLS!D24/Prices!$C$168))+(SPK!D24/Prices!$C$187)</f>
        <v>34794.161692374546</v>
      </c>
      <c r="E24" s="228">
        <f>(SINGTEL!E24/Prices!$C$176)+(NTT!E24/Prices!$C$161*1000)+((TLS!E24/Prices!$C$168))+(SPK!E24/Prices!$C$187)</f>
        <v>34752.848743147544</v>
      </c>
      <c r="F24" s="228">
        <f>(SINGTEL!F24/Prices!$C$176)+(NTT!F24/Prices!$C$161*1000)+((TLS!F24/Prices!$C$168))+(SPK!F24/Prices!$C$187)</f>
        <v>37781.103373556463</v>
      </c>
      <c r="G24" s="228">
        <f>(SINGTEL!G24/Prices!$C$176)+(NTT!G24/Prices!$C$161*1000)+((TLS!G24/Prices!$C$168))+(SPK!G24/Prices!$C$187)</f>
        <v>39152.78192550021</v>
      </c>
      <c r="H24" s="279">
        <f t="shared" si="0"/>
        <v>4.0124715031497837E-2</v>
      </c>
      <c r="I24" s="248"/>
      <c r="J24" s="17"/>
      <c r="K24" s="17"/>
      <c r="L24" s="17"/>
      <c r="M24" s="17"/>
      <c r="N24" s="17"/>
      <c r="O24" s="248"/>
      <c r="S24" s="42"/>
      <c r="T24" s="42"/>
      <c r="U24" s="42"/>
      <c r="V24" s="147" t="s">
        <v>268</v>
      </c>
      <c r="W24" s="288">
        <f t="shared" ref="W24:W31" si="1">E37/M9</f>
        <v>1.1627770689017713</v>
      </c>
      <c r="X24" s="288">
        <v>1</v>
      </c>
      <c r="Y24" s="42"/>
      <c r="Z24" s="42"/>
      <c r="AA24" s="42"/>
    </row>
    <row r="25" spans="2:27">
      <c r="B25" s="5" t="s">
        <v>179</v>
      </c>
      <c r="C25" s="365">
        <f>(SINGTEL!C25/Prices!$C$176)+(NTT!C25/Prices!$C$161*1000)+((TLS!C25/Prices!$C$168))+(SPK!C25/Prices!$C$187)</f>
        <v>14654.146094249147</v>
      </c>
      <c r="D25" s="228">
        <f>(SINGTEL!D25/Prices!$C$176)+(NTT!D25/Prices!$C$161*1000)+((TLS!D25/Prices!$C$168))+(SPK!D25/Prices!$C$187)</f>
        <v>16141.967963965537</v>
      </c>
      <c r="E25" s="228">
        <f>(SINGTEL!E25/Prices!$C$176)+(NTT!E25/Prices!$C$161*1000)+((TLS!E25/Prices!$C$168))+(SPK!E25/Prices!$C$187)</f>
        <v>15601.635381582837</v>
      </c>
      <c r="F25" s="228">
        <f>(SINGTEL!F25/Prices!$C$176)+(NTT!F25/Prices!$C$161*1000)+((TLS!F25/Prices!$C$168))+(SPK!F25/Prices!$C$187)</f>
        <v>19286.779113541575</v>
      </c>
      <c r="G25" s="228">
        <f>(SINGTEL!G25/Prices!$C$176)+(NTT!G25/Prices!$C$161*1000)+((TLS!G25/Prices!$C$168))+(SPK!G25/Prices!$C$187)</f>
        <v>20358.446243828734</v>
      </c>
      <c r="H25" s="279">
        <f t="shared" si="0"/>
        <v>8.0428544381480283E-2</v>
      </c>
      <c r="I25" s="249"/>
      <c r="J25" s="247" t="s">
        <v>10</v>
      </c>
      <c r="K25" s="247"/>
      <c r="L25" s="332">
        <f>(SINGTEL!L25/Prices!$C$176)+(NTT!L25/Prices!$C$161*1000)+((TLS!L25/Prices!$C$168))+(SPK!L25/Prices!$C$187)</f>
        <v>52735.089571208417</v>
      </c>
      <c r="M25" s="332">
        <f>(SINGTEL!M25/Prices!$C$176)+(NTT!M25/Prices!$C$161*1000)+((TLS!M25/Prices!$C$168))+(SPK!M25/Prices!$C$187)</f>
        <v>54012.927383838294</v>
      </c>
      <c r="N25" s="332">
        <f>(SINGTEL!N25/Prices!$C$176)+(NTT!N25/Prices!$C$161*1000)+((TLS!N25/Prices!$C$168))+(SPK!N25/Prices!$C$187)</f>
        <v>50477.789483219734</v>
      </c>
      <c r="O25" s="332">
        <f>(SINGTEL!O25/Prices!$C$176)+(NTT!O25/Prices!$C$161*1000)+((TLS!O25/Prices!$C$168))+(SPK!O25/Prices!$C$187)</f>
        <v>46407.464075929194</v>
      </c>
      <c r="P25" s="279">
        <f>IF(L25=0,"nm",IF(O25=0,"nm",(O25/L25)^(1/3)-1))</f>
        <v>-4.1712000187053566E-2</v>
      </c>
      <c r="Q25" s="5"/>
      <c r="S25" s="42"/>
      <c r="T25" s="42"/>
      <c r="U25" s="42"/>
      <c r="V25" s="147" t="s">
        <v>180</v>
      </c>
      <c r="W25" s="288">
        <f t="shared" si="1"/>
        <v>1.3225062094248032</v>
      </c>
      <c r="X25" s="288">
        <v>1</v>
      </c>
      <c r="Y25" s="42"/>
      <c r="Z25" s="42"/>
      <c r="AA25" s="42"/>
    </row>
    <row r="26" spans="2:27">
      <c r="B26" s="5" t="s">
        <v>581</v>
      </c>
      <c r="C26" s="365">
        <f>(SINGTEL!C26/Prices!$C$176)+(NTT!C26/Prices!$C$161*1000)+((TLS!C26/Prices!$C$168))+(SPK!C26/Prices!$C$187)</f>
        <v>10294.838013020513</v>
      </c>
      <c r="D26" s="228">
        <f>(SINGTEL!D26/Prices!$C$176)+(NTT!D26/Prices!$C$161*1000)+((TLS!D26/Prices!$C$168))+(SPK!D26/Prices!$C$187)</f>
        <v>11335.334914616809</v>
      </c>
      <c r="E26" s="228">
        <f>(SINGTEL!E26/Prices!$C$176)+(NTT!E26/Prices!$C$161*1000)+((TLS!E26/Prices!$C$168))+(SPK!E26/Prices!$C$187)</f>
        <v>10905.94361760104</v>
      </c>
      <c r="F26" s="228">
        <f>(SINGTEL!F26/Prices!$C$176)+(NTT!F26/Prices!$C$161*1000)+((TLS!F26/Prices!$C$168))+(SPK!F26/Prices!$C$187)</f>
        <v>13541.512870418992</v>
      </c>
      <c r="G26" s="228">
        <f>(SINGTEL!G26/Prices!$C$176)+(NTT!G26/Prices!$C$161*1000)+((TLS!G26/Prices!$C$168))+(SPK!G26/Prices!$C$187)</f>
        <v>14289.528841581161</v>
      </c>
      <c r="H26" s="279">
        <f t="shared" si="0"/>
        <v>8.0258894902609512E-2</v>
      </c>
      <c r="I26" s="249"/>
      <c r="J26" s="249" t="s">
        <v>11</v>
      </c>
      <c r="K26" s="249"/>
      <c r="L26" s="281">
        <f>(SINGTEL!L26/Prices!$C$176)+(NTT!L26/Prices!$C$161*1000)+((TLS!L26/Prices!$C$168))+(SPK!L26/Prices!$C$187)</f>
        <v>226130.33751005377</v>
      </c>
      <c r="M26" s="281">
        <f>(SINGTEL!M26/Prices!$C$176)+(NTT!M26/Prices!$C$161*1000)+((TLS!M26/Prices!$C$168))+(SPK!M26/Prices!$C$187)</f>
        <v>225754.12948761851</v>
      </c>
      <c r="N26" s="281">
        <f>(SINGTEL!N26/Prices!$C$176)+(NTT!N26/Prices!$C$161*1000)+((TLS!N26/Prices!$C$168))+(SPK!N26/Prices!$C$187)</f>
        <v>220565.65200312462</v>
      </c>
      <c r="O26" s="281">
        <f>(SINGTEL!O26/Prices!$C$176)+(NTT!O26/Prices!$C$161*1000)+((TLS!O26/Prices!$C$168))+(SPK!O26/Prices!$C$187)</f>
        <v>214842.69326314854</v>
      </c>
      <c r="P26" s="279">
        <f>IF(L26=0,"nm",IF(O26=0,"nm",(O26/L26)^(1/3)-1))</f>
        <v>-1.6923640898703796E-2</v>
      </c>
      <c r="Q26" s="41"/>
      <c r="S26" s="42"/>
      <c r="T26" s="42"/>
      <c r="U26" s="42"/>
      <c r="V26" s="147" t="s">
        <v>181</v>
      </c>
      <c r="W26" s="288">
        <f t="shared" si="1"/>
        <v>1.4625164976818901</v>
      </c>
      <c r="X26" s="288">
        <v>1</v>
      </c>
      <c r="Y26" s="42"/>
      <c r="Z26" s="42"/>
      <c r="AA26" s="42"/>
    </row>
    <row r="27" spans="2:27">
      <c r="B27" s="5" t="s">
        <v>582</v>
      </c>
      <c r="C27" s="365">
        <f>(SINGTEL!C27/Prices!$C$176)+(NTT!C27/Prices!$C$161*1000)+((TLS!C27/Prices!$C$168))+(SPK!C27/Prices!$C$187)</f>
        <v>178481.97344422256</v>
      </c>
      <c r="D27" s="228">
        <f>(SINGTEL!D27/Prices!$C$176)+(NTT!D27/Prices!$C$161*1000)+((TLS!D27/Prices!$C$168))+(SPK!D27/Prices!$C$187)</f>
        <v>170297.70699385891</v>
      </c>
      <c r="E27" s="228">
        <f>(SINGTEL!E27/Prices!$C$176)+(NTT!E27/Prices!$C$161*1000)+((TLS!E27/Prices!$C$168))+(SPK!E27/Prices!$C$187)</f>
        <v>180745.66252085569</v>
      </c>
      <c r="F27" s="228">
        <f>(SINGTEL!F27/Prices!$C$176)+(NTT!F27/Prices!$C$161*1000)+((TLS!F27/Prices!$C$168))+(SPK!F27/Prices!$C$187)</f>
        <v>191554.97768327623</v>
      </c>
      <c r="G27" s="228">
        <f>(SINGTEL!G27/Prices!$C$176)+(NTT!G27/Prices!$C$161*1000)+((TLS!G27/Prices!$C$168))+(SPK!G27/Prices!$C$187)</f>
        <v>202948.58282250856</v>
      </c>
      <c r="H27" s="279">
        <f t="shared" si="0"/>
        <v>6.0211248282848739E-2</v>
      </c>
      <c r="I27" s="248"/>
      <c r="J27" s="248"/>
      <c r="K27" s="248"/>
      <c r="L27" s="248"/>
      <c r="M27" s="248"/>
      <c r="N27" s="248"/>
      <c r="O27" s="248"/>
      <c r="Q27" s="5"/>
      <c r="S27" s="42"/>
      <c r="T27" s="42"/>
      <c r="U27" s="42"/>
      <c r="V27" s="147" t="s">
        <v>461</v>
      </c>
      <c r="W27" s="288">
        <f t="shared" si="1"/>
        <v>1.5764049428894187</v>
      </c>
      <c r="X27" s="288">
        <v>1</v>
      </c>
      <c r="Y27" s="42"/>
      <c r="Z27" s="42"/>
      <c r="AA27" s="42"/>
    </row>
    <row r="28" spans="2:27" ht="12.6" thickBot="1">
      <c r="B28" s="5" t="s">
        <v>587</v>
      </c>
      <c r="C28" s="365">
        <f>(SINGTEL!C28/Prices!$C$176)+(NTT!C28/Prices!$C$161*1000)+((TLS!C28/Prices!$C$168))+(SPK!C28/Prices!$C$187)</f>
        <v>98615.122392265665</v>
      </c>
      <c r="D28" s="228">
        <f>(SINGTEL!D28/Prices!$C$176)+(NTT!D28/Prices!$C$161*1000)+((TLS!D28/Prices!$C$168))+(SPK!D28/Prices!$C$187)</f>
        <v>102494.44157865958</v>
      </c>
      <c r="E28" s="228">
        <f>(SINGTEL!E28/Prices!$C$176)+(NTT!E28/Prices!$C$161*1000)+((TLS!E28/Prices!$C$168))+(SPK!E28/Prices!$C$187)</f>
        <v>106275.7638121987</v>
      </c>
      <c r="F28" s="228">
        <f>(SINGTEL!F28/Prices!$C$176)+(NTT!F28/Prices!$C$161*1000)+((TLS!F28/Prices!$C$168))+(SPK!F28/Prices!$C$187)</f>
        <v>106753.63967155819</v>
      </c>
      <c r="G28" s="228">
        <f>(SINGTEL!G28/Prices!$C$176)+(NTT!G28/Prices!$C$161*1000)+((TLS!G28/Prices!$C$168))+(SPK!G28/Prices!$C$187)</f>
        <v>107955.69657948705</v>
      </c>
      <c r="H28" s="279">
        <f t="shared" si="0"/>
        <v>1.7454702754412521E-2</v>
      </c>
      <c r="I28" s="252"/>
      <c r="J28" s="306" t="s">
        <v>747</v>
      </c>
      <c r="K28" s="306"/>
      <c r="L28" s="306"/>
      <c r="M28" s="306"/>
      <c r="N28" s="266"/>
      <c r="O28" s="266"/>
      <c r="P28" s="266"/>
      <c r="Q28" s="5"/>
      <c r="S28" s="42"/>
      <c r="T28" s="42"/>
      <c r="U28" s="42"/>
      <c r="V28" s="147" t="s">
        <v>525</v>
      </c>
      <c r="W28" s="288">
        <f t="shared" si="1"/>
        <v>1.0480407651341259</v>
      </c>
      <c r="X28" s="288">
        <v>1</v>
      </c>
      <c r="Y28" s="42"/>
      <c r="Z28" s="42"/>
      <c r="AA28" s="42"/>
    </row>
    <row r="29" spans="2:27" ht="12.6" thickTop="1">
      <c r="B29" s="5" t="s">
        <v>583</v>
      </c>
      <c r="C29" s="365">
        <f>(SINGTEL!C29/Prices!$C$176)+(NTT!C29/Prices!$C$161*1000)+((TLS!C29/Prices!$C$168))+(SPK!C29/Prices!$C$187)</f>
        <v>10419.143845691628</v>
      </c>
      <c r="D29" s="228">
        <f>(SINGTEL!D29/Prices!$C$176)+(NTT!D29/Prices!$C$161*1000)+((TLS!D29/Prices!$C$168))+(SPK!D29/Prices!$C$187)</f>
        <v>11195.913174410322</v>
      </c>
      <c r="E29" s="228">
        <f>(SINGTEL!E29/Prices!$C$176)+(NTT!E29/Prices!$C$161*1000)+((TLS!E29/Prices!$C$168))+(SPK!E29/Prices!$C$187)</f>
        <v>11260.69227355683</v>
      </c>
      <c r="F29" s="228">
        <f>(SINGTEL!F29/Prices!$C$176)+(NTT!F29/Prices!$C$161*1000)+((TLS!F29/Prices!$C$168))+(SPK!F29/Prices!$C$187)</f>
        <v>13889.711124932075</v>
      </c>
      <c r="G29" s="228">
        <f>(SINGTEL!G29/Prices!$C$176)+(NTT!G29/Prices!$C$161*1000)+((TLS!G29/Prices!$C$168))+(SPK!G29/Prices!$C$187)</f>
        <v>14776.055662598927</v>
      </c>
      <c r="H29" s="279">
        <f t="shared" si="0"/>
        <v>9.6898221235833359E-2</v>
      </c>
      <c r="I29" s="254"/>
      <c r="J29" s="249"/>
      <c r="K29" s="249"/>
      <c r="L29" s="249"/>
      <c r="M29" s="249"/>
      <c r="N29" s="249"/>
      <c r="O29" s="251"/>
      <c r="Q29" s="5"/>
      <c r="S29" s="42"/>
      <c r="T29" s="42"/>
      <c r="U29" s="42"/>
      <c r="V29" s="147" t="s">
        <v>588</v>
      </c>
      <c r="W29" s="288">
        <f t="shared" si="1"/>
        <v>1.0602820578776659</v>
      </c>
      <c r="X29" s="288">
        <v>1</v>
      </c>
      <c r="Y29" s="42"/>
      <c r="Z29" s="42"/>
      <c r="AA29" s="42"/>
    </row>
    <row r="30" spans="2:27">
      <c r="B30" s="5" t="s">
        <v>584</v>
      </c>
      <c r="C30" s="365">
        <f>(SINGTEL!C30/Prices!$C$176)+(NTT!C30/Prices!$C$161*1000)+((TLS!C30/Prices!$C$168))+(SPK!C30/Prices!$C$187)</f>
        <v>12651.481355548733</v>
      </c>
      <c r="D30" s="228">
        <f>(SINGTEL!D30/Prices!$C$176)+(NTT!D30/Prices!$C$161*1000)+((TLS!D30/Prices!$C$168))+(SPK!D30/Prices!$C$187)</f>
        <v>12332.503411264828</v>
      </c>
      <c r="E30" s="228">
        <f>(SINGTEL!E30/Prices!$C$176)+(NTT!E30/Prices!$C$161*1000)+((TLS!E30/Prices!$C$168))+(SPK!E30/Prices!$C$187)</f>
        <v>13414.46697641177</v>
      </c>
      <c r="F30" s="228">
        <f>(SINGTEL!F30/Prices!$C$176)+(NTT!F30/Prices!$C$161*1000)+((TLS!F30/Prices!$C$168))+(SPK!F30/Prices!$C$187)</f>
        <v>15447.692901702516</v>
      </c>
      <c r="G30" s="228">
        <f>(SINGTEL!G30/Prices!$C$176)+(NTT!G30/Prices!$C$161*1000)+((TLS!G30/Prices!$C$168))+(SPK!G30/Prices!$C$187)</f>
        <v>16332.870027614948</v>
      </c>
      <c r="H30" s="279">
        <f t="shared" si="0"/>
        <v>9.8172137212054755E-2</v>
      </c>
      <c r="I30" s="254"/>
      <c r="J30" s="248"/>
      <c r="K30" s="248"/>
      <c r="L30" s="248"/>
      <c r="M30" s="248"/>
      <c r="N30" s="248"/>
      <c r="O30" s="5"/>
      <c r="Q30" s="5"/>
      <c r="S30" s="42"/>
      <c r="T30" s="42"/>
      <c r="U30" s="42"/>
      <c r="V30" s="147" t="s">
        <v>470</v>
      </c>
      <c r="W30" s="288">
        <f t="shared" si="1"/>
        <v>1.3387932476870299</v>
      </c>
      <c r="X30" s="288">
        <v>1</v>
      </c>
      <c r="Y30" s="42"/>
      <c r="Z30" s="42"/>
      <c r="AA30" s="42"/>
    </row>
    <row r="31" spans="2:27">
      <c r="B31" s="5" t="s">
        <v>585</v>
      </c>
      <c r="C31" s="365">
        <f>(SINGTEL!C31/Prices!$C$176)+(NTT!C31/Prices!$C$161*1000)+((TLS!C31/Prices!$C$168))+(SPK!C31/Prices!$C$187)</f>
        <v>6785.3973465342024</v>
      </c>
      <c r="D31" s="228">
        <f>(SINGTEL!D31/Prices!$C$176)+(NTT!D31/Prices!$C$161*1000)+((TLS!D31/Prices!$C$168))+(SPK!D31/Prices!$C$187)</f>
        <v>6937.5109435969325</v>
      </c>
      <c r="E31" s="228">
        <f>(SINGTEL!E31/Prices!$C$176)+(NTT!E31/Prices!$C$161*1000)+((TLS!E31/Prices!$C$168))+(SPK!E31/Prices!$C$187)</f>
        <v>8060.2177560115715</v>
      </c>
      <c r="F31" s="228">
        <f>(SINGTEL!F31/Prices!$C$176)+(NTT!F31/Prices!$C$161*1000)+((TLS!F31/Prices!$C$168))+(SPK!F31/Prices!$C$187)</f>
        <v>8691.9757322470396</v>
      </c>
      <c r="G31" s="228">
        <f>(SINGTEL!G31/Prices!$C$176)+(NTT!G31/Prices!$C$161*1000)+((TLS!G31/Prices!$C$168))+(SPK!G31/Prices!$C$187)</f>
        <v>9401.0673496006639</v>
      </c>
      <c r="H31" s="279">
        <f t="shared" si="0"/>
        <v>0.10660126140941473</v>
      </c>
      <c r="I31" s="254"/>
      <c r="J31" s="252"/>
      <c r="K31" s="252"/>
      <c r="L31" s="252"/>
      <c r="M31" s="252"/>
      <c r="N31" s="252"/>
      <c r="O31" s="5"/>
      <c r="Q31" s="5"/>
      <c r="S31" s="42"/>
      <c r="T31" s="42"/>
      <c r="U31" s="42"/>
      <c r="V31" s="147" t="s">
        <v>528</v>
      </c>
      <c r="W31" s="288">
        <f t="shared" si="1"/>
        <v>0.82878826609260092</v>
      </c>
      <c r="X31" s="288">
        <v>1</v>
      </c>
      <c r="Y31" s="42"/>
      <c r="Z31" s="42"/>
      <c r="AA31" s="42"/>
    </row>
    <row r="32" spans="2:27">
      <c r="B32" s="5" t="s">
        <v>601</v>
      </c>
      <c r="C32" s="365">
        <f>(SINGTEL!C32/Prices!$C$176)+(NTT!C32/Prices!$C$161*1000)+((TLS!C32/Prices!$C$168))+(SPK!C32/Prices!$C$187)</f>
        <v>1655.6926384428546</v>
      </c>
      <c r="D32" s="228">
        <f>(SINGTEL!D32/Prices!$C$176)+(NTT!D32/Prices!$C$161*1000)+((TLS!D32/Prices!$C$168))+(SPK!D32/Prices!$C$187)</f>
        <v>9.630698042624827</v>
      </c>
      <c r="E32" s="228">
        <f>(SINGTEL!E32/Prices!$C$176)+(NTT!E32/Prices!$C$161*1000)+((TLS!E32/Prices!$C$168))+(SPK!E32/Prices!$C$187)</f>
        <v>9.630698042624827</v>
      </c>
      <c r="F32" s="228">
        <f>(SINGTEL!F32/Prices!$C$176)+(NTT!F32/Prices!$C$161*1000)+((TLS!F32/Prices!$C$168))+(SPK!F32/Prices!$C$187)</f>
        <v>9.630698042624827</v>
      </c>
      <c r="G32" s="228">
        <f>(SINGTEL!G32/Prices!$C$176)+(NTT!G32/Prices!$C$161*1000)+((TLS!G32/Prices!$C$168))+(SPK!G32/Prices!$C$187)</f>
        <v>9.630698042624827</v>
      </c>
      <c r="H32" s="279">
        <f t="shared" si="0"/>
        <v>0</v>
      </c>
      <c r="I32" s="5"/>
      <c r="J32" s="254"/>
      <c r="K32" s="254"/>
      <c r="L32" s="254"/>
      <c r="M32" s="254"/>
      <c r="N32" s="254"/>
      <c r="O32" s="251"/>
      <c r="Q32" s="5"/>
      <c r="S32" s="42"/>
      <c r="T32" s="42"/>
      <c r="U32" s="42"/>
      <c r="V32" s="147" t="s">
        <v>575</v>
      </c>
      <c r="W32" s="288">
        <f>M17/E45</f>
        <v>0.99006389738836775</v>
      </c>
      <c r="X32" s="288">
        <v>1</v>
      </c>
      <c r="Y32" s="42"/>
      <c r="Z32" s="42"/>
      <c r="AA32" s="42"/>
    </row>
    <row r="33" spans="2:42">
      <c r="B33" s="5" t="s">
        <v>5</v>
      </c>
      <c r="C33" s="365">
        <f>(SINGTEL!C33/Prices!$C$176)+(NTT!C33/Prices!$C$161*1000)+((TLS!C33/Prices!$C$168))+(SPK!C33/Prices!$C$187)</f>
        <v>14.028124579933383</v>
      </c>
      <c r="D33" s="228">
        <f>(SINGTEL!D33/Prices!$C$176)+(NTT!D33/Prices!$C$161*1000)+((TLS!D33/Prices!$C$168))+(SPK!D33/Prices!$C$187)</f>
        <v>251.83221637934435</v>
      </c>
      <c r="E33" s="228">
        <f>(SINGTEL!E33/Prices!$C$176)+(NTT!E33/Prices!$C$161*1000)+((TLS!E33/Prices!$C$168))+(SPK!E33/Prices!$C$187)</f>
        <v>264.3992249562117</v>
      </c>
      <c r="F33" s="228">
        <f>(SINGTEL!F33/Prices!$C$176)+(NTT!F33/Prices!$C$161*1000)+((TLS!F33/Prices!$C$168))+(SPK!F33/Prices!$C$187)</f>
        <v>210.9097414590926</v>
      </c>
      <c r="G33" s="228">
        <f>(SINGTEL!G33/Prices!$C$176)+(NTT!G33/Prices!$C$161*1000)+((TLS!G33/Prices!$C$168))+(SPK!G33/Prices!$C$187)</f>
        <v>218.28648009643206</v>
      </c>
      <c r="H33" s="279">
        <f t="shared" si="0"/>
        <v>-4.6534060623498297E-2</v>
      </c>
      <c r="I33" s="49"/>
      <c r="J33" s="254"/>
      <c r="K33" s="254"/>
      <c r="L33" s="254"/>
      <c r="M33" s="254"/>
      <c r="N33" s="254"/>
      <c r="O33" s="251"/>
      <c r="Q33" s="5"/>
      <c r="S33" s="42"/>
      <c r="T33" s="42"/>
      <c r="U33" s="42"/>
      <c r="V33" s="147" t="s">
        <v>576</v>
      </c>
      <c r="W33" s="288">
        <f>M19/E47</f>
        <v>1.3387932476870299</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1.9596141118899613</v>
      </c>
      <c r="E37" s="553">
        <f t="shared" si="2"/>
        <v>1.913513691536058</v>
      </c>
      <c r="F37" s="553">
        <f t="shared" si="2"/>
        <v>1.7843026208266715</v>
      </c>
      <c r="G37" s="553">
        <f t="shared" si="2"/>
        <v>1.6451592967052429</v>
      </c>
      <c r="H37" s="17">
        <f t="shared" ref="H37:H45" si="3">H23</f>
        <v>2.3159070246300706E-2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7.260879478563373</v>
      </c>
      <c r="E38" s="553">
        <f t="shared" si="2"/>
        <v>7.185698373539414</v>
      </c>
      <c r="F38" s="553">
        <f t="shared" si="2"/>
        <v>6.3208001891140722</v>
      </c>
      <c r="G38" s="553">
        <f t="shared" si="2"/>
        <v>5.8022956419229432</v>
      </c>
      <c r="H38" s="17">
        <f t="shared" si="3"/>
        <v>4.0124715031497837E-2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15.650893073877342</v>
      </c>
      <c r="E39" s="553">
        <f t="shared" si="2"/>
        <v>16.006237973250297</v>
      </c>
      <c r="F39" s="553">
        <f t="shared" si="2"/>
        <v>12.381891447123158</v>
      </c>
      <c r="G39" s="553">
        <f t="shared" si="2"/>
        <v>11.158809135758739</v>
      </c>
      <c r="H39" s="17">
        <f t="shared" si="3"/>
        <v>8.0428544381480283E-2</v>
      </c>
      <c r="I39" s="5"/>
      <c r="J39" s="5"/>
      <c r="K39" s="5"/>
      <c r="L39" s="5"/>
      <c r="M39" s="5"/>
      <c r="N39" s="5"/>
      <c r="O39" s="5"/>
      <c r="Q39" s="5"/>
      <c r="R39" s="5"/>
      <c r="S39" s="42"/>
      <c r="T39" s="42"/>
      <c r="U39" s="42"/>
      <c r="V39" s="42"/>
      <c r="W39" s="288"/>
      <c r="X39" s="288"/>
      <c r="Y39" s="42"/>
      <c r="Z39" s="42"/>
      <c r="AA39" s="42"/>
    </row>
    <row r="40" spans="2:42">
      <c r="B40" s="5" t="s">
        <v>461</v>
      </c>
      <c r="C40" s="247"/>
      <c r="D40" s="553">
        <f t="shared" si="2"/>
        <v>22.287494503599191</v>
      </c>
      <c r="E40" s="553">
        <f t="shared" si="2"/>
        <v>22.897925887537991</v>
      </c>
      <c r="F40" s="553">
        <f t="shared" si="2"/>
        <v>17.635164374445925</v>
      </c>
      <c r="G40" s="553">
        <f t="shared" si="2"/>
        <v>15.89807602854118</v>
      </c>
      <c r="H40" s="17">
        <f t="shared" si="3"/>
        <v>8.0258894902609512E-2</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1.4834974531693985</v>
      </c>
      <c r="E41" s="553">
        <f t="shared" si="2"/>
        <v>1.381629219792103</v>
      </c>
      <c r="F41" s="553">
        <f t="shared" si="2"/>
        <v>1.2466750185075619</v>
      </c>
      <c r="G41" s="553">
        <f t="shared" si="2"/>
        <v>1.1193771977908766</v>
      </c>
      <c r="H41" s="17">
        <f t="shared" si="3"/>
        <v>6.0211248282848739E-2</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2.4648772237281955</v>
      </c>
      <c r="E42" s="553">
        <f>E18/E28</f>
        <v>2.3497689382010583</v>
      </c>
      <c r="F42" s="553">
        <f>F18/F28</f>
        <v>2.2369898214546593</v>
      </c>
      <c r="G42" s="553">
        <f>G18/G28</f>
        <v>2.1043448667687592</v>
      </c>
      <c r="H42" s="17">
        <f t="shared" si="3"/>
        <v>1.7454702754412521E-2</v>
      </c>
      <c r="I42" s="247"/>
      <c r="J42" s="5"/>
      <c r="K42" s="5"/>
      <c r="L42" s="5"/>
      <c r="M42" s="5"/>
      <c r="N42" s="5"/>
      <c r="O42" s="5"/>
      <c r="Q42" s="5"/>
      <c r="R42" s="5"/>
      <c r="S42" s="42"/>
      <c r="T42" s="42"/>
      <c r="U42" s="42"/>
      <c r="V42" s="42"/>
      <c r="W42" s="288"/>
      <c r="X42" s="288"/>
      <c r="Y42" s="288"/>
      <c r="Z42" s="288"/>
      <c r="AA42" s="42"/>
    </row>
    <row r="43" spans="2:42">
      <c r="B43" s="5" t="s">
        <v>470</v>
      </c>
      <c r="C43" s="247"/>
      <c r="D43" s="553">
        <f>L26/D29</f>
        <v>20.197578704602972</v>
      </c>
      <c r="E43" s="553">
        <f>M26/E29</f>
        <v>20.047979644888322</v>
      </c>
      <c r="F43" s="553">
        <f>N26/F29</f>
        <v>15.87978684504162</v>
      </c>
      <c r="G43" s="553">
        <f>O26/G29</f>
        <v>14.539921760511312</v>
      </c>
      <c r="H43" s="17">
        <f t="shared" si="3"/>
        <v>9.6898221235833359E-2</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14.060020269725744</v>
      </c>
      <c r="E44" s="553">
        <f>E11/E30</f>
        <v>12.80268551898282</v>
      </c>
      <c r="F44" s="553">
        <f>F11/F30</f>
        <v>11.010567312686494</v>
      </c>
      <c r="G44" s="553">
        <f>G11/G30</f>
        <v>10.31265349582994</v>
      </c>
      <c r="H44" s="17">
        <f t="shared" si="3"/>
        <v>9.8172137212054755E-2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4.0009810107620239E-2</v>
      </c>
      <c r="E45" s="248">
        <f>E31/E11</f>
        <v>4.6932347376612185E-2</v>
      </c>
      <c r="F45" s="248">
        <f>F31/F11</f>
        <v>5.1102857096753995E-2</v>
      </c>
      <c r="G45" s="248">
        <f>G31/G11</f>
        <v>5.5814139328009445E-2</v>
      </c>
      <c r="H45" s="17">
        <f t="shared" si="3"/>
        <v>0.10660126140941473</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4.0065351987557007E-2</v>
      </c>
      <c r="E46" s="248">
        <f>(E31+E32)/E11</f>
        <v>4.698842418243776E-2</v>
      </c>
      <c r="F46" s="248">
        <f>(F31+F32)/F11</f>
        <v>5.1159478997340808E-2</v>
      </c>
      <c r="G46" s="248">
        <f>(G31+G32)/G11</f>
        <v>5.5871316784822357E-2</v>
      </c>
      <c r="H46" s="279">
        <f>((G31+G32)/(D31+D32))^(1/3)-1</f>
        <v>0.10646724454194278</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4.9510885172196546E-2</v>
      </c>
      <c r="E47" s="248">
        <f>1/E43</f>
        <v>4.9880337954900718E-2</v>
      </c>
      <c r="F47" s="248">
        <f>1/F43</f>
        <v>6.2973137470812138E-2</v>
      </c>
      <c r="G47" s="248">
        <f>1/G43</f>
        <v>6.8776161004929226E-2</v>
      </c>
      <c r="H47" s="17">
        <f>H29</f>
        <v>9.6898221235833359E-2</v>
      </c>
      <c r="I47" s="247"/>
      <c r="J47" s="248"/>
      <c r="K47" s="248"/>
      <c r="L47" s="248"/>
      <c r="M47" s="248"/>
      <c r="N47" s="248"/>
      <c r="O47" s="248"/>
      <c r="Q47" s="5"/>
      <c r="R47" s="5"/>
      <c r="S47" s="5"/>
      <c r="T47" s="5"/>
      <c r="U47" s="5"/>
      <c r="AA47" s="303"/>
      <c r="AB47" s="303"/>
    </row>
    <row r="48" spans="2:42">
      <c r="B48" s="5" t="s">
        <v>613</v>
      </c>
      <c r="C48" s="5"/>
      <c r="D48" s="305">
        <f>D31/D29</f>
        <v>0.61964672604406157</v>
      </c>
      <c r="E48" s="305">
        <f>E31/E29</f>
        <v>0.71578350248848877</v>
      </c>
      <c r="F48" s="305">
        <f>F31/F29</f>
        <v>0.62578520561488971</v>
      </c>
      <c r="G48" s="305">
        <f>G31/G29</f>
        <v>0.63623659549392442</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95">
    <tabColor theme="3" tint="0.59999389629810485"/>
    <pageSetUpPr fitToPage="1"/>
  </sheetPr>
  <dimension ref="B1:BK164"/>
  <sheetViews>
    <sheetView showGridLines="0" zoomScale="80" zoomScaleNormal="80" workbookViewId="0">
      <selection activeCell="G11" sqref="G11"/>
    </sheetView>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1380</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91</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 ASIA'!D37</f>
        <v>1.9661971028425513</v>
      </c>
      <c r="M9" s="64">
        <f>'AGG DM ASIA'!E37</f>
        <v>1.8845678750820321</v>
      </c>
      <c r="N9" s="64">
        <f>'AGG DM ASIA'!F37</f>
        <v>1.7102354922782459</v>
      </c>
      <c r="O9" s="64">
        <f>'AGG DM ASIA'!G37</f>
        <v>1.5481640802498227</v>
      </c>
      <c r="P9" s="17">
        <f>'EM CELLULAR'!H37</f>
        <v>4.6449022636606552E-2</v>
      </c>
    </row>
    <row r="10" spans="2:63">
      <c r="B10" s="5" t="s">
        <v>269</v>
      </c>
      <c r="C10" s="5"/>
      <c r="D10" s="332"/>
      <c r="E10" s="332"/>
      <c r="F10" s="332"/>
      <c r="G10" s="332"/>
      <c r="H10" s="247"/>
      <c r="I10" s="247"/>
      <c r="J10" s="5" t="s">
        <v>180</v>
      </c>
      <c r="L10" s="64">
        <f>'AGG DM ASIA'!D38</f>
        <v>7.5194399594537158</v>
      </c>
      <c r="M10" s="64">
        <f>'AGG DM ASIA'!E38</f>
        <v>7.2157406662570427</v>
      </c>
      <c r="N10" s="64">
        <f>'AGG DM ASIA'!F38</f>
        <v>6.2947314811996939</v>
      </c>
      <c r="O10" s="64">
        <f>'AGG DM ASIA'!G38</f>
        <v>5.6509319524021073</v>
      </c>
      <c r="P10" s="17">
        <f>'EM CELLULAR'!H38</f>
        <v>5.2406256537620211E-2</v>
      </c>
      <c r="W10" s="10"/>
      <c r="X10" s="10"/>
      <c r="Y10" s="10"/>
      <c r="Z10" s="10"/>
    </row>
    <row r="11" spans="2:63">
      <c r="B11" s="41" t="s">
        <v>354</v>
      </c>
      <c r="C11" s="5"/>
      <c r="D11" s="271">
        <f>(SBKK!D11/Prices!$C$161*1000)+(KDDI!D11/Prices!$C$161*1000)+(RAK!D11/Prices!$C$161*1000)+(HKBN!D11/Prices!$C$167)+(TPG!D11/Prices!$C$168)+(MAQ!D11/Prices!$C$168)</f>
        <v>155826.73847582869</v>
      </c>
      <c r="E11" s="271">
        <f>(SBKK!E11/Prices!$C$161*1000)+(KDDI!E11/Prices!$C$161*1000)+(RAK!E11/Prices!$C$161*1000)+(HKBN!E11/Prices!$C$167)+(TPG!E11/Prices!$C$168)+(MAQ!E11/Prices!$C$168)</f>
        <v>153570.48180075226</v>
      </c>
      <c r="F11" s="271">
        <f>(SBKK!F11/Prices!$C$161*1000)+(KDDI!F11/Prices!$C$161*1000)+(RAK!F11/Prices!$C$161*1000)+(HKBN!F11/Prices!$C$167)+(TPG!F11/Prices!$C$168)+(MAQ!F11/Prices!$C$168)</f>
        <v>151305.26426380186</v>
      </c>
      <c r="G11" s="271">
        <f>(SBKK!G11/Prices!$C$161*1000)+(KDDI!G11/Prices!$C$161*1000)+(RAK!G11/Prices!$C$161*1000)+(HKBN!G11/Prices!$C$167)+(TPG!G11/Prices!$C$168)+(MAQ!G11/Prices!$C$168)</f>
        <v>149384.54714551635</v>
      </c>
      <c r="H11" s="249"/>
      <c r="I11" s="249"/>
      <c r="J11" s="5" t="s">
        <v>181</v>
      </c>
      <c r="L11" s="64">
        <f>'AGG DM ASIA'!D39</f>
        <v>15.407161026888048</v>
      </c>
      <c r="M11" s="64">
        <f>'AGG DM ASIA'!E39</f>
        <v>13.850522691482661</v>
      </c>
      <c r="N11" s="64">
        <f>'AGG DM ASIA'!F39</f>
        <v>11.104899244904207</v>
      </c>
      <c r="O11" s="64">
        <f>'AGG DM ASIA'!G39</f>
        <v>9.8619926953007742</v>
      </c>
      <c r="P11" s="17">
        <f>'EM CELLULAR'!H39</f>
        <v>0.10100210602425808</v>
      </c>
      <c r="W11" s="10"/>
      <c r="X11" s="10"/>
      <c r="Y11" s="10"/>
      <c r="Z11" s="10"/>
    </row>
    <row r="12" spans="2:63">
      <c r="B12" s="5" t="s">
        <v>225</v>
      </c>
      <c r="C12" s="249"/>
      <c r="D12" s="228">
        <f>(SBKK!D12/Prices!$C$161*1000)+(KDDI!D12/Prices!$C$161*1000)+(RAK!D12/Prices!$C$161*1000)+(HKBN!D12/Prices!$C$167)+(TPG!D12/Prices!$C$168)+(MAQ!D12/Prices!$C$168)</f>
        <v>46406.082305354961</v>
      </c>
      <c r="E12" s="228">
        <f>(SBKK!E12/Prices!$C$161*1000)+(KDDI!E12/Prices!$C$161*1000)+(RAK!E12/Prices!$C$161*1000)+(HKBN!E12/Prices!$C$167)+(TPG!E12/Prices!$C$168)+(MAQ!E12/Prices!$C$168)</f>
        <v>42207.433579876953</v>
      </c>
      <c r="F12" s="228">
        <f>(SBKK!F12/Prices!$C$161*1000)+(KDDI!F12/Prices!$C$161*1000)+(RAK!F12/Prices!$C$161*1000)+(HKBN!F12/Prices!$C$167)+(TPG!F12/Prices!$C$168)+(MAQ!F12/Prices!$C$168)</f>
        <v>38037.029179048397</v>
      </c>
      <c r="G12" s="228">
        <f>(SBKK!G12/Prices!$C$161*1000)+(KDDI!G12/Prices!$C$161*1000)+(RAK!G12/Prices!$C$161*1000)+(HKBN!G12/Prices!$C$167)+(TPG!G12/Prices!$C$168)+(MAQ!G12/Prices!$C$168)</f>
        <v>32815.070966209198</v>
      </c>
      <c r="H12" s="247"/>
      <c r="I12" s="247"/>
      <c r="J12" s="5" t="s">
        <v>461</v>
      </c>
      <c r="L12" s="64">
        <f>'AGG DM ASIA'!D40</f>
        <v>21.602251824900758</v>
      </c>
      <c r="M12" s="64">
        <f>'AGG DM ASIA'!E40</f>
        <v>19.602708435807113</v>
      </c>
      <c r="N12" s="64">
        <f>'AGG DM ASIA'!F40</f>
        <v>15.736388106432045</v>
      </c>
      <c r="O12" s="64">
        <f>'AGG DM ASIA'!G40</f>
        <v>14.042468892205573</v>
      </c>
      <c r="P12" s="17">
        <f>'EM CELLULAR'!H40</f>
        <v>8.9729855374904854E-2</v>
      </c>
      <c r="W12" s="10"/>
      <c r="X12" s="10"/>
      <c r="Y12" s="10"/>
      <c r="Z12" s="10"/>
    </row>
    <row r="13" spans="2:63">
      <c r="B13" s="5" t="s">
        <v>524</v>
      </c>
      <c r="C13" s="257"/>
      <c r="D13" s="228">
        <f>(SBKK!D13/Prices!$C$161*1000)+(KDDI!D13/Prices!$C$161*1000)+(RAK!D13/Prices!$C$161*1000)+(HKBN!D13/Prices!$C$167)+(TPG!D13/Prices!$C$168)+(MAQ!D13/Prices!$C$168)</f>
        <v>1482.2663129572634</v>
      </c>
      <c r="E13" s="228">
        <f>(SBKK!E13/Prices!$C$161*1000)+(KDDI!E13/Prices!$C$161*1000)+(RAK!E13/Prices!$C$161*1000)+(HKBN!E13/Prices!$C$167)+(TPG!E13/Prices!$C$168)+(MAQ!E13/Prices!$C$168)</f>
        <v>1482.2663129572634</v>
      </c>
      <c r="F13" s="228">
        <f>(SBKK!F13/Prices!$C$161*1000)+(KDDI!F13/Prices!$C$161*1000)+(RAK!F13/Prices!$C$161*1000)+(HKBN!F13/Prices!$C$167)+(TPG!F13/Prices!$C$168)+(MAQ!F13/Prices!$C$168)</f>
        <v>1482.2663129572634</v>
      </c>
      <c r="G13" s="228">
        <f>(SBKK!G13/Prices!$C$161*1000)+(KDDI!G13/Prices!$C$161*1000)+(RAK!G13/Prices!$C$161*1000)+(HKBN!G13/Prices!$C$167)+(TPG!G13/Prices!$C$168)+(MAQ!G13/Prices!$C$168)</f>
        <v>1482.2663129572634</v>
      </c>
      <c r="H13" s="247"/>
      <c r="I13" s="247"/>
      <c r="J13" s="5" t="s">
        <v>525</v>
      </c>
      <c r="L13" s="64">
        <f>'AGG DM ASIA'!D41</f>
        <v>1.6544118954276832</v>
      </c>
      <c r="M13" s="64">
        <f>'AGG DM ASIA'!E41</f>
        <v>1.5626926293761227</v>
      </c>
      <c r="N13" s="64">
        <f>'AGG DM ASIA'!F41</f>
        <v>1.4310362247413813</v>
      </c>
      <c r="O13" s="64">
        <f>'AGG DM ASIA'!G41</f>
        <v>1.3004963167948864</v>
      </c>
      <c r="P13" s="17">
        <f>'EM CELLULAR'!H41</f>
        <v>-1.8999293431604336E-2</v>
      </c>
    </row>
    <row r="14" spans="2:63">
      <c r="B14" s="5" t="s">
        <v>527</v>
      </c>
      <c r="C14" s="274"/>
      <c r="D14" s="228">
        <f>(SBKK!D14/Prices!$C$161*1000)+(KDDI!D14/Prices!$C$161*1000)+(RAK!D14/Prices!$C$161*1000)+(HKBN!D14/Prices!$C$167)+(TPG!D14/Prices!$C$168)+(MAQ!D14/Prices!$C$168)</f>
        <v>0</v>
      </c>
      <c r="E14" s="228">
        <f>(SBKK!E14/Prices!$C$161*1000)+(KDDI!E14/Prices!$C$161*1000)+(RAK!E14/Prices!$C$161*1000)+(HKBN!E14/Prices!$C$167)+(TPG!E14/Prices!$C$168)+(MAQ!E14/Prices!$C$168)</f>
        <v>0</v>
      </c>
      <c r="F14" s="228">
        <f>(SBKK!F14/Prices!$C$161*1000)+(KDDI!F14/Prices!$C$161*1000)+(RAK!F14/Prices!$C$161*1000)+(HKBN!F14/Prices!$C$167)+(TPG!F14/Prices!$C$168)+(MAQ!F14/Prices!$C$168)</f>
        <v>0</v>
      </c>
      <c r="G14" s="228">
        <f>(SBKK!G14/Prices!$C$161*1000)+(KDDI!G14/Prices!$C$161*1000)+(RAK!G14/Prices!$C$161*1000)+(HKBN!G14/Prices!$C$167)+(TPG!G14/Prices!$C$168)+(MAQ!G14/Prices!$C$168)</f>
        <v>0</v>
      </c>
      <c r="H14" s="247"/>
      <c r="I14" s="247"/>
      <c r="J14" s="5" t="s">
        <v>588</v>
      </c>
      <c r="L14" s="64">
        <f>'AGG DM ASIA'!D42</f>
        <v>3.1677671208807943</v>
      </c>
      <c r="M14" s="64">
        <f>'AGG DM ASIA'!E42</f>
        <v>3.0469126030002176</v>
      </c>
      <c r="N14" s="64">
        <f>'AGG DM ASIA'!F42</f>
        <v>2.9060000542694824</v>
      </c>
      <c r="O14" s="64">
        <f>'AGG DM ASIA'!G42</f>
        <v>2.734391157420057</v>
      </c>
      <c r="P14" s="17">
        <f>'EM CELLULAR'!H42</f>
        <v>1.6075575533494924E-2</v>
      </c>
    </row>
    <row r="15" spans="2:63">
      <c r="B15" s="5" t="s">
        <v>526</v>
      </c>
      <c r="C15" s="257"/>
      <c r="D15" s="228">
        <f>(SBKK!D15/Prices!$C$161*1000)+(KDDI!D15/Prices!$C$161*1000)+(RAK!D15/Prices!$C$161*1000)+(HKBN!D15/Prices!$C$167)+(TPG!D15/Prices!$C$168)+(MAQ!D15/Prices!$C$168)</f>
        <v>3.1677597010281877</v>
      </c>
      <c r="E15" s="228">
        <f>(SBKK!E15/Prices!$C$161*1000)+(KDDI!E15/Prices!$C$161*1000)+(RAK!E15/Prices!$C$161*1000)+(HKBN!E15/Prices!$C$167)+(TPG!E15/Prices!$C$168)+(MAQ!E15/Prices!$C$168)</f>
        <v>3.1677597010281877</v>
      </c>
      <c r="F15" s="228">
        <f>(SBKK!F15/Prices!$C$161*1000)+(KDDI!F15/Prices!$C$161*1000)+(RAK!F15/Prices!$C$161*1000)+(HKBN!F15/Prices!$C$167)+(TPG!F15/Prices!$C$168)+(MAQ!F15/Prices!$C$168)</f>
        <v>3.1677597010281877</v>
      </c>
      <c r="G15" s="228">
        <f>(SBKK!G15/Prices!$C$161*1000)+(KDDI!G15/Prices!$C$161*1000)+(RAK!G15/Prices!$C$161*1000)+(HKBN!G15/Prices!$C$167)+(TPG!G15/Prices!$C$168)+(MAQ!G15/Prices!$C$168)</f>
        <v>3.1677597010281877</v>
      </c>
      <c r="H15" s="247"/>
      <c r="I15" s="247"/>
      <c r="J15" s="5" t="s">
        <v>470</v>
      </c>
      <c r="L15" s="64">
        <f>'AGG DM ASIA'!D43</f>
        <v>17.099269762099652</v>
      </c>
      <c r="M15" s="64">
        <f>'AGG DM ASIA'!E43</f>
        <v>14.17927151679425</v>
      </c>
      <c r="N15" s="64">
        <f>'AGG DM ASIA'!F43</f>
        <v>11.601280855924273</v>
      </c>
      <c r="O15" s="64">
        <f>'AGG DM ASIA'!G43</f>
        <v>10.753471277962806</v>
      </c>
      <c r="P15" s="17">
        <f>'EM CELLULAR'!H43</f>
        <v>0.18889227648007534</v>
      </c>
      <c r="S15" s="88"/>
      <c r="T15" s="88"/>
      <c r="U15" s="88"/>
      <c r="V15" s="42"/>
      <c r="W15" s="42"/>
      <c r="X15" s="42"/>
      <c r="Y15" s="42"/>
      <c r="Z15" s="42"/>
      <c r="AA15" s="42"/>
    </row>
    <row r="16" spans="2:63">
      <c r="B16" s="5" t="s">
        <v>529</v>
      </c>
      <c r="C16" s="257"/>
      <c r="D16" s="228">
        <f>(SBKK!D16/Prices!$C$161*1000)+(KDDI!D16/Prices!$C$161*1000)+(RAK!D16/Prices!$C$161*1000)+(HKBN!D16/Prices!$C$167)+(TPG!D16/Prices!$C$168)+(MAQ!D16/Prices!$C$168)</f>
        <v>551.70249875619265</v>
      </c>
      <c r="E16" s="228">
        <f>(SBKK!E16/Prices!$C$161*1000)+(KDDI!E16/Prices!$C$161*1000)+(RAK!E16/Prices!$C$161*1000)+(HKBN!E16/Prices!$C$167)+(TPG!E16/Prices!$C$168)+(MAQ!E16/Prices!$C$168)</f>
        <v>787.55960532015206</v>
      </c>
      <c r="F16" s="228">
        <f>(SBKK!F16/Prices!$C$161*1000)+(KDDI!F16/Prices!$C$161*1000)+(RAK!F16/Prices!$C$161*1000)+(HKBN!F16/Prices!$C$167)+(TPG!F16/Prices!$C$168)+(MAQ!F16/Prices!$C$168)</f>
        <v>6026.6914659758068</v>
      </c>
      <c r="G16" s="228">
        <f>(SBKK!G16/Prices!$C$161*1000)+(KDDI!G16/Prices!$C$161*1000)+(RAK!G16/Prices!$C$161*1000)+(HKBN!G16/Prices!$C$167)+(TPG!G16/Prices!$C$168)+(MAQ!G16/Prices!$C$168)</f>
        <v>11744.202665460471</v>
      </c>
      <c r="H16" s="247"/>
      <c r="I16" s="247"/>
      <c r="J16" s="5" t="s">
        <v>528</v>
      </c>
      <c r="L16" s="64">
        <f>'AGG DM ASIA'!D44</f>
        <v>18.048165585431132</v>
      </c>
      <c r="M16" s="64">
        <f>'AGG DM ASIA'!E44</f>
        <v>15.322301714964658</v>
      </c>
      <c r="N16" s="64">
        <f>'AGG DM ASIA'!F44</f>
        <v>13.202466106054869</v>
      </c>
      <c r="O16" s="64">
        <f>'AGG DM ASIA'!G44</f>
        <v>12.256480026102491</v>
      </c>
      <c r="P16" s="17">
        <f>'EM CELLULAR'!H44</f>
        <v>0.17290611502365838</v>
      </c>
      <c r="S16" s="88"/>
      <c r="T16" s="88"/>
      <c r="U16" s="88"/>
      <c r="V16" s="42"/>
      <c r="W16" s="42"/>
      <c r="X16" s="42"/>
      <c r="Y16" s="42"/>
      <c r="Z16" s="42"/>
      <c r="AA16" s="42"/>
    </row>
    <row r="17" spans="2:27">
      <c r="B17" s="5" t="s">
        <v>6</v>
      </c>
      <c r="C17" s="257"/>
      <c r="D17" s="228">
        <f>(SBKK!D17/Prices!$C$161*1000)+(KDDI!D17/Prices!$C$161*1000)+(RAK!D17/Prices!$C$161*1000)+(HKBN!D17/Prices!$C$167)+(TPG!D17/Prices!$C$168)+(MAQ!D17/Prices!$C$168)</f>
        <v>0</v>
      </c>
      <c r="E17" s="228">
        <f>(SBKK!E17/Prices!$C$161*1000)+(KDDI!E17/Prices!$C$161*1000)+(RAK!E17/Prices!$C$161*1000)+(HKBN!E17/Prices!$C$167)+(TPG!E17/Prices!$C$168)+(MAQ!E17/Prices!$C$168)</f>
        <v>0</v>
      </c>
      <c r="F17" s="228">
        <f>(SBKK!F17/Prices!$C$161*1000)+(KDDI!F17/Prices!$C$161*1000)+(RAK!F17/Prices!$C$161*1000)+(HKBN!F17/Prices!$C$167)+(TPG!F17/Prices!$C$168)+(MAQ!F17/Prices!$C$168)</f>
        <v>0</v>
      </c>
      <c r="G17" s="228">
        <f>(SBKK!G17/Prices!$C$161*1000)+(KDDI!G17/Prices!$C$161*1000)+(RAK!G17/Prices!$C$161*1000)+(HKBN!G17/Prices!$C$167)+(TPG!G17/Prices!$C$168)+(MAQ!G17/Prices!$C$168)</f>
        <v>0</v>
      </c>
      <c r="H17" s="247"/>
      <c r="I17" s="247"/>
      <c r="J17" s="5" t="s">
        <v>575</v>
      </c>
      <c r="L17" s="248">
        <f>'AGG DM ASIA'!D45</f>
        <v>3.6949686255070092E-2</v>
      </c>
      <c r="M17" s="248">
        <f>'AGG DM ASIA'!E45</f>
        <v>4.1149615120798226E-2</v>
      </c>
      <c r="N17" s="248">
        <f>'AGG DM ASIA'!F45</f>
        <v>4.5114188009200577E-2</v>
      </c>
      <c r="O17" s="248">
        <f>'AGG DM ASIA'!G45</f>
        <v>4.8574751584717607E-2</v>
      </c>
      <c r="P17" s="17">
        <f>'EM CELLULAR'!H45</f>
        <v>0.14051948142171655</v>
      </c>
      <c r="S17" s="88"/>
      <c r="T17" s="88"/>
      <c r="U17" s="88"/>
      <c r="V17" s="42"/>
      <c r="W17" s="42"/>
      <c r="X17" s="42"/>
      <c r="Y17" s="42"/>
      <c r="Z17" s="42"/>
      <c r="AA17" s="42"/>
    </row>
    <row r="18" spans="2:27" ht="12.6" thickBot="1">
      <c r="B18" s="41" t="s">
        <v>355</v>
      </c>
      <c r="C18" s="249"/>
      <c r="D18" s="275">
        <f>(SBKK!D18/Prices!$C$161*1000)+(KDDI!D18/Prices!$C$161*1000)+(RAK!D18/Prices!$C$161*1000)+(HKBN!D18/Prices!$C$167)+(TPG!D18/Prices!$C$168)+(MAQ!D18/Prices!$C$168)</f>
        <v>203166.55235508573</v>
      </c>
      <c r="E18" s="275">
        <f>(SBKK!E18/Prices!$C$161*1000)+(KDDI!E18/Prices!$C$161*1000)+(RAK!E18/Prices!$C$161*1000)+(HKBN!E18/Prices!$C$167)+(TPG!E18/Prices!$C$168)+(MAQ!E18/Prices!$C$168)</f>
        <v>196475.78984796733</v>
      </c>
      <c r="F18" s="275">
        <f>(SBKK!F18/Prices!$C$161*1000)+(KDDI!F18/Prices!$C$161*1000)+(RAK!F18/Prices!$C$161*1000)+(HKBN!F18/Prices!$C$167)+(TPG!F18/Prices!$C$168)+(MAQ!F18/Prices!$C$168)</f>
        <v>184801.03604953265</v>
      </c>
      <c r="G18" s="275">
        <f>(SBKK!G18/Prices!$C$161*1000)+(KDDI!G18/Prices!$C$161*1000)+(RAK!G18/Prices!$C$161*1000)+(HKBN!G18/Prices!$C$167)+(TPG!G18/Prices!$C$168)+(MAQ!G18/Prices!$C$168)</f>
        <v>171940.84951892335</v>
      </c>
      <c r="H18" s="276">
        <f>IF(D18=0,"nm",IF(G18=0,"nm",(G18/D18)^(1/3)-1))</f>
        <v>-5.4106402710352386E-2</v>
      </c>
      <c r="I18" s="254"/>
      <c r="J18" s="5" t="s">
        <v>36</v>
      </c>
      <c r="L18" s="248">
        <f>'AGG DM ASIA'!D46</f>
        <v>4.0862807854659712E-2</v>
      </c>
      <c r="M18" s="248">
        <f>'AGG DM ASIA'!E46</f>
        <v>4.9349561274634794E-2</v>
      </c>
      <c r="N18" s="248">
        <f>'AGG DM ASIA'!F46</f>
        <v>4.993269234698814E-2</v>
      </c>
      <c r="O18" s="248">
        <f>'AGG DM ASIA'!G46</f>
        <v>3.9785623420470963E-2</v>
      </c>
      <c r="P18" s="17" t="e">
        <f>'EM CELLULAR'!H46</f>
        <v>#VALUE!</v>
      </c>
      <c r="S18" s="88"/>
      <c r="T18" s="42"/>
      <c r="U18" s="42"/>
      <c r="V18" s="42"/>
      <c r="W18" s="42"/>
      <c r="X18" s="42"/>
      <c r="Y18" s="42"/>
      <c r="Z18" s="42"/>
      <c r="AA18" s="42"/>
    </row>
    <row r="19" spans="2:27" ht="12.6" thickTop="1">
      <c r="B19" s="41"/>
      <c r="C19" s="249"/>
      <c r="D19" s="229"/>
      <c r="E19" s="229"/>
      <c r="F19" s="229"/>
      <c r="G19" s="229"/>
      <c r="H19" s="276"/>
      <c r="I19" s="17"/>
      <c r="J19" s="5" t="s">
        <v>576</v>
      </c>
      <c r="L19" s="248">
        <f>'AGG DM ASIA'!D47</f>
        <v>5.8482029578625007E-2</v>
      </c>
      <c r="M19" s="248">
        <f>'AGG DM ASIA'!E47</f>
        <v>7.0525484952846648E-2</v>
      </c>
      <c r="N19" s="248">
        <f>'AGG DM ASIA'!F47</f>
        <v>8.6197378756617482E-2</v>
      </c>
      <c r="O19" s="248">
        <f>'AGG DM ASIA'!G47</f>
        <v>9.2993227410139628E-2</v>
      </c>
      <c r="P19" s="17">
        <f>'EM CELLULAR'!H47</f>
        <v>0.18889227648007534</v>
      </c>
      <c r="S19" s="88"/>
      <c r="T19" s="42"/>
      <c r="U19" s="42"/>
      <c r="V19" s="42"/>
      <c r="W19" s="42"/>
      <c r="X19" s="42"/>
      <c r="Y19" s="42"/>
      <c r="Z19" s="42"/>
      <c r="AA19" s="42"/>
    </row>
    <row r="20" spans="2:27">
      <c r="H20" s="277"/>
      <c r="I20" s="49"/>
      <c r="J20" s="5" t="s">
        <v>599</v>
      </c>
      <c r="L20" s="248">
        <f>'AGG DM ASIA'!D48</f>
        <v>0.68389049881093267</v>
      </c>
      <c r="M20" s="248">
        <f>'AGG DM ASIA'!E48</f>
        <v>0.62953259710200948</v>
      </c>
      <c r="N20" s="248">
        <f>'AGG DM ASIA'!F48</f>
        <v>0.57204287676595666</v>
      </c>
      <c r="O20" s="248">
        <f>'AGG DM ASIA'!G48</f>
        <v>0.57957522323335775</v>
      </c>
      <c r="P20" s="17" t="str">
        <f>'EM CELLULAR'!H48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17"/>
      <c r="D22" s="17"/>
      <c r="E22" s="17"/>
      <c r="F22" s="17"/>
      <c r="G22" s="17"/>
      <c r="H22" s="17"/>
      <c r="I22" s="247"/>
      <c r="P22" s="277"/>
      <c r="S22" s="42"/>
      <c r="T22" s="42"/>
      <c r="U22" s="42"/>
      <c r="V22" s="42"/>
      <c r="W22" s="42"/>
      <c r="X22" s="42"/>
      <c r="Y22" s="42"/>
      <c r="Z22" s="42"/>
      <c r="AA22" s="42"/>
    </row>
    <row r="23" spans="2:27" ht="12.6" thickBot="1">
      <c r="B23" s="5" t="s">
        <v>579</v>
      </c>
      <c r="C23" s="365">
        <f>(SBKK!C23/Prices!$C$161*1000)+(KDDI!C23/Prices!$C$161*1000)+(RAK!C23/Prices!$C$161*1000)+HKBN!C23/Prices!$C$167+TPG!C23/Prices!$C$168+TPG!C23/Prices!$C$168</f>
        <v>99743.976618264991</v>
      </c>
      <c r="D23" s="228">
        <f>(SBKK!D23/Prices!$C$161*1000)+(KDDI!D23/Prices!$C$161*1000)+(RAK!D23/Prices!$C$161*1000)+HKBN!D23/Prices!$C$167+TPG!D23/Prices!$C$168+TPG!D23/Prices!$C$168</f>
        <v>102898.05817847243</v>
      </c>
      <c r="E23" s="228">
        <f>(SBKK!E23/Prices!$C$161*1000)+(KDDI!E23/Prices!$C$161*1000)+(RAK!E23/Prices!$C$161*1000)+HKBN!E23/Prices!$C$167+TPG!E23/Prices!$C$168+TPG!E23/Prices!$C$168</f>
        <v>106259.56861864252</v>
      </c>
      <c r="F23" s="228">
        <f>(SBKK!F23/Prices!$C$161*1000)+(KDDI!F23/Prices!$C$161*1000)+(RAK!F23/Prices!$C$161*1000)+HKBN!F23/Prices!$C$167+TPG!F23/Prices!$C$168+TPG!F23/Prices!$C$168</f>
        <v>113852.15935830621</v>
      </c>
      <c r="G23" s="228">
        <f>(SBKK!G23/Prices!$C$161*1000)+(KDDI!G23/Prices!$C$161*1000)+(RAK!G23/Prices!$C$161*1000)+HKBN!G23/Prices!$C$167+TPG!G23/Prices!$C$168+TPG!G23/Prices!$C$168</f>
        <v>119712.5573727466</v>
      </c>
      <c r="H23" s="279">
        <f t="shared" ref="H23:H33" si="0">IF(D23=0,"nm",IF(G23=0,"nm",(G23/D23)^(1/3)-1))</f>
        <v>5.1745937424389377E-2</v>
      </c>
      <c r="I23" s="249"/>
      <c r="J23" s="306" t="s">
        <v>9</v>
      </c>
      <c r="K23" s="306"/>
      <c r="L23" s="265" t="str">
        <f>L5</f>
        <v>2023E</v>
      </c>
      <c r="M23" s="265" t="str">
        <f>M5</f>
        <v>2024E</v>
      </c>
      <c r="N23" s="265" t="str">
        <f>N5</f>
        <v>2025E</v>
      </c>
      <c r="O23" s="265" t="str">
        <f>O5</f>
        <v>2026E</v>
      </c>
      <c r="P23" s="282" t="str">
        <f>P5</f>
        <v>23E-26E</v>
      </c>
      <c r="S23" s="42"/>
      <c r="T23" s="42"/>
      <c r="U23" s="42"/>
      <c r="V23" s="42"/>
      <c r="W23" s="42" t="s">
        <v>612</v>
      </c>
      <c r="X23" s="42" t="s">
        <v>611</v>
      </c>
      <c r="Y23" s="42"/>
      <c r="Z23" s="42"/>
      <c r="AA23" s="42"/>
    </row>
    <row r="24" spans="2:27" ht="12.6" thickTop="1">
      <c r="B24" s="5" t="s">
        <v>478</v>
      </c>
      <c r="C24" s="365">
        <f>(SBKK!C24/Prices!$C$161*1000)+(KDDI!C24/Prices!$C$161*1000)+(RAK!C24/Prices!$C$161*1000)+HKBN!C24/Prices!$C$167+TPG!C24/Prices!$C$168+TPG!C24/Prices!$C$168</f>
        <v>24457.526063087265</v>
      </c>
      <c r="D24" s="228">
        <f>(SBKK!D24/Prices!$C$161*1000)+(KDDI!D24/Prices!$C$161*1000)+(RAK!D24/Prices!$C$161*1000)+HKBN!D24/Prices!$C$167+TPG!D24/Prices!$C$168+TPG!D24/Prices!$C$168</f>
        <v>25822.422710033235</v>
      </c>
      <c r="E24" s="228">
        <f>(SBKK!E24/Prices!$C$161*1000)+(KDDI!E24/Prices!$C$161*1000)+(RAK!E24/Prices!$C$161*1000)+HKBN!E24/Prices!$C$167+TPG!E24/Prices!$C$168+TPG!E24/Prices!$C$168</f>
        <v>27084.085145569519</v>
      </c>
      <c r="F24" s="228">
        <f>(SBKK!F24/Prices!$C$161*1000)+(KDDI!F24/Prices!$C$161*1000)+(RAK!F24/Prices!$C$161*1000)+HKBN!F24/Prices!$C$167+TPG!F24/Prices!$C$168+TPG!F24/Prices!$C$168</f>
        <v>29514.514026999041</v>
      </c>
      <c r="G24" s="228">
        <f>(SBKK!G24/Prices!$C$161*1000)+(KDDI!G24/Prices!$C$161*1000)+(RAK!G24/Prices!$C$161*1000)+HKBN!G24/Prices!$C$167+TPG!G24/Prices!$C$168+TPG!G24/Prices!$C$168</f>
        <v>31475.721269402959</v>
      </c>
      <c r="H24" s="279">
        <f t="shared" si="0"/>
        <v>6.8217204124905839E-2</v>
      </c>
      <c r="I24" s="248"/>
      <c r="J24" s="17"/>
      <c r="K24" s="17"/>
      <c r="L24" s="17"/>
      <c r="M24" s="17"/>
      <c r="N24" s="17"/>
      <c r="O24" s="248"/>
      <c r="S24" s="42"/>
      <c r="T24" s="42"/>
      <c r="U24" s="42"/>
      <c r="V24" s="147" t="s">
        <v>268</v>
      </c>
      <c r="W24" s="288">
        <f t="shared" ref="W24:W31" si="1">E37/M9</f>
        <v>0.98113599985164679</v>
      </c>
      <c r="X24" s="288">
        <v>1</v>
      </c>
      <c r="Y24" s="42"/>
      <c r="Z24" s="42"/>
      <c r="AA24" s="42"/>
    </row>
    <row r="25" spans="2:27">
      <c r="B25" s="5" t="s">
        <v>179</v>
      </c>
      <c r="C25" s="365">
        <f>(SBKK!C25/Prices!$C$161*1000)+(KDDI!C25/Prices!$C$161*1000)+(RAK!C25/Prices!$C$161*1000)+HKBN!C25/Prices!$C$167+TPG!C25/Prices!$C$168+TPG!C25/Prices!$C$168</f>
        <v>10977.664148583794</v>
      </c>
      <c r="D25" s="228">
        <f>(SBKK!D25/Prices!$C$161*1000)+(KDDI!D25/Prices!$C$161*1000)+(RAK!D25/Prices!$C$161*1000)+HKBN!D25/Prices!$C$167+TPG!D25/Prices!$C$168+TPG!D25/Prices!$C$168</f>
        <v>13441.857775611834</v>
      </c>
      <c r="E25" s="228">
        <f>(SBKK!E25/Prices!$C$161*1000)+(KDDI!E25/Prices!$C$161*1000)+(RAK!E25/Prices!$C$161*1000)+HKBN!E25/Prices!$C$167+TPG!E25/Prices!$C$168+TPG!E25/Prices!$C$168</f>
        <v>16613.703236060301</v>
      </c>
      <c r="F25" s="228">
        <f>(SBKK!F25/Prices!$C$161*1000)+(KDDI!F25/Prices!$C$161*1000)+(RAK!F25/Prices!$C$161*1000)+HKBN!F25/Prices!$C$167+TPG!F25/Prices!$C$168+TPG!F25/Prices!$C$168</f>
        <v>18859.252836494437</v>
      </c>
      <c r="G25" s="228">
        <f>(SBKK!G25/Prices!$C$161*1000)+(KDDI!G25/Prices!$C$161*1000)+(RAK!G25/Prices!$C$161*1000)+HKBN!G25/Prices!$C$167+TPG!G25/Prices!$C$168+TPG!G25/Prices!$C$168</f>
        <v>20111.75869199435</v>
      </c>
      <c r="H25" s="279">
        <f t="shared" si="0"/>
        <v>0.14374774599437457</v>
      </c>
      <c r="I25" s="249"/>
      <c r="J25" s="247" t="s">
        <v>10</v>
      </c>
      <c r="K25" s="247"/>
      <c r="L25" s="332">
        <f>(SBKK!L25/Prices!$C$176)+(KDDI!L25/Prices!$C$161*1000)</f>
        <v>0</v>
      </c>
      <c r="M25" s="332">
        <f>(SBKK!M25/Prices!$C$176)+(KDDI!M25/Prices!$C$161*1000)</f>
        <v>0</v>
      </c>
      <c r="N25" s="332">
        <f>(SBKK!N25/Prices!$C$176)+(KDDI!N25/Prices!$C$161*1000)</f>
        <v>0</v>
      </c>
      <c r="O25" s="332">
        <f>(SBKK!O25/Prices!$C$176)+(KDDI!O25/Prices!$C$161*1000)</f>
        <v>0</v>
      </c>
      <c r="P25" s="279" t="str">
        <f>IF(L25=0,"nm",IF(O25=0,"nm",(O25/L25)^(1/3)-1))</f>
        <v>nm</v>
      </c>
      <c r="Q25" s="5"/>
      <c r="S25" s="42"/>
      <c r="T25" s="42"/>
      <c r="U25" s="42"/>
      <c r="V25" s="147" t="s">
        <v>180</v>
      </c>
      <c r="W25" s="288">
        <f t="shared" si="1"/>
        <v>1.005342301529923</v>
      </c>
      <c r="X25" s="288">
        <v>1</v>
      </c>
      <c r="Y25" s="42"/>
      <c r="Z25" s="42"/>
      <c r="AA25" s="42"/>
    </row>
    <row r="26" spans="2:27">
      <c r="B26" s="5" t="s">
        <v>581</v>
      </c>
      <c r="C26" s="365">
        <f>(SBKK!C26/Prices!$C$161*1000)+(KDDI!C26/Prices!$C$161*1000)+(RAK!C26/Prices!$C$161*1000)+HKBN!C26/Prices!$C$167+TPG!C26/Prices!$C$168+TPG!C26/Prices!$C$168</f>
        <v>7387.4373891779387</v>
      </c>
      <c r="D26" s="228">
        <f>(SBKK!D26/Prices!$C$161*1000)+(KDDI!D26/Prices!$C$161*1000)+(RAK!D26/Prices!$C$161*1000)+HKBN!D26/Prices!$C$167+TPG!D26/Prices!$C$168+TPG!D26/Prices!$C$168</f>
        <v>9764.4453608664771</v>
      </c>
      <c r="E26" s="228">
        <f>(SBKK!E26/Prices!$C$161*1000)+(KDDI!E26/Prices!$C$161*1000)+(RAK!E26/Prices!$C$161*1000)+HKBN!E26/Prices!$C$167+TPG!E26/Prices!$C$168+TPG!E26/Prices!$C$168</f>
        <v>11856.180300051992</v>
      </c>
      <c r="F26" s="228">
        <f>(SBKK!F26/Prices!$C$161*1000)+(KDDI!F26/Prices!$C$161*1000)+(RAK!F26/Prices!$C$161*1000)+HKBN!F26/Prices!$C$167+TPG!F26/Prices!$C$168+TPG!F26/Prices!$C$168</f>
        <v>13377.487762572664</v>
      </c>
      <c r="G26" s="228">
        <f>(SBKK!G26/Prices!$C$161*1000)+(KDDI!G26/Prices!$C$161*1000)+(RAK!G26/Prices!$C$161*1000)+HKBN!G26/Prices!$C$167+TPG!G26/Prices!$C$168+TPG!G26/Prices!$C$168</f>
        <v>14132.600380720114</v>
      </c>
      <c r="H26" s="279">
        <f t="shared" si="0"/>
        <v>0.13116206767528893</v>
      </c>
      <c r="I26" s="249"/>
      <c r="J26" s="249" t="s">
        <v>11</v>
      </c>
      <c r="K26" s="249"/>
      <c r="L26" s="281">
        <f>(SBKK!L26/Prices!$C$176)+(KDDI!L26/Prices!$C$161*1000)</f>
        <v>78021.594694660656</v>
      </c>
      <c r="M26" s="281">
        <f>(SBKK!M26/Prices!$C$176)+(KDDI!M26/Prices!$C$161*1000)</f>
        <v>75755.464126077262</v>
      </c>
      <c r="N26" s="281">
        <f>(SBKK!N26/Prices!$C$176)+(KDDI!N26/Prices!$C$161*1000)</f>
        <v>73488.346118275964</v>
      </c>
      <c r="O26" s="281">
        <f>(SBKK!O26/Prices!$C$176)+(KDDI!O26/Prices!$C$161*1000)</f>
        <v>71595.136281626008</v>
      </c>
      <c r="P26" s="279">
        <f>IF(L26=0,"nm",IF(O26=0,"nm",(O26/L26)^(1/3)-1))</f>
        <v>-2.824623383010294E-2</v>
      </c>
      <c r="Q26" s="41"/>
      <c r="S26" s="42"/>
      <c r="T26" s="42"/>
      <c r="U26" s="42"/>
      <c r="V26" s="147" t="s">
        <v>181</v>
      </c>
      <c r="W26" s="288">
        <f t="shared" si="1"/>
        <v>0.85383987265827621</v>
      </c>
      <c r="X26" s="288">
        <v>1</v>
      </c>
      <c r="Y26" s="42"/>
      <c r="Z26" s="42"/>
      <c r="AA26" s="42"/>
    </row>
    <row r="27" spans="2:27">
      <c r="B27" s="5" t="s">
        <v>582</v>
      </c>
      <c r="C27" s="365">
        <f>(SBKK!C27/Prices!$C$161*1000)+(KDDI!C27/Prices!$C$161*1000)+(RAK!C27/Prices!$C$161*1000)+HKBN!C27/Prices!$C$167+TPG!C27/Prices!$C$168+TPG!C27/Prices!$C$168</f>
        <v>104201.92872182984</v>
      </c>
      <c r="D27" s="228">
        <f>(SBKK!D27/Prices!$C$161*1000)+(KDDI!D27/Prices!$C$161*1000)+(RAK!D27/Prices!$C$161*1000)+HKBN!D27/Prices!$C$167+TPG!D27/Prices!$C$168+TPG!D27/Prices!$C$168</f>
        <v>105209.72148919973</v>
      </c>
      <c r="E27" s="228">
        <f>(SBKK!E27/Prices!$C$161*1000)+(KDDI!E27/Prices!$C$161*1000)+(RAK!E27/Prices!$C$161*1000)+HKBN!E27/Prices!$C$167+TPG!E27/Prices!$C$168+TPG!E27/Prices!$C$168</f>
        <v>104786.6745169155</v>
      </c>
      <c r="F27" s="228">
        <f>(SBKK!F27/Prices!$C$161*1000)+(KDDI!F27/Prices!$C$161*1000)+(RAK!F27/Prices!$C$161*1000)+HKBN!F27/Prices!$C$167+TPG!F27/Prices!$C$168+TPG!F27/Prices!$C$168</f>
        <v>104459.78006655053</v>
      </c>
      <c r="G27" s="228">
        <f>(SBKK!G27/Prices!$C$161*1000)+(KDDI!G27/Prices!$C$161*1000)+(RAK!G27/Prices!$C$161*1000)+HKBN!G27/Prices!$C$167+TPG!G27/Prices!$C$168+TPG!G27/Prices!$C$168</f>
        <v>103947.22326331612</v>
      </c>
      <c r="H27" s="279">
        <f t="shared" si="0"/>
        <v>-4.0160486580771426E-3</v>
      </c>
      <c r="I27" s="248"/>
      <c r="J27" s="248"/>
      <c r="K27" s="248"/>
      <c r="L27" s="248"/>
      <c r="M27" s="248"/>
      <c r="N27" s="248"/>
      <c r="O27" s="248"/>
      <c r="Q27" s="5"/>
      <c r="S27" s="42"/>
      <c r="T27" s="42"/>
      <c r="U27" s="42"/>
      <c r="V27" s="147" t="s">
        <v>461</v>
      </c>
      <c r="W27" s="288">
        <f t="shared" si="1"/>
        <v>0.84537260066238318</v>
      </c>
      <c r="X27" s="288">
        <v>1</v>
      </c>
      <c r="Y27" s="42"/>
      <c r="Z27" s="42"/>
      <c r="AA27" s="42"/>
    </row>
    <row r="28" spans="2:27" ht="12.6" thickBot="1">
      <c r="B28" s="5" t="s">
        <v>587</v>
      </c>
      <c r="C28" s="365">
        <f>(SBKK!C28/Prices!$C$161*1000)+(KDDI!C28/Prices!$C$161*1000)+(RAK!C28/Prices!$C$161*1000)+HKBN!C28/Prices!$C$167+TPG!C28/Prices!$C$168+TPG!C28/Prices!$C$168</f>
        <v>41585.93090157515</v>
      </c>
      <c r="D28" s="228">
        <f>(SBKK!D28/Prices!$C$161*1000)+(KDDI!D28/Prices!$C$161*1000)+(RAK!D28/Prices!$C$161*1000)+HKBN!D28/Prices!$C$167+TPG!D28/Prices!$C$168+TPG!D28/Prices!$C$168</f>
        <v>41393.271617356033</v>
      </c>
      <c r="E28" s="228">
        <f>(SBKK!E28/Prices!$C$161*1000)+(KDDI!E28/Prices!$C$161*1000)+(RAK!E28/Prices!$C$161*1000)+HKBN!E28/Prices!$C$167+TPG!E28/Prices!$C$168+TPG!E28/Prices!$C$168</f>
        <v>40167.320278268082</v>
      </c>
      <c r="F28" s="228">
        <f>(SBKK!F28/Prices!$C$161*1000)+(KDDI!F28/Prices!$C$161*1000)+(RAK!F28/Prices!$C$161*1000)+HKBN!F28/Prices!$C$167+TPG!F28/Prices!$C$168+TPG!F28/Prices!$C$168</f>
        <v>39016.43379271579</v>
      </c>
      <c r="G28" s="228">
        <f>(SBKK!G28/Prices!$C$161*1000)+(KDDI!G28/Prices!$C$161*1000)+(RAK!G28/Prices!$C$161*1000)+HKBN!G28/Prices!$C$167+TPG!G28/Prices!$C$168+TPG!G28/Prices!$C$168</f>
        <v>38006.180298064748</v>
      </c>
      <c r="H28" s="279">
        <f t="shared" si="0"/>
        <v>-2.8055446746051427E-2</v>
      </c>
      <c r="I28" s="252"/>
      <c r="J28" s="306" t="s">
        <v>747</v>
      </c>
      <c r="K28" s="306"/>
      <c r="L28" s="306"/>
      <c r="M28" s="306"/>
      <c r="N28" s="266"/>
      <c r="O28" s="266"/>
      <c r="P28" s="266"/>
      <c r="Q28" s="5"/>
      <c r="S28" s="42"/>
      <c r="T28" s="42"/>
      <c r="U28" s="42"/>
      <c r="V28" s="147" t="s">
        <v>525</v>
      </c>
      <c r="W28" s="288">
        <f t="shared" si="1"/>
        <v>1.1998568125043474</v>
      </c>
      <c r="X28" s="288">
        <v>1</v>
      </c>
      <c r="Y28" s="42"/>
      <c r="Z28" s="42"/>
      <c r="AA28" s="42"/>
    </row>
    <row r="29" spans="2:27" ht="12.6" thickTop="1">
      <c r="B29" s="5" t="s">
        <v>583</v>
      </c>
      <c r="C29" s="365">
        <f>(SBKK!C29/Prices!$C$161*1000)+(KDDI!C29/Prices!$C$161*1000)+(RAK!C29/Prices!$C$161*1000)+HKBN!C29/Prices!$C$167+TPG!C29/Prices!$C$168+TPG!C29/Prices!$C$168</f>
        <v>5672.2442773349076</v>
      </c>
      <c r="D29" s="228">
        <f>(SBKK!D29/Prices!$C$161*1000)+(KDDI!D29/Prices!$C$161*1000)+(RAK!D29/Prices!$C$161*1000)+HKBN!D29/Prices!$C$167+TPG!D29/Prices!$C$168+TPG!D29/Prices!$C$168</f>
        <v>6591.5091211817335</v>
      </c>
      <c r="E29" s="228">
        <f>(SBKK!E29/Prices!$C$161*1000)+(KDDI!E29/Prices!$C$161*1000)+(RAK!E29/Prices!$C$161*1000)+HKBN!E29/Prices!$C$167+TPG!E29/Prices!$C$168+TPG!E29/Prices!$C$168</f>
        <v>10003.418033984781</v>
      </c>
      <c r="F29" s="228">
        <f>(SBKK!F29/Prices!$C$161*1000)+(KDDI!F29/Prices!$C$161*1000)+(RAK!F29/Prices!$C$161*1000)+HKBN!F29/Prices!$C$167+TPG!F29/Prices!$C$168+TPG!F29/Prices!$C$168</f>
        <v>11456.97272603598</v>
      </c>
      <c r="G29" s="228">
        <f>(SBKK!G29/Prices!$C$161*1000)+(KDDI!G29/Prices!$C$161*1000)+(RAK!G29/Prices!$C$161*1000)+HKBN!G29/Prices!$C$167+TPG!G29/Prices!$C$168+TPG!G29/Prices!$C$168</f>
        <v>11860.722559125106</v>
      </c>
      <c r="H29" s="279">
        <f t="shared" si="0"/>
        <v>0.21630389250420778</v>
      </c>
      <c r="I29" s="254"/>
      <c r="J29" s="249"/>
      <c r="K29" s="249"/>
      <c r="L29" s="249"/>
      <c r="M29" s="249"/>
      <c r="N29" s="249"/>
      <c r="O29" s="251"/>
      <c r="Q29" s="5"/>
      <c r="S29" s="42"/>
      <c r="T29" s="42"/>
      <c r="U29" s="42"/>
      <c r="V29" s="147" t="s">
        <v>588</v>
      </c>
      <c r="W29" s="288">
        <f t="shared" si="1"/>
        <v>1.6053738592906603</v>
      </c>
      <c r="X29" s="288">
        <v>1</v>
      </c>
      <c r="Y29" s="42"/>
      <c r="Z29" s="42"/>
      <c r="AA29" s="42"/>
    </row>
    <row r="30" spans="2:27">
      <c r="B30" s="5" t="s">
        <v>584</v>
      </c>
      <c r="C30" s="365">
        <f>(SBKK!C30/Prices!$C$161*1000)+(KDDI!C30/Prices!$C$161*1000)+(RAK!C30/Prices!$C$161*1000)+HKBN!C30/Prices!$C$167+TPG!C30/Prices!$C$168+TPG!C30/Prices!$C$168</f>
        <v>6283.063718081783</v>
      </c>
      <c r="D30" s="228">
        <f>(SBKK!D30/Prices!$C$161*1000)+(KDDI!D30/Prices!$C$161*1000)+(RAK!D30/Prices!$C$161*1000)+HKBN!D30/Prices!$C$167+TPG!D30/Prices!$C$168+TPG!D30/Prices!$C$168</f>
        <v>5908.7956756866542</v>
      </c>
      <c r="E30" s="228">
        <f>(SBKK!E30/Prices!$C$161*1000)+(KDDI!E30/Prices!$C$161*1000)+(RAK!E30/Prices!$C$161*1000)+HKBN!E30/Prices!$C$167+TPG!E30/Prices!$C$168+TPG!E30/Prices!$C$168</f>
        <v>7816.7873061490536</v>
      </c>
      <c r="F30" s="228">
        <f>(SBKK!F30/Prices!$C$161*1000)+(KDDI!F30/Prices!$C$161*1000)+(RAK!F30/Prices!$C$161*1000)+HKBN!F30/Prices!$C$167+TPG!F30/Prices!$C$168+TPG!F30/Prices!$C$168</f>
        <v>8895.7232602454806</v>
      </c>
      <c r="G30" s="228">
        <f>(SBKK!G30/Prices!$C$161*1000)+(KDDI!G30/Prices!$C$161*1000)+(RAK!G30/Prices!$C$161*1000)+HKBN!G30/Prices!$C$167+TPG!G30/Prices!$C$168+TPG!G30/Prices!$C$168</f>
        <v>9597.8846144909767</v>
      </c>
      <c r="H30" s="279">
        <f t="shared" si="0"/>
        <v>0.17550780584293202</v>
      </c>
      <c r="I30" s="254"/>
      <c r="J30" s="248"/>
      <c r="K30" s="248"/>
      <c r="L30" s="248"/>
      <c r="M30" s="248"/>
      <c r="N30" s="248"/>
      <c r="O30" s="5"/>
      <c r="Q30" s="5"/>
      <c r="S30" s="42"/>
      <c r="T30" s="42"/>
      <c r="U30" s="42"/>
      <c r="V30" s="147" t="s">
        <v>470</v>
      </c>
      <c r="W30" s="288">
        <f t="shared" si="1"/>
        <v>0.53408653194025912</v>
      </c>
      <c r="X30" s="288">
        <v>1</v>
      </c>
      <c r="Y30" s="42"/>
      <c r="Z30" s="42"/>
      <c r="AA30" s="42"/>
    </row>
    <row r="31" spans="2:27">
      <c r="B31" s="5" t="s">
        <v>585</v>
      </c>
      <c r="C31" s="365">
        <f>(SBKK!C31/Prices!$C$161*1000)+(KDDI!C31/Prices!$C$161*1000)+(RAK!C31/Prices!$C$161*1000)+HKBN!C31/Prices!$C$167+TPG!C31/Prices!$C$168+TPG!C31/Prices!$C$168</f>
        <v>5316.7681297575355</v>
      </c>
      <c r="D31" s="228">
        <f>(SBKK!D31/Prices!$C$161*1000)+(KDDI!D31/Prices!$C$161*1000)+(RAK!D31/Prices!$C$161*1000)+HKBN!D31/Prices!$C$167+TPG!D31/Prices!$C$168+TPG!D31/Prices!$C$168</f>
        <v>5227.1381626962248</v>
      </c>
      <c r="E31" s="228">
        <f>(SBKK!E31/Prices!$C$161*1000)+(KDDI!E31/Prices!$C$161*1000)+(RAK!E31/Prices!$C$161*1000)+HKBN!E31/Prices!$C$167+TPG!E31/Prices!$C$168+TPG!E31/Prices!$C$168</f>
        <v>5326.2328309587101</v>
      </c>
      <c r="F31" s="228">
        <f>(SBKK!F31/Prices!$C$161*1000)+(KDDI!F31/Prices!$C$161*1000)+(RAK!F31/Prices!$C$161*1000)+HKBN!F31/Prices!$C$167+TPG!F31/Prices!$C$168+TPG!F31/Prices!$C$168</f>
        <v>5807.4142143379422</v>
      </c>
      <c r="G31" s="228">
        <f>(SBKK!G31/Prices!$C$161*1000)+(KDDI!G31/Prices!$C$161*1000)+(RAK!G31/Prices!$C$161*1000)+HKBN!G31/Prices!$C$167+TPG!G31/Prices!$C$168+TPG!G31/Prices!$C$168</f>
        <v>6036.9493344724824</v>
      </c>
      <c r="H31" s="279">
        <f t="shared" si="0"/>
        <v>4.918285214174678E-2</v>
      </c>
      <c r="I31" s="254"/>
      <c r="J31" s="252"/>
      <c r="K31" s="252"/>
      <c r="L31" s="252"/>
      <c r="M31" s="252"/>
      <c r="N31" s="252"/>
      <c r="O31" s="5"/>
      <c r="Q31" s="5"/>
      <c r="S31" s="42"/>
      <c r="T31" s="42"/>
      <c r="U31" s="42"/>
      <c r="V31" s="147" t="s">
        <v>528</v>
      </c>
      <c r="W31" s="288">
        <f t="shared" si="1"/>
        <v>1.2821990238001826</v>
      </c>
      <c r="X31" s="288">
        <v>1</v>
      </c>
      <c r="Y31" s="42"/>
      <c r="Z31" s="42"/>
      <c r="AA31" s="42"/>
    </row>
    <row r="32" spans="2:27">
      <c r="B32" s="5" t="s">
        <v>601</v>
      </c>
      <c r="C32" s="365">
        <f>(SBKK!C32/Prices!$C$161*1000)+(KDDI!C32/Prices!$C$161*1000)+(RAK!C32/Prices!$C$161*1000)+HKBN!C32/Prices!$C$167+TPG!C32/Prices!$C$168+TPG!C32/Prices!$C$168</f>
        <v>367.7778338313517</v>
      </c>
      <c r="D32" s="228">
        <f>(SBKK!D32/Prices!$C$161*1000)+(KDDI!D32/Prices!$C$161*1000)+(RAK!D32/Prices!$C$161*1000)+HKBN!D32/Prices!$C$167+TPG!D32/Prices!$C$168+TPG!D32/Prices!$C$168</f>
        <v>1278.6549680564369</v>
      </c>
      <c r="E32" s="228">
        <f>(SBKK!E32/Prices!$C$161*1000)+(KDDI!E32/Prices!$C$161*1000)+(RAK!E32/Prices!$C$161*1000)+HKBN!E32/Prices!$C$167+TPG!E32/Prices!$C$168+TPG!E32/Prices!$C$168</f>
        <v>2657.9075931884445</v>
      </c>
      <c r="F32" s="228">
        <f>(SBKK!F32/Prices!$C$161*1000)+(KDDI!F32/Prices!$C$161*1000)+(RAK!F32/Prices!$C$161*1000)+HKBN!F32/Prices!$C$167+TPG!F32/Prices!$C$168+TPG!F32/Prices!$C$168</f>
        <v>1539.0034774997735</v>
      </c>
      <c r="G32" s="228">
        <f>(SBKK!G32/Prices!$C$161*1000)+(KDDI!G32/Prices!$C$161*1000)+(RAK!G32/Prices!$C$161*1000)+HKBN!G32/Prices!$C$167+TPG!G32/Prices!$C$168+TPG!G32/Prices!$C$168</f>
        <v>-2802.9894453632414</v>
      </c>
      <c r="H32" s="279">
        <f t="shared" si="0"/>
        <v>-2.299040518342685</v>
      </c>
      <c r="I32" s="5"/>
      <c r="J32" s="254"/>
      <c r="K32" s="254"/>
      <c r="L32" s="254"/>
      <c r="M32" s="254"/>
      <c r="N32" s="254"/>
      <c r="O32" s="251"/>
      <c r="Q32" s="5"/>
      <c r="S32" s="42"/>
      <c r="T32" s="42"/>
      <c r="U32" s="42"/>
      <c r="V32" s="147" t="s">
        <v>575</v>
      </c>
      <c r="W32" s="288">
        <f>M17/E45</f>
        <v>1.1864607538906689</v>
      </c>
      <c r="X32" s="288">
        <v>1</v>
      </c>
      <c r="Y32" s="42"/>
      <c r="Z32" s="42"/>
      <c r="AA32" s="42"/>
    </row>
    <row r="33" spans="2:42">
      <c r="B33" s="5" t="s">
        <v>5</v>
      </c>
      <c r="C33" s="365">
        <f>(SBKK!C33/Prices!$C$161*1000)+(KDDI!C33/Prices!$C$161*1000)+(RAK!C33/Prices!$C$161*1000)+HKBN!C33/Prices!$C$167+TPG!C33/Prices!$C$168+TPG!C33/Prices!$C$168</f>
        <v>-268.45167501413869</v>
      </c>
      <c r="D33" s="228">
        <f>(SBKK!D33/Prices!$C$161*1000)+(KDDI!D33/Prices!$C$161*1000)+(RAK!D33/Prices!$C$161*1000)+HKBN!D33/Prices!$C$167+TPG!D33/Prices!$C$168+TPG!D33/Prices!$C$168</f>
        <v>-186.03342606395182</v>
      </c>
      <c r="E33" s="228">
        <f>(SBKK!E33/Prices!$C$161*1000)+(KDDI!E33/Prices!$C$161*1000)+(RAK!E33/Prices!$C$161*1000)+HKBN!E33/Prices!$C$167+TPG!E33/Prices!$C$168+TPG!E33/Prices!$C$168</f>
        <v>753.97804504791429</v>
      </c>
      <c r="F33" s="228">
        <f>(SBKK!F33/Prices!$C$161*1000)+(KDDI!F33/Prices!$C$161*1000)+(RAK!F33/Prices!$C$161*1000)+HKBN!F33/Prices!$C$167+TPG!F33/Prices!$C$168+TPG!F33/Prices!$C$168</f>
        <v>977.77510214214703</v>
      </c>
      <c r="G33" s="228">
        <f>(SBKK!G33/Prices!$C$161*1000)+(KDDI!G33/Prices!$C$161*1000)+(RAK!G33/Prices!$C$161*1000)+HKBN!G33/Prices!$C$167+TPG!G33/Prices!$C$168+TPG!G33/Prices!$C$168</f>
        <v>1176.9289498389965</v>
      </c>
      <c r="H33" s="279">
        <f t="shared" si="0"/>
        <v>-2.8494946830071948</v>
      </c>
      <c r="I33" s="49"/>
      <c r="J33" s="254"/>
      <c r="K33" s="254"/>
      <c r="L33" s="254"/>
      <c r="M33" s="254"/>
      <c r="N33" s="254"/>
      <c r="O33" s="251"/>
      <c r="Q33" s="5"/>
      <c r="S33" s="42"/>
      <c r="T33" s="42"/>
      <c r="U33" s="42"/>
      <c r="V33" s="147" t="s">
        <v>261</v>
      </c>
      <c r="W33" s="288">
        <f>N19/F47</f>
        <v>0.55289498858274067</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89</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1.9744449599107277</v>
      </c>
      <c r="E37" s="64">
        <f t="shared" si="2"/>
        <v>1.8490173864069028</v>
      </c>
      <c r="F37" s="64">
        <f t="shared" si="2"/>
        <v>1.6231667198154929</v>
      </c>
      <c r="G37" s="64">
        <f t="shared" si="2"/>
        <v>1.4362808154165028</v>
      </c>
      <c r="H37" s="17">
        <f t="shared" ref="H37:H45" si="3">H23</f>
        <v>5.1745937424389377E-2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7.8678346581378626</v>
      </c>
      <c r="E38" s="64">
        <f t="shared" si="2"/>
        <v>7.254289328657916</v>
      </c>
      <c r="F38" s="64">
        <f t="shared" si="2"/>
        <v>6.2613613044918139</v>
      </c>
      <c r="G38" s="64">
        <f t="shared" si="2"/>
        <v>5.4626500230850716</v>
      </c>
      <c r="H38" s="17">
        <f t="shared" si="3"/>
        <v>6.8217204124905839E-2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15.114469721863887</v>
      </c>
      <c r="E39" s="64">
        <f t="shared" si="2"/>
        <v>11.82612853114612</v>
      </c>
      <c r="F39" s="64">
        <f t="shared" si="2"/>
        <v>9.7989585086809576</v>
      </c>
      <c r="G39" s="64">
        <f t="shared" si="2"/>
        <v>8.5492697158983812</v>
      </c>
      <c r="H39" s="17">
        <f t="shared" si="3"/>
        <v>0.14374774599437457</v>
      </c>
      <c r="I39" s="5"/>
      <c r="J39" s="5"/>
      <c r="K39" s="5"/>
      <c r="L39" s="5"/>
      <c r="M39" s="5"/>
      <c r="N39" s="5"/>
      <c r="O39" s="5"/>
      <c r="Q39" s="5"/>
      <c r="R39" s="5"/>
      <c r="S39" s="42"/>
      <c r="T39" s="42"/>
      <c r="U39" s="42"/>
      <c r="V39" s="42"/>
      <c r="W39" s="288"/>
      <c r="X39" s="288"/>
      <c r="Y39" s="42"/>
      <c r="Z39" s="42"/>
      <c r="AA39" s="42"/>
    </row>
    <row r="40" spans="2:42">
      <c r="B40" s="5" t="s">
        <v>461</v>
      </c>
      <c r="C40" s="247"/>
      <c r="D40" s="64">
        <f t="shared" si="2"/>
        <v>20.806768315723069</v>
      </c>
      <c r="E40" s="64">
        <f t="shared" si="2"/>
        <v>16.571592610404696</v>
      </c>
      <c r="F40" s="64">
        <f t="shared" si="2"/>
        <v>13.814330413111364</v>
      </c>
      <c r="G40" s="64">
        <f t="shared" si="2"/>
        <v>12.166257085531647</v>
      </c>
      <c r="H40" s="17">
        <f t="shared" si="3"/>
        <v>0.13116206767528893</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1.931062543264519</v>
      </c>
      <c r="E41" s="64">
        <f t="shared" si="2"/>
        <v>1.8750073972072721</v>
      </c>
      <c r="F41" s="64">
        <f t="shared" si="2"/>
        <v>1.7691118623052557</v>
      </c>
      <c r="G41" s="64">
        <f t="shared" si="2"/>
        <v>1.6541168115993607</v>
      </c>
      <c r="H41" s="17">
        <f t="shared" si="3"/>
        <v>-4.0160486580771426E-3</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4.9082023337797445</v>
      </c>
      <c r="E42" s="64">
        <f>E18/E28</f>
        <v>4.8914338443998107</v>
      </c>
      <c r="F42" s="64">
        <f>F18/F28</f>
        <v>4.7364922440460013</v>
      </c>
      <c r="G42" s="64">
        <f>G18/G28</f>
        <v>4.5240234133099264</v>
      </c>
      <c r="H42" s="17">
        <f t="shared" si="3"/>
        <v>-2.8055446746051427E-2</v>
      </c>
      <c r="I42" s="247"/>
      <c r="J42" s="5"/>
      <c r="K42" s="5"/>
      <c r="L42" s="5"/>
      <c r="M42" s="5"/>
      <c r="N42" s="5"/>
      <c r="O42" s="5"/>
      <c r="Q42" s="5"/>
      <c r="R42" s="5"/>
      <c r="S42" s="42"/>
      <c r="T42" s="42"/>
      <c r="U42" s="42"/>
      <c r="V42" s="42"/>
      <c r="W42" s="288"/>
      <c r="X42" s="288"/>
      <c r="Y42" s="288"/>
      <c r="Z42" s="288"/>
      <c r="AA42" s="42"/>
    </row>
    <row r="43" spans="2:42">
      <c r="B43" s="5" t="s">
        <v>470</v>
      </c>
      <c r="C43" s="247"/>
      <c r="D43" s="64">
        <f>L26/D29</f>
        <v>11.836681594498478</v>
      </c>
      <c r="E43" s="64">
        <f>M26/E29</f>
        <v>7.5729579498439383</v>
      </c>
      <c r="F43" s="64">
        <f>N26/F29</f>
        <v>6.4142900463814181</v>
      </c>
      <c r="G43" s="64">
        <f>O26/G29</f>
        <v>6.0363216426931707</v>
      </c>
      <c r="H43" s="17">
        <f t="shared" si="3"/>
        <v>0.21630389250420778</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26.371996431865153</v>
      </c>
      <c r="E44" s="64">
        <f>E11/E30</f>
        <v>19.646240301299546</v>
      </c>
      <c r="F44" s="64">
        <f>F11/F30</f>
        <v>17.008764755528887</v>
      </c>
      <c r="G44" s="64">
        <f>G11/G30</f>
        <v>15.564319966920019</v>
      </c>
      <c r="H44" s="17">
        <f t="shared" si="3"/>
        <v>0.17550780584293202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3.3544552198318908E-2</v>
      </c>
      <c r="E45" s="248">
        <f>E31/E11</f>
        <v>3.468266016036306E-2</v>
      </c>
      <c r="F45" s="248">
        <f>F31/F11</f>
        <v>3.8382102847477083E-2</v>
      </c>
      <c r="G45" s="248">
        <f>G31/G11</f>
        <v>4.0412140678726664E-2</v>
      </c>
      <c r="H45" s="17">
        <f t="shared" si="3"/>
        <v>4.918285214174678E-2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4.1750171981953008E-2</v>
      </c>
      <c r="E46" s="248">
        <f>(E31+E32)/E11</f>
        <v>5.1990072118846764E-2</v>
      </c>
      <c r="F46" s="248">
        <f>(F31+F32)/F11</f>
        <v>4.8553615947090789E-2</v>
      </c>
      <c r="G46" s="248">
        <f>(G31+G32)/G11</f>
        <v>2.164855703554814E-2</v>
      </c>
      <c r="H46" s="279">
        <f>((G31+G32)/(D31+D32))^(1/3)-1</f>
        <v>-0.20784264331366598</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8.4483137610526407E-2</v>
      </c>
      <c r="E47" s="248">
        <f>1/E43</f>
        <v>0.13204879871551481</v>
      </c>
      <c r="F47" s="248">
        <f>1/F43</f>
        <v>0.15590189916094357</v>
      </c>
      <c r="G47" s="248">
        <f>1/G43</f>
        <v>0.16566380308949857</v>
      </c>
      <c r="H47" s="17">
        <f>H29</f>
        <v>0.21630389250420778</v>
      </c>
      <c r="I47" s="247"/>
      <c r="J47" s="248"/>
      <c r="K47" s="248"/>
      <c r="L47" s="248"/>
      <c r="M47" s="248"/>
      <c r="N47" s="248"/>
      <c r="O47" s="248"/>
      <c r="Q47" s="5"/>
      <c r="R47" s="5"/>
      <c r="S47" s="5"/>
      <c r="T47" s="5"/>
      <c r="U47" s="5"/>
      <c r="AA47" s="303"/>
      <c r="AB47" s="303"/>
    </row>
    <row r="48" spans="2:42">
      <c r="B48" s="5" t="s">
        <v>613</v>
      </c>
      <c r="C48" s="5"/>
      <c r="D48" s="305">
        <f>D31/D29</f>
        <v>0.79301083660779303</v>
      </c>
      <c r="E48" s="305">
        <f>E31/E29</f>
        <v>0.53244129285248398</v>
      </c>
      <c r="F48" s="305">
        <f>F31/F29</f>
        <v>0.50688906687720303</v>
      </c>
      <c r="G48" s="305">
        <f>G31/G29</f>
        <v>0.508986640938492</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69">
    <tabColor theme="3" tint="0.39997558519241921"/>
    <pageSetUpPr fitToPage="1"/>
  </sheetPr>
  <dimension ref="B1:BK164"/>
  <sheetViews>
    <sheetView showGridLines="0" zoomScale="80" zoomScaleNormal="80" workbookViewId="0">
      <selection activeCell="G11" sqref="G11"/>
    </sheetView>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316</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'EM INCUMB'!H37</f>
        <v>3.7474232769618476E-2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'EM INCUMB'!H38</f>
        <v>4.3154001905154393E-2</v>
      </c>
      <c r="W10" s="10"/>
      <c r="X10" s="10"/>
      <c r="Y10" s="10"/>
      <c r="Z10" s="10"/>
    </row>
    <row r="11" spans="2:63">
      <c r="B11" s="41" t="s">
        <v>354</v>
      </c>
      <c r="C11" s="5"/>
      <c r="D11" s="271">
        <f>'DM ASIA INCUMB'!D11+'DM ASIA OTHER'!D11</f>
        <v>329221.98641467409</v>
      </c>
      <c r="E11" s="271">
        <f>'DM ASIA INCUMB'!E11+'DM ASIA OTHER'!E11</f>
        <v>325311.68390453246</v>
      </c>
      <c r="F11" s="271">
        <f>'DM ASIA INCUMB'!F11+'DM ASIA OTHER'!F11</f>
        <v>321393.12678370671</v>
      </c>
      <c r="G11" s="271">
        <f>'DM ASIA INCUMB'!G11+'DM ASIA OTHER'!G11</f>
        <v>317819.77633273567</v>
      </c>
      <c r="H11" s="249"/>
      <c r="I11" s="249"/>
      <c r="J11" s="5" t="s">
        <v>181</v>
      </c>
      <c r="L11" s="64">
        <f>'AGG DM'!D39</f>
        <v>14.453886920086703</v>
      </c>
      <c r="M11" s="64">
        <f>'AGG DM'!E39</f>
        <v>12.632400476073508</v>
      </c>
      <c r="N11" s="64">
        <f>'AGG DM'!F39</f>
        <v>11.148641561230297</v>
      </c>
      <c r="O11" s="64">
        <f>'AGG DM'!G39</f>
        <v>9.8551520159775166</v>
      </c>
      <c r="P11" s="17">
        <f>'EM INCUMB'!H39</f>
        <v>0.12721160462737946</v>
      </c>
      <c r="W11" s="10"/>
      <c r="X11" s="10"/>
      <c r="Y11" s="10"/>
      <c r="Z11" s="10"/>
    </row>
    <row r="12" spans="2:63">
      <c r="B12" s="5" t="s">
        <v>225</v>
      </c>
      <c r="C12" s="249"/>
      <c r="D12" s="228">
        <f>'DM ASIA INCUMB'!D12+'DM ASIA OTHER'!D12</f>
        <v>107359.55951489117</v>
      </c>
      <c r="E12" s="228">
        <f>'DM ASIA INCUMB'!E12+'DM ASIA OTHER'!E12</f>
        <v>104027.06403428523</v>
      </c>
      <c r="F12" s="228">
        <f>'DM ASIA INCUMB'!F12+'DM ASIA OTHER'!F12</f>
        <v>99153.983412848262</v>
      </c>
      <c r="G12" s="228">
        <f>'DM ASIA INCUMB'!G12+'DM ASIA OTHER'!G12</f>
        <v>93243.921593744773</v>
      </c>
      <c r="H12" s="247"/>
      <c r="I12" s="247"/>
      <c r="J12" s="5" t="s">
        <v>461</v>
      </c>
      <c r="L12" s="64">
        <f>'AGG DM'!D40</f>
        <v>20.489606542550682</v>
      </c>
      <c r="M12" s="64">
        <f>'AGG DM'!E40</f>
        <v>17.970115833093388</v>
      </c>
      <c r="N12" s="64">
        <f>'AGG DM'!F40</f>
        <v>15.895235275753445</v>
      </c>
      <c r="O12" s="64">
        <f>'AGG DM'!G40</f>
        <v>13.994564037458879</v>
      </c>
      <c r="P12" s="17">
        <f>'EM INCUMB'!H40</f>
        <v>0.14396851486850371</v>
      </c>
      <c r="W12" s="10"/>
      <c r="X12" s="10"/>
      <c r="Y12" s="10"/>
      <c r="Z12" s="10"/>
    </row>
    <row r="13" spans="2:63">
      <c r="B13" s="5" t="s">
        <v>524</v>
      </c>
      <c r="C13" s="257"/>
      <c r="D13" s="228">
        <f>'DM ASIA INCUMB'!D13+'DM ASIA OTHER'!D13</f>
        <v>9542.0258521671149</v>
      </c>
      <c r="E13" s="228">
        <f>'DM ASIA INCUMB'!E13+'DM ASIA OTHER'!E13</f>
        <v>9542.0258521671149</v>
      </c>
      <c r="F13" s="228">
        <f>'DM ASIA INCUMB'!F13+'DM ASIA OTHER'!F13</f>
        <v>9542.0258521671149</v>
      </c>
      <c r="G13" s="228">
        <f>'DM ASIA INCUMB'!G13+'DM ASIA OTHER'!G13</f>
        <v>9542.0258521671149</v>
      </c>
      <c r="H13" s="247"/>
      <c r="I13" s="247"/>
      <c r="J13" s="5" t="s">
        <v>525</v>
      </c>
      <c r="L13" s="64">
        <f>'AGG DM'!D41</f>
        <v>1.4470918356278057</v>
      </c>
      <c r="M13" s="64">
        <f>'AGG DM'!E41</f>
        <v>1.522056669150271</v>
      </c>
      <c r="N13" s="64">
        <f>'AGG DM'!F41</f>
        <v>1.4505018131011718</v>
      </c>
      <c r="O13" s="64">
        <f>'AGG DM'!G41</f>
        <v>1.3783663643110371</v>
      </c>
      <c r="P13" s="17">
        <f>'EM INCUMB'!H41</f>
        <v>-7.2107972668689069E-3</v>
      </c>
    </row>
    <row r="14" spans="2:63">
      <c r="B14" s="5" t="s">
        <v>527</v>
      </c>
      <c r="C14" s="274"/>
      <c r="D14" s="228">
        <f>'DM ASIA INCUMB'!D14+'DM ASIA OTHER'!D14</f>
        <v>6286.646069641467</v>
      </c>
      <c r="E14" s="228">
        <f>'DM ASIA INCUMB'!E14+'DM ASIA OTHER'!E14</f>
        <v>6389.0511684472622</v>
      </c>
      <c r="F14" s="228">
        <f>'DM ASIA INCUMB'!F14+'DM ASIA OTHER'!F14</f>
        <v>6496.576522193347</v>
      </c>
      <c r="G14" s="228">
        <f>'DM ASIA INCUMB'!G14+'DM ASIA OTHER'!G14</f>
        <v>6609.4781436267367</v>
      </c>
      <c r="H14" s="247"/>
      <c r="I14" s="247"/>
      <c r="J14" s="5" t="s">
        <v>588</v>
      </c>
      <c r="L14" s="64">
        <f>'AGG DM'!D42</f>
        <v>3.5695190289450349</v>
      </c>
      <c r="M14" s="64">
        <f>'AGG DM'!E42</f>
        <v>3.5134357287577695</v>
      </c>
      <c r="N14" s="64">
        <f>'AGG DM'!F42</f>
        <v>3.3883975097562629</v>
      </c>
      <c r="O14" s="64">
        <f>'AGG DM'!G42</f>
        <v>3.2746189474746648</v>
      </c>
      <c r="P14" s="17">
        <f>'EM INCUMB'!H42</f>
        <v>-4.2191848028902523E-2</v>
      </c>
    </row>
    <row r="15" spans="2:63">
      <c r="B15" s="5" t="s">
        <v>526</v>
      </c>
      <c r="C15" s="257"/>
      <c r="D15" s="228">
        <f>'DM ASIA INCUMB'!D15+'DM ASIA OTHER'!D15</f>
        <v>23617.304608416081</v>
      </c>
      <c r="E15" s="228">
        <f>'DM ASIA INCUMB'!E15+'DM ASIA OTHER'!E15</f>
        <v>23617.304608416081</v>
      </c>
      <c r="F15" s="228">
        <f>'DM ASIA INCUMB'!F15+'DM ASIA OTHER'!F15</f>
        <v>23617.304608416081</v>
      </c>
      <c r="G15" s="228">
        <f>'DM ASIA INCUMB'!G15+'DM ASIA OTHER'!G15</f>
        <v>23617.304608416081</v>
      </c>
      <c r="H15" s="247"/>
      <c r="I15" s="247"/>
      <c r="J15" s="5" t="s">
        <v>470</v>
      </c>
      <c r="L15" s="64">
        <f>'AGG DM'!D43</f>
        <v>13.472849274436808</v>
      </c>
      <c r="M15" s="64">
        <f>'AGG DM'!E43</f>
        <v>12.67598371603005</v>
      </c>
      <c r="N15" s="64">
        <f>'AGG DM'!F43</f>
        <v>11.33507564594939</v>
      </c>
      <c r="O15" s="64">
        <f>'AGG DM'!G43</f>
        <v>10.145214955002531</v>
      </c>
      <c r="P15" s="17">
        <f>'EM INCUMB'!H43</f>
        <v>0.20633617097870616</v>
      </c>
      <c r="S15" s="88"/>
      <c r="T15" s="88"/>
      <c r="U15" s="88"/>
      <c r="V15" s="42"/>
      <c r="W15" s="42"/>
      <c r="X15" s="42"/>
      <c r="Y15" s="42"/>
      <c r="Z15" s="42"/>
      <c r="AA15" s="42"/>
    </row>
    <row r="16" spans="2:63">
      <c r="B16" s="5" t="s">
        <v>529</v>
      </c>
      <c r="C16" s="257"/>
      <c r="D16" s="228">
        <f>'DM ASIA INCUMB'!D16+'DM ASIA OTHER'!D16</f>
        <v>7651.463359443057</v>
      </c>
      <c r="E16" s="228">
        <f>'DM ASIA INCUMB'!E16+'DM ASIA OTHER'!E16</f>
        <v>9909.7486934897061</v>
      </c>
      <c r="F16" s="228">
        <f>'DM ASIA INCUMB'!F16+'DM ASIA OTHER'!F16</f>
        <v>23602.02273689814</v>
      </c>
      <c r="G16" s="228">
        <f>'DM ASIA INCUMB'!G16+'DM ASIA OTHER'!G16</f>
        <v>38496.684789024323</v>
      </c>
      <c r="H16" s="247"/>
      <c r="I16" s="247"/>
      <c r="J16" s="5" t="s">
        <v>528</v>
      </c>
      <c r="L16" s="64">
        <f>'AGG DM'!D44</f>
        <v>15.638044643718967</v>
      </c>
      <c r="M16" s="64">
        <f>'AGG DM'!E44</f>
        <v>14.220962153693332</v>
      </c>
      <c r="N16" s="64">
        <f>'AGG DM'!F44</f>
        <v>12.502249176356969</v>
      </c>
      <c r="O16" s="64">
        <f>'AGG DM'!G44</f>
        <v>11.233113481631298</v>
      </c>
      <c r="P16" s="17">
        <f>'EM INCUMB'!H44</f>
        <v>0.15835578063954037</v>
      </c>
      <c r="S16" s="88"/>
      <c r="T16" s="88"/>
      <c r="U16" s="88"/>
      <c r="V16" s="42"/>
      <c r="W16" s="42"/>
      <c r="X16" s="42"/>
      <c r="Y16" s="42"/>
      <c r="Z16" s="42"/>
      <c r="AA16" s="42"/>
    </row>
    <row r="17" spans="2:27">
      <c r="B17" s="5" t="s">
        <v>6</v>
      </c>
      <c r="C17" s="257"/>
      <c r="D17" s="228">
        <f>'DM ASIA INCUMB'!D17+'DM ASIA OTHER'!D17</f>
        <v>0</v>
      </c>
      <c r="E17" s="228">
        <f>'DM ASIA INCUMB'!E17+'DM ASIA OTHER'!E17</f>
        <v>0</v>
      </c>
      <c r="F17" s="228">
        <f>'DM ASIA INCUMB'!F17+'DM ASIA OTHER'!F17</f>
        <v>0</v>
      </c>
      <c r="G17" s="228">
        <f>'DM ASIA INCUMB'!G17+'DM ASIA OTHER'!G17</f>
        <v>0</v>
      </c>
      <c r="H17" s="247"/>
      <c r="I17" s="247"/>
      <c r="J17" s="5" t="s">
        <v>575</v>
      </c>
      <c r="L17" s="248">
        <f>'AGG DM'!D45</f>
        <v>3.4882136259379262E-2</v>
      </c>
      <c r="M17" s="248">
        <f>'AGG DM'!E45</f>
        <v>3.9102516199963799E-2</v>
      </c>
      <c r="N17" s="248">
        <f>'AGG DM'!F45</f>
        <v>4.1707724632137386E-2</v>
      </c>
      <c r="O17" s="248">
        <f>'AGG DM'!G45</f>
        <v>4.4771308784022613E-2</v>
      </c>
      <c r="P17" s="17">
        <f>'EM INCUMB'!H45</f>
        <v>0.12766314772350529</v>
      </c>
      <c r="S17" s="88"/>
      <c r="T17" s="88"/>
      <c r="U17" s="88"/>
      <c r="V17" s="42"/>
      <c r="W17" s="42"/>
      <c r="X17" s="42"/>
      <c r="Y17" s="42"/>
      <c r="Z17" s="42"/>
      <c r="AA17" s="42"/>
    </row>
    <row r="18" spans="2:27" ht="12.6" thickBot="1">
      <c r="B18" s="41" t="s">
        <v>355</v>
      </c>
      <c r="C18" s="249"/>
      <c r="D18" s="275">
        <f>'DM ASIA INCUMB'!D18+'DM ASIA OTHER'!D18</f>
        <v>455802.7669610639</v>
      </c>
      <c r="E18" s="275">
        <f>'DM ASIA INCUMB'!E18+'DM ASIA OTHER'!E18</f>
        <v>446199.27853746392</v>
      </c>
      <c r="F18" s="275">
        <f>'DM ASIA INCUMB'!F18+'DM ASIA OTHER'!F18</f>
        <v>423607.84139804664</v>
      </c>
      <c r="G18" s="275">
        <f>'DM ASIA INCUMB'!G18+'DM ASIA OTHER'!G18</f>
        <v>399116.86545441265</v>
      </c>
      <c r="H18" s="276">
        <f>IF(D18=0,"nm",IF(G18=0,"nm",(G18/D18)^(1/3)-1))</f>
        <v>-4.3303083304793821E-2</v>
      </c>
      <c r="I18" s="254"/>
      <c r="J18" s="5" t="s">
        <v>36</v>
      </c>
      <c r="L18" s="248">
        <f>'AGG DM'!D46</f>
        <v>4.9537113673955142E-2</v>
      </c>
      <c r="M18" s="248">
        <f>'AGG DM'!E46</f>
        <v>6.8248269218785032E-2</v>
      </c>
      <c r="N18" s="248">
        <f>'AGG DM'!F46</f>
        <v>7.1823615864644294E-2</v>
      </c>
      <c r="O18" s="248">
        <f>'AGG DM'!G46</f>
        <v>8.2018272205497789E-2</v>
      </c>
      <c r="P18" s="17">
        <f>'EM INCUMB'!H46</f>
        <v>0.17780813272638851</v>
      </c>
      <c r="S18" s="88"/>
      <c r="T18" s="88"/>
      <c r="U18" s="88"/>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'EM INCUMB'!H47</f>
        <v>0.20633617097870616</v>
      </c>
      <c r="S19" s="88"/>
      <c r="T19" s="88"/>
      <c r="U19" s="88"/>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'EM INCUMB'!H48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'DM ASIA INCUMB'!C23+'DM ASIA OTHER'!C23</f>
        <v>227432.00689825573</v>
      </c>
      <c r="D23" s="228">
        <f>'DM ASIA INCUMB'!D23+'DM ASIA OTHER'!D23</f>
        <v>231819.46830361267</v>
      </c>
      <c r="E23" s="228">
        <f>'DM ASIA INCUMB'!E23+'DM ASIA OTHER'!E23</f>
        <v>236764.76949286935</v>
      </c>
      <c r="F23" s="228">
        <f>'DM ASIA INCUMB'!F23+'DM ASIA OTHER'!F23</f>
        <v>247689.77331522247</v>
      </c>
      <c r="G23" s="228">
        <f>'DM ASIA INCUMB'!G23+'DM ASIA OTHER'!G23</f>
        <v>257800.10694345029</v>
      </c>
      <c r="H23" s="279">
        <f t="shared" ref="H23:H33" si="0">IF(D23=0,"nm",IF(G23=0,"nm",(G23/D23)^(1/3)-1))</f>
        <v>3.604287710804277E-2</v>
      </c>
      <c r="I23" s="249"/>
      <c r="J23" s="306" t="s">
        <v>9</v>
      </c>
      <c r="K23" s="306"/>
      <c r="L23" s="265" t="str">
        <f>L5</f>
        <v>2023E</v>
      </c>
      <c r="M23" s="265" t="str">
        <f>M5</f>
        <v>2024E</v>
      </c>
      <c r="N23" s="265" t="str">
        <f>N5</f>
        <v>2025E</v>
      </c>
      <c r="O23" s="265" t="str">
        <f>O5</f>
        <v>2026E</v>
      </c>
      <c r="P23" s="282" t="str">
        <f>P5</f>
        <v>23E-26E</v>
      </c>
      <c r="S23" s="42"/>
      <c r="T23" s="42"/>
      <c r="U23" s="42"/>
      <c r="V23" s="42"/>
      <c r="W23" s="42" t="s">
        <v>540</v>
      </c>
      <c r="X23" s="42" t="s">
        <v>605</v>
      </c>
      <c r="Y23" s="42"/>
      <c r="Z23" s="42"/>
      <c r="AA23" s="42"/>
    </row>
    <row r="24" spans="2:27" ht="12.6" thickTop="1">
      <c r="B24" s="5" t="s">
        <v>478</v>
      </c>
      <c r="C24" s="365">
        <f>'DM ASIA INCUMB'!C24+'DM ASIA OTHER'!C24</f>
        <v>57431.493043305411</v>
      </c>
      <c r="D24" s="228">
        <f>'DM ASIA INCUMB'!D24+'DM ASIA OTHER'!D24</f>
        <v>60616.584402407781</v>
      </c>
      <c r="E24" s="228">
        <f>'DM ASIA INCUMB'!E24+'DM ASIA OTHER'!E24</f>
        <v>61836.93388871706</v>
      </c>
      <c r="F24" s="228">
        <f>'DM ASIA INCUMB'!F24+'DM ASIA OTHER'!F24</f>
        <v>67295.617400555508</v>
      </c>
      <c r="G24" s="228">
        <f>'DM ASIA INCUMB'!G24+'DM ASIA OTHER'!G24</f>
        <v>70628.503194903169</v>
      </c>
      <c r="H24" s="279">
        <f t="shared" si="0"/>
        <v>5.227563289397108E-2</v>
      </c>
      <c r="I24" s="248"/>
      <c r="J24" s="17"/>
      <c r="K24" s="17"/>
      <c r="L24" s="17"/>
      <c r="M24" s="17"/>
      <c r="N24" s="17"/>
      <c r="O24" s="248"/>
      <c r="S24" s="42"/>
      <c r="T24" s="42"/>
      <c r="U24" s="42"/>
      <c r="V24" s="147" t="s">
        <v>268</v>
      </c>
      <c r="W24" s="288">
        <f t="shared" ref="W24:W31" si="1">E37/M9</f>
        <v>0.79345637519361523</v>
      </c>
      <c r="X24" s="288">
        <v>1</v>
      </c>
      <c r="Y24" s="42"/>
      <c r="Z24" s="42"/>
      <c r="AA24" s="42"/>
    </row>
    <row r="25" spans="2:27">
      <c r="B25" s="5" t="s">
        <v>179</v>
      </c>
      <c r="C25" s="365">
        <f>'DM ASIA INCUMB'!C25+'DM ASIA OTHER'!C25</f>
        <v>25631.81024283294</v>
      </c>
      <c r="D25" s="228">
        <f>'DM ASIA INCUMB'!D25+'DM ASIA OTHER'!D25</f>
        <v>29583.825739577369</v>
      </c>
      <c r="E25" s="228">
        <f>'DM ASIA INCUMB'!E25+'DM ASIA OTHER'!E25</f>
        <v>32215.338617643138</v>
      </c>
      <c r="F25" s="228">
        <f>'DM ASIA INCUMB'!F25+'DM ASIA OTHER'!F25</f>
        <v>38146.031950036013</v>
      </c>
      <c r="G25" s="228">
        <f>'DM ASIA INCUMB'!G25+'DM ASIA OTHER'!G25</f>
        <v>40470.204935823087</v>
      </c>
      <c r="H25" s="279">
        <f t="shared" si="0"/>
        <v>0.11009553534713978</v>
      </c>
      <c r="I25" s="249"/>
      <c r="J25" s="247" t="s">
        <v>10</v>
      </c>
      <c r="K25" s="247"/>
      <c r="L25" s="332">
        <f>'DM ASIA INCUMB'!L25+'DM ASIA OTHER'!L25</f>
        <v>52735.089571208417</v>
      </c>
      <c r="M25" s="332">
        <f>'DM ASIA INCUMB'!M25+'DM ASIA OTHER'!M25</f>
        <v>54012.927383838294</v>
      </c>
      <c r="N25" s="332">
        <f>'DM ASIA INCUMB'!N25+'DM ASIA OTHER'!N25</f>
        <v>50477.789483219734</v>
      </c>
      <c r="O25" s="332">
        <f>'DM ASIA INCUMB'!O25+'DM ASIA OTHER'!O25</f>
        <v>46407.464075929194</v>
      </c>
      <c r="P25" s="279">
        <f>IF(L25=0,"nm",IF(O25=0,"nm",(O25/L25)^(1/3)-1))</f>
        <v>-4.1712000187053566E-2</v>
      </c>
      <c r="Q25" s="5"/>
      <c r="S25" s="42"/>
      <c r="T25" s="42"/>
      <c r="U25" s="42"/>
      <c r="V25" s="147" t="s">
        <v>180</v>
      </c>
      <c r="W25" s="288">
        <f t="shared" si="1"/>
        <v>1.0215752643443374</v>
      </c>
      <c r="X25" s="288">
        <v>1</v>
      </c>
      <c r="Y25" s="42"/>
      <c r="Z25" s="42"/>
      <c r="AA25" s="42"/>
    </row>
    <row r="26" spans="2:27">
      <c r="B26" s="5" t="s">
        <v>581</v>
      </c>
      <c r="C26" s="365">
        <f>'DM ASIA INCUMB'!C26+'DM ASIA OTHER'!C26</f>
        <v>17682.275402198451</v>
      </c>
      <c r="D26" s="228">
        <f>'DM ASIA INCUMB'!D26+'DM ASIA OTHER'!D26</f>
        <v>21099.780275483288</v>
      </c>
      <c r="E26" s="228">
        <f>'DM ASIA INCUMB'!E26+'DM ASIA OTHER'!E26</f>
        <v>22762.123917653033</v>
      </c>
      <c r="F26" s="228">
        <f>'DM ASIA INCUMB'!F26+'DM ASIA OTHER'!F26</f>
        <v>26919.000632991658</v>
      </c>
      <c r="G26" s="228">
        <f>'DM ASIA INCUMB'!G26+'DM ASIA OTHER'!G26</f>
        <v>28422.129222301275</v>
      </c>
      <c r="H26" s="279">
        <f t="shared" si="0"/>
        <v>0.10439956175693821</v>
      </c>
      <c r="I26" s="249"/>
      <c r="J26" s="249" t="s">
        <v>11</v>
      </c>
      <c r="K26" s="249"/>
      <c r="L26" s="281">
        <f>'DM ASIA INCUMB'!L26+'DM ASIA OTHER'!L26</f>
        <v>304151.93220471439</v>
      </c>
      <c r="M26" s="281">
        <f>'DM ASIA INCUMB'!M26+'DM ASIA OTHER'!M26</f>
        <v>301509.59361369576</v>
      </c>
      <c r="N26" s="281">
        <f>'DM ASIA INCUMB'!N26+'DM ASIA OTHER'!N26</f>
        <v>294053.9981214006</v>
      </c>
      <c r="O26" s="281">
        <f>'DM ASIA INCUMB'!O26+'DM ASIA OTHER'!O26</f>
        <v>286437.82954477455</v>
      </c>
      <c r="P26" s="279">
        <f>IF(L26=0,"nm",IF(O26=0,"nm",(O26/L26)^(1/3)-1))</f>
        <v>-1.980323506805004E-2</v>
      </c>
      <c r="Q26" s="41"/>
      <c r="S26" s="42"/>
      <c r="T26" s="42"/>
      <c r="U26" s="42"/>
      <c r="V26" s="147" t="s">
        <v>181</v>
      </c>
      <c r="W26" s="288">
        <f t="shared" si="1"/>
        <v>1.0964284039059993</v>
      </c>
      <c r="X26" s="288">
        <v>1</v>
      </c>
      <c r="Y26" s="42"/>
      <c r="Z26" s="42"/>
      <c r="AA26" s="42"/>
    </row>
    <row r="27" spans="2:27">
      <c r="B27" s="5" t="s">
        <v>582</v>
      </c>
      <c r="C27" s="365">
        <f>'DM ASIA INCUMB'!C27+'DM ASIA OTHER'!C27</f>
        <v>282683.90216605237</v>
      </c>
      <c r="D27" s="228">
        <f>'DM ASIA INCUMB'!D27+'DM ASIA OTHER'!D27</f>
        <v>275507.42848305864</v>
      </c>
      <c r="E27" s="228">
        <f>'DM ASIA INCUMB'!E27+'DM ASIA OTHER'!E27</f>
        <v>285532.33703777118</v>
      </c>
      <c r="F27" s="228">
        <f>'DM ASIA INCUMB'!F27+'DM ASIA OTHER'!F27</f>
        <v>296014.75774982676</v>
      </c>
      <c r="G27" s="228">
        <f>'DM ASIA INCUMB'!G27+'DM ASIA OTHER'!G27</f>
        <v>306895.80608582468</v>
      </c>
      <c r="H27" s="279">
        <f t="shared" si="0"/>
        <v>3.6619116438933119E-2</v>
      </c>
      <c r="I27" s="248"/>
      <c r="J27" s="248"/>
      <c r="K27" s="248"/>
      <c r="L27" s="248"/>
      <c r="M27" s="248"/>
      <c r="N27" s="248"/>
      <c r="O27" s="248"/>
      <c r="Q27" s="5"/>
      <c r="S27" s="42"/>
      <c r="T27" s="42"/>
      <c r="U27" s="42"/>
      <c r="V27" s="147" t="s">
        <v>461</v>
      </c>
      <c r="W27" s="288">
        <f t="shared" si="1"/>
        <v>1.090850421771193</v>
      </c>
      <c r="X27" s="288">
        <v>1</v>
      </c>
      <c r="Y27" s="42"/>
      <c r="Z27" s="42"/>
      <c r="AA27" s="42"/>
    </row>
    <row r="28" spans="2:27" ht="12.6" thickBot="1">
      <c r="B28" s="5" t="s">
        <v>587</v>
      </c>
      <c r="C28" s="365">
        <f>'DM ASIA INCUMB'!C28+'DM ASIA OTHER'!C28</f>
        <v>140201.05329384081</v>
      </c>
      <c r="D28" s="228">
        <f>'DM ASIA INCUMB'!D28+'DM ASIA OTHER'!D28</f>
        <v>143887.71319601563</v>
      </c>
      <c r="E28" s="228">
        <f>'DM ASIA INCUMB'!E28+'DM ASIA OTHER'!E28</f>
        <v>146443.08409046679</v>
      </c>
      <c r="F28" s="228">
        <f>'DM ASIA INCUMB'!F28+'DM ASIA OTHER'!F28</f>
        <v>145770.073464274</v>
      </c>
      <c r="G28" s="228">
        <f>'DM ASIA INCUMB'!G28+'DM ASIA OTHER'!G28</f>
        <v>145961.87687755178</v>
      </c>
      <c r="H28" s="279">
        <f t="shared" si="0"/>
        <v>4.7821462737978049E-3</v>
      </c>
      <c r="I28" s="252"/>
      <c r="J28" s="306" t="s">
        <v>747</v>
      </c>
      <c r="K28" s="306"/>
      <c r="L28" s="306"/>
      <c r="M28" s="306"/>
      <c r="N28" s="266"/>
      <c r="O28" s="266"/>
      <c r="P28" s="266"/>
      <c r="Q28" s="5"/>
      <c r="S28" s="42"/>
      <c r="T28" s="42"/>
      <c r="U28" s="42"/>
      <c r="V28" s="147" t="s">
        <v>525</v>
      </c>
      <c r="W28" s="288">
        <f t="shared" si="1"/>
        <v>1.0266980599668065</v>
      </c>
      <c r="X28" s="288">
        <v>1</v>
      </c>
      <c r="Y28" s="42"/>
      <c r="Z28" s="42"/>
      <c r="AA28" s="42"/>
    </row>
    <row r="29" spans="2:27" ht="12.6" thickTop="1">
      <c r="B29" s="5" t="s">
        <v>583</v>
      </c>
      <c r="C29" s="365">
        <f>'DM ASIA INCUMB'!C29+'DM ASIA OTHER'!C29</f>
        <v>16091.388123026536</v>
      </c>
      <c r="D29" s="228">
        <f>'DM ASIA INCUMB'!D29+'DM ASIA OTHER'!D29</f>
        <v>17787.422295592056</v>
      </c>
      <c r="E29" s="228">
        <f>'DM ASIA INCUMB'!E29+'DM ASIA OTHER'!E29</f>
        <v>21264.11030754161</v>
      </c>
      <c r="F29" s="228">
        <f>'DM ASIA INCUMB'!F29+'DM ASIA OTHER'!F29</f>
        <v>25346.683850968053</v>
      </c>
      <c r="G29" s="228">
        <f>'DM ASIA INCUMB'!G29+'DM ASIA OTHER'!G29</f>
        <v>26636.778221724031</v>
      </c>
      <c r="H29" s="279">
        <f t="shared" si="0"/>
        <v>0.14407955917292203</v>
      </c>
      <c r="I29" s="254"/>
      <c r="J29" s="249"/>
      <c r="K29" s="249"/>
      <c r="L29" s="249"/>
      <c r="M29" s="249"/>
      <c r="N29" s="249"/>
      <c r="O29" s="251"/>
      <c r="Q29" s="5"/>
      <c r="S29" s="42"/>
      <c r="T29" s="42"/>
      <c r="U29" s="42"/>
      <c r="V29" s="147" t="s">
        <v>588</v>
      </c>
      <c r="W29" s="288">
        <f t="shared" si="1"/>
        <v>0.86721740149136051</v>
      </c>
      <c r="X29" s="288">
        <v>1</v>
      </c>
      <c r="Y29" s="42"/>
      <c r="Z29" s="42"/>
      <c r="AA29" s="42"/>
    </row>
    <row r="30" spans="2:27">
      <c r="B30" s="5" t="s">
        <v>584</v>
      </c>
      <c r="C30" s="365">
        <f>'DM ASIA INCUMB'!C30+'DM ASIA OTHER'!C30</f>
        <v>18934.545073630514</v>
      </c>
      <c r="D30" s="228">
        <f>'DM ASIA INCUMB'!D30+'DM ASIA OTHER'!D30</f>
        <v>18241.299086951483</v>
      </c>
      <c r="E30" s="228">
        <f>'DM ASIA INCUMB'!E30+'DM ASIA OTHER'!E30</f>
        <v>21231.254282560825</v>
      </c>
      <c r="F30" s="228">
        <f>'DM ASIA INCUMB'!F30+'DM ASIA OTHER'!F30</f>
        <v>24343.416161947996</v>
      </c>
      <c r="G30" s="228">
        <f>'DM ASIA INCUMB'!G30+'DM ASIA OTHER'!G30</f>
        <v>25930.754642105923</v>
      </c>
      <c r="H30" s="279">
        <f t="shared" si="0"/>
        <v>0.12439730820639383</v>
      </c>
      <c r="I30" s="254"/>
      <c r="J30" s="248"/>
      <c r="K30" s="248"/>
      <c r="L30" s="248"/>
      <c r="M30" s="248"/>
      <c r="N30" s="248"/>
      <c r="O30" s="5"/>
      <c r="Q30" s="5"/>
      <c r="S30" s="42"/>
      <c r="T30" s="42"/>
      <c r="U30" s="42"/>
      <c r="V30" s="147" t="s">
        <v>470</v>
      </c>
      <c r="W30" s="288">
        <f t="shared" si="1"/>
        <v>1.1185933837121567</v>
      </c>
      <c r="X30" s="288">
        <v>1</v>
      </c>
      <c r="Y30" s="42"/>
      <c r="Z30" s="42"/>
      <c r="AA30" s="42"/>
    </row>
    <row r="31" spans="2:27">
      <c r="B31" s="5" t="s">
        <v>585</v>
      </c>
      <c r="C31" s="365">
        <f>'DM ASIA INCUMB'!C31+'DM ASIA OTHER'!C31</f>
        <v>12102.165476291739</v>
      </c>
      <c r="D31" s="228">
        <f>'DM ASIA INCUMB'!D31+'DM ASIA OTHER'!D31</f>
        <v>12164.649106293156</v>
      </c>
      <c r="E31" s="228">
        <f>'DM ASIA INCUMB'!E31+'DM ASIA OTHER'!E31</f>
        <v>13386.450586970281</v>
      </c>
      <c r="F31" s="228">
        <f>'DM ASIA INCUMB'!F31+'DM ASIA OTHER'!F31</f>
        <v>14499.389946584983</v>
      </c>
      <c r="G31" s="228">
        <f>'DM ASIA INCUMB'!G31+'DM ASIA OTHER'!G31</f>
        <v>15438.016684073147</v>
      </c>
      <c r="H31" s="279">
        <f t="shared" si="0"/>
        <v>8.2673000667110141E-2</v>
      </c>
      <c r="I31" s="254"/>
      <c r="J31" s="252"/>
      <c r="K31" s="252"/>
      <c r="L31" s="252"/>
      <c r="M31" s="252"/>
      <c r="N31" s="252"/>
      <c r="O31" s="5"/>
      <c r="Q31" s="5"/>
      <c r="S31" s="42"/>
      <c r="T31" s="42"/>
      <c r="U31" s="42"/>
      <c r="V31" s="147" t="s">
        <v>528</v>
      </c>
      <c r="W31" s="288">
        <f t="shared" si="1"/>
        <v>1.0774447994002498</v>
      </c>
      <c r="X31" s="288">
        <v>1</v>
      </c>
      <c r="Y31" s="42"/>
      <c r="Z31" s="42"/>
      <c r="AA31" s="42"/>
    </row>
    <row r="32" spans="2:27">
      <c r="B32" s="5" t="s">
        <v>601</v>
      </c>
      <c r="C32" s="365">
        <f>'DM ASIA INCUMB'!C32+'DM ASIA OTHER'!C32</f>
        <v>2023.4704722742063</v>
      </c>
      <c r="D32" s="228">
        <f>'DM ASIA INCUMB'!D32+'DM ASIA OTHER'!D32</f>
        <v>1288.2856660990617</v>
      </c>
      <c r="E32" s="228">
        <f>'DM ASIA INCUMB'!E32+'DM ASIA OTHER'!E32</f>
        <v>2667.5382912310693</v>
      </c>
      <c r="F32" s="228">
        <f>'DM ASIA INCUMB'!F32+'DM ASIA OTHER'!F32</f>
        <v>1548.6341755423982</v>
      </c>
      <c r="G32" s="228">
        <f>'DM ASIA INCUMB'!G32+'DM ASIA OTHER'!G32</f>
        <v>-2793.3587473206167</v>
      </c>
      <c r="H32" s="279">
        <f t="shared" si="0"/>
        <v>-2.294309623126932</v>
      </c>
      <c r="I32" s="5"/>
      <c r="J32" s="254"/>
      <c r="K32" s="254"/>
      <c r="L32" s="254"/>
      <c r="M32" s="254"/>
      <c r="N32" s="254"/>
      <c r="O32" s="251"/>
      <c r="Q32" s="5"/>
      <c r="S32" s="42"/>
      <c r="T32" s="42"/>
      <c r="U32" s="42"/>
      <c r="V32" s="147" t="s">
        <v>575</v>
      </c>
      <c r="W32" s="288">
        <f>M17/E45</f>
        <v>0.95025229483131268</v>
      </c>
      <c r="X32" s="288">
        <v>1</v>
      </c>
      <c r="Y32" s="42"/>
      <c r="Z32" s="42"/>
      <c r="AA32" s="42"/>
    </row>
    <row r="33" spans="2:42">
      <c r="B33" s="5" t="s">
        <v>5</v>
      </c>
      <c r="C33" s="365">
        <f>'DM ASIA INCUMB'!C33+'DM ASIA OTHER'!C33</f>
        <v>-254.42355043420531</v>
      </c>
      <c r="D33" s="228">
        <f>'DM ASIA INCUMB'!D33+'DM ASIA OTHER'!D33</f>
        <v>65.798790315392523</v>
      </c>
      <c r="E33" s="228">
        <f>'DM ASIA INCUMB'!E33+'DM ASIA OTHER'!E33</f>
        <v>1018.377270004126</v>
      </c>
      <c r="F33" s="228">
        <f>'DM ASIA INCUMB'!F33+'DM ASIA OTHER'!F33</f>
        <v>1188.6848436012397</v>
      </c>
      <c r="G33" s="228">
        <f>'DM ASIA INCUMB'!G33+'DM ASIA OTHER'!G33</f>
        <v>1395.2154299354286</v>
      </c>
      <c r="H33" s="279">
        <f t="shared" si="0"/>
        <v>1.7678408863052195</v>
      </c>
      <c r="I33" s="49"/>
      <c r="J33" s="254"/>
      <c r="K33" s="254"/>
      <c r="L33" s="254"/>
      <c r="M33" s="254"/>
      <c r="N33" s="254"/>
      <c r="O33" s="251"/>
      <c r="Q33" s="5"/>
      <c r="S33" s="42"/>
      <c r="T33" s="42"/>
      <c r="U33" s="42"/>
      <c r="V33" s="147" t="s">
        <v>576</v>
      </c>
      <c r="W33" s="288">
        <f>M19/E47</f>
        <v>1.1185933837121567</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1.9661971028425513</v>
      </c>
      <c r="E37" s="553">
        <f t="shared" si="2"/>
        <v>1.8845678750820321</v>
      </c>
      <c r="F37" s="553">
        <f t="shared" si="2"/>
        <v>1.7102354922782459</v>
      </c>
      <c r="G37" s="553">
        <f t="shared" si="2"/>
        <v>1.5481640802498227</v>
      </c>
      <c r="H37" s="17">
        <f t="shared" ref="H37:H45" si="3">H23</f>
        <v>3.604287710804277E-2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7.5194399594537158</v>
      </c>
      <c r="E38" s="553">
        <f t="shared" si="2"/>
        <v>7.2157406662570427</v>
      </c>
      <c r="F38" s="553">
        <f t="shared" si="2"/>
        <v>6.2947314811996939</v>
      </c>
      <c r="G38" s="553">
        <f t="shared" si="2"/>
        <v>5.6509319524021073</v>
      </c>
      <c r="H38" s="17">
        <f t="shared" si="3"/>
        <v>5.227563289397108E-2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15.407161026888048</v>
      </c>
      <c r="E39" s="553">
        <f t="shared" si="2"/>
        <v>13.850522691482661</v>
      </c>
      <c r="F39" s="553">
        <f t="shared" si="2"/>
        <v>11.104899244904207</v>
      </c>
      <c r="G39" s="553">
        <f t="shared" si="2"/>
        <v>9.8619926953007742</v>
      </c>
      <c r="H39" s="17">
        <f t="shared" si="3"/>
        <v>0.11009553534713978</v>
      </c>
      <c r="I39" s="5"/>
      <c r="J39" s="5"/>
      <c r="K39" s="5"/>
      <c r="L39" s="5"/>
      <c r="M39" s="5"/>
      <c r="N39" s="5"/>
      <c r="O39" s="5"/>
      <c r="Q39" s="5"/>
      <c r="R39" s="5"/>
      <c r="S39" s="42"/>
      <c r="T39" s="42"/>
      <c r="U39" s="42"/>
      <c r="V39" s="42"/>
      <c r="W39" s="288"/>
      <c r="X39" s="288"/>
      <c r="Y39" s="42"/>
      <c r="Z39" s="42"/>
      <c r="AA39" s="42"/>
    </row>
    <row r="40" spans="2:42">
      <c r="B40" s="5" t="s">
        <v>461</v>
      </c>
      <c r="C40" s="247"/>
      <c r="D40" s="553">
        <f t="shared" si="2"/>
        <v>21.602251824900758</v>
      </c>
      <c r="E40" s="553">
        <f t="shared" si="2"/>
        <v>19.602708435807113</v>
      </c>
      <c r="F40" s="553">
        <f t="shared" si="2"/>
        <v>15.736388106432045</v>
      </c>
      <c r="G40" s="553">
        <f t="shared" si="2"/>
        <v>14.042468892205573</v>
      </c>
      <c r="H40" s="17">
        <f t="shared" si="3"/>
        <v>0.10439956175693821</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1.6544118954276832</v>
      </c>
      <c r="E41" s="553">
        <f t="shared" si="2"/>
        <v>1.5626926293761227</v>
      </c>
      <c r="F41" s="553">
        <f t="shared" si="2"/>
        <v>1.4310362247413813</v>
      </c>
      <c r="G41" s="553">
        <f t="shared" si="2"/>
        <v>1.3004963167948864</v>
      </c>
      <c r="H41" s="17">
        <f t="shared" si="3"/>
        <v>3.6619116438933119E-2</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3.1677671208807943</v>
      </c>
      <c r="E42" s="553">
        <f>E18/E28</f>
        <v>3.0469126030002176</v>
      </c>
      <c r="F42" s="553">
        <f>F18/F28</f>
        <v>2.9060000542694824</v>
      </c>
      <c r="G42" s="553">
        <f>G18/G28</f>
        <v>2.734391157420057</v>
      </c>
      <c r="H42" s="17">
        <f t="shared" si="3"/>
        <v>4.7821462737978049E-3</v>
      </c>
      <c r="I42" s="247"/>
      <c r="J42" s="5"/>
      <c r="K42" s="5"/>
      <c r="L42" s="5"/>
      <c r="M42" s="5"/>
      <c r="N42" s="5"/>
      <c r="O42" s="5"/>
      <c r="Q42" s="5"/>
      <c r="R42" s="5"/>
      <c r="S42" s="42"/>
      <c r="T42" s="42"/>
      <c r="U42" s="42"/>
      <c r="V42" s="42"/>
      <c r="W42" s="288"/>
      <c r="X42" s="288"/>
      <c r="Y42" s="288"/>
      <c r="Z42" s="288"/>
      <c r="AA42" s="42"/>
    </row>
    <row r="43" spans="2:42">
      <c r="B43" s="5" t="s">
        <v>470</v>
      </c>
      <c r="C43" s="247"/>
      <c r="D43" s="553">
        <f>L26/D29</f>
        <v>17.099269762099652</v>
      </c>
      <c r="E43" s="553">
        <f>M26/E29</f>
        <v>14.17927151679425</v>
      </c>
      <c r="F43" s="553">
        <f>N26/F29</f>
        <v>11.601280855924273</v>
      </c>
      <c r="G43" s="553">
        <f>O26/G29</f>
        <v>10.753471277962806</v>
      </c>
      <c r="H43" s="17">
        <f t="shared" si="3"/>
        <v>0.14407955917292203</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18.048165585431132</v>
      </c>
      <c r="E44" s="553">
        <f>E11/E30</f>
        <v>15.322301714964658</v>
      </c>
      <c r="F44" s="553">
        <f>F11/F30</f>
        <v>13.202466106054869</v>
      </c>
      <c r="G44" s="553">
        <f>G11/G30</f>
        <v>12.256480026102491</v>
      </c>
      <c r="H44" s="17">
        <f t="shared" si="3"/>
        <v>0.12439730820639383</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3.6949686255070092E-2</v>
      </c>
      <c r="E45" s="248">
        <f>E31/E11</f>
        <v>4.1149615120798226E-2</v>
      </c>
      <c r="F45" s="248">
        <f>F31/F11</f>
        <v>4.5114188009200577E-2</v>
      </c>
      <c r="G45" s="248">
        <f>G31/G11</f>
        <v>4.8574751584717607E-2</v>
      </c>
      <c r="H45" s="17">
        <f t="shared" si="3"/>
        <v>8.2673000667110141E-2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4.0862807854659712E-2</v>
      </c>
      <c r="E46" s="248">
        <f>(E31+E32)/E11</f>
        <v>4.9349561274634794E-2</v>
      </c>
      <c r="F46" s="248">
        <f>(F31+F32)/F11</f>
        <v>4.993269234698814E-2</v>
      </c>
      <c r="G46" s="248">
        <f>(G31+G32)/G11</f>
        <v>3.9785623420470963E-2</v>
      </c>
      <c r="H46" s="279">
        <f>((G31+G32)/(D31+D32))^(1/3)-1</f>
        <v>-2.0442314780257931E-2</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5.8482029578625007E-2</v>
      </c>
      <c r="E47" s="248">
        <f>1/E43</f>
        <v>7.0525484952846648E-2</v>
      </c>
      <c r="F47" s="248">
        <f>1/F43</f>
        <v>8.6197378756617482E-2</v>
      </c>
      <c r="G47" s="248">
        <f>1/G43</f>
        <v>9.2993227410139628E-2</v>
      </c>
      <c r="H47" s="17">
        <f>H29</f>
        <v>0.14407955917292203</v>
      </c>
      <c r="I47" s="247"/>
      <c r="J47" s="248"/>
      <c r="K47" s="248"/>
      <c r="L47" s="248"/>
      <c r="M47" s="248"/>
      <c r="N47" s="248"/>
      <c r="O47" s="248"/>
      <c r="Q47" s="5"/>
      <c r="R47" s="5"/>
      <c r="S47" s="5"/>
      <c r="T47" s="5"/>
      <c r="U47" s="5"/>
      <c r="AA47" s="303"/>
      <c r="AB47" s="303"/>
    </row>
    <row r="48" spans="2:42">
      <c r="B48" s="5" t="s">
        <v>613</v>
      </c>
      <c r="C48" s="5"/>
      <c r="D48" s="305">
        <f>D31/D29</f>
        <v>0.68389049881093267</v>
      </c>
      <c r="E48" s="305">
        <f>E31/E29</f>
        <v>0.62953259710200948</v>
      </c>
      <c r="F48" s="305">
        <f>F31/F29</f>
        <v>0.57204287676595666</v>
      </c>
      <c r="G48" s="305">
        <f>G31/G29</f>
        <v>0.57957522323335775</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0">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684</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696</v>
      </c>
      <c r="K7" s="306"/>
      <c r="L7" s="265" t="str">
        <f>L5</f>
        <v>2023E</v>
      </c>
      <c r="M7" s="265" t="str">
        <f t="shared" ref="M7:P7" si="1">M5</f>
        <v>2024E</v>
      </c>
      <c r="N7" s="265" t="str">
        <f t="shared" si="1"/>
        <v>2025E</v>
      </c>
      <c r="O7" s="265" t="str">
        <f t="shared" si="1"/>
        <v>2026E</v>
      </c>
      <c r="P7" s="265" t="str">
        <f t="shared" si="1"/>
        <v>23E-26E</v>
      </c>
    </row>
    <row r="8" spans="2:27" ht="12.6" thickTop="1">
      <c r="I8" s="5"/>
      <c r="J8" s="5"/>
      <c r="K8" s="5"/>
      <c r="L8" s="5"/>
      <c r="M8" s="5"/>
      <c r="N8" s="5"/>
      <c r="S8" s="88"/>
      <c r="T8" s="42"/>
      <c r="U8" s="42"/>
      <c r="V8" s="42"/>
      <c r="W8" s="42"/>
      <c r="X8" s="42"/>
      <c r="Y8" s="42"/>
      <c r="Z8" s="42"/>
      <c r="AA8" s="42"/>
    </row>
    <row r="9" spans="2:27">
      <c r="B9" s="41" t="s">
        <v>15</v>
      </c>
      <c r="C9" s="287">
        <f>Prices!C51</f>
        <v>233.64</v>
      </c>
      <c r="D9" s="531">
        <v>0</v>
      </c>
      <c r="E9" s="532">
        <v>0</v>
      </c>
      <c r="F9" s="532">
        <v>0</v>
      </c>
      <c r="G9" s="532">
        <v>0</v>
      </c>
      <c r="H9" s="249"/>
      <c r="I9" s="249"/>
      <c r="J9" s="5" t="s">
        <v>268</v>
      </c>
      <c r="L9" s="525">
        <f>'US TOWERS'!D37</f>
        <v>11.716514317123721</v>
      </c>
      <c r="M9" s="525">
        <f>'US TOWERS'!E37</f>
        <v>11.358559001089553</v>
      </c>
      <c r="N9" s="525">
        <f>'US TOWERS'!F37</f>
        <v>10.683724669440947</v>
      </c>
      <c r="O9" s="525">
        <f>'US TOWERS'!G37</f>
        <v>10.039837788234205</v>
      </c>
      <c r="P9" s="279">
        <f>'US TOWERS'!H37</f>
        <v>2.6157777948455641E-2</v>
      </c>
      <c r="S9" s="88"/>
      <c r="T9" s="42"/>
      <c r="U9" s="42"/>
      <c r="V9" s="42"/>
      <c r="W9" s="42"/>
      <c r="X9" s="42"/>
      <c r="Y9" s="42"/>
      <c r="Z9" s="42"/>
      <c r="AA9" s="42"/>
    </row>
    <row r="10" spans="2:27">
      <c r="B10" s="5" t="s">
        <v>269</v>
      </c>
      <c r="C10" s="5"/>
      <c r="D10" s="527">
        <v>467.22100860405419</v>
      </c>
      <c r="E10" s="527">
        <v>462.18916625173574</v>
      </c>
      <c r="F10" s="527">
        <v>447.80168189138033</v>
      </c>
      <c r="G10" s="527">
        <v>432.87012569438713</v>
      </c>
      <c r="H10" s="247"/>
      <c r="I10" s="247"/>
      <c r="J10" s="5" t="s">
        <v>180</v>
      </c>
      <c r="L10" s="525">
        <f>'US TOWERS'!D38</f>
        <v>18.346861481363135</v>
      </c>
      <c r="M10" s="525">
        <f>'US TOWERS'!E38</f>
        <v>17.815357115878655</v>
      </c>
      <c r="N10" s="525">
        <f>'US TOWERS'!F38</f>
        <v>16.732780196675282</v>
      </c>
      <c r="O10" s="525">
        <f>'US TOWERS'!G38</f>
        <v>15.520501658491678</v>
      </c>
      <c r="P10" s="279">
        <f>'US TOWERS'!H38</f>
        <v>3.0565437622663838E-2</v>
      </c>
      <c r="S10" s="88"/>
      <c r="T10" s="42"/>
      <c r="U10" s="42"/>
      <c r="V10" s="42"/>
      <c r="W10" s="288"/>
      <c r="X10" s="288"/>
      <c r="Y10" s="288"/>
      <c r="Z10" s="288"/>
      <c r="AA10" s="42"/>
    </row>
    <row r="11" spans="2:27">
      <c r="B11" s="41" t="s">
        <v>437</v>
      </c>
      <c r="C11" s="5"/>
      <c r="D11" s="528">
        <f>$C$9*D10</f>
        <v>109161.51645025122</v>
      </c>
      <c r="E11" s="528">
        <f>$C$9*E10</f>
        <v>107985.87680305554</v>
      </c>
      <c r="F11" s="528">
        <f>$C$9*F10</f>
        <v>104624.3849571021</v>
      </c>
      <c r="G11" s="528">
        <f>$C$9*G10</f>
        <v>101135.7761672366</v>
      </c>
      <c r="H11" s="249"/>
      <c r="I11" s="249"/>
      <c r="J11" s="5" t="s">
        <v>181</v>
      </c>
      <c r="L11" s="525">
        <f>'US TOWERS'!D39</f>
        <v>25.045375564476512</v>
      </c>
      <c r="M11" s="525">
        <f>'US TOWERS'!E39</f>
        <v>23.597682484349907</v>
      </c>
      <c r="N11" s="525">
        <f>'US TOWERS'!F39</f>
        <v>21.868917154229834</v>
      </c>
      <c r="O11" s="525">
        <f>'US TOWERS'!G39</f>
        <v>19.956409169016258</v>
      </c>
      <c r="P11" s="279">
        <f>'US TOWERS'!H39</f>
        <v>5.1328926157078847E-2</v>
      </c>
      <c r="S11" s="88"/>
      <c r="T11" s="42"/>
      <c r="U11" s="42"/>
      <c r="V11" s="42"/>
      <c r="W11" s="288"/>
      <c r="X11" s="288"/>
      <c r="Y11" s="288"/>
      <c r="Z11" s="288"/>
      <c r="AA11" s="42"/>
    </row>
    <row r="12" spans="2:27">
      <c r="B12" s="5" t="s">
        <v>24</v>
      </c>
      <c r="C12" s="249"/>
      <c r="D12" s="529">
        <v>35544.442816079427</v>
      </c>
      <c r="E12" s="529">
        <v>36531.874135841863</v>
      </c>
      <c r="F12" s="529">
        <v>37106.148771359731</v>
      </c>
      <c r="G12" s="529">
        <v>38111.907882310981</v>
      </c>
      <c r="H12" s="247"/>
      <c r="I12" s="247"/>
      <c r="J12" s="5" t="s">
        <v>461</v>
      </c>
      <c r="L12" s="525">
        <f>'US TOWERS'!D40</f>
        <v>27.828195071640568</v>
      </c>
      <c r="M12" s="525">
        <f>'US TOWERS'!E40</f>
        <v>26.219647204833233</v>
      </c>
      <c r="N12" s="525">
        <f>'US TOWERS'!F40</f>
        <v>24.298796838033148</v>
      </c>
      <c r="O12" s="525">
        <f>'US TOWERS'!G40</f>
        <v>22.17378796557362</v>
      </c>
      <c r="P12" s="279">
        <f>'US TOWERS'!H40</f>
        <v>5.1328926157078847E-2</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'US TOWERS'!D41</f>
        <v>3.0956838617797171</v>
      </c>
      <c r="M13" s="525">
        <f>'US TOWERS'!E41</f>
        <v>3.5458182205202253</v>
      </c>
      <c r="N13" s="525">
        <f>'US TOWERS'!F41</f>
        <v>3.9623582726442019</v>
      </c>
      <c r="O13" s="525">
        <f>'US TOWERS'!G41</f>
        <v>4.5186454654812991</v>
      </c>
      <c r="P13" s="279">
        <f>'US TOWERS'!H41</f>
        <v>-0.14077611221633957</v>
      </c>
      <c r="S13" s="88"/>
      <c r="T13" s="42"/>
      <c r="U13" s="42"/>
      <c r="V13" s="42"/>
      <c r="W13" s="42"/>
      <c r="X13" s="42"/>
      <c r="Y13" s="42"/>
      <c r="Z13" s="42"/>
      <c r="AA13" s="42"/>
    </row>
    <row r="14" spans="2:27">
      <c r="B14" s="5" t="s">
        <v>527</v>
      </c>
      <c r="C14" s="257"/>
      <c r="D14" s="529">
        <v>0</v>
      </c>
      <c r="E14" s="529">
        <v>0</v>
      </c>
      <c r="F14" s="529">
        <v>0</v>
      </c>
      <c r="G14" s="529">
        <v>0</v>
      </c>
      <c r="H14" s="247"/>
      <c r="I14" s="247"/>
      <c r="J14" s="5" t="s">
        <v>588</v>
      </c>
      <c r="L14" s="525">
        <f>'US TOWERS'!D42</f>
        <v>6.5626918432670882</v>
      </c>
      <c r="M14" s="525">
        <f>'US TOWERS'!E42</f>
        <v>6.6987951806393502</v>
      </c>
      <c r="N14" s="525">
        <f>'US TOWERS'!F42</f>
        <v>6.6556447612521508</v>
      </c>
      <c r="O14" s="525">
        <f>'US TOWERS'!G42</f>
        <v>6.9759762217836165</v>
      </c>
      <c r="P14" s="279">
        <f>'US TOWERS'!H42</f>
        <v>-4.4972440556020565E-2</v>
      </c>
      <c r="S14" s="88"/>
      <c r="T14" s="42"/>
      <c r="U14" s="42"/>
      <c r="V14" s="42"/>
      <c r="W14" s="42"/>
      <c r="X14" s="42"/>
      <c r="Y14" s="42"/>
      <c r="Z14" s="42"/>
      <c r="AA14" s="42"/>
    </row>
    <row r="15" spans="2:27">
      <c r="B15" s="5" t="s">
        <v>526</v>
      </c>
      <c r="C15" s="274"/>
      <c r="D15" s="529">
        <v>0</v>
      </c>
      <c r="E15" s="529">
        <v>0</v>
      </c>
      <c r="F15" s="529">
        <v>0</v>
      </c>
      <c r="G15" s="529">
        <v>0</v>
      </c>
      <c r="H15" s="247"/>
      <c r="I15" s="247"/>
      <c r="J15" s="5" t="s">
        <v>470</v>
      </c>
      <c r="L15" s="525">
        <f>'US TOWERS'!D43</f>
        <v>26.46791028508412</v>
      </c>
      <c r="M15" s="525">
        <f>'US TOWERS'!E43</f>
        <v>24.838103660229184</v>
      </c>
      <c r="N15" s="525">
        <f>'US TOWERS'!F43</f>
        <v>23.446630439093443</v>
      </c>
      <c r="O15" s="525">
        <f>'US TOWERS'!G43</f>
        <v>21.075239163698498</v>
      </c>
      <c r="P15" s="279">
        <f>'US TOWERS'!H43</f>
        <v>6.3471221095444452E-2</v>
      </c>
      <c r="S15" s="88"/>
      <c r="T15" s="42"/>
      <c r="U15" s="42"/>
      <c r="V15" s="42"/>
      <c r="W15" s="42"/>
      <c r="X15" s="42"/>
      <c r="Y15" s="42"/>
      <c r="Z15" s="42"/>
      <c r="AA15" s="42"/>
    </row>
    <row r="16" spans="2:27">
      <c r="B16" s="5" t="s">
        <v>529</v>
      </c>
      <c r="C16" s="257"/>
      <c r="D16" s="529">
        <v>4730.3068199999998</v>
      </c>
      <c r="E16" s="529">
        <v>7305.1036806639331</v>
      </c>
      <c r="F16" s="529">
        <v>13720.690029510806</v>
      </c>
      <c r="G16" s="529">
        <v>8324.2926971378893</v>
      </c>
      <c r="H16" s="247"/>
      <c r="I16" s="247"/>
      <c r="J16" s="5" t="s">
        <v>528</v>
      </c>
      <c r="L16" s="525">
        <f>'US TOWERS'!D44</f>
        <v>36.51566242451004</v>
      </c>
      <c r="M16" s="525">
        <f>'US TOWERS'!E44</f>
        <v>33.8583047236311</v>
      </c>
      <c r="N16" s="525">
        <f>'US TOWERS'!F44</f>
        <v>30.682824288938619</v>
      </c>
      <c r="O16" s="525">
        <f>'US TOWERS'!G44</f>
        <v>25.895139427993158</v>
      </c>
      <c r="P16" s="279">
        <f>'US TOWERS'!H44</f>
        <v>0.1053428450222762</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525">
        <f>'US TOWERS'!D45</f>
        <v>3.2063535452362318E-2</v>
      </c>
      <c r="M17" s="525">
        <f>'US TOWERS'!E45</f>
        <v>4.6151912053218884E-2</v>
      </c>
      <c r="N17" s="525">
        <f>'US TOWERS'!F45</f>
        <v>4.9715665478411129E-2</v>
      </c>
      <c r="O17" s="525">
        <f>'US TOWERS'!G45</f>
        <v>5.3019276050279021E-2</v>
      </c>
      <c r="P17" s="279">
        <f>'US TOWERS'!H45</f>
        <v>0.16560344677482641</v>
      </c>
      <c r="S17" s="88"/>
      <c r="T17" s="42"/>
      <c r="U17" s="42"/>
      <c r="V17" s="42"/>
      <c r="W17" s="42"/>
      <c r="X17" s="42"/>
      <c r="Y17" s="42"/>
      <c r="Z17" s="42"/>
      <c r="AA17" s="42"/>
    </row>
    <row r="18" spans="2:27" ht="12.6" thickBot="1">
      <c r="B18" s="41" t="s">
        <v>513</v>
      </c>
      <c r="C18" s="249"/>
      <c r="D18" s="530">
        <f>D11+D12+D13-D14+D15-D16-D17</f>
        <v>139975.65244633064</v>
      </c>
      <c r="E18" s="530">
        <f>E11+E12+E13-E14+E15-E16-E17</f>
        <v>137212.64725823345</v>
      </c>
      <c r="F18" s="530">
        <f>F11+F12+F13-F14+F15-F16-F17</f>
        <v>128009.84369895102</v>
      </c>
      <c r="G18" s="530">
        <f>G11+G12+G13-G14+G15-G16-G17</f>
        <v>130923.3913524097</v>
      </c>
      <c r="H18" s="276">
        <f>IF(D18=0,"nm",IF(G18=0,"nm",(G18/D18)^(1/3)-1))</f>
        <v>-2.2038896321513013E-2</v>
      </c>
      <c r="I18" s="254"/>
      <c r="J18" s="5" t="s">
        <v>36</v>
      </c>
      <c r="L18" s="525">
        <f>'US TOWERS'!D46</f>
        <v>2.8537414385636919E-2</v>
      </c>
      <c r="M18" s="525">
        <f>'US TOWERS'!E46</f>
        <v>8.6563762902990948E-2</v>
      </c>
      <c r="N18" s="525">
        <f>'US TOWERS'!F46</f>
        <v>8.5442855274594054E-2</v>
      </c>
      <c r="O18" s="525">
        <f>'US TOWERS'!G46</f>
        <v>9.752950113893015E-2</v>
      </c>
      <c r="P18" s="279">
        <f>'US TOWERS'!H46</f>
        <v>0.48474027103495088</v>
      </c>
      <c r="S18" s="88"/>
      <c r="T18" s="42"/>
      <c r="U18" s="42"/>
      <c r="V18" s="42"/>
      <c r="W18" s="42"/>
      <c r="X18" s="42"/>
      <c r="Y18" s="42"/>
      <c r="Z18" s="42"/>
      <c r="AA18" s="42"/>
    </row>
    <row r="19" spans="2:27" ht="12.6" thickTop="1">
      <c r="B19" s="41"/>
      <c r="C19" s="249"/>
      <c r="D19" s="229"/>
      <c r="E19" s="229"/>
      <c r="F19" s="229"/>
      <c r="G19" s="229"/>
      <c r="H19" s="276"/>
      <c r="I19" s="254"/>
      <c r="J19" s="5" t="s">
        <v>576</v>
      </c>
      <c r="L19" s="525">
        <f>'US TOWERS'!D47</f>
        <v>3.7781600029207663E-2</v>
      </c>
      <c r="M19" s="525">
        <f>'US TOWERS'!E47</f>
        <v>4.0260722544660357E-2</v>
      </c>
      <c r="N19" s="525">
        <f>'US TOWERS'!F47</f>
        <v>4.2650051682166776E-2</v>
      </c>
      <c r="O19" s="525">
        <f>'US TOWERS'!G47</f>
        <v>4.7449046354001601E-2</v>
      </c>
      <c r="P19" s="279">
        <f>'US TOWERS'!H47</f>
        <v>6.3471221095444452E-2</v>
      </c>
      <c r="S19" s="88"/>
      <c r="T19" s="42"/>
      <c r="U19" s="42"/>
      <c r="V19" s="42"/>
      <c r="W19" s="42"/>
      <c r="X19" s="42"/>
      <c r="Y19" s="42"/>
      <c r="Z19" s="42"/>
      <c r="AA19" s="42"/>
    </row>
    <row r="20" spans="2:27">
      <c r="H20" s="277"/>
      <c r="I20" s="17"/>
      <c r="J20" s="5" t="s">
        <v>599</v>
      </c>
      <c r="L20" s="548">
        <f>'US TOWERS'!D48</f>
        <v>0.84865477977573978</v>
      </c>
      <c r="M20" s="548">
        <f>'US TOWERS'!E48</f>
        <v>1.1463259756956312</v>
      </c>
      <c r="N20" s="548">
        <f>'US TOWERS'!F48</f>
        <v>1.1656648355059014</v>
      </c>
      <c r="O20" s="548">
        <f>'US TOWERS'!G48</f>
        <v>1.1173939230457823</v>
      </c>
      <c r="P20" s="279" t="str">
        <f>'US TOWERS'!H48</f>
        <v>nm</v>
      </c>
      <c r="S20" s="88"/>
      <c r="T20" s="42"/>
      <c r="U20" s="42"/>
      <c r="V20" s="42"/>
      <c r="W20" s="42"/>
      <c r="X20" s="42"/>
      <c r="Y20" s="42"/>
      <c r="Z20" s="42"/>
      <c r="AA20" s="42"/>
    </row>
    <row r="21" spans="2:27" ht="12.6" thickBot="1">
      <c r="B21" s="306" t="s">
        <v>916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10711.1</v>
      </c>
      <c r="D23" s="529">
        <v>11093.098824516857</v>
      </c>
      <c r="E23" s="529">
        <v>11420.127918543996</v>
      </c>
      <c r="F23" s="529">
        <v>11783.792532816567</v>
      </c>
      <c r="G23" s="529">
        <v>12261.365143481213</v>
      </c>
      <c r="H23" s="279">
        <f t="shared" ref="H23:H33" si="3">IF(D23=0,"nm",IF(G23=0,"nm",(G23/D23)^(1/3)-1))</f>
        <v>3.3939946332114612E-2</v>
      </c>
      <c r="I23" s="305"/>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6644.3</v>
      </c>
      <c r="D24" s="529">
        <v>7068.4746478470306</v>
      </c>
      <c r="E24" s="529">
        <v>7306.3748271683726</v>
      </c>
      <c r="F24" s="529">
        <v>7572.6834227264744</v>
      </c>
      <c r="G24" s="529">
        <v>7939.9808088147884</v>
      </c>
      <c r="H24" s="279">
        <f t="shared" si="3"/>
        <v>3.9516170103460091E-2</v>
      </c>
      <c r="I24" s="249"/>
      <c r="J24" s="17"/>
      <c r="K24" s="17"/>
      <c r="L24" s="17"/>
      <c r="M24" s="17"/>
      <c r="N24" s="17"/>
      <c r="O24" s="248"/>
      <c r="S24" s="88"/>
      <c r="T24" s="42"/>
      <c r="U24" s="42"/>
      <c r="V24" s="42"/>
      <c r="W24" s="42" t="s">
        <v>697</v>
      </c>
      <c r="X24" s="42" t="s">
        <v>698</v>
      </c>
      <c r="Y24" s="42"/>
      <c r="Z24" s="42"/>
      <c r="AA24" s="42"/>
    </row>
    <row r="25" spans="2:27">
      <c r="B25" s="5" t="s">
        <v>179</v>
      </c>
      <c r="C25" s="544">
        <v>4770.7000000000007</v>
      </c>
      <c r="D25" s="529">
        <v>5395.0237129354937</v>
      </c>
      <c r="E25" s="529">
        <v>5841.1319971712146</v>
      </c>
      <c r="F25" s="529">
        <v>6148.8451715914089</v>
      </c>
      <c r="G25" s="529">
        <v>6551.2039046721466</v>
      </c>
      <c r="H25" s="279">
        <f t="shared" si="3"/>
        <v>6.6864472571608546E-2</v>
      </c>
      <c r="I25" s="248"/>
      <c r="J25" s="247" t="s">
        <v>10</v>
      </c>
      <c r="K25" s="247"/>
      <c r="L25" s="321">
        <v>0</v>
      </c>
      <c r="M25" s="321">
        <v>0</v>
      </c>
      <c r="N25" s="321">
        <v>0</v>
      </c>
      <c r="O25" s="321">
        <v>0</v>
      </c>
      <c r="P25" s="279" t="str">
        <f>IF(L25=0,"nm",IF(O25=0,"nm",(O25/L25)^(1/3)-1))</f>
        <v>nm</v>
      </c>
      <c r="S25" s="88"/>
      <c r="T25" s="42"/>
      <c r="U25" s="42"/>
      <c r="V25" s="147" t="s">
        <v>268</v>
      </c>
      <c r="W25" s="288">
        <f t="shared" ref="W25:W33" si="5">D37/L9</f>
        <v>1.0769640116451775</v>
      </c>
      <c r="X25" s="288">
        <v>1</v>
      </c>
      <c r="Y25" s="42"/>
      <c r="Z25" s="42"/>
      <c r="AA25" s="42"/>
    </row>
    <row r="26" spans="2:27">
      <c r="B26" s="5" t="s">
        <v>581</v>
      </c>
      <c r="C26" s="544">
        <v>4293.630000000001</v>
      </c>
      <c r="D26" s="529">
        <v>4855.5213416419447</v>
      </c>
      <c r="E26" s="529">
        <v>5257.0187974540931</v>
      </c>
      <c r="F26" s="529">
        <v>5533.9606544322678</v>
      </c>
      <c r="G26" s="529">
        <v>5896.0835142049318</v>
      </c>
      <c r="H26" s="279">
        <f t="shared" si="3"/>
        <v>6.6864472571608324E-2</v>
      </c>
      <c r="I26" s="249"/>
      <c r="J26" s="249" t="s">
        <v>11</v>
      </c>
      <c r="K26" s="249"/>
      <c r="L26" s="281">
        <f>D11+L25</f>
        <v>109161.51645025122</v>
      </c>
      <c r="M26" s="281">
        <f>E11+M25</f>
        <v>107985.87680305554</v>
      </c>
      <c r="N26" s="281">
        <f>F11+N25</f>
        <v>104624.3849571021</v>
      </c>
      <c r="O26" s="281">
        <f>G11+O25</f>
        <v>101135.7761672366</v>
      </c>
      <c r="P26" s="279">
        <f>IF(L26=0,"nm",IF(O26=0,"nm",(O26/L26)^(1/3)-1))</f>
        <v>-2.5133640994801643E-2</v>
      </c>
      <c r="Q26" s="5"/>
      <c r="S26" s="88"/>
      <c r="T26" s="42"/>
      <c r="U26" s="42"/>
      <c r="V26" s="147" t="s">
        <v>180</v>
      </c>
      <c r="W26" s="288">
        <f t="shared" si="5"/>
        <v>1.0793567547814886</v>
      </c>
      <c r="X26" s="288">
        <v>1</v>
      </c>
      <c r="Y26" s="42"/>
      <c r="Z26" s="42"/>
      <c r="AA26" s="42"/>
    </row>
    <row r="27" spans="2:27">
      <c r="B27" s="5" t="s">
        <v>582</v>
      </c>
      <c r="C27" s="545">
        <v>48938</v>
      </c>
      <c r="D27" s="529">
        <v>47244.698819204546</v>
      </c>
      <c r="E27" s="529">
        <v>39384.468757708484</v>
      </c>
      <c r="F27" s="529">
        <v>31629.13344422264</v>
      </c>
      <c r="G27" s="529">
        <v>24116.114376100046</v>
      </c>
      <c r="H27" s="279">
        <f t="shared" si="3"/>
        <v>-0.20080746849872122</v>
      </c>
      <c r="I27" s="249"/>
      <c r="J27" s="248"/>
      <c r="K27" s="248"/>
      <c r="L27" s="248"/>
      <c r="M27" s="248"/>
      <c r="N27" s="248"/>
      <c r="O27" s="248"/>
      <c r="Q27" s="41"/>
      <c r="S27" s="88"/>
      <c r="T27" s="42"/>
      <c r="U27" s="42"/>
      <c r="V27" s="147" t="s">
        <v>181</v>
      </c>
      <c r="W27" s="288">
        <f t="shared" si="5"/>
        <v>1.0359328240129793</v>
      </c>
      <c r="X27" s="288">
        <v>1</v>
      </c>
      <c r="Y27" s="42"/>
      <c r="Z27" s="42"/>
      <c r="AA27" s="42"/>
    </row>
    <row r="28" spans="2:27">
      <c r="B28" s="5" t="s">
        <v>587</v>
      </c>
      <c r="C28" s="544">
        <v>19998.3</v>
      </c>
      <c r="D28" s="529">
        <v>19279.696096610242</v>
      </c>
      <c r="E28" s="529">
        <v>18018.047111664273</v>
      </c>
      <c r="F28" s="529">
        <v>16975.824650740793</v>
      </c>
      <c r="G28" s="529">
        <v>16181.613835000171</v>
      </c>
      <c r="H28" s="279">
        <f t="shared" si="3"/>
        <v>-5.6720166662855176E-2</v>
      </c>
      <c r="I28" s="248"/>
      <c r="J28" s="248"/>
      <c r="K28" s="248"/>
      <c r="L28" s="248"/>
      <c r="M28" s="248"/>
      <c r="N28" s="248"/>
      <c r="O28" s="5"/>
      <c r="Q28" s="5"/>
      <c r="S28" s="88"/>
      <c r="T28" s="42"/>
      <c r="U28" s="42"/>
      <c r="V28" s="147" t="s">
        <v>461</v>
      </c>
      <c r="W28" s="288">
        <f t="shared" si="5"/>
        <v>1.035932824012979</v>
      </c>
      <c r="X28" s="288">
        <v>1</v>
      </c>
      <c r="Y28" s="42"/>
      <c r="Z28" s="42"/>
      <c r="AA28" s="42"/>
    </row>
    <row r="29" spans="2:27" ht="12.6" thickBot="1">
      <c r="B29" s="5" t="s">
        <v>583</v>
      </c>
      <c r="C29" s="544">
        <v>4115.5000000000018</v>
      </c>
      <c r="D29" s="529">
        <v>4058.2869457146053</v>
      </c>
      <c r="E29" s="529">
        <v>4481.8127091541719</v>
      </c>
      <c r="F29" s="529">
        <v>4823.064565713059</v>
      </c>
      <c r="G29" s="529">
        <v>5259.3416769263467</v>
      </c>
      <c r="H29" s="279">
        <f t="shared" si="3"/>
        <v>9.0258659961241383E-2</v>
      </c>
      <c r="I29" s="252"/>
      <c r="J29" s="306" t="s">
        <v>1353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525</v>
      </c>
      <c r="W29" s="288">
        <f t="shared" si="5"/>
        <v>0.95706803735538593</v>
      </c>
      <c r="X29" s="288">
        <v>1</v>
      </c>
      <c r="Y29" s="42"/>
      <c r="Z29" s="42"/>
      <c r="AA29" s="42"/>
    </row>
    <row r="30" spans="2:27" ht="12.6" thickTop="1">
      <c r="B30" s="5" t="s">
        <v>584</v>
      </c>
      <c r="C30" s="545">
        <v>2634.0000000000009</v>
      </c>
      <c r="D30" s="529">
        <v>2658.8455423248502</v>
      </c>
      <c r="E30" s="529">
        <v>3146.4525897544218</v>
      </c>
      <c r="F30" s="529">
        <v>3707.1309703357983</v>
      </c>
      <c r="G30" s="529">
        <v>4391.419726731945</v>
      </c>
      <c r="H30" s="279">
        <f t="shared" si="3"/>
        <v>0.18205389888391954</v>
      </c>
      <c r="I30" s="254"/>
      <c r="J30" s="248"/>
      <c r="K30" s="248"/>
      <c r="L30" s="248"/>
      <c r="M30" s="248"/>
      <c r="N30" s="248"/>
      <c r="O30" s="5"/>
      <c r="Q30" s="5"/>
      <c r="S30" s="88"/>
      <c r="T30" s="42"/>
      <c r="U30" s="42"/>
      <c r="V30" s="147" t="s">
        <v>588</v>
      </c>
      <c r="W30" s="288">
        <f t="shared" si="5"/>
        <v>1.1062933568480027</v>
      </c>
      <c r="X30" s="288">
        <v>1</v>
      </c>
      <c r="Y30" s="42"/>
      <c r="Z30" s="42"/>
      <c r="AA30" s="42"/>
    </row>
    <row r="31" spans="2:27">
      <c r="B31" s="5" t="s">
        <v>585</v>
      </c>
      <c r="C31" s="545">
        <v>2630.4</v>
      </c>
      <c r="D31" s="529">
        <v>2950.0008199999997</v>
      </c>
      <c r="E31" s="529">
        <v>5466.1626806639333</v>
      </c>
      <c r="F31" s="529">
        <v>5893.9500295108064</v>
      </c>
      <c r="G31" s="529">
        <v>6110.2106971378889</v>
      </c>
      <c r="H31" s="279">
        <f t="shared" si="3"/>
        <v>0.27470987379400347</v>
      </c>
      <c r="I31" s="254"/>
      <c r="J31" s="5" t="s">
        <v>731</v>
      </c>
      <c r="K31" s="247"/>
      <c r="L31" s="322">
        <v>185229.61256603996</v>
      </c>
      <c r="M31" s="322">
        <v>189972.64770617557</v>
      </c>
      <c r="N31" s="322">
        <v>194599.90954103542</v>
      </c>
      <c r="O31" s="322">
        <v>194599.90954103542</v>
      </c>
      <c r="Q31" s="5"/>
      <c r="S31" s="88"/>
      <c r="T31" s="42"/>
      <c r="U31" s="42"/>
      <c r="V31" s="147" t="s">
        <v>470</v>
      </c>
      <c r="W31" s="288">
        <f t="shared" si="5"/>
        <v>1.0162654361984589</v>
      </c>
      <c r="X31" s="288">
        <v>1</v>
      </c>
      <c r="Y31" s="42"/>
      <c r="Z31" s="42"/>
      <c r="AA31" s="42"/>
    </row>
    <row r="32" spans="2:27">
      <c r="B32" s="5" t="s">
        <v>601</v>
      </c>
      <c r="C32" s="546">
        <v>18.8</v>
      </c>
      <c r="D32" s="529">
        <v>-814.31128080027202</v>
      </c>
      <c r="E32" s="529">
        <v>5789.4512903489904</v>
      </c>
      <c r="F32" s="529">
        <v>5404.2908898287042</v>
      </c>
      <c r="G32" s="529">
        <v>6061.4872086679006</v>
      </c>
      <c r="H32" s="279">
        <f t="shared" si="3"/>
        <v>-2.9525233995395337</v>
      </c>
      <c r="I32" s="254"/>
      <c r="J32" s="5" t="s">
        <v>1351</v>
      </c>
      <c r="K32" s="254"/>
      <c r="L32" s="322">
        <v>403800.55539396638</v>
      </c>
      <c r="M32" s="322">
        <v>433137.63677007961</v>
      </c>
      <c r="N32" s="322">
        <v>463147.78470766358</v>
      </c>
      <c r="O32" s="322">
        <v>463147.78470766358</v>
      </c>
      <c r="Q32" s="5"/>
      <c r="S32" s="88"/>
      <c r="T32" s="42"/>
      <c r="U32" s="42"/>
      <c r="V32" s="147" t="s">
        <v>528</v>
      </c>
      <c r="W32" s="288">
        <f t="shared" si="5"/>
        <v>1.1243389801073993</v>
      </c>
      <c r="X32" s="288">
        <v>1</v>
      </c>
      <c r="Y32" s="42"/>
      <c r="Z32" s="42"/>
      <c r="AA32" s="42"/>
    </row>
    <row r="33" spans="2:27">
      <c r="B33" s="5" t="s">
        <v>5</v>
      </c>
      <c r="C33" s="545">
        <v>-1064.9000000000001</v>
      </c>
      <c r="D33" s="529">
        <v>-1262.5586686323604</v>
      </c>
      <c r="E33" s="529">
        <v>-1229.1005466586228</v>
      </c>
      <c r="F33" s="529">
        <v>-1182.2464347420259</v>
      </c>
      <c r="G33" s="529">
        <v>-1129.9631873050605</v>
      </c>
      <c r="H33" s="279">
        <f t="shared" si="3"/>
        <v>-3.6309504710805851E-2</v>
      </c>
      <c r="I33" s="5"/>
      <c r="Q33" s="5"/>
      <c r="S33" s="88"/>
      <c r="T33" s="42"/>
      <c r="U33" s="42"/>
      <c r="V33" s="147" t="s">
        <v>575</v>
      </c>
      <c r="W33" s="288">
        <f t="shared" si="5"/>
        <v>0.84283229620289712</v>
      </c>
      <c r="X33" s="288">
        <v>1</v>
      </c>
      <c r="Y33" s="42"/>
      <c r="Z33" s="42"/>
      <c r="AA33" s="42"/>
    </row>
    <row r="34" spans="2:27">
      <c r="H34" s="277"/>
      <c r="I34" s="49"/>
      <c r="Q34" s="5"/>
      <c r="S34" s="88"/>
      <c r="T34" s="42"/>
      <c r="U34" s="42"/>
      <c r="V34" s="147" t="s">
        <v>576</v>
      </c>
      <c r="W34" s="288">
        <f>D47/L19</f>
        <v>0.98399489383472216</v>
      </c>
      <c r="X34" s="288">
        <v>1</v>
      </c>
      <c r="Y34" s="288"/>
      <c r="Z34" s="288"/>
      <c r="AA34" s="42"/>
    </row>
    <row r="35" spans="2:27" ht="12.6" thickBot="1">
      <c r="B35" s="306" t="s">
        <v>699</v>
      </c>
      <c r="C35" s="265"/>
      <c r="D35" s="265" t="str">
        <f>D5</f>
        <v>2023E</v>
      </c>
      <c r="E35" s="265" t="str">
        <f t="shared" ref="E35:H35" si="7">E5</f>
        <v>2024E</v>
      </c>
      <c r="F35" s="265" t="str">
        <f t="shared" si="7"/>
        <v>2025E</v>
      </c>
      <c r="G35" s="265" t="str">
        <f t="shared" si="7"/>
        <v>2026E</v>
      </c>
      <c r="H35" s="265" t="str">
        <f t="shared" si="7"/>
        <v>23E-26E</v>
      </c>
      <c r="I35" s="254"/>
      <c r="J35" s="306" t="s">
        <v>1352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 t="shared" ref="D37:G41" si="8">D$18/D23</f>
        <v>12.61826426146772</v>
      </c>
      <c r="E37" s="525">
        <f t="shared" si="8"/>
        <v>12.014983390459896</v>
      </c>
      <c r="F37" s="525">
        <f t="shared" si="8"/>
        <v>10.863212615332261</v>
      </c>
      <c r="G37" s="525">
        <f t="shared" si="8"/>
        <v>10.677717352053207</v>
      </c>
      <c r="H37" s="17">
        <f>H23</f>
        <v>3.3939946332114612E-2</v>
      </c>
      <c r="I37" s="5"/>
      <c r="J37" s="248"/>
      <c r="K37" s="248"/>
      <c r="L37" s="248"/>
      <c r="M37" s="248"/>
      <c r="N37" s="248"/>
      <c r="O37" s="5"/>
      <c r="Q37" s="5"/>
      <c r="R37" s="5"/>
      <c r="S37" s="42"/>
      <c r="T37" s="42"/>
      <c r="U37" s="42"/>
      <c r="V37" s="42"/>
      <c r="W37" s="42"/>
      <c r="X37" s="42"/>
      <c r="Y37" s="42"/>
      <c r="Z37" s="42"/>
      <c r="AA37" s="42"/>
    </row>
    <row r="38" spans="2:27">
      <c r="B38" s="5" t="s">
        <v>180</v>
      </c>
      <c r="C38" s="247"/>
      <c r="D38" s="525">
        <f>D$18/D24</f>
        <v>19.802808868949608</v>
      </c>
      <c r="E38" s="525">
        <f t="shared" si="8"/>
        <v>18.779853279360292</v>
      </c>
      <c r="F38" s="525">
        <f t="shared" si="8"/>
        <v>16.904158876466312</v>
      </c>
      <c r="G38" s="525">
        <f t="shared" si="8"/>
        <v>16.489131964533403</v>
      </c>
      <c r="H38" s="17">
        <f t="shared" ref="H38:H45" si="9">H24</f>
        <v>3.9516170103460091E-2</v>
      </c>
      <c r="I38" s="259"/>
      <c r="J38" s="252"/>
      <c r="K38" s="252"/>
      <c r="L38" s="252"/>
      <c r="M38" s="252"/>
      <c r="N38" s="252"/>
      <c r="O38" s="5"/>
      <c r="Q38" s="5"/>
      <c r="R38" s="5"/>
      <c r="S38" s="42"/>
      <c r="T38" s="42"/>
      <c r="U38" s="42"/>
      <c r="V38" s="42"/>
      <c r="W38" s="42"/>
      <c r="X38" s="42"/>
      <c r="Y38" s="42"/>
      <c r="Z38" s="42"/>
      <c r="AA38" s="42"/>
    </row>
    <row r="39" spans="2:27">
      <c r="B39" s="5" t="s">
        <v>181</v>
      </c>
      <c r="C39" s="247"/>
      <c r="D39" s="525">
        <f t="shared" si="8"/>
        <v>25.945326636973817</v>
      </c>
      <c r="E39" s="525">
        <f t="shared" si="8"/>
        <v>23.490762976197725</v>
      </c>
      <c r="F39" s="525">
        <f t="shared" si="8"/>
        <v>20.8185179699069</v>
      </c>
      <c r="G39" s="525">
        <f t="shared" si="8"/>
        <v>19.984630803360979</v>
      </c>
      <c r="H39" s="17">
        <f t="shared" si="9"/>
        <v>6.6864472571608546E-2</v>
      </c>
      <c r="I39" s="17"/>
      <c r="J39" s="259"/>
      <c r="K39" s="259"/>
      <c r="L39" s="259"/>
      <c r="M39" s="259"/>
      <c r="N39" s="259"/>
      <c r="O39" s="18"/>
      <c r="Q39" s="5"/>
      <c r="R39" s="5"/>
      <c r="S39" s="42"/>
      <c r="T39" s="42"/>
      <c r="U39" s="42"/>
      <c r="V39" s="42"/>
      <c r="W39" s="42"/>
      <c r="X39" s="42"/>
      <c r="Y39" s="42"/>
      <c r="Z39" s="42"/>
      <c r="AA39" s="42"/>
    </row>
    <row r="40" spans="2:27">
      <c r="B40" s="5" t="s">
        <v>461</v>
      </c>
      <c r="C40" s="247"/>
      <c r="D40" s="525">
        <f t="shared" si="8"/>
        <v>28.82814070774868</v>
      </c>
      <c r="E40" s="525">
        <f t="shared" si="8"/>
        <v>26.100847751330807</v>
      </c>
      <c r="F40" s="525">
        <f t="shared" si="8"/>
        <v>23.13168663322989</v>
      </c>
      <c r="G40" s="525">
        <f t="shared" si="8"/>
        <v>22.205145337067755</v>
      </c>
      <c r="H40" s="17">
        <f t="shared" si="9"/>
        <v>6.6864472571608324E-2</v>
      </c>
      <c r="I40" s="5"/>
      <c r="J40" s="259"/>
      <c r="K40" s="259"/>
      <c r="L40" s="259"/>
      <c r="M40" s="259"/>
      <c r="N40" s="259"/>
      <c r="O40" s="18"/>
      <c r="Q40" s="5"/>
      <c r="R40" s="5"/>
      <c r="S40" s="42"/>
      <c r="T40" s="42"/>
      <c r="U40" s="42"/>
      <c r="V40" s="42"/>
      <c r="W40" s="288"/>
      <c r="X40" s="288"/>
      <c r="Y40" s="42"/>
      <c r="Z40" s="42"/>
      <c r="AA40" s="42"/>
    </row>
    <row r="41" spans="2:27">
      <c r="B41" s="5" t="s">
        <v>525</v>
      </c>
      <c r="C41" s="247"/>
      <c r="D41" s="525">
        <f t="shared" si="8"/>
        <v>2.9627800778662556</v>
      </c>
      <c r="E41" s="525">
        <f t="shared" si="8"/>
        <v>3.4839278422760915</v>
      </c>
      <c r="F41" s="525">
        <f t="shared" si="8"/>
        <v>4.0472131152342152</v>
      </c>
      <c r="G41" s="525">
        <f t="shared" si="8"/>
        <v>5.4288758674224731</v>
      </c>
      <c r="H41" s="17">
        <f t="shared" si="9"/>
        <v>-0.20080746849872122</v>
      </c>
      <c r="I41" s="247"/>
      <c r="J41" s="259"/>
      <c r="K41" s="259"/>
      <c r="L41" s="259"/>
      <c r="M41" s="259"/>
      <c r="N41" s="259"/>
      <c r="O41" s="18"/>
      <c r="Q41" s="5"/>
      <c r="R41" s="5"/>
      <c r="S41" s="42"/>
      <c r="T41" s="42"/>
      <c r="U41" s="42"/>
      <c r="V41" s="42"/>
      <c r="W41" s="288"/>
      <c r="X41" s="288"/>
      <c r="Y41" s="288"/>
      <c r="Z41" s="288"/>
      <c r="AA41" s="42"/>
    </row>
    <row r="42" spans="2:27">
      <c r="B42" s="5" t="s">
        <v>588</v>
      </c>
      <c r="C42" s="247"/>
      <c r="D42" s="525">
        <f>D18/D28</f>
        <v>7.2602623892469538</v>
      </c>
      <c r="E42" s="525">
        <f>E18/E28</f>
        <v>7.6152896264438468</v>
      </c>
      <c r="F42" s="525">
        <f>F18/F28</f>
        <v>7.540714300048152</v>
      </c>
      <c r="G42" s="525">
        <f>G18/G28</f>
        <v>8.0908735486708832</v>
      </c>
      <c r="H42" s="17">
        <f t="shared" si="9"/>
        <v>-5.6720166662855176E-2</v>
      </c>
      <c r="I42" s="248"/>
      <c r="J42" s="5"/>
      <c r="K42" s="5"/>
      <c r="L42" s="5"/>
      <c r="M42" s="5"/>
      <c r="N42" s="5"/>
      <c r="O42" s="5"/>
      <c r="Q42" s="5"/>
      <c r="R42" s="5"/>
      <c r="S42" s="42"/>
      <c r="T42" s="42"/>
      <c r="U42" s="42"/>
      <c r="V42" s="42"/>
      <c r="W42" s="288"/>
      <c r="X42" s="288"/>
      <c r="Y42" s="288"/>
      <c r="Z42" s="288"/>
      <c r="AA42" s="42"/>
    </row>
    <row r="43" spans="2:27">
      <c r="B43" s="5" t="s">
        <v>470</v>
      </c>
      <c r="C43" s="247"/>
      <c r="D43" s="525">
        <f>L26/D29</f>
        <v>26.898422391132687</v>
      </c>
      <c r="E43" s="525">
        <f>M26/E29</f>
        <v>24.094241283776253</v>
      </c>
      <c r="F43" s="525">
        <f>N26/F29</f>
        <v>21.692511790298635</v>
      </c>
      <c r="G43" s="525">
        <f>O26/G29</f>
        <v>19.229740598702108</v>
      </c>
      <c r="H43" s="17">
        <f t="shared" si="9"/>
        <v>9.0258659961241383E-2</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41.055982648319699</v>
      </c>
      <c r="E44" s="525">
        <f>E11/E30</f>
        <v>34.319880475772159</v>
      </c>
      <c r="F44" s="525">
        <f>F11/F30</f>
        <v>28.222467939303758</v>
      </c>
      <c r="G44" s="525">
        <f>G11/G30</f>
        <v>23.030314217425293</v>
      </c>
      <c r="H44" s="17">
        <f t="shared" si="9"/>
        <v>0.18205389888391954</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2.702418320969753E-2</v>
      </c>
      <c r="E45" s="248">
        <f>E31/E11</f>
        <v>5.0619236908481205E-2</v>
      </c>
      <c r="F45" s="248">
        <f>F31/F11</f>
        <v>5.6334381625540102E-2</v>
      </c>
      <c r="G45" s="248">
        <f>G31/G11</f>
        <v>6.0415917380553207E-2</v>
      </c>
      <c r="H45" s="17">
        <f t="shared" si="9"/>
        <v>0.27470987379400347</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1.9564491302876297E-2</v>
      </c>
      <c r="E46" s="248">
        <f>(E31+E32)/E11</f>
        <v>0.10423227837044741</v>
      </c>
      <c r="F46" s="248">
        <f>(F31+F32)/F11</f>
        <v>0.10798860059222326</v>
      </c>
      <c r="G46" s="248">
        <f>(G31+G32)/G11</f>
        <v>0.12035007162726326</v>
      </c>
      <c r="H46" s="279">
        <f>((G31+G32)/(D31+D32))^(1/3)-1</f>
        <v>0.78623124354647866</v>
      </c>
      <c r="I46" s="247"/>
      <c r="J46" s="5"/>
      <c r="K46" s="5"/>
      <c r="L46" s="5"/>
      <c r="M46" s="5"/>
      <c r="N46" s="5"/>
      <c r="O46" s="5"/>
      <c r="Q46" s="5"/>
      <c r="R46" s="5"/>
      <c r="S46" s="42"/>
      <c r="T46" s="42"/>
      <c r="U46" s="42"/>
      <c r="V46" s="42"/>
      <c r="W46" s="42"/>
      <c r="X46" s="42"/>
      <c r="Y46" s="42"/>
      <c r="Z46" s="42"/>
      <c r="AA46" s="326"/>
    </row>
    <row r="47" spans="2:27">
      <c r="B47" s="5" t="s">
        <v>576</v>
      </c>
      <c r="C47" s="5"/>
      <c r="D47" s="248">
        <f>1/D43</f>
        <v>3.7176901509646129E-2</v>
      </c>
      <c r="E47" s="248">
        <f>1/E43</f>
        <v>4.1503693277669028E-2</v>
      </c>
      <c r="F47" s="248">
        <f>1/F43</f>
        <v>4.6098857046477294E-2</v>
      </c>
      <c r="G47" s="248">
        <f>1/G43</f>
        <v>5.2002781569892527E-2</v>
      </c>
      <c r="H47" s="17">
        <f>H29</f>
        <v>9.0258659961241383E-2</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0.7269078947498</v>
      </c>
      <c r="E48" s="305">
        <f>E31/E29</f>
        <v>1.2196321076735785</v>
      </c>
      <c r="F48" s="305">
        <f>F31/F29</f>
        <v>1.2220342376112114</v>
      </c>
      <c r="G48" s="305">
        <f>G31/G29</f>
        <v>1.1617824192606565</v>
      </c>
      <c r="H48" s="279" t="s">
        <v>602</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54"/>
      <c r="K57" s="254"/>
      <c r="L57" s="254"/>
      <c r="M57" s="254"/>
      <c r="N57" s="254"/>
      <c r="O57" s="251"/>
      <c r="Q57" s="5"/>
      <c r="R57" s="5"/>
      <c r="S57" s="5"/>
    </row>
    <row r="58" spans="2:27">
      <c r="B58" s="5"/>
      <c r="C58" s="5"/>
      <c r="D58" s="248"/>
      <c r="E58" s="248"/>
      <c r="F58" s="248"/>
      <c r="G58" s="248"/>
      <c r="H58" s="248"/>
      <c r="I58" s="17"/>
      <c r="J58" s="17"/>
      <c r="K58" s="17"/>
      <c r="L58" s="17"/>
      <c r="M58" s="17"/>
      <c r="N58" s="17"/>
      <c r="O58" s="248"/>
      <c r="Q58" s="5"/>
      <c r="R58" s="5"/>
      <c r="S58" s="5"/>
    </row>
    <row r="59" spans="2:27">
      <c r="B59" s="5"/>
      <c r="C59" s="5"/>
      <c r="D59" s="5"/>
      <c r="E59" s="5"/>
      <c r="F59" s="5"/>
      <c r="G59" s="5"/>
      <c r="H59" s="5"/>
      <c r="I59" s="5"/>
      <c r="Q59" s="5"/>
      <c r="R59" s="5"/>
      <c r="S59" s="5"/>
    </row>
    <row r="60" spans="2:27">
      <c r="B60" s="41"/>
      <c r="C60" s="17"/>
      <c r="D60" s="17"/>
      <c r="E60" s="17"/>
      <c r="F60" s="17"/>
      <c r="G60" s="17"/>
      <c r="H60" s="17"/>
      <c r="I60" s="249"/>
      <c r="Q60" s="5"/>
      <c r="R60" s="5"/>
      <c r="S60" s="5"/>
    </row>
    <row r="61" spans="2:27">
      <c r="B61" s="5"/>
      <c r="C61" s="5"/>
      <c r="D61" s="5"/>
      <c r="E61" s="5"/>
      <c r="F61" s="5"/>
      <c r="G61" s="5"/>
      <c r="H61" s="5"/>
      <c r="I61" s="5"/>
      <c r="Q61" s="41"/>
      <c r="R61" s="5"/>
      <c r="S61" s="5"/>
    </row>
    <row r="62" spans="2:27">
      <c r="B62" s="41"/>
      <c r="C62" s="249"/>
      <c r="D62" s="249"/>
      <c r="E62" s="249"/>
      <c r="F62" s="249"/>
      <c r="G62" s="249"/>
      <c r="H62" s="249"/>
      <c r="I62" s="5"/>
      <c r="J62" s="259"/>
      <c r="K62" s="259"/>
      <c r="L62" s="259"/>
      <c r="M62" s="259"/>
      <c r="N62" s="259"/>
      <c r="O62" s="18"/>
      <c r="Q62" s="5"/>
      <c r="R62" s="5"/>
      <c r="S62" s="5"/>
    </row>
    <row r="63" spans="2:27">
      <c r="B63" s="5"/>
      <c r="C63" s="5"/>
      <c r="D63" s="5"/>
      <c r="E63" s="5"/>
      <c r="F63" s="5"/>
      <c r="G63" s="5"/>
      <c r="H63" s="5"/>
      <c r="I63" s="254"/>
      <c r="J63" s="254"/>
      <c r="K63" s="254"/>
      <c r="L63" s="254"/>
      <c r="M63" s="254"/>
      <c r="N63" s="254"/>
      <c r="O63" s="251"/>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Q71" s="5"/>
      <c r="R71" s="5"/>
      <c r="S71" s="5"/>
      <c r="W71" s="76"/>
      <c r="X71" s="76"/>
      <c r="Y71" s="76"/>
      <c r="Z71" s="76"/>
    </row>
    <row r="72" spans="2:26">
      <c r="B72" s="41"/>
      <c r="C72" s="5"/>
      <c r="D72" s="5"/>
      <c r="E72" s="5"/>
      <c r="F72" s="5"/>
      <c r="G72" s="5"/>
      <c r="H72" s="5"/>
      <c r="I72" s="18"/>
      <c r="Q72" s="5"/>
      <c r="R72" s="5"/>
      <c r="S72" s="5"/>
      <c r="Y72" s="76"/>
      <c r="Z72" s="76"/>
    </row>
    <row r="73" spans="2:26">
      <c r="B73" s="41"/>
      <c r="C73" s="245"/>
      <c r="D73" s="245"/>
      <c r="E73" s="245"/>
      <c r="F73" s="245"/>
      <c r="G73" s="245"/>
      <c r="H73" s="245"/>
      <c r="I73" s="5"/>
      <c r="Q73" s="5"/>
      <c r="R73" s="5"/>
      <c r="S73" s="5"/>
    </row>
    <row r="74" spans="2:26">
      <c r="B74" s="5"/>
      <c r="C74" s="5"/>
      <c r="D74" s="18"/>
      <c r="E74" s="18"/>
      <c r="F74" s="18"/>
      <c r="G74" s="18"/>
      <c r="H74" s="18"/>
      <c r="I74" s="249"/>
      <c r="Q74" s="5"/>
      <c r="R74" s="5"/>
      <c r="S74" s="5"/>
    </row>
    <row r="75" spans="2:26">
      <c r="B75" s="41"/>
      <c r="C75" s="5"/>
      <c r="D75" s="5"/>
      <c r="E75" s="5"/>
      <c r="F75" s="5"/>
      <c r="G75" s="5"/>
      <c r="H75" s="5"/>
      <c r="I75" s="248"/>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169</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505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'EM INCUMB'!D37</f>
        <v>1.0176300731136698</v>
      </c>
      <c r="M9" s="64">
        <f>'EM INCUMB'!E37</f>
        <v>0.93429038677213927</v>
      </c>
      <c r="N9" s="64">
        <f>'EM INCUMB'!F37</f>
        <v>0.8317426572747123</v>
      </c>
      <c r="O9" s="64">
        <f>'EM INCUMB'!G37</f>
        <v>0.74303420915690233</v>
      </c>
      <c r="P9" s="17">
        <f>'EM INCUMB'!H37</f>
        <v>3.7474232769618476E-2</v>
      </c>
    </row>
    <row r="10" spans="2:63">
      <c r="B10" s="5" t="s">
        <v>269</v>
      </c>
      <c r="C10" s="5"/>
      <c r="D10" s="332"/>
      <c r="E10" s="332"/>
      <c r="F10" s="332"/>
      <c r="G10" s="332"/>
      <c r="H10" s="247"/>
      <c r="I10" s="247"/>
      <c r="J10" s="5" t="s">
        <v>180</v>
      </c>
      <c r="L10" s="64">
        <f>'EM INCUMB'!D38</f>
        <v>3.3175350374258823</v>
      </c>
      <c r="M10" s="64">
        <f>'EM INCUMB'!E38</f>
        <v>3.0223783223658711</v>
      </c>
      <c r="N10" s="64">
        <f>'EM INCUMB'!F38</f>
        <v>2.6862546809972083</v>
      </c>
      <c r="O10" s="64">
        <f>'EM INCUMB'!G38</f>
        <v>2.3829836713571781</v>
      </c>
      <c r="P10" s="17">
        <f>'EM INCUMB'!H38</f>
        <v>4.3154001905154393E-2</v>
      </c>
      <c r="W10" s="10"/>
      <c r="X10" s="10"/>
      <c r="Y10" s="10"/>
      <c r="Z10" s="10"/>
    </row>
    <row r="11" spans="2:63">
      <c r="B11" s="41" t="s">
        <v>354</v>
      </c>
      <c r="C11" s="5"/>
      <c r="D11" s="271">
        <f>AMX!D11+(OIBR!D11/Prices!$C$160)+(VIVO!D11/Prices!$C$160)+TVIS!D11</f>
        <v>73715.425562785604</v>
      </c>
      <c r="E11" s="271">
        <f>AMX!E11+(OIBR!E11/Prices!$C$160)+(VIVO!E11/Prices!$C$160)+TVIS!E11</f>
        <v>71985.535726780552</v>
      </c>
      <c r="F11" s="271">
        <f>AMX!F11+(OIBR!F11/Prices!$C$160)+(VIVO!F11/Prices!$C$160)+TVIS!F11</f>
        <v>69828.117923574478</v>
      </c>
      <c r="G11" s="271">
        <f>AMX!G11+(OIBR!G11/Prices!$C$160)+(VIVO!G11/Prices!$C$160)+TVIS!G11</f>
        <v>67641.033169566886</v>
      </c>
      <c r="H11" s="249"/>
      <c r="I11" s="249"/>
      <c r="J11" s="5" t="s">
        <v>181</v>
      </c>
      <c r="L11" s="64">
        <f>'EM INCUMB'!D39</f>
        <v>8.3626832656520378</v>
      </c>
      <c r="M11" s="64">
        <f>'EM INCUMB'!E39</f>
        <v>6.6862965464471191</v>
      </c>
      <c r="N11" s="64">
        <f>'EM INCUMB'!F39</f>
        <v>5.6223434210064793</v>
      </c>
      <c r="O11" s="64">
        <f>'EM INCUMB'!G39</f>
        <v>4.7608020965038236</v>
      </c>
      <c r="P11" s="17">
        <f>'EM INCUMB'!H39</f>
        <v>0.12721160462737946</v>
      </c>
      <c r="W11" s="10"/>
      <c r="X11" s="10"/>
      <c r="Y11" s="10"/>
      <c r="Z11" s="10"/>
    </row>
    <row r="12" spans="2:63">
      <c r="B12" s="5" t="s">
        <v>225</v>
      </c>
      <c r="C12" s="249"/>
      <c r="D12" s="228">
        <f>AMX!D12+(OIBR!D12/Prices!$C$160)+(VIVO!D12/Prices!$C$160)+TVIS!D12</f>
        <v>37764.413154819777</v>
      </c>
      <c r="E12" s="228">
        <f>AMX!E12+(OIBR!E12/Prices!$C$160)+(VIVO!E12/Prices!$C$160)+TVIS!E12</f>
        <v>37676.146655922603</v>
      </c>
      <c r="F12" s="228">
        <f>AMX!F12+(OIBR!F12/Prices!$C$160)+(VIVO!F12/Prices!$C$160)+TVIS!F12</f>
        <v>36267.895510957722</v>
      </c>
      <c r="G12" s="228">
        <f>AMX!G12+(OIBR!G12/Prices!$C$160)+(VIVO!G12/Prices!$C$160)+TVIS!G12</f>
        <v>35707.394077192745</v>
      </c>
      <c r="H12" s="247"/>
      <c r="I12" s="247"/>
      <c r="J12" s="5" t="s">
        <v>461</v>
      </c>
      <c r="L12" s="64">
        <f>'EM INCUMB'!D40</f>
        <v>11.762846823892597</v>
      </c>
      <c r="M12" s="64">
        <f>'EM INCUMB'!E40</f>
        <v>9.0599421174657948</v>
      </c>
      <c r="N12" s="64">
        <f>'EM INCUMB'!F40</f>
        <v>7.5970645551793998</v>
      </c>
      <c r="O12" s="64">
        <f>'EM INCUMB'!G40</f>
        <v>6.4065033921566776</v>
      </c>
      <c r="P12" s="17">
        <f>'EM INCUMB'!H40</f>
        <v>0.14396851486850371</v>
      </c>
      <c r="W12" s="10"/>
      <c r="X12" s="10"/>
      <c r="Y12" s="10"/>
      <c r="Z12" s="10"/>
    </row>
    <row r="13" spans="2:63">
      <c r="B13" s="5" t="s">
        <v>524</v>
      </c>
      <c r="C13" s="257"/>
      <c r="D13" s="228">
        <f>AMX!D13+(OIBR!D13/Prices!$C$160)+(VIVO!D13/Prices!$C$160)+TVIS!D13</f>
        <v>7701.4391315299163</v>
      </c>
      <c r="E13" s="228">
        <f>AMX!E13+(OIBR!E13/Prices!$C$160)+(VIVO!E13/Prices!$C$160)+TVIS!E13</f>
        <v>7701.4391315299163</v>
      </c>
      <c r="F13" s="228">
        <f>AMX!F13+(OIBR!F13/Prices!$C$160)+(VIVO!F13/Prices!$C$160)+TVIS!F13</f>
        <v>7701.4391315299163</v>
      </c>
      <c r="G13" s="228">
        <f>AMX!G13+(OIBR!G13/Prices!$C$160)+(VIVO!G13/Prices!$C$160)+TVIS!G13</f>
        <v>7701.4391315299163</v>
      </c>
      <c r="H13" s="247"/>
      <c r="I13" s="247"/>
      <c r="J13" s="5" t="s">
        <v>525</v>
      </c>
      <c r="L13" s="64">
        <f>'EM INCUMB'!D41</f>
        <v>0.96958016481008746</v>
      </c>
      <c r="M13" s="64">
        <f>'EM INCUMB'!E41</f>
        <v>0.92844115605028033</v>
      </c>
      <c r="N13" s="64">
        <f>'EM INCUMB'!F41</f>
        <v>0.87061101840353483</v>
      </c>
      <c r="O13" s="64">
        <f>'EM INCUMB'!G41</f>
        <v>0.80791081215813854</v>
      </c>
      <c r="P13" s="17">
        <f>'EM INCUMB'!H41</f>
        <v>-7.2107972668689069E-3</v>
      </c>
    </row>
    <row r="14" spans="2:63">
      <c r="B14" s="5" t="s">
        <v>527</v>
      </c>
      <c r="C14" s="274"/>
      <c r="D14" s="228">
        <f>AMX!D14+(OIBR!D14/Prices!$C$160)+(VIVO!D14/Prices!$C$160)+TVIS!D14</f>
        <v>6060.678127413229</v>
      </c>
      <c r="E14" s="228">
        <f>AMX!E14+(OIBR!E14/Prices!$C$160)+(VIVO!E14/Prices!$C$160)+TVIS!E14</f>
        <v>6347.7313523916246</v>
      </c>
      <c r="F14" s="228">
        <f>AMX!F14+(OIBR!F14/Prices!$C$160)+(VIVO!F14/Prices!$C$160)+TVIS!F14</f>
        <v>6347.7313523916246</v>
      </c>
      <c r="G14" s="228">
        <f>AMX!G14+(OIBR!G14/Prices!$C$160)+(VIVO!G14/Prices!$C$160)+TVIS!G14</f>
        <v>6347.7313523916246</v>
      </c>
      <c r="H14" s="247"/>
      <c r="I14" s="247"/>
      <c r="J14" s="5" t="s">
        <v>588</v>
      </c>
      <c r="L14" s="64">
        <f>'EM INCUMB'!D42</f>
        <v>1.2111681352410864</v>
      </c>
      <c r="M14" s="64">
        <f>'EM INCUMB'!E42</f>
        <v>1.185956965244517</v>
      </c>
      <c r="N14" s="64">
        <f>'EM INCUMB'!F42</f>
        <v>1.1302029797289712</v>
      </c>
      <c r="O14" s="64">
        <f>'EM INCUMB'!G42</f>
        <v>1.1238793277898012</v>
      </c>
      <c r="P14" s="17">
        <f>'EM INCUMB'!H42</f>
        <v>-4.2191848028902523E-2</v>
      </c>
    </row>
    <row r="15" spans="2:63">
      <c r="B15" s="5" t="s">
        <v>526</v>
      </c>
      <c r="C15" s="257"/>
      <c r="D15" s="228">
        <f>AMX!D15+(OIBR!D15/Prices!$C$160)+(VIVO!D15/Prices!$C$160)+TVIS!D15</f>
        <v>3692.0884903664369</v>
      </c>
      <c r="E15" s="228">
        <f>AMX!E15+(OIBR!E15/Prices!$C$160)+(VIVO!E15/Prices!$C$160)+TVIS!E15</f>
        <v>3736.9405567693111</v>
      </c>
      <c r="F15" s="228">
        <f>AMX!F15+(OIBR!F15/Prices!$C$160)+(VIVO!F15/Prices!$C$160)+TVIS!F15</f>
        <v>3736.9405567693111</v>
      </c>
      <c r="G15" s="228">
        <f>AMX!G15+(OIBR!G15/Prices!$C$160)+(VIVO!G15/Prices!$C$160)+TVIS!G15</f>
        <v>3736.9405567693111</v>
      </c>
      <c r="H15" s="247"/>
      <c r="I15" s="247"/>
      <c r="J15" s="5" t="s">
        <v>470</v>
      </c>
      <c r="L15" s="64">
        <f>'EM INCUMB'!D43</f>
        <v>14.53285700244998</v>
      </c>
      <c r="M15" s="64">
        <f>'EM INCUMB'!E43</f>
        <v>10.889620035203077</v>
      </c>
      <c r="N15" s="64">
        <f>'EM INCUMB'!F43</f>
        <v>9.2948871090281386</v>
      </c>
      <c r="O15" s="64">
        <f>'EM INCUMB'!G43</f>
        <v>8.0587293031146245</v>
      </c>
      <c r="P15" s="17">
        <f>'EM INCUMB'!H43</f>
        <v>0.20633617097870616</v>
      </c>
      <c r="S15" s="88"/>
      <c r="T15" s="88"/>
      <c r="U15" s="88"/>
      <c r="V15" s="42"/>
      <c r="W15" s="42"/>
      <c r="X15" s="42"/>
      <c r="Y15" s="42"/>
      <c r="Z15" s="42"/>
      <c r="AA15" s="42"/>
    </row>
    <row r="16" spans="2:63">
      <c r="B16" s="5" t="s">
        <v>529</v>
      </c>
      <c r="C16" s="257"/>
      <c r="D16" s="228">
        <f>AMX!D16+(OIBR!D16/Prices!$C$160)+(VIVO!D16/Prices!$C$160)+TVIS!D16</f>
        <v>1470.594980212268</v>
      </c>
      <c r="E16" s="228">
        <f>AMX!E16+(OIBR!E16/Prices!$C$160)+(VIVO!E16/Prices!$C$160)+TVIS!E16</f>
        <v>4355.8508092940619</v>
      </c>
      <c r="F16" s="228">
        <f>AMX!F16+(OIBR!F16/Prices!$C$160)+(VIVO!F16/Prices!$C$160)+TVIS!F16</f>
        <v>7497.2440979701714</v>
      </c>
      <c r="G16" s="228">
        <f>AMX!G16+(OIBR!G16/Prices!$C$160)+(VIVO!G16/Prices!$C$160)+TVIS!G16</f>
        <v>10862.326921321806</v>
      </c>
      <c r="H16" s="247"/>
      <c r="I16" s="247"/>
      <c r="J16" s="5" t="s">
        <v>528</v>
      </c>
      <c r="L16" s="64">
        <f>'EM INCUMB'!D44</f>
        <v>14.104957257301441</v>
      </c>
      <c r="M16" s="64">
        <f>'EM INCUMB'!E44</f>
        <v>12.075601575663633</v>
      </c>
      <c r="N16" s="64">
        <f>'EM INCUMB'!F44</f>
        <v>10.385279656189478</v>
      </c>
      <c r="O16" s="64">
        <f>'EM INCUMB'!G44</f>
        <v>8.8185004542193948</v>
      </c>
      <c r="P16" s="17">
        <f>'EM INCUMB'!H44</f>
        <v>0.15835578063954037</v>
      </c>
      <c r="S16" s="88"/>
      <c r="T16" s="88"/>
      <c r="U16" s="88"/>
      <c r="V16" s="42"/>
      <c r="W16" s="42"/>
      <c r="X16" s="42"/>
      <c r="Y16" s="42"/>
      <c r="Z16" s="42"/>
      <c r="AA16" s="42"/>
    </row>
    <row r="17" spans="2:27">
      <c r="B17" s="5" t="s">
        <v>6</v>
      </c>
      <c r="C17" s="257"/>
      <c r="D17" s="228">
        <f>AMX!D17+(OIBR!D17/Prices!$C$160)+(VIVO!D17/Prices!$C$160)+TVIS!D17</f>
        <v>681.8840128390284</v>
      </c>
      <c r="E17" s="228">
        <f>AMX!E17+(OIBR!E17/Prices!$C$160)+(VIVO!E17/Prices!$C$160)+TVIS!E17</f>
        <v>595.64361949472686</v>
      </c>
      <c r="F17" s="228">
        <f>AMX!F17+(OIBR!F17/Prices!$C$160)+(VIVO!F17/Prices!$C$160)+TVIS!F17</f>
        <v>589.19694376474445</v>
      </c>
      <c r="G17" s="228">
        <f>AMX!G17+(OIBR!G17/Prices!$C$160)+(VIVO!G17/Prices!$C$160)+TVIS!G17</f>
        <v>666.12878203519654</v>
      </c>
      <c r="H17" s="247"/>
      <c r="I17" s="247"/>
      <c r="J17" s="5" t="s">
        <v>575</v>
      </c>
      <c r="L17" s="248">
        <f>'EM INCUMB'!D45</f>
        <v>4.5731312159230778E-2</v>
      </c>
      <c r="M17" s="248">
        <f>'EM INCUMB'!E45</f>
        <v>5.0549419067414558E-2</v>
      </c>
      <c r="N17" s="248">
        <f>'EM INCUMB'!F45</f>
        <v>5.8078354371831294E-2</v>
      </c>
      <c r="O17" s="248">
        <f>'EM INCUMB'!G45</f>
        <v>6.7484331182154994E-2</v>
      </c>
      <c r="P17" s="17">
        <f>'EM INCUMB'!H45</f>
        <v>0.12766314772350529</v>
      </c>
      <c r="S17" s="88"/>
      <c r="T17" s="88"/>
      <c r="U17" s="88"/>
      <c r="V17" s="42"/>
      <c r="W17" s="42"/>
      <c r="X17" s="42"/>
      <c r="Y17" s="42"/>
      <c r="Z17" s="42"/>
      <c r="AA17" s="42"/>
    </row>
    <row r="18" spans="2:27" ht="12.6" thickBot="1">
      <c r="B18" s="41" t="s">
        <v>355</v>
      </c>
      <c r="C18" s="249"/>
      <c r="D18" s="275">
        <f>AMX!D18+(OIBR!D18/Prices!$C$160)+(VIVO!D18/Prices!$C$160)+TVIS!D18</f>
        <v>113585.91252455556</v>
      </c>
      <c r="E18" s="275">
        <f>AMX!E18+(OIBR!E18/Prices!$C$160)+(VIVO!E18/Prices!$C$160)+TVIS!E18</f>
        <v>109037.01277531164</v>
      </c>
      <c r="F18" s="275">
        <f>AMX!F18+(OIBR!F18/Prices!$C$160)+(VIVO!F18/Prices!$C$160)+TVIS!F18</f>
        <v>102660.84168726459</v>
      </c>
      <c r="G18" s="275">
        <f>AMX!G18+(OIBR!G18/Prices!$C$160)+(VIVO!G18/Prices!$C$160)+TVIS!G18</f>
        <v>96810.285312228123</v>
      </c>
      <c r="H18" s="276">
        <f>IF(D18=0,"nm",IF(G18=0,"nm",(G18/D18)^(1/3)-1))</f>
        <v>-5.1874829536188161E-2</v>
      </c>
      <c r="I18" s="254"/>
      <c r="J18" s="5" t="s">
        <v>36</v>
      </c>
      <c r="L18" s="248">
        <f>'EM INCUMB'!D46</f>
        <v>4.5858287086324064E-2</v>
      </c>
      <c r="M18" s="248">
        <f>'EM INCUMB'!E46</f>
        <v>5.0643300964691801E-2</v>
      </c>
      <c r="N18" s="248">
        <f>'EM INCUMB'!F46</f>
        <v>5.5771031888533044E-2</v>
      </c>
      <c r="O18" s="248">
        <f>'EM INCUMB'!G46</f>
        <v>7.710678529056475E-2</v>
      </c>
      <c r="P18" s="17">
        <f>'EM INCUMB'!H46</f>
        <v>0.17780813272638851</v>
      </c>
      <c r="S18" s="88"/>
      <c r="T18" s="88"/>
      <c r="U18" s="88"/>
      <c r="V18" s="42"/>
      <c r="W18" s="42"/>
      <c r="X18" s="42"/>
      <c r="Y18" s="42"/>
      <c r="Z18" s="42"/>
      <c r="AA18" s="42"/>
    </row>
    <row r="19" spans="2:27" ht="12.6" thickTop="1">
      <c r="B19" s="41"/>
      <c r="C19" s="249"/>
      <c r="D19" s="229"/>
      <c r="E19" s="229"/>
      <c r="F19" s="229"/>
      <c r="G19" s="229"/>
      <c r="H19" s="276"/>
      <c r="I19" s="17"/>
      <c r="J19" s="5" t="s">
        <v>576</v>
      </c>
      <c r="L19" s="248">
        <f>'EM INCUMB'!D47</f>
        <v>6.8809594688189521E-2</v>
      </c>
      <c r="M19" s="248">
        <f>'EM INCUMB'!E47</f>
        <v>9.1830568630244344E-2</v>
      </c>
      <c r="N19" s="248">
        <f>'EM INCUMB'!F47</f>
        <v>0.10758602963867075</v>
      </c>
      <c r="O19" s="248">
        <f>'EM INCUMB'!G47</f>
        <v>0.12408904212895068</v>
      </c>
      <c r="P19" s="17">
        <f>'EM INCUMB'!H47</f>
        <v>0.20633617097870616</v>
      </c>
      <c r="S19" s="88"/>
      <c r="T19" s="88"/>
      <c r="U19" s="88"/>
      <c r="V19" s="42"/>
      <c r="W19" s="42"/>
      <c r="X19" s="42"/>
      <c r="Y19" s="42"/>
      <c r="Z19" s="42"/>
      <c r="AA19" s="42"/>
    </row>
    <row r="20" spans="2:27">
      <c r="H20" s="277"/>
      <c r="I20" s="49"/>
      <c r="J20" s="5" t="s">
        <v>599</v>
      </c>
      <c r="L20" s="248">
        <f>'EM INCUMB'!D48</f>
        <v>0.62397631981468382</v>
      </c>
      <c r="M20" s="248">
        <f>'EM INCUMB'!E48</f>
        <v>0.51657270572966973</v>
      </c>
      <c r="N20" s="248">
        <f>'EM INCUMB'!F48</f>
        <v>0.50626794033787703</v>
      </c>
      <c r="O20" s="248">
        <f>'EM INCUMB'!G48</f>
        <v>0.50968425989474775</v>
      </c>
      <c r="P20" s="17" t="str">
        <f>'EM INCUMB'!H48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AMX!C23+(OIBR!C23/Prices!$C$160)+(VIVO!C23/Prices!$C$160)+TVIS!C23</f>
        <v>58219.476320836904</v>
      </c>
      <c r="D23" s="228">
        <f>AMX!D23+(OIBR!D23/Prices!$C$160)+(VIVO!D23/Prices!$C$160)+TVIS!D23</f>
        <v>63169.464253472099</v>
      </c>
      <c r="E23" s="228">
        <f>AMX!E23+(OIBR!E23/Prices!$C$160)+(VIVO!E23/Prices!$C$160)+TVIS!E23</f>
        <v>65789.381421885366</v>
      </c>
      <c r="F23" s="228">
        <f>AMX!F23+(OIBR!F23/Prices!$C$160)+(VIVO!F23/Prices!$C$160)+TVIS!F23</f>
        <v>67689.82448688164</v>
      </c>
      <c r="G23" s="228">
        <f>AMX!G23+(OIBR!G23/Prices!$C$160)+(VIVO!G23/Prices!$C$160)+TVIS!G23</f>
        <v>69474.073329442748</v>
      </c>
      <c r="H23" s="279">
        <f t="shared" ref="H23:H33" si="0">IF(D23=0,"nm",IF(G23=0,"nm",(G23/D23)^(1/3)-1))</f>
        <v>3.2219017878071687E-2</v>
      </c>
      <c r="I23" s="249"/>
      <c r="J23" s="306" t="s">
        <v>9</v>
      </c>
      <c r="K23" s="306"/>
      <c r="L23" s="265" t="str">
        <f>L5</f>
        <v>2023E</v>
      </c>
      <c r="M23" s="265" t="str">
        <f>M5</f>
        <v>2024E</v>
      </c>
      <c r="N23" s="265" t="str">
        <f>N5</f>
        <v>2025E</v>
      </c>
      <c r="O23" s="265" t="str">
        <f>O5</f>
        <v>2026E</v>
      </c>
      <c r="P23" s="282" t="str">
        <f>P5</f>
        <v>23E-26E</v>
      </c>
      <c r="S23" s="42"/>
      <c r="T23" s="42"/>
      <c r="U23" s="42"/>
      <c r="V23" s="42"/>
      <c r="W23" s="42" t="s">
        <v>170</v>
      </c>
      <c r="X23" s="42" t="s">
        <v>556</v>
      </c>
      <c r="Y23" s="42"/>
      <c r="Z23" s="42"/>
      <c r="AA23" s="42"/>
    </row>
    <row r="24" spans="2:27" ht="12.6" thickTop="1">
      <c r="B24" s="5" t="s">
        <v>478</v>
      </c>
      <c r="C24" s="365">
        <f>AMX!C24+(OIBR!C24/Prices!$C$160)+(VIVO!C24/Prices!$C$160)+TVIS!C24</f>
        <v>21737.631644116369</v>
      </c>
      <c r="D24" s="228">
        <f>AMX!D24+(OIBR!D24/Prices!$C$160)+(VIVO!D24/Prices!$C$160)+TVIS!D24</f>
        <v>23906.408323785043</v>
      </c>
      <c r="E24" s="228">
        <f>AMX!E24+(OIBR!E24/Prices!$C$160)+(VIVO!E24/Prices!$C$160)+TVIS!E24</f>
        <v>25470.78946672078</v>
      </c>
      <c r="F24" s="228">
        <f>AMX!F24+(OIBR!F24/Prices!$C$160)+(VIVO!F24/Prices!$C$160)+TVIS!F24</f>
        <v>26745.689657502171</v>
      </c>
      <c r="G24" s="228">
        <f>AMX!G24+(OIBR!G24/Prices!$C$160)+(VIVO!G24/Prices!$C$160)+TVIS!G24</f>
        <v>27868.190607883731</v>
      </c>
      <c r="H24" s="279">
        <f t="shared" si="0"/>
        <v>5.2441939874377175E-2</v>
      </c>
      <c r="I24" s="248"/>
      <c r="J24" s="17"/>
      <c r="K24" s="17"/>
      <c r="L24" s="17"/>
      <c r="M24" s="17"/>
      <c r="N24" s="17"/>
      <c r="O24" s="248"/>
      <c r="S24" s="42"/>
      <c r="T24" s="42"/>
      <c r="U24" s="42"/>
      <c r="V24" s="147" t="s">
        <v>268</v>
      </c>
      <c r="W24" s="288">
        <f t="shared" ref="W24:W31" si="1">E37/M9</f>
        <v>1.7739291144569265</v>
      </c>
      <c r="X24" s="288">
        <v>1</v>
      </c>
      <c r="Y24" s="42"/>
      <c r="Z24" s="42"/>
      <c r="AA24" s="42"/>
    </row>
    <row r="25" spans="2:27">
      <c r="B25" s="5" t="s">
        <v>179</v>
      </c>
      <c r="C25" s="365">
        <f>AMX!C25+(OIBR!C25/Prices!$C$160)+(VIVO!C25/Prices!$C$160)+TVIS!C25</f>
        <v>9865.4562402859428</v>
      </c>
      <c r="D25" s="228">
        <f>AMX!D25+(OIBR!D25/Prices!$C$160)+(VIVO!D25/Prices!$C$160)+TVIS!D25</f>
        <v>12156.981391174166</v>
      </c>
      <c r="E25" s="228">
        <f>AMX!E25+(OIBR!E25/Prices!$C$160)+(VIVO!E25/Prices!$C$160)+TVIS!E25</f>
        <v>14447.321825968878</v>
      </c>
      <c r="F25" s="228">
        <f>AMX!F25+(OIBR!F25/Prices!$C$160)+(VIVO!F25/Prices!$C$160)+TVIS!F25</f>
        <v>16129.552971242085</v>
      </c>
      <c r="G25" s="228">
        <f>AMX!G25+(OIBR!G25/Prices!$C$160)+(VIVO!G25/Prices!$C$160)+TVIS!G25</f>
        <v>17677.83658334658</v>
      </c>
      <c r="H25" s="279">
        <f t="shared" si="0"/>
        <v>0.13292489725074952</v>
      </c>
      <c r="I25" s="249"/>
      <c r="J25" s="247" t="s">
        <v>10</v>
      </c>
      <c r="K25" s="247"/>
      <c r="L25" s="332">
        <f>AMX!L25+(OIBR!L25/Prices!$C$160)+(VIVO!L25/Prices!$C$160)+TVIS!L25</f>
        <v>13627.408108676827</v>
      </c>
      <c r="M25" s="332">
        <f>AMX!M25+(OIBR!M25/Prices!$C$160)+(VIVO!M25/Prices!$C$160)+TVIS!M25</f>
        <v>13627.408108676827</v>
      </c>
      <c r="N25" s="332">
        <f>AMX!N25+(OIBR!N25/Prices!$C$160)+(VIVO!N25/Prices!$C$160)+TVIS!N25</f>
        <v>13627.408108676827</v>
      </c>
      <c r="O25" s="332">
        <f>AMX!O25+(OIBR!O25/Prices!$C$160)+(VIVO!O25/Prices!$C$160)+TVIS!O25</f>
        <v>13627.408108676827</v>
      </c>
      <c r="P25" s="279">
        <f>IF(L25=0,"nm",IF(O25=0,"nm",(O25/L25)^(1/3)-1))</f>
        <v>0</v>
      </c>
      <c r="Q25" s="5"/>
      <c r="S25" s="42"/>
      <c r="T25" s="42"/>
      <c r="U25" s="42"/>
      <c r="V25" s="147" t="s">
        <v>180</v>
      </c>
      <c r="W25" s="288">
        <f t="shared" si="1"/>
        <v>1.4163895473026031</v>
      </c>
      <c r="X25" s="288">
        <v>1</v>
      </c>
      <c r="Y25" s="42"/>
      <c r="Z25" s="42"/>
      <c r="AA25" s="42"/>
    </row>
    <row r="26" spans="2:27">
      <c r="B26" s="5" t="s">
        <v>581</v>
      </c>
      <c r="C26" s="365">
        <f>AMX!C26+(OIBR!C26/Prices!$C$160)+(VIVO!C26/Prices!$C$160)+TVIS!C26</f>
        <v>6460.6631810562194</v>
      </c>
      <c r="D26" s="228">
        <f>AMX!D26+(OIBR!D26/Prices!$C$160)+(VIVO!D26/Prices!$C$160)+TVIS!D26</f>
        <v>7466.5875128687985</v>
      </c>
      <c r="E26" s="228">
        <f>AMX!E26+(OIBR!E26/Prices!$C$160)+(VIVO!E26/Prices!$C$160)+TVIS!E26</f>
        <v>9801.6245603770494</v>
      </c>
      <c r="F26" s="228">
        <f>AMX!F26+(OIBR!F26/Prices!$C$160)+(VIVO!F26/Prices!$C$160)+TVIS!F26</f>
        <v>11061.000425812299</v>
      </c>
      <c r="G26" s="228">
        <f>AMX!G26+(OIBR!G26/Prices!$C$160)+(VIVO!G26/Prices!$C$160)+TVIS!G26</f>
        <v>12255.636201677591</v>
      </c>
      <c r="H26" s="279">
        <f t="shared" si="0"/>
        <v>0.17960851918674359</v>
      </c>
      <c r="I26" s="249"/>
      <c r="J26" s="249" t="s">
        <v>11</v>
      </c>
      <c r="K26" s="249"/>
      <c r="L26" s="281">
        <f>AMX!L26+(OIBR!L26/Prices!$C$160)+(VIVO!L26/Prices!$C$160)+TVIS!L26</f>
        <v>87342.833671462431</v>
      </c>
      <c r="M26" s="281">
        <f>AMX!M26+(OIBR!M26/Prices!$C$160)+(VIVO!M26/Prices!$C$160)+TVIS!M26</f>
        <v>85612.943835457379</v>
      </c>
      <c r="N26" s="281">
        <f>AMX!N26+(OIBR!N26/Prices!$C$160)+(VIVO!N26/Prices!$C$160)+TVIS!N26</f>
        <v>83455.526032251306</v>
      </c>
      <c r="O26" s="281">
        <f>AMX!O26+(OIBR!O26/Prices!$C$160)+(VIVO!O26/Prices!$C$160)+TVIS!O26</f>
        <v>81268.441278243714</v>
      </c>
      <c r="P26" s="279">
        <f>IF(L26=0,"nm",IF(O26=0,"nm",(O26/L26)^(1/3)-1))</f>
        <v>-2.3741374192750686E-2</v>
      </c>
      <c r="Q26" s="41"/>
      <c r="S26" s="42"/>
      <c r="T26" s="42"/>
      <c r="U26" s="42"/>
      <c r="V26" s="147" t="s">
        <v>181</v>
      </c>
      <c r="W26" s="288">
        <f t="shared" si="1"/>
        <v>1.1287583173517808</v>
      </c>
      <c r="X26" s="288">
        <v>1</v>
      </c>
      <c r="Y26" s="42"/>
      <c r="Z26" s="42"/>
      <c r="AA26" s="42"/>
    </row>
    <row r="27" spans="2:27">
      <c r="B27" s="5" t="s">
        <v>582</v>
      </c>
      <c r="C27" s="365">
        <f>AMX!C27+(OIBR!C27/Prices!$C$160)+(VIVO!C27/Prices!$C$160)+TVIS!C27</f>
        <v>76316.495165032495</v>
      </c>
      <c r="D27" s="228">
        <f>AMX!D27+(OIBR!D27/Prices!$C$160)+(VIVO!D27/Prices!$C$160)+TVIS!D27</f>
        <v>84133.13296096804</v>
      </c>
      <c r="E27" s="228">
        <f>AMX!E27+(OIBR!E27/Prices!$C$160)+(VIVO!E27/Prices!$C$160)+TVIS!E27</f>
        <v>84145.740385107332</v>
      </c>
      <c r="F27" s="228">
        <f>AMX!F27+(OIBR!F27/Prices!$C$160)+(VIVO!F27/Prices!$C$160)+TVIS!F27</f>
        <v>83476.643074738226</v>
      </c>
      <c r="G27" s="228">
        <f>AMX!G27+(OIBR!G27/Prices!$C$160)+(VIVO!G27/Prices!$C$160)+TVIS!G27</f>
        <v>83679.312372568063</v>
      </c>
      <c r="H27" s="279">
        <f t="shared" si="0"/>
        <v>-1.8012682500362365E-3</v>
      </c>
      <c r="I27" s="248"/>
      <c r="J27" s="248"/>
      <c r="K27" s="248"/>
      <c r="L27" s="248"/>
      <c r="M27" s="248"/>
      <c r="N27" s="248"/>
      <c r="O27" s="248"/>
      <c r="Q27" s="5"/>
      <c r="S27" s="42"/>
      <c r="T27" s="42"/>
      <c r="U27" s="42"/>
      <c r="V27" s="147" t="s">
        <v>461</v>
      </c>
      <c r="W27" s="288">
        <f t="shared" si="1"/>
        <v>1.2278645430726389</v>
      </c>
      <c r="X27" s="288">
        <v>1</v>
      </c>
      <c r="Y27" s="42"/>
      <c r="Z27" s="42"/>
      <c r="AA27" s="42"/>
    </row>
    <row r="28" spans="2:27" ht="12.6" thickBot="1">
      <c r="B28" s="5" t="s">
        <v>587</v>
      </c>
      <c r="C28" s="365">
        <f>AMX!C28+(OIBR!C28/Prices!$C$160)+(VIVO!C28/Prices!$C$160)+TVIS!C28</f>
        <v>45264.725367404906</v>
      </c>
      <c r="D28" s="228">
        <f>AMX!D28+(OIBR!D28/Prices!$C$160)+(VIVO!D28/Prices!$C$160)+TVIS!D28</f>
        <v>49348.766532947651</v>
      </c>
      <c r="E28" s="228">
        <f>AMX!E28+(OIBR!E28/Prices!$C$160)+(VIVO!E28/Prices!$C$160)+TVIS!E28</f>
        <v>48031.394186743775</v>
      </c>
      <c r="F28" s="228">
        <f>AMX!F28+(OIBR!F28/Prices!$C$160)+(VIVO!F28/Prices!$C$160)+TVIS!F28</f>
        <v>46625.770624165933</v>
      </c>
      <c r="G28" s="228">
        <f>AMX!G28+(OIBR!G28/Prices!$C$160)+(VIVO!G28/Prices!$C$160)+TVIS!G28</f>
        <v>45411.055768264843</v>
      </c>
      <c r="H28" s="279">
        <f t="shared" si="0"/>
        <v>-2.7338410987633122E-2</v>
      </c>
      <c r="I28" s="252"/>
      <c r="J28" s="306" t="s">
        <v>747</v>
      </c>
      <c r="K28" s="306"/>
      <c r="L28" s="306"/>
      <c r="M28" s="306"/>
      <c r="N28" s="266"/>
      <c r="O28" s="266"/>
      <c r="P28" s="266"/>
      <c r="Q28" s="5"/>
      <c r="S28" s="42"/>
      <c r="T28" s="42"/>
      <c r="U28" s="42"/>
      <c r="V28" s="147" t="s">
        <v>525</v>
      </c>
      <c r="W28" s="288">
        <f t="shared" si="1"/>
        <v>1.3956850454852199</v>
      </c>
      <c r="X28" s="288">
        <v>1</v>
      </c>
      <c r="Y28" s="42"/>
      <c r="Z28" s="42"/>
      <c r="AA28" s="42"/>
    </row>
    <row r="29" spans="2:27" ht="12.6" thickTop="1">
      <c r="B29" s="5" t="s">
        <v>583</v>
      </c>
      <c r="C29" s="365">
        <f>AMX!C29+(OIBR!C29/Prices!$C$160)+(VIVO!C29/Prices!$C$160)+TVIS!C29</f>
        <v>1517.3516079799092</v>
      </c>
      <c r="D29" s="228">
        <f>AMX!D29+(OIBR!D29/Prices!$C$160)+(VIVO!D29/Prices!$C$160)+TVIS!D29</f>
        <v>2736.2242842901046</v>
      </c>
      <c r="E29" s="228">
        <f>AMX!E29+(OIBR!E29/Prices!$C$160)+(VIVO!E29/Prices!$C$160)+TVIS!E29</f>
        <v>5199.6435920264912</v>
      </c>
      <c r="F29" s="228">
        <f>AMX!F29+(OIBR!F29/Prices!$C$160)+(VIVO!F29/Prices!$C$160)+TVIS!F29</f>
        <v>6720.9617260392224</v>
      </c>
      <c r="G29" s="228">
        <f>AMX!G29+(OIBR!G29/Prices!$C$160)+(VIVO!G29/Prices!$C$160)+TVIS!G29</f>
        <v>8236.2420509801723</v>
      </c>
      <c r="H29" s="279">
        <f t="shared" si="0"/>
        <v>0.44386238616406404</v>
      </c>
      <c r="I29" s="254"/>
      <c r="J29" s="249"/>
      <c r="K29" s="249"/>
      <c r="L29" s="249"/>
      <c r="M29" s="249"/>
      <c r="N29" s="249"/>
      <c r="O29" s="251"/>
      <c r="Q29" s="5"/>
      <c r="S29" s="42"/>
      <c r="T29" s="42"/>
      <c r="U29" s="42"/>
      <c r="V29" s="147" t="s">
        <v>588</v>
      </c>
      <c r="W29" s="288">
        <f t="shared" si="1"/>
        <v>1.9141669872193168</v>
      </c>
      <c r="X29" s="288">
        <v>1</v>
      </c>
      <c r="Y29" s="42"/>
      <c r="Z29" s="42"/>
      <c r="AA29" s="42"/>
    </row>
    <row r="30" spans="2:27">
      <c r="B30" s="5" t="s">
        <v>584</v>
      </c>
      <c r="C30" s="365">
        <f>AMX!C30+(OIBR!C30/Prices!$C$160)+(VIVO!C30/Prices!$C$160)+TVIS!C30</f>
        <v>3546.2996443169618</v>
      </c>
      <c r="D30" s="228">
        <f>AMX!D30+(OIBR!D30/Prices!$C$160)+(VIVO!D30/Prices!$C$160)+TVIS!D30</f>
        <v>4426.9437062841562</v>
      </c>
      <c r="E30" s="228">
        <f>AMX!E30+(OIBR!E30/Prices!$C$160)+(VIVO!E30/Prices!$C$160)+TVIS!E30</f>
        <v>5909.7864994795545</v>
      </c>
      <c r="F30" s="228">
        <f>AMX!F30+(OIBR!F30/Prices!$C$160)+(VIVO!F30/Prices!$C$160)+TVIS!F30</f>
        <v>7608.5458587116436</v>
      </c>
      <c r="G30" s="228">
        <f>AMX!G30+(OIBR!G30/Prices!$C$160)+(VIVO!G30/Prices!$C$160)+TVIS!G30</f>
        <v>9201.982745817957</v>
      </c>
      <c r="H30" s="279">
        <f t="shared" si="0"/>
        <v>0.27622076039307863</v>
      </c>
      <c r="I30" s="254"/>
      <c r="J30" s="248"/>
      <c r="K30" s="248"/>
      <c r="L30" s="248"/>
      <c r="M30" s="248"/>
      <c r="N30" s="248"/>
      <c r="O30" s="5"/>
      <c r="Q30" s="5"/>
      <c r="S30" s="42"/>
      <c r="T30" s="42"/>
      <c r="U30" s="42"/>
      <c r="V30" s="147" t="s">
        <v>470</v>
      </c>
      <c r="W30" s="288">
        <f t="shared" si="1"/>
        <v>1.5120046548142658</v>
      </c>
      <c r="X30" s="288">
        <v>1</v>
      </c>
      <c r="Y30" s="42"/>
      <c r="Z30" s="42"/>
      <c r="AA30" s="42"/>
    </row>
    <row r="31" spans="2:27">
      <c r="B31" s="5" t="s">
        <v>585</v>
      </c>
      <c r="C31" s="365">
        <f>AMX!C31+(OIBR!C31/Prices!$C$160)+(VIVO!C31/Prices!$C$160)+TVIS!C31</f>
        <v>2570.0782874764832</v>
      </c>
      <c r="D31" s="228">
        <f>AMX!D31+(OIBR!D31/Prices!$C$160)+(VIVO!D31/Prices!$C$160)+TVIS!D31</f>
        <v>2360.7954026134871</v>
      </c>
      <c r="E31" s="228">
        <f>AMX!E31+(OIBR!E31/Prices!$C$160)+(VIVO!E31/Prices!$C$160)+TVIS!E31</f>
        <v>2550.5547629395573</v>
      </c>
      <c r="F31" s="228">
        <f>AMX!F31+(OIBR!F31/Prices!$C$160)+(VIVO!F31/Prices!$C$160)+TVIS!F31</f>
        <v>2851.2301739868067</v>
      </c>
      <c r="G31" s="228">
        <f>AMX!G31+(OIBR!G31/Prices!$C$160)+(VIVO!G31/Prices!$C$160)+TVIS!G31</f>
        <v>3075.8781640731054</v>
      </c>
      <c r="H31" s="279">
        <f t="shared" si="0"/>
        <v>9.2203572531136757E-2</v>
      </c>
      <c r="I31" s="254"/>
      <c r="J31" s="252"/>
      <c r="K31" s="252"/>
      <c r="L31" s="252"/>
      <c r="M31" s="252"/>
      <c r="N31" s="252"/>
      <c r="O31" s="5"/>
      <c r="Q31" s="5"/>
      <c r="S31" s="42"/>
      <c r="T31" s="42"/>
      <c r="U31" s="42"/>
      <c r="V31" s="147" t="s">
        <v>528</v>
      </c>
      <c r="W31" s="288">
        <f t="shared" si="1"/>
        <v>1.0087061625482678</v>
      </c>
      <c r="X31" s="288">
        <v>1</v>
      </c>
      <c r="Y31" s="42"/>
      <c r="Z31" s="42"/>
      <c r="AA31" s="42"/>
    </row>
    <row r="32" spans="2:27">
      <c r="B32" s="5" t="s">
        <v>601</v>
      </c>
      <c r="C32" s="365">
        <f>AMX!C32+(OIBR!C32/Prices!$C$160)+(VIVO!C32/Prices!$C$160)+TVIS!C32</f>
        <v>65.795090715048033</v>
      </c>
      <c r="D32" s="228">
        <f>AMX!D32+(OIBR!D32/Prices!$C$160)+(VIVO!D32/Prices!$C$160)+TVIS!D32</f>
        <v>26.5730629225169</v>
      </c>
      <c r="E32" s="228">
        <f>AMX!E32+(OIBR!E32/Prices!$C$160)+(VIVO!E32/Prices!$C$160)+TVIS!E32</f>
        <v>19.5</v>
      </c>
      <c r="F32" s="228">
        <f>AMX!F32+(OIBR!F32/Prices!$C$160)+(VIVO!F32/Prices!$C$160)+TVIS!F32</f>
        <v>-560.66442185000415</v>
      </c>
      <c r="G32" s="228">
        <f>AMX!G32+(OIBR!G32/Prices!$C$160)+(VIVO!G32/Prices!$C$160)+TVIS!G32</f>
        <v>1810.9906357811744</v>
      </c>
      <c r="H32" s="279">
        <f t="shared" si="0"/>
        <v>3.0846814798953694</v>
      </c>
      <c r="I32" s="5"/>
      <c r="J32" s="254"/>
      <c r="K32" s="254"/>
      <c r="L32" s="254"/>
      <c r="M32" s="254"/>
      <c r="N32" s="254"/>
      <c r="O32" s="251"/>
      <c r="Q32" s="5"/>
      <c r="S32" s="42"/>
      <c r="T32" s="42"/>
      <c r="U32" s="42"/>
      <c r="V32" s="147" t="s">
        <v>575</v>
      </c>
      <c r="W32" s="288">
        <f>M17/E45</f>
        <v>1.4266806049878982</v>
      </c>
      <c r="X32" s="288">
        <v>1</v>
      </c>
      <c r="Y32" s="42"/>
      <c r="Z32" s="42"/>
      <c r="AA32" s="42"/>
    </row>
    <row r="33" spans="2:42">
      <c r="B33" s="5" t="s">
        <v>5</v>
      </c>
      <c r="C33" s="365">
        <f>AMX!C33+(OIBR!C33/Prices!$C$160)+(VIVO!C33/Prices!$C$160)+TVIS!C33</f>
        <v>-653.23062136100179</v>
      </c>
      <c r="D33" s="228">
        <f>AMX!D33+(OIBR!D33/Prices!$C$160)+(VIVO!D33/Prices!$C$160)+TVIS!D33</f>
        <v>-920.73463023815998</v>
      </c>
      <c r="E33" s="228">
        <f>AMX!E33+(OIBR!E33/Prices!$C$160)+(VIVO!E33/Prices!$C$160)+TVIS!E33</f>
        <v>-857.50457627193134</v>
      </c>
      <c r="F33" s="228">
        <f>AMX!F33+(OIBR!F33/Prices!$C$160)+(VIVO!F33/Prices!$C$160)+TVIS!F33</f>
        <v>-519.83804282964161</v>
      </c>
      <c r="G33" s="228">
        <f>AMX!G33+(OIBR!G33/Prices!$C$160)+(VIVO!G33/Prices!$C$160)+TVIS!G33</f>
        <v>-178.94853238888973</v>
      </c>
      <c r="H33" s="279">
        <f t="shared" si="0"/>
        <v>-0.42075198481204812</v>
      </c>
      <c r="I33" s="49"/>
      <c r="J33" s="254"/>
      <c r="K33" s="254"/>
      <c r="L33" s="254"/>
      <c r="M33" s="254"/>
      <c r="N33" s="254"/>
      <c r="O33" s="251"/>
      <c r="Q33" s="5"/>
      <c r="S33" s="42"/>
      <c r="T33" s="42"/>
      <c r="U33" s="42"/>
      <c r="V33" s="147" t="s">
        <v>576</v>
      </c>
      <c r="W33" s="288">
        <f>M19/E47</f>
        <v>1.5120046548142658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606</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1.7981142291912398</v>
      </c>
      <c r="E37" s="553">
        <f t="shared" si="2"/>
        <v>1.6573649184523203</v>
      </c>
      <c r="F37" s="553">
        <f t="shared" si="2"/>
        <v>1.5166362516889134</v>
      </c>
      <c r="G37" s="553">
        <f t="shared" si="2"/>
        <v>1.393473574712661</v>
      </c>
      <c r="H37" s="17">
        <f t="shared" ref="H37:H45" si="3">H23</f>
        <v>3.2219017878071687E-2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4.7512746785783913</v>
      </c>
      <c r="E38" s="553">
        <f t="shared" si="2"/>
        <v>4.280865063792997</v>
      </c>
      <c r="F38" s="553">
        <f t="shared" si="2"/>
        <v>3.8384069733071251</v>
      </c>
      <c r="G38" s="553">
        <f t="shared" si="2"/>
        <v>3.473863325911124</v>
      </c>
      <c r="H38" s="17">
        <f t="shared" si="3"/>
        <v>5.2441939874377175E-2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9.3432661340600287</v>
      </c>
      <c r="E39" s="553">
        <f t="shared" si="2"/>
        <v>7.5472128390826727</v>
      </c>
      <c r="F39" s="553">
        <f t="shared" si="2"/>
        <v>6.3647667031009485</v>
      </c>
      <c r="G39" s="553">
        <f t="shared" si="2"/>
        <v>5.4763649870724755</v>
      </c>
      <c r="H39" s="17">
        <f t="shared" si="3"/>
        <v>0.13292489725074952</v>
      </c>
      <c r="I39" s="5"/>
      <c r="J39" s="5"/>
      <c r="K39" s="5"/>
      <c r="L39" s="5"/>
      <c r="M39" s="5"/>
      <c r="N39" s="5"/>
      <c r="O39" s="5"/>
      <c r="Q39" s="5"/>
      <c r="R39" s="5"/>
      <c r="S39" s="42"/>
      <c r="T39" s="42"/>
      <c r="U39" s="42"/>
      <c r="V39" s="42"/>
      <c r="W39" s="288"/>
      <c r="X39" s="288"/>
      <c r="Y39" s="42"/>
      <c r="Z39" s="42"/>
      <c r="AA39" s="42"/>
    </row>
    <row r="40" spans="2:42">
      <c r="B40" s="5" t="s">
        <v>461</v>
      </c>
      <c r="C40" s="247"/>
      <c r="D40" s="553">
        <f t="shared" si="2"/>
        <v>15.212560266492316</v>
      </c>
      <c r="E40" s="553">
        <f t="shared" si="2"/>
        <v>11.124381688326695</v>
      </c>
      <c r="F40" s="553">
        <f t="shared" si="2"/>
        <v>9.2813342134669856</v>
      </c>
      <c r="G40" s="553">
        <f t="shared" si="2"/>
        <v>7.8992460056032359</v>
      </c>
      <c r="H40" s="17">
        <f t="shared" si="3"/>
        <v>0.17960851918674359</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1.3500734909901855</v>
      </c>
      <c r="E41" s="553">
        <f t="shared" si="2"/>
        <v>1.2958114371123857</v>
      </c>
      <c r="F41" s="553">
        <f t="shared" si="2"/>
        <v>1.2298151663256318</v>
      </c>
      <c r="G41" s="553">
        <f t="shared" si="2"/>
        <v>1.1569201821496407</v>
      </c>
      <c r="H41" s="17">
        <f t="shared" si="3"/>
        <v>-1.8012682500362365E-3</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2.3016970940645507</v>
      </c>
      <c r="E42" s="553">
        <f>E18/E28</f>
        <v>2.2701196711338612</v>
      </c>
      <c r="F42" s="553">
        <f>F18/F28</f>
        <v>2.2018047168545012</v>
      </c>
      <c r="G42" s="553">
        <f>G18/G28</f>
        <v>2.1318659888961053</v>
      </c>
      <c r="H42" s="17">
        <f t="shared" si="3"/>
        <v>-2.7338410987633122E-2</v>
      </c>
      <c r="I42" s="247"/>
      <c r="J42" s="5"/>
      <c r="K42" s="5"/>
      <c r="L42" s="5"/>
      <c r="M42" s="5"/>
      <c r="N42" s="5"/>
      <c r="O42" s="5"/>
      <c r="Q42" s="5"/>
      <c r="R42" s="5"/>
      <c r="S42" s="42"/>
      <c r="T42" s="42"/>
      <c r="U42" s="42"/>
      <c r="V42" s="42"/>
      <c r="W42" s="288"/>
      <c r="X42" s="288"/>
      <c r="Y42" s="288"/>
      <c r="Z42" s="288"/>
      <c r="AA42" s="42"/>
    </row>
    <row r="43" spans="2:42">
      <c r="B43" s="5" t="s">
        <v>470</v>
      </c>
      <c r="C43" s="247"/>
      <c r="D43" s="553">
        <f>L26/D29</f>
        <v>31.920933591934315</v>
      </c>
      <c r="E43" s="553">
        <f>M26/E29</f>
        <v>16.465156182385741</v>
      </c>
      <c r="F43" s="553">
        <f>N26/F29</f>
        <v>12.417200013045317</v>
      </c>
      <c r="G43" s="553">
        <f>O26/G29</f>
        <v>9.867174953724458</v>
      </c>
      <c r="H43" s="17">
        <f t="shared" si="3"/>
        <v>0.44386238616406404</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16.651538951838202</v>
      </c>
      <c r="E44" s="553">
        <f>E11/E30</f>
        <v>12.18073372584948</v>
      </c>
      <c r="F44" s="553">
        <f>F11/F30</f>
        <v>9.1775904647564932</v>
      </c>
      <c r="G44" s="553">
        <f>G11/G30</f>
        <v>7.3507020212907745</v>
      </c>
      <c r="H44" s="17">
        <f t="shared" si="3"/>
        <v>0.27622076039307863</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3.2025799004615774E-2</v>
      </c>
      <c r="E45" s="248">
        <f>E31/E11</f>
        <v>3.5431489634530598E-2</v>
      </c>
      <c r="F45" s="248">
        <f>F31/F11</f>
        <v>4.0832121196613419E-2</v>
      </c>
      <c r="G45" s="248">
        <f>G31/G11</f>
        <v>4.5473553846557851E-2</v>
      </c>
      <c r="H45" s="17">
        <f t="shared" si="3"/>
        <v>9.2203572531136757E-2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3.2386280718173587E-2</v>
      </c>
      <c r="E46" s="248">
        <f>(E31+E32)/E11</f>
        <v>3.5702377387231532E-2</v>
      </c>
      <c r="F46" s="248">
        <f>(F31+F32)/F11</f>
        <v>3.2802914073150051E-2</v>
      </c>
      <c r="G46" s="248">
        <f>(G31+G32)/G11</f>
        <v>7.2247104617748276E-2</v>
      </c>
      <c r="H46" s="279">
        <f>((G31+G32)/(D31+D32))^(1/3)-1</f>
        <v>0.269707667316055</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3.1327404542224199E-2</v>
      </c>
      <c r="E47" s="248">
        <f>1/E43</f>
        <v>6.0734316086827646E-2</v>
      </c>
      <c r="F47" s="248">
        <f>1/F43</f>
        <v>8.053345351201685E-2</v>
      </c>
      <c r="G47" s="248">
        <f>1/G43</f>
        <v>0.10134613044664224</v>
      </c>
      <c r="H47" s="17">
        <f>H29</f>
        <v>0.44386238616406404</v>
      </c>
      <c r="I47" s="247"/>
      <c r="J47" s="248"/>
      <c r="K47" s="248"/>
      <c r="L47" s="248"/>
      <c r="M47" s="248"/>
      <c r="N47" s="248"/>
      <c r="O47" s="248"/>
      <c r="Q47" s="5"/>
      <c r="R47" s="5"/>
      <c r="S47" s="5"/>
      <c r="T47" s="5"/>
      <c r="U47" s="5"/>
      <c r="AA47" s="303"/>
      <c r="AB47" s="303"/>
    </row>
    <row r="48" spans="2:42">
      <c r="B48" s="5" t="s">
        <v>613</v>
      </c>
      <c r="C48" s="5"/>
      <c r="D48" s="305">
        <f>D31/D29</f>
        <v>0.8627930890635962</v>
      </c>
      <c r="E48" s="305">
        <f>E31/E29</f>
        <v>0.49052492114089552</v>
      </c>
      <c r="F48" s="305">
        <f>F31/F29</f>
        <v>0.42422949128548088</v>
      </c>
      <c r="G48" s="305">
        <f>G31/G29</f>
        <v>0.3734565041962376</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02">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165</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29</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'EM CELLULAR'!D37</f>
        <v>2.3633605749224893</v>
      </c>
      <c r="M9" s="64">
        <f>'EM CELLULAR'!E37</f>
        <v>2.2492348089852174</v>
      </c>
      <c r="N9" s="64">
        <f>'EM CELLULAR'!F37</f>
        <v>2.0126947496551715</v>
      </c>
      <c r="O9" s="64">
        <f>'EM CELLULAR'!G37</f>
        <v>1.7794170168899046</v>
      </c>
      <c r="P9" s="17">
        <f>'EM CELLULAR'!H37</f>
        <v>4.6449022636606552E-2</v>
      </c>
    </row>
    <row r="10" spans="2:63">
      <c r="B10" s="5" t="s">
        <v>269</v>
      </c>
      <c r="C10" s="5"/>
      <c r="D10" s="332"/>
      <c r="E10" s="332"/>
      <c r="F10" s="332"/>
      <c r="G10" s="332"/>
      <c r="H10" s="247"/>
      <c r="I10" s="247"/>
      <c r="J10" s="5" t="s">
        <v>180</v>
      </c>
      <c r="L10" s="64">
        <f>'EM CELLULAR'!D38</f>
        <v>6.3987600118023149</v>
      </c>
      <c r="M10" s="64">
        <f>'EM CELLULAR'!E38</f>
        <v>6.0988539640971684</v>
      </c>
      <c r="N10" s="64">
        <f>'EM CELLULAR'!F38</f>
        <v>5.4062212910944272</v>
      </c>
      <c r="O10" s="64">
        <f>'EM CELLULAR'!G38</f>
        <v>4.7363909360102729</v>
      </c>
      <c r="P10" s="17">
        <f>'EM CELLULAR'!H38</f>
        <v>5.2406256537620211E-2</v>
      </c>
      <c r="W10" s="10"/>
      <c r="X10" s="10"/>
      <c r="Y10" s="10"/>
      <c r="Z10" s="10"/>
    </row>
    <row r="11" spans="2:63">
      <c r="B11" s="41" t="s">
        <v>354</v>
      </c>
      <c r="C11" s="5"/>
      <c r="D11" s="271">
        <f>MILLI!D11+(TIMP!D11/Prices!$C$160)+(ENTEL!D11/Prices!$C$165)</f>
        <v>11255.250816325966</v>
      </c>
      <c r="E11" s="271">
        <f>MILLI!E11+(TIMP!E11/Prices!$C$160)+(ENTEL!E11/Prices!$C$165)</f>
        <v>11255.250816325966</v>
      </c>
      <c r="F11" s="271">
        <f>MILLI!F11+(TIMP!F11/Prices!$C$160)+(ENTEL!F11/Prices!$C$165)</f>
        <v>10988.950816325967</v>
      </c>
      <c r="G11" s="271">
        <f>MILLI!G11+(TIMP!G11/Prices!$C$160)+(ENTEL!G11/Prices!$C$165)</f>
        <v>10722.650816325968</v>
      </c>
      <c r="H11" s="249"/>
      <c r="I11" s="249"/>
      <c r="J11" s="5" t="s">
        <v>181</v>
      </c>
      <c r="L11" s="64">
        <f>'EM CELLULAR'!D39</f>
        <v>12.354841094717424</v>
      </c>
      <c r="M11" s="64">
        <f>'EM CELLULAR'!E39</f>
        <v>11.255278834896844</v>
      </c>
      <c r="N11" s="64">
        <f>'EM CELLULAR'!F39</f>
        <v>9.5104933094138762</v>
      </c>
      <c r="O11" s="64">
        <f>'EM CELLULAR'!G39</f>
        <v>7.9868347347493183</v>
      </c>
      <c r="P11" s="17">
        <f>'EM CELLULAR'!H39</f>
        <v>0.10100210602425808</v>
      </c>
      <c r="W11" s="10"/>
      <c r="X11" s="10"/>
      <c r="Y11" s="10"/>
      <c r="Z11" s="10"/>
    </row>
    <row r="12" spans="2:63">
      <c r="B12" s="5" t="s">
        <v>225</v>
      </c>
      <c r="C12" s="249"/>
      <c r="D12" s="228">
        <f>MILLI!D12+(TIMP!D12/Prices!$C$160)+(ENTEL!D12/Prices!$C$165)</f>
        <v>11291.400177962432</v>
      </c>
      <c r="E12" s="228">
        <f>MILLI!E12+(TIMP!E12/Prices!$C$160)+(ENTEL!E12/Prices!$C$165)</f>
        <v>10808.203479721165</v>
      </c>
      <c r="F12" s="228">
        <f>MILLI!F12+(TIMP!F12/Prices!$C$160)+(ENTEL!F12/Prices!$C$165)</f>
        <v>10072.049529184913</v>
      </c>
      <c r="G12" s="228">
        <f>MILLI!G12+(TIMP!G12/Prices!$C$160)+(ENTEL!G12/Prices!$C$165)</f>
        <v>8980.2533203877611</v>
      </c>
      <c r="H12" s="247"/>
      <c r="I12" s="247"/>
      <c r="J12" s="5" t="s">
        <v>461</v>
      </c>
      <c r="L12" s="64">
        <f>'EM CELLULAR'!D40</f>
        <v>15.793747180179601</v>
      </c>
      <c r="M12" s="64">
        <f>'EM CELLULAR'!E40</f>
        <v>14.497838545954387</v>
      </c>
      <c r="N12" s="64">
        <f>'EM CELLULAR'!F40</f>
        <v>12.508534104316029</v>
      </c>
      <c r="O12" s="64">
        <f>'EM CELLULAR'!G40</f>
        <v>10.530054441456244</v>
      </c>
      <c r="P12" s="17">
        <f>'EM CELLULAR'!H40</f>
        <v>8.9729855374904854E-2</v>
      </c>
      <c r="W12" s="10"/>
      <c r="X12" s="10"/>
      <c r="Y12" s="10"/>
      <c r="Z12" s="10"/>
    </row>
    <row r="13" spans="2:63">
      <c r="B13" s="5" t="s">
        <v>524</v>
      </c>
      <c r="C13" s="257"/>
      <c r="D13" s="228">
        <f>MILLI!D13+(TIMP!D13/Prices!$C$160)+(ENTEL!D13/Prices!$C$165)</f>
        <v>2926.4227707185419</v>
      </c>
      <c r="E13" s="228">
        <f>MILLI!E13+(TIMP!E13/Prices!$C$160)+(ENTEL!E13/Prices!$C$165)</f>
        <v>2926.4227707185419</v>
      </c>
      <c r="F13" s="228">
        <f>MILLI!F13+(TIMP!F13/Prices!$C$160)+(ENTEL!F13/Prices!$C$165)</f>
        <v>2926.4227707185419</v>
      </c>
      <c r="G13" s="228">
        <f>MILLI!G13+(TIMP!G13/Prices!$C$160)+(ENTEL!G13/Prices!$C$165)</f>
        <v>2926.4227707185419</v>
      </c>
      <c r="H13" s="247"/>
      <c r="I13" s="247"/>
      <c r="J13" s="5" t="s">
        <v>525</v>
      </c>
      <c r="L13" s="64">
        <f>'EM CELLULAR'!D41</f>
        <v>1.5248467904271694</v>
      </c>
      <c r="M13" s="64">
        <f>'EM CELLULAR'!E41</f>
        <v>1.5383461925366451</v>
      </c>
      <c r="N13" s="64">
        <f>'EM CELLULAR'!F41</f>
        <v>1.4721220686093988</v>
      </c>
      <c r="O13" s="64">
        <f>'EM CELLULAR'!G41</f>
        <v>1.3935425458382409</v>
      </c>
      <c r="P13" s="17">
        <f>'EM CELLULAR'!H41</f>
        <v>-1.8999293431604336E-2</v>
      </c>
    </row>
    <row r="14" spans="2:63">
      <c r="B14" s="5" t="s">
        <v>527</v>
      </c>
      <c r="C14" s="274"/>
      <c r="D14" s="228">
        <f>MILLI!D14+(TIMP!D14/Prices!$C$160)+(ENTEL!D14/Prices!$C$165)</f>
        <v>681</v>
      </c>
      <c r="E14" s="228">
        <f>MILLI!E14+(TIMP!E14/Prices!$C$160)+(ENTEL!E14/Prices!$C$165)</f>
        <v>681</v>
      </c>
      <c r="F14" s="228">
        <f>MILLI!F14+(TIMP!F14/Prices!$C$160)+(ENTEL!F14/Prices!$C$165)</f>
        <v>681</v>
      </c>
      <c r="G14" s="228">
        <f>MILLI!G14+(TIMP!G14/Prices!$C$160)+(ENTEL!G14/Prices!$C$165)</f>
        <v>681</v>
      </c>
      <c r="H14" s="247"/>
      <c r="I14" s="247"/>
      <c r="J14" s="5" t="s">
        <v>588</v>
      </c>
      <c r="L14" s="64">
        <f>'EM CELLULAR'!D42</f>
        <v>2.7624241253170956</v>
      </c>
      <c r="M14" s="64">
        <f>'EM CELLULAR'!E42</f>
        <v>2.6732057804679736</v>
      </c>
      <c r="N14" s="64">
        <f>'EM CELLULAR'!F42</f>
        <v>2.4753011765074051</v>
      </c>
      <c r="O14" s="64">
        <f>'EM CELLULAR'!G42</f>
        <v>2.2720312772237086</v>
      </c>
      <c r="P14" s="17">
        <f>'EM CELLULAR'!H42</f>
        <v>1.6075575533494924E-2</v>
      </c>
    </row>
    <row r="15" spans="2:63">
      <c r="B15" s="5" t="s">
        <v>526</v>
      </c>
      <c r="C15" s="257"/>
      <c r="D15" s="228">
        <f>MILLI!D15+(TIMP!D15/Prices!$C$160)+(ENTEL!D15/Prices!$C$165)</f>
        <v>3357</v>
      </c>
      <c r="E15" s="228">
        <f>MILLI!E15+(TIMP!E15/Prices!$C$160)+(ENTEL!E15/Prices!$C$165)</f>
        <v>3357</v>
      </c>
      <c r="F15" s="228">
        <f>MILLI!F15+(TIMP!F15/Prices!$C$160)+(ENTEL!F15/Prices!$C$165)</f>
        <v>3357</v>
      </c>
      <c r="G15" s="228">
        <f>MILLI!G15+(TIMP!G15/Prices!$C$160)+(ENTEL!G15/Prices!$C$165)</f>
        <v>3357</v>
      </c>
      <c r="H15" s="247"/>
      <c r="I15" s="247"/>
      <c r="J15" s="5" t="s">
        <v>470</v>
      </c>
      <c r="L15" s="64">
        <f>'EM CELLULAR'!D43</f>
        <v>24.107062077664011</v>
      </c>
      <c r="M15" s="64">
        <f>'EM CELLULAR'!E43</f>
        <v>20.678797637593679</v>
      </c>
      <c r="N15" s="64">
        <f>'EM CELLULAR'!F43</f>
        <v>17.221097288297262</v>
      </c>
      <c r="O15" s="64">
        <f>'EM CELLULAR'!G43</f>
        <v>14.37930180381365</v>
      </c>
      <c r="P15" s="17">
        <f>'EM CELLULAR'!H43</f>
        <v>0.18889227648007534</v>
      </c>
      <c r="S15" s="88"/>
      <c r="T15" s="88"/>
      <c r="U15" s="88"/>
      <c r="V15" s="42"/>
      <c r="W15" s="42"/>
      <c r="X15" s="42"/>
      <c r="Y15" s="42"/>
      <c r="Z15" s="42"/>
      <c r="AA15" s="42"/>
    </row>
    <row r="16" spans="2:63">
      <c r="B16" s="5" t="s">
        <v>529</v>
      </c>
      <c r="C16" s="257"/>
      <c r="D16" s="228">
        <f>MILLI!D16+(TIMP!D16/Prices!$C$160)+(ENTEL!D16/Prices!$C$165)</f>
        <v>276.613158922401</v>
      </c>
      <c r="E16" s="228">
        <f>MILLI!E16+(TIMP!E16/Prices!$C$160)+(ENTEL!E16/Prices!$C$165)</f>
        <v>908.45468375556663</v>
      </c>
      <c r="F16" s="228">
        <f>MILLI!F16+(TIMP!F16/Prices!$C$160)+(ENTEL!F16/Prices!$C$165)</f>
        <v>1611.5301901688911</v>
      </c>
      <c r="G16" s="228">
        <f>MILLI!G16+(TIMP!G16/Prices!$C$160)+(ENTEL!G16/Prices!$C$165)</f>
        <v>2392.6679613312631</v>
      </c>
      <c r="H16" s="247"/>
      <c r="I16" s="247"/>
      <c r="J16" s="5" t="s">
        <v>528</v>
      </c>
      <c r="L16" s="64">
        <f>'EM CELLULAR'!D44</f>
        <v>20.954288205249199</v>
      </c>
      <c r="M16" s="64">
        <f>'EM CELLULAR'!E44</f>
        <v>17.944541054613072</v>
      </c>
      <c r="N16" s="64">
        <f>'EM CELLULAR'!F44</f>
        <v>15.012709911805581</v>
      </c>
      <c r="O16" s="64">
        <f>'EM CELLULAR'!G44</f>
        <v>13.042817542084691</v>
      </c>
      <c r="P16" s="17">
        <f>'EM CELLULAR'!H44</f>
        <v>0.17290611502365838</v>
      </c>
      <c r="S16" s="88"/>
      <c r="T16" s="88"/>
      <c r="U16" s="88"/>
      <c r="V16" s="42"/>
      <c r="W16" s="42"/>
      <c r="X16" s="42"/>
      <c r="Y16" s="42"/>
      <c r="Z16" s="42"/>
      <c r="AA16" s="42"/>
    </row>
    <row r="17" spans="2:27">
      <c r="B17" s="5" t="s">
        <v>6</v>
      </c>
      <c r="C17" s="257"/>
      <c r="D17" s="228">
        <f>MILLI!D17+(TIMP!D17/Prices!$C$160)+(ENTEL!D17/Prices!$C$165)</f>
        <v>209.23106161492166</v>
      </c>
      <c r="E17" s="228">
        <f>MILLI!E17+(TIMP!E17/Prices!$C$160)+(ENTEL!E17/Prices!$C$165)</f>
        <v>209.23106161492166</v>
      </c>
      <c r="F17" s="228">
        <f>MILLI!F17+(TIMP!F17/Prices!$C$160)+(ENTEL!F17/Prices!$C$165)</f>
        <v>209.23106161492166</v>
      </c>
      <c r="G17" s="228">
        <f>MILLI!G17+(TIMP!G17/Prices!$C$160)+(ENTEL!G17/Prices!$C$165)</f>
        <v>209.23106161492166</v>
      </c>
      <c r="H17" s="247"/>
      <c r="I17" s="247"/>
      <c r="J17" s="5" t="s">
        <v>575</v>
      </c>
      <c r="L17" s="248">
        <f>'EM CELLULAR'!D45</f>
        <v>3.7116361304412031E-2</v>
      </c>
      <c r="M17" s="248">
        <f>'EM CELLULAR'!E45</f>
        <v>4.227508239193372E-2</v>
      </c>
      <c r="N17" s="248">
        <f>'EM CELLULAR'!F45</f>
        <v>4.7791817313081346E-2</v>
      </c>
      <c r="O17" s="248">
        <f>'EM CELLULAR'!G45</f>
        <v>5.4825835656098436E-2</v>
      </c>
      <c r="P17" s="17">
        <f>'EM CELLULAR'!H45</f>
        <v>0.14051948142171655</v>
      </c>
      <c r="S17" s="88"/>
      <c r="T17" s="88"/>
      <c r="U17" s="88"/>
      <c r="V17" s="42"/>
      <c r="W17" s="42"/>
      <c r="X17" s="42"/>
      <c r="Y17" s="42"/>
      <c r="Z17" s="42"/>
      <c r="AA17" s="42"/>
    </row>
    <row r="18" spans="2:27" ht="12.6" thickBot="1">
      <c r="B18" s="41" t="s">
        <v>355</v>
      </c>
      <c r="C18" s="249"/>
      <c r="D18" s="275">
        <f>MILLI!D18+(TIMP!D18/Prices!$C$160)+(ENTEL!D18/Prices!$C$165)</f>
        <v>27663.229544469617</v>
      </c>
      <c r="E18" s="275">
        <f>MILLI!E18+(TIMP!E18/Prices!$C$160)+(ENTEL!E18/Prices!$C$165)</f>
        <v>26548.191321395185</v>
      </c>
      <c r="F18" s="275">
        <f>MILLI!F18+(TIMP!F18/Prices!$C$160)+(ENTEL!F18/Prices!$C$165)</f>
        <v>24842.661864445607</v>
      </c>
      <c r="G18" s="275">
        <f>MILLI!G18+(TIMP!G18/Prices!$C$160)+(ENTEL!G18/Prices!$C$165)</f>
        <v>22703.427884486089</v>
      </c>
      <c r="H18" s="276">
        <f>IF(D18=0,"nm",IF(G18=0,"nm",(G18/D18)^(1/3)-1))</f>
        <v>-6.374061386332841E-2</v>
      </c>
      <c r="I18" s="254"/>
      <c r="J18" s="5" t="s">
        <v>36</v>
      </c>
      <c r="L18" s="248" t="e">
        <f>'EM CELLULAR'!D46</f>
        <v>#VALUE!</v>
      </c>
      <c r="M18" s="248" t="e">
        <f>'EM CELLULAR'!E46</f>
        <v>#VALUE!</v>
      </c>
      <c r="N18" s="248" t="e">
        <f>'EM CELLULAR'!F46</f>
        <v>#VALUE!</v>
      </c>
      <c r="O18" s="248" t="e">
        <f>'EM CELLULAR'!G46</f>
        <v>#VALUE!</v>
      </c>
      <c r="P18" s="17" t="e">
        <f>'EM CELLULAR'!H46</f>
        <v>#VALUE!</v>
      </c>
      <c r="S18" s="88"/>
      <c r="T18" s="42"/>
      <c r="U18" s="42"/>
      <c r="V18" s="42"/>
      <c r="W18" s="42"/>
      <c r="X18" s="42"/>
      <c r="Y18" s="42"/>
      <c r="Z18" s="42"/>
      <c r="AA18" s="42"/>
    </row>
    <row r="19" spans="2:27" ht="12.6" thickTop="1">
      <c r="B19" s="41"/>
      <c r="C19" s="249"/>
      <c r="D19" s="229"/>
      <c r="E19" s="229"/>
      <c r="F19" s="229"/>
      <c r="G19" s="229"/>
      <c r="H19" s="276"/>
      <c r="I19" s="17"/>
      <c r="J19" s="5" t="s">
        <v>576</v>
      </c>
      <c r="L19" s="248">
        <f>'EM CELLULAR'!D47</f>
        <v>4.148162048027134E-2</v>
      </c>
      <c r="M19" s="248">
        <f>'EM CELLULAR'!E47</f>
        <v>4.8358711058810219E-2</v>
      </c>
      <c r="N19" s="248">
        <f>'EM CELLULAR'!F47</f>
        <v>5.8068309078049177E-2</v>
      </c>
      <c r="O19" s="248">
        <f>'EM CELLULAR'!G47</f>
        <v>6.954440581633678E-2</v>
      </c>
      <c r="P19" s="17">
        <f>'EM CELLULAR'!H47</f>
        <v>0.18889227648007534</v>
      </c>
      <c r="S19" s="88"/>
      <c r="T19" s="42"/>
      <c r="U19" s="42"/>
      <c r="V19" s="42"/>
      <c r="W19" s="42"/>
      <c r="X19" s="42"/>
      <c r="Y19" s="42"/>
      <c r="Z19" s="42"/>
      <c r="AA19" s="42"/>
    </row>
    <row r="20" spans="2:27">
      <c r="H20" s="277"/>
      <c r="I20" s="49"/>
      <c r="J20" s="5" t="s">
        <v>599</v>
      </c>
      <c r="L20" s="248">
        <f>'EM CELLULAR'!D48</f>
        <v>0.89903425552652083</v>
      </c>
      <c r="M20" s="248">
        <f>'EM CELLULAR'!E48</f>
        <v>0.87797834322746737</v>
      </c>
      <c r="N20" s="248">
        <f>'EM CELLULAR'!F48</f>
        <v>0.8264400051459927</v>
      </c>
      <c r="O20" s="248">
        <f>'EM CELLULAR'!G48</f>
        <v>0.79370085194664652</v>
      </c>
      <c r="P20" s="17" t="str">
        <f>'EM CELLULAR'!H48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MILLI!C23+(TIMP!C23/Prices!$C$160)+(ENTEL!C23/Prices!$C$165)</f>
        <v>11851.767006714448</v>
      </c>
      <c r="D23" s="228">
        <f>MILLI!D23+(TIMP!D23/Prices!$C$160)+(ENTEL!D23/Prices!$C$165)</f>
        <v>12442.866391013391</v>
      </c>
      <c r="E23" s="228">
        <f>MILLI!E23+(TIMP!E23/Prices!$C$160)+(ENTEL!E23/Prices!$C$165)</f>
        <v>12894.320442445951</v>
      </c>
      <c r="F23" s="228">
        <f>MILLI!F23+(TIMP!F23/Prices!$C$160)+(ENTEL!F23/Prices!$C$165)</f>
        <v>13350.177601811731</v>
      </c>
      <c r="G23" s="228">
        <f>MILLI!G23+(TIMP!G23/Prices!$C$160)+(ENTEL!G23/Prices!$C$165)</f>
        <v>13780.243687893548</v>
      </c>
      <c r="H23" s="279">
        <f t="shared" ref="H23:H33" si="0">IF(D23=0,"nm",IF(G23=0,"nm",(G23/D23)^(1/3)-1))</f>
        <v>3.4615117612012414E-2</v>
      </c>
      <c r="I23" s="249"/>
      <c r="J23" s="306" t="s">
        <v>9</v>
      </c>
      <c r="K23" s="306"/>
      <c r="L23" s="265" t="str">
        <f>L5</f>
        <v>2023E</v>
      </c>
      <c r="M23" s="265" t="str">
        <f>M5</f>
        <v>2024E</v>
      </c>
      <c r="N23" s="265" t="str">
        <f>N5</f>
        <v>2025E</v>
      </c>
      <c r="O23" s="265" t="str">
        <f>O5</f>
        <v>2026E</v>
      </c>
      <c r="P23" s="282" t="str">
        <f>P5</f>
        <v>23E-26E</v>
      </c>
      <c r="S23" s="42"/>
      <c r="T23" s="42"/>
      <c r="U23" s="42"/>
      <c r="V23" s="42"/>
      <c r="W23" s="42" t="s">
        <v>166</v>
      </c>
      <c r="X23" s="42" t="s">
        <v>558</v>
      </c>
      <c r="Y23" s="42"/>
      <c r="Z23" s="42"/>
      <c r="AA23" s="42"/>
    </row>
    <row r="24" spans="2:27" ht="12.6" thickTop="1">
      <c r="B24" s="5" t="s">
        <v>478</v>
      </c>
      <c r="C24" s="365">
        <f>MILLI!C24+(TIMP!C24/Prices!$C$160)+(ENTEL!C24/Prices!$C$165)</f>
        <v>4744.0421548681279</v>
      </c>
      <c r="D24" s="228">
        <f>MILLI!D24+(TIMP!D24/Prices!$C$160)+(ENTEL!D24/Prices!$C$165)</f>
        <v>4983.1784802891734</v>
      </c>
      <c r="E24" s="228">
        <f>MILLI!E24+(TIMP!E24/Prices!$C$160)+(ENTEL!E24/Prices!$C$165)</f>
        <v>5266.1628071734485</v>
      </c>
      <c r="F24" s="228">
        <f>MILLI!F24+(TIMP!F24/Prices!$C$160)+(ENTEL!F24/Prices!$C$165)</f>
        <v>5562.4114501844015</v>
      </c>
      <c r="G24" s="228">
        <f>MILLI!G24+(TIMP!G24/Prices!$C$160)+(ENTEL!G24/Prices!$C$165)</f>
        <v>5790.6526833649505</v>
      </c>
      <c r="H24" s="279">
        <f t="shared" si="0"/>
        <v>5.1333149380524246E-2</v>
      </c>
      <c r="I24" s="248"/>
      <c r="J24" s="17"/>
      <c r="K24" s="17"/>
      <c r="L24" s="17"/>
      <c r="M24" s="17"/>
      <c r="N24" s="17"/>
      <c r="O24" s="248"/>
      <c r="S24" s="42"/>
      <c r="T24" s="42"/>
      <c r="U24" s="42"/>
      <c r="V24" s="147" t="s">
        <v>268</v>
      </c>
      <c r="W24" s="288">
        <f t="shared" ref="W24:W29" si="1">E37/M9</f>
        <v>0.91538055759087689</v>
      </c>
      <c r="X24" s="288">
        <v>1</v>
      </c>
      <c r="Y24" s="42"/>
      <c r="Z24" s="42"/>
      <c r="AA24" s="42"/>
    </row>
    <row r="25" spans="2:27">
      <c r="B25" s="5" t="s">
        <v>179</v>
      </c>
      <c r="C25" s="365">
        <f>MILLI!C25+(TIMP!C25/Prices!$C$160)+(ENTEL!C25/Prices!$C$165)</f>
        <v>2468.130315277002</v>
      </c>
      <c r="D25" s="228">
        <f>MILLI!D25+(TIMP!D25/Prices!$C$160)+(ENTEL!D25/Prices!$C$165)</f>
        <v>2867.5700906071402</v>
      </c>
      <c r="E25" s="228">
        <f>MILLI!E25+(TIMP!E25/Prices!$C$160)+(ENTEL!E25/Prices!$C$165)</f>
        <v>3169.7653443605832</v>
      </c>
      <c r="F25" s="228">
        <f>MILLI!F25+(TIMP!F25/Prices!$C$160)+(ENTEL!F25/Prices!$C$165)</f>
        <v>3479.3677641083223</v>
      </c>
      <c r="G25" s="228">
        <f>MILLI!G25+(TIMP!G25/Prices!$C$160)+(ENTEL!G25/Prices!$C$165)</f>
        <v>3655.3021768620997</v>
      </c>
      <c r="H25" s="279">
        <f t="shared" si="0"/>
        <v>8.4267435127213242E-2</v>
      </c>
      <c r="I25" s="249"/>
      <c r="J25" s="247" t="s">
        <v>10</v>
      </c>
      <c r="K25" s="247"/>
      <c r="L25" s="332">
        <f>MILLI!L25+(TIMP!L25/Prices!$C$160)+(ENTEL!L25/Prices!$C$165)</f>
        <v>3090.3250276520221</v>
      </c>
      <c r="M25" s="332">
        <f>MILLI!M25+(TIMP!M25/Prices!$C$160)+(ENTEL!M25/Prices!$C$165)</f>
        <v>3192.4829575406911</v>
      </c>
      <c r="N25" s="332">
        <f>MILLI!N25+(TIMP!N25/Prices!$C$160)+(ENTEL!N25/Prices!$C$165)</f>
        <v>3286.1856623122289</v>
      </c>
      <c r="O25" s="332">
        <f>MILLI!O25+(TIMP!O25/Prices!$C$160)+(ENTEL!O25/Prices!$C$165)</f>
        <v>1924.7693223709584</v>
      </c>
      <c r="P25" s="279">
        <f>IF(L25=0,"nm",IF(O25=0,"nm",(O25/L25)^(1/3)-1))</f>
        <v>-0.14599939898729886</v>
      </c>
      <c r="Q25" s="5"/>
      <c r="S25" s="42"/>
      <c r="T25" s="42"/>
      <c r="U25" s="42"/>
      <c r="V25" s="147" t="s">
        <v>180</v>
      </c>
      <c r="W25" s="288">
        <f t="shared" si="1"/>
        <v>0.82659433179956732</v>
      </c>
      <c r="X25" s="288">
        <v>1</v>
      </c>
      <c r="Y25" s="42"/>
      <c r="Z25" s="42"/>
      <c r="AA25" s="42"/>
    </row>
    <row r="26" spans="2:27">
      <c r="B26" s="5" t="s">
        <v>581</v>
      </c>
      <c r="C26" s="365">
        <f>MILLI!C26+(TIMP!C26/Prices!$C$160)+(ENTEL!C26/Prices!$C$165)</f>
        <v>2019.0672081124749</v>
      </c>
      <c r="D26" s="228">
        <f>MILLI!D26+(TIMP!D26/Prices!$C$160)+(ENTEL!D26/Prices!$C$165)</f>
        <v>2286.8952690628776</v>
      </c>
      <c r="E26" s="228">
        <f>MILLI!E26+(TIMP!E26/Prices!$C$160)+(ENTEL!E26/Prices!$C$165)</f>
        <v>2509.6705200109232</v>
      </c>
      <c r="F26" s="228">
        <f>MILLI!F26+(TIMP!F26/Prices!$C$160)+(ENTEL!F26/Prices!$C$165)</f>
        <v>2675.4377465944308</v>
      </c>
      <c r="G26" s="228">
        <f>MILLI!G26+(TIMP!G26/Prices!$C$160)+(ENTEL!G26/Prices!$C$165)</f>
        <v>2756.410660378242</v>
      </c>
      <c r="H26" s="279">
        <f t="shared" si="0"/>
        <v>6.4222773587057747E-2</v>
      </c>
      <c r="I26" s="249"/>
      <c r="J26" s="249" t="s">
        <v>11</v>
      </c>
      <c r="K26" s="249"/>
      <c r="L26" s="281">
        <f>MILLI!L26+(TIMP!L26/Prices!$C$160)+(ENTEL!L26/Prices!$C$165)</f>
        <v>14345.575843977989</v>
      </c>
      <c r="M26" s="281">
        <f>MILLI!M26+(TIMP!M26/Prices!$C$160)+(ENTEL!M26/Prices!$C$165)</f>
        <v>14447.733773866657</v>
      </c>
      <c r="N26" s="281">
        <f>MILLI!N26+(TIMP!N26/Prices!$C$160)+(ENTEL!N26/Prices!$C$165)</f>
        <v>14275.136478638196</v>
      </c>
      <c r="O26" s="281">
        <f>MILLI!O26+(TIMP!O26/Prices!$C$160)+(ENTEL!O26/Prices!$C$165)</f>
        <v>12647.420138696927</v>
      </c>
      <c r="P26" s="279">
        <f>IF(L26=0,"nm",IF(O26=0,"nm",(O26/L26)^(1/3)-1))</f>
        <v>-4.1126492084128996E-2</v>
      </c>
      <c r="Q26" s="41"/>
      <c r="S26" s="42"/>
      <c r="T26" s="42"/>
      <c r="U26" s="42"/>
      <c r="V26" s="147" t="s">
        <v>181</v>
      </c>
      <c r="W26" s="288">
        <f t="shared" si="1"/>
        <v>0.74413471813849086</v>
      </c>
      <c r="X26" s="288">
        <v>1</v>
      </c>
      <c r="Y26" s="42"/>
      <c r="Z26" s="42"/>
      <c r="AA26" s="42"/>
    </row>
    <row r="27" spans="2:27">
      <c r="B27" s="5" t="s">
        <v>582</v>
      </c>
      <c r="C27" s="365">
        <f>MILLI!C27+(TIMP!C27/Prices!$C$160)+(ENTEL!C27/Prices!$C$165)</f>
        <v>14231.585628012026</v>
      </c>
      <c r="D27" s="228">
        <f>MILLI!D27+(TIMP!D27/Prices!$C$160)+(ENTEL!D27/Prices!$C$165)</f>
        <v>14458.549679211916</v>
      </c>
      <c r="E27" s="228">
        <f>MILLI!E27+(TIMP!E27/Prices!$C$160)+(ENTEL!E27/Prices!$C$165)</f>
        <v>14413.247872404532</v>
      </c>
      <c r="F27" s="228">
        <f>MILLI!F27+(TIMP!F27/Prices!$C$160)+(ENTEL!F27/Prices!$C$165)</f>
        <v>14405.468696242524</v>
      </c>
      <c r="G27" s="228">
        <f>MILLI!G27+(TIMP!G27/Prices!$C$160)+(ENTEL!G27/Prices!$C$165)</f>
        <v>14476.524151659418</v>
      </c>
      <c r="H27" s="279">
        <f t="shared" si="0"/>
        <v>4.1421925732731957E-4</v>
      </c>
      <c r="I27" s="248"/>
      <c r="J27" s="248"/>
      <c r="K27" s="248"/>
      <c r="L27" s="248"/>
      <c r="M27" s="248"/>
      <c r="N27" s="248"/>
      <c r="O27" s="248"/>
      <c r="Q27" s="5"/>
      <c r="S27" s="42"/>
      <c r="T27" s="42"/>
      <c r="U27" s="42"/>
      <c r="V27" s="147" t="s">
        <v>461</v>
      </c>
      <c r="W27" s="288">
        <f t="shared" si="1"/>
        <v>0.72965064474054497</v>
      </c>
      <c r="X27" s="288">
        <v>1</v>
      </c>
      <c r="Y27" s="42"/>
      <c r="Z27" s="42"/>
      <c r="AA27" s="42"/>
    </row>
    <row r="28" spans="2:27" ht="12.6" thickBot="1">
      <c r="B28" s="5" t="s">
        <v>587</v>
      </c>
      <c r="C28" s="365">
        <f>MILLI!C28+(TIMP!C28/Prices!$C$160)+(ENTEL!C28/Prices!$C$165)</f>
        <v>18728.946786948938</v>
      </c>
      <c r="D28" s="228">
        <f>MILLI!D28+(TIMP!D28/Prices!$C$160)+(ENTEL!D28/Prices!$C$165)</f>
        <v>19279.825946140674</v>
      </c>
      <c r="E28" s="228">
        <f>MILLI!E28+(TIMP!E28/Prices!$C$160)+(ENTEL!E28/Prices!$C$165)</f>
        <v>19397.640060042406</v>
      </c>
      <c r="F28" s="228">
        <f>MILLI!F28+(TIMP!F28/Prices!$C$160)+(ENTEL!F28/Prices!$C$165)</f>
        <v>19500.59886615464</v>
      </c>
      <c r="G28" s="228">
        <f>MILLI!G28+(TIMP!G28/Prices!$C$160)+(ENTEL!G28/Prices!$C$165)</f>
        <v>19703.368995519748</v>
      </c>
      <c r="H28" s="279">
        <f t="shared" si="0"/>
        <v>7.2697555235381461E-3</v>
      </c>
      <c r="I28" s="252"/>
      <c r="J28" s="306" t="s">
        <v>747</v>
      </c>
      <c r="K28" s="306"/>
      <c r="L28" s="306"/>
      <c r="M28" s="306"/>
      <c r="N28" s="266"/>
      <c r="O28" s="266"/>
      <c r="P28" s="266"/>
      <c r="Q28" s="5"/>
      <c r="S28" s="42"/>
      <c r="T28" s="42"/>
      <c r="U28" s="42"/>
      <c r="V28" s="147" t="s">
        <v>525</v>
      </c>
      <c r="W28" s="288">
        <f t="shared" si="1"/>
        <v>1.1973441655234343</v>
      </c>
      <c r="X28" s="288">
        <v>1</v>
      </c>
      <c r="Y28" s="42"/>
      <c r="Z28" s="42"/>
      <c r="AA28" s="42"/>
    </row>
    <row r="29" spans="2:27" ht="12.6" thickTop="1">
      <c r="B29" s="5" t="s">
        <v>583</v>
      </c>
      <c r="C29" s="365">
        <f>MILLI!C29+(TIMP!C29/Prices!$C$160)+(ENTEL!C29/Prices!$C$165)</f>
        <v>850.81431480815286</v>
      </c>
      <c r="D29" s="228">
        <f>MILLI!D29+(TIMP!D29/Prices!$C$160)+(ENTEL!D29/Prices!$C$165)</f>
        <v>1129.8784712208585</v>
      </c>
      <c r="E29" s="228">
        <f>MILLI!E29+(TIMP!E29/Prices!$C$160)+(ENTEL!E29/Prices!$C$165)</f>
        <v>1483.4976852523371</v>
      </c>
      <c r="F29" s="228">
        <f>MILLI!F29+(TIMP!F29/Prices!$C$160)+(ENTEL!F29/Prices!$C$165)</f>
        <v>1799.3517394368821</v>
      </c>
      <c r="G29" s="228">
        <f>MILLI!G29+(TIMP!G29/Prices!$C$160)+(ENTEL!G29/Prices!$C$165)</f>
        <v>1968.1002759441099</v>
      </c>
      <c r="H29" s="279">
        <f t="shared" si="0"/>
        <v>0.20320186438666643</v>
      </c>
      <c r="I29" s="254"/>
      <c r="J29" s="249"/>
      <c r="K29" s="249"/>
      <c r="L29" s="249"/>
      <c r="M29" s="249"/>
      <c r="N29" s="249"/>
      <c r="O29" s="251"/>
      <c r="Q29" s="5"/>
      <c r="S29" s="42"/>
      <c r="T29" s="42"/>
      <c r="U29" s="42"/>
      <c r="V29" s="147" t="s">
        <v>588</v>
      </c>
      <c r="W29" s="288">
        <f t="shared" si="1"/>
        <v>0.51198077195111757</v>
      </c>
      <c r="X29" s="288">
        <v>1</v>
      </c>
      <c r="Y29" s="42"/>
      <c r="Z29" s="42"/>
      <c r="AA29" s="42"/>
    </row>
    <row r="30" spans="2:27">
      <c r="B30" s="5" t="s">
        <v>584</v>
      </c>
      <c r="C30" s="365">
        <f>MILLI!C30+(TIMP!C30/Prices!$C$160)+(ENTEL!C30/Prices!$C$165)</f>
        <v>813.26191233727457</v>
      </c>
      <c r="D30" s="228">
        <f>MILLI!D30+(TIMP!D30/Prices!$C$160)+(ENTEL!D30/Prices!$C$165)</f>
        <v>935.40562566676283</v>
      </c>
      <c r="E30" s="228">
        <f>MILLI!E30+(TIMP!E30/Prices!$C$160)+(ENTEL!E30/Prices!$C$165)</f>
        <v>1232.5745486211185</v>
      </c>
      <c r="F30" s="228">
        <f>MILLI!F30+(TIMP!F30/Prices!$C$160)+(ENTEL!F30/Prices!$C$165)</f>
        <v>1611.9854951645373</v>
      </c>
      <c r="G30" s="228">
        <f>MILLI!G30+(TIMP!G30/Prices!$C$160)+(ENTEL!G30/Prices!$C$165)</f>
        <v>1863.7737927350054</v>
      </c>
      <c r="H30" s="279">
        <f t="shared" si="0"/>
        <v>0.25833924352795901</v>
      </c>
      <c r="I30" s="254"/>
      <c r="J30" s="248"/>
      <c r="K30" s="248"/>
      <c r="L30" s="248"/>
      <c r="M30" s="248"/>
      <c r="N30" s="248"/>
      <c r="O30" s="5"/>
      <c r="Q30" s="5"/>
      <c r="S30" s="42"/>
      <c r="T30" s="42"/>
      <c r="U30" s="42"/>
      <c r="V30" s="147" t="s">
        <v>379</v>
      </c>
      <c r="W30" s="288">
        <f>F43/N15</f>
        <v>0.46068426700847104</v>
      </c>
      <c r="X30" s="288">
        <v>1</v>
      </c>
      <c r="Y30" s="42"/>
      <c r="Z30" s="42"/>
      <c r="AA30" s="42"/>
    </row>
    <row r="31" spans="2:27">
      <c r="B31" s="5" t="s">
        <v>585</v>
      </c>
      <c r="C31" s="365">
        <f>MILLI!C31+(TIMP!C31/Prices!$C$160)+(ENTEL!C31/Prices!$C$165)</f>
        <v>211.74030849763278</v>
      </c>
      <c r="D31" s="228">
        <f>MILLI!D31+(TIMP!D31/Prices!$C$160)+(ENTEL!D31/Prices!$C$165)</f>
        <v>386.19820403302236</v>
      </c>
      <c r="E31" s="228">
        <f>MILLI!E31+(TIMP!E31/Prices!$C$160)+(ENTEL!E31/Prices!$C$165)</f>
        <v>550.4038103643727</v>
      </c>
      <c r="F31" s="228">
        <f>MILLI!F31+(TIMP!F31/Prices!$C$160)+(ENTEL!F31/Prices!$C$165)</f>
        <v>631.45838991447692</v>
      </c>
      <c r="G31" s="228">
        <f>MILLI!G31+(TIMP!G31/Prices!$C$160)+(ENTEL!G31/Prices!$C$165)</f>
        <v>664.68790061520747</v>
      </c>
      <c r="H31" s="279">
        <f t="shared" si="0"/>
        <v>0.19840195224916335</v>
      </c>
      <c r="I31" s="254"/>
      <c r="J31" s="252"/>
      <c r="K31" s="252"/>
      <c r="L31" s="252"/>
      <c r="M31" s="252"/>
      <c r="N31" s="252"/>
      <c r="O31" s="5"/>
      <c r="Q31" s="5"/>
      <c r="S31" s="42"/>
      <c r="T31" s="42"/>
      <c r="U31" s="42"/>
      <c r="V31" s="147" t="s">
        <v>528</v>
      </c>
      <c r="W31" s="288">
        <f>E44/M16</f>
        <v>0.50887325516574999</v>
      </c>
      <c r="X31" s="288">
        <v>1</v>
      </c>
      <c r="Y31" s="42"/>
      <c r="Z31" s="42"/>
      <c r="AA31" s="42"/>
    </row>
    <row r="32" spans="2:27">
      <c r="B32" s="5" t="s">
        <v>601</v>
      </c>
      <c r="C32" s="365">
        <f>MILLI!C32+(TIMP!C32/Prices!$C$160)+(ENTEL!C32/Prices!$C$165)</f>
        <v>0</v>
      </c>
      <c r="D32" s="228">
        <f>MILLI!D32+(TIMP!D32/Prices!$C$160)+(ENTEL!D32/Prices!$C$165)</f>
        <v>0</v>
      </c>
      <c r="E32" s="228">
        <f>MILLI!E32+(TIMP!E32/Prices!$C$160)+(ENTEL!E32/Prices!$C$165)</f>
        <v>0</v>
      </c>
      <c r="F32" s="228">
        <f>MILLI!F32+(TIMP!F32/Prices!$C$160)+(ENTEL!F32/Prices!$C$165)</f>
        <v>5.3040000000000003</v>
      </c>
      <c r="G32" s="228">
        <f>MILLI!G32+(TIMP!G32/Prices!$C$160)+(ENTEL!G32/Prices!$C$165)</f>
        <v>15.6</v>
      </c>
      <c r="H32" s="279" t="str">
        <f t="shared" si="0"/>
        <v>nm</v>
      </c>
      <c r="I32" s="5"/>
      <c r="J32" s="254"/>
      <c r="K32" s="254"/>
      <c r="L32" s="254"/>
      <c r="M32" s="254"/>
      <c r="N32" s="254"/>
      <c r="O32" s="251"/>
      <c r="Q32" s="5"/>
      <c r="S32" s="42"/>
      <c r="T32" s="42"/>
      <c r="U32" s="42"/>
      <c r="V32" s="147" t="s">
        <v>575</v>
      </c>
      <c r="W32" s="288">
        <f>M17/E45</f>
        <v>0.8644864854534059</v>
      </c>
      <c r="X32" s="288">
        <v>1</v>
      </c>
      <c r="Y32" s="42"/>
      <c r="Z32" s="42"/>
      <c r="AA32" s="42"/>
    </row>
    <row r="33" spans="2:42">
      <c r="B33" s="5" t="s">
        <v>5</v>
      </c>
      <c r="C33" s="365">
        <f>MILLI!C33+(TIMP!C33/Prices!$C$160)+(ENTEL!C33/Prices!$C$165)</f>
        <v>965.15964625959657</v>
      </c>
      <c r="D33" s="228">
        <f>MILLI!D33+(TIMP!D33/Prices!$C$160)+(ENTEL!D33/Prices!$C$165)</f>
        <v>1023.1341479396602</v>
      </c>
      <c r="E33" s="228">
        <f>MILLI!E33+(TIMP!E33/Prices!$C$160)+(ENTEL!E33/Prices!$C$165)</f>
        <v>968.34852084783176</v>
      </c>
      <c r="F33" s="228">
        <f>MILLI!F33+(TIMP!F33/Prices!$C$160)+(ENTEL!F33/Prices!$C$165)</f>
        <v>879.29539460535989</v>
      </c>
      <c r="G33" s="228">
        <f>MILLI!G33+(TIMP!G33/Prices!$C$160)+(ENTEL!G33/Prices!$C$165)</f>
        <v>796.55738287925897</v>
      </c>
      <c r="H33" s="279">
        <f t="shared" si="0"/>
        <v>-8.0055778490949803E-2</v>
      </c>
      <c r="I33" s="49"/>
      <c r="J33" s="254"/>
      <c r="K33" s="254"/>
      <c r="L33" s="254"/>
      <c r="M33" s="254"/>
      <c r="N33" s="254"/>
      <c r="O33" s="251"/>
      <c r="Q33" s="5"/>
      <c r="S33" s="42"/>
      <c r="T33" s="42"/>
      <c r="U33" s="42"/>
      <c r="V33" s="147" t="s">
        <v>261</v>
      </c>
      <c r="W33" s="288">
        <f>N19/F47</f>
        <v>0.46068426700847098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607</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2.2232200101777857</v>
      </c>
      <c r="E37" s="64">
        <f t="shared" si="2"/>
        <v>2.0589058136016978</v>
      </c>
      <c r="F37" s="64">
        <f t="shared" si="2"/>
        <v>1.8608487920845524</v>
      </c>
      <c r="G37" s="64">
        <f t="shared" si="2"/>
        <v>1.6475345718618815</v>
      </c>
      <c r="H37" s="17">
        <f t="shared" ref="H37:H45" si="3">H23</f>
        <v>3.4615117612012414E-2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5.5513222442043304</v>
      </c>
      <c r="E38" s="64">
        <f t="shared" si="2"/>
        <v>5.0412781171960415</v>
      </c>
      <c r="F38" s="64">
        <f t="shared" si="2"/>
        <v>4.4661676121823097</v>
      </c>
      <c r="G38" s="64">
        <f t="shared" si="2"/>
        <v>3.9207027473271143</v>
      </c>
      <c r="H38" s="17">
        <f t="shared" si="3"/>
        <v>5.1333149380524246E-2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9.646923587005535</v>
      </c>
      <c r="E39" s="64">
        <f t="shared" si="2"/>
        <v>8.3754437433760849</v>
      </c>
      <c r="F39" s="64">
        <f t="shared" si="2"/>
        <v>7.1399931104472305</v>
      </c>
      <c r="G39" s="64">
        <f t="shared" si="2"/>
        <v>6.2110946745245244</v>
      </c>
      <c r="H39" s="17">
        <f t="shared" si="3"/>
        <v>8.4267435127213242E-2</v>
      </c>
      <c r="I39" s="5"/>
      <c r="J39" s="5"/>
      <c r="K39" s="5"/>
      <c r="L39" s="5"/>
      <c r="M39" s="5"/>
      <c r="N39" s="5"/>
      <c r="O39" s="5"/>
      <c r="Q39" s="5"/>
      <c r="R39" s="5"/>
      <c r="S39" s="42"/>
      <c r="T39" s="42"/>
      <c r="U39" s="42"/>
      <c r="V39" s="42"/>
      <c r="W39" s="288"/>
      <c r="X39" s="288"/>
      <c r="Y39" s="42"/>
      <c r="Z39" s="42"/>
      <c r="AA39" s="42"/>
    </row>
    <row r="40" spans="2:42">
      <c r="B40" s="5" t="s">
        <v>461</v>
      </c>
      <c r="C40" s="247"/>
      <c r="D40" s="64">
        <f t="shared" si="2"/>
        <v>12.09641294846241</v>
      </c>
      <c r="E40" s="64">
        <f t="shared" si="2"/>
        <v>10.578357242399944</v>
      </c>
      <c r="F40" s="64">
        <f t="shared" si="2"/>
        <v>9.2854568924535332</v>
      </c>
      <c r="G40" s="64">
        <f t="shared" si="2"/>
        <v>8.2365912346931154</v>
      </c>
      <c r="H40" s="17">
        <f t="shared" si="3"/>
        <v>6.4222773587057747E-2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1.913278313401171</v>
      </c>
      <c r="E41" s="64">
        <f t="shared" si="2"/>
        <v>1.8419298381889415</v>
      </c>
      <c r="F41" s="64">
        <f t="shared" si="2"/>
        <v>1.7245299259805054</v>
      </c>
      <c r="G41" s="64">
        <f t="shared" si="2"/>
        <v>1.5682927508454187</v>
      </c>
      <c r="H41" s="17">
        <f t="shared" si="3"/>
        <v>4.1421925732731957E-4</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1.4348277635777664</v>
      </c>
      <c r="E42" s="64">
        <f>E18/E28</f>
        <v>1.368629959068183</v>
      </c>
      <c r="F42" s="64">
        <f>F18/F28</f>
        <v>1.2739435355271413</v>
      </c>
      <c r="G42" s="64">
        <f>G18/G28</f>
        <v>1.152261214295307</v>
      </c>
      <c r="H42" s="17">
        <f t="shared" si="3"/>
        <v>7.2697555235381461E-3</v>
      </c>
      <c r="I42" s="247"/>
      <c r="J42" s="5"/>
      <c r="K42" s="5"/>
      <c r="L42" s="5"/>
      <c r="M42" s="5"/>
      <c r="N42" s="5"/>
      <c r="O42" s="5"/>
      <c r="Q42" s="5"/>
      <c r="R42" s="5"/>
      <c r="S42" s="42"/>
      <c r="T42" s="42"/>
      <c r="U42" s="42"/>
      <c r="V42" s="42"/>
      <c r="W42" s="288"/>
      <c r="X42" s="288"/>
      <c r="Y42" s="288"/>
      <c r="Z42" s="288"/>
      <c r="AA42" s="42"/>
    </row>
    <row r="43" spans="2:42">
      <c r="B43" s="5" t="s">
        <v>470</v>
      </c>
      <c r="C43" s="247"/>
      <c r="D43" s="64">
        <f>L26/D29</f>
        <v>12.696565346959199</v>
      </c>
      <c r="E43" s="64">
        <f>M26/E29</f>
        <v>9.7389661726429697</v>
      </c>
      <c r="F43" s="64">
        <f>N26/F29</f>
        <v>7.933488581340792</v>
      </c>
      <c r="G43" s="64">
        <f>O26/G29</f>
        <v>6.4262071873496796</v>
      </c>
      <c r="H43" s="17">
        <f t="shared" si="3"/>
        <v>0.20320186438666643</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12.032481425695035</v>
      </c>
      <c r="E44" s="64">
        <f>E11/E30</f>
        <v>9.1314970189163951</v>
      </c>
      <c r="F44" s="64">
        <f>F11/F30</f>
        <v>6.8170283475189164</v>
      </c>
      <c r="G44" s="64">
        <f>G11/G30</f>
        <v>5.7531932566725024</v>
      </c>
      <c r="H44" s="17">
        <f t="shared" si="3"/>
        <v>0.25833924352795901</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3.4312714157629799E-2</v>
      </c>
      <c r="E45" s="248">
        <f>E31/E11</f>
        <v>4.8901958681009668E-2</v>
      </c>
      <c r="F45" s="248">
        <f>F31/F11</f>
        <v>5.7463028133344397E-2</v>
      </c>
      <c r="G45" s="248">
        <f>G31/G11</f>
        <v>6.1989139812626819E-2</v>
      </c>
      <c r="H45" s="17">
        <f t="shared" si="3"/>
        <v>0.19840195224916335</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3.4312714157629799E-2</v>
      </c>
      <c r="E46" s="248">
        <f>(E31+E32)/E11</f>
        <v>4.8901958681009668E-2</v>
      </c>
      <c r="F46" s="248">
        <f>(F31+F32)/F11</f>
        <v>5.7945694776289053E-2</v>
      </c>
      <c r="G46" s="248">
        <f>(G31+G32)/G11</f>
        <v>6.3444003937853016E-2</v>
      </c>
      <c r="H46" s="279">
        <f>((G31+G32)/(D31+D32))^(1/3)-1</f>
        <v>0.2077049110414857</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7.8761458132415155E-2</v>
      </c>
      <c r="E47" s="248">
        <f>1/E43</f>
        <v>0.10268030325529091</v>
      </c>
      <c r="F47" s="248">
        <f>1/F43</f>
        <v>0.12604795352601314</v>
      </c>
      <c r="G47" s="248">
        <f>1/G43</f>
        <v>0.15561278540295925</v>
      </c>
      <c r="H47" s="17">
        <f>H29</f>
        <v>0.20320186438666643</v>
      </c>
      <c r="I47" s="247"/>
      <c r="J47" s="248"/>
      <c r="K47" s="248"/>
      <c r="L47" s="248"/>
      <c r="M47" s="248"/>
      <c r="N47" s="248"/>
      <c r="O47" s="248"/>
      <c r="Q47" s="5"/>
      <c r="R47" s="5"/>
      <c r="S47" s="5"/>
      <c r="T47" s="5"/>
      <c r="U47" s="5"/>
      <c r="AA47" s="303"/>
      <c r="AB47" s="303"/>
    </row>
    <row r="48" spans="2:42">
      <c r="B48" s="5" t="s">
        <v>613</v>
      </c>
      <c r="C48" s="5"/>
      <c r="D48" s="305">
        <f>D31/D29</f>
        <v>0.3418050824667247</v>
      </c>
      <c r="E48" s="305">
        <f>E31/E29</f>
        <v>0.37101764015947974</v>
      </c>
      <c r="F48" s="305">
        <f>F31/F29</f>
        <v>0.35093660459743997</v>
      </c>
      <c r="G48" s="305">
        <f>G31/G29</f>
        <v>0.3377307085109536</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8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818</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821</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'EM ALTNET &amp; CABLE'!D37</f>
        <v>1.9449789682645313</v>
      </c>
      <c r="M9" s="64">
        <f>'EM ALTNET &amp; CABLE'!E37</f>
        <v>1.8420758256002729</v>
      </c>
      <c r="N9" s="64">
        <f>'EM ALTNET &amp; CABLE'!F37</f>
        <v>1.9816311378972182</v>
      </c>
      <c r="O9" s="64">
        <f>'EM ALTNET &amp; CABLE'!G37</f>
        <v>1.8881405998579619</v>
      </c>
      <c r="P9" s="17">
        <f>'AGG DM'!H37</f>
        <v>2.0555376527773284E-2</v>
      </c>
    </row>
    <row r="10" spans="2:63">
      <c r="B10" s="5" t="s">
        <v>269</v>
      </c>
      <c r="C10" s="5"/>
      <c r="D10" s="332"/>
      <c r="E10" s="332"/>
      <c r="F10" s="332"/>
      <c r="G10" s="332"/>
      <c r="H10" s="247"/>
      <c r="I10" s="247"/>
      <c r="J10" s="5" t="s">
        <v>180</v>
      </c>
      <c r="L10" s="64">
        <f>'EM ALTNET &amp; CABLE'!D38</f>
        <v>5.074509890688975</v>
      </c>
      <c r="M10" s="64">
        <f>'EM ALTNET &amp; CABLE'!E38</f>
        <v>4.6421209435581048</v>
      </c>
      <c r="N10" s="64">
        <f>'EM ALTNET &amp; CABLE'!F38</f>
        <v>4.9091585624158229</v>
      </c>
      <c r="O10" s="64">
        <f>'EM ALTNET &amp; CABLE'!G38</f>
        <v>4.6241376865670754</v>
      </c>
      <c r="P10" s="17">
        <f>'AGG DM'!H38</f>
        <v>3.4105393529800354E-2</v>
      </c>
      <c r="W10" s="10"/>
      <c r="X10" s="10"/>
      <c r="Y10" s="10"/>
      <c r="Z10" s="10"/>
    </row>
    <row r="11" spans="2:63">
      <c r="B11" s="41" t="s">
        <v>354</v>
      </c>
      <c r="C11" s="5"/>
      <c r="D11" s="271">
        <f>MEGA!D11/Prices!$C$180+LiLAC!D11</f>
        <v>3556.1191780102909</v>
      </c>
      <c r="E11" s="271">
        <f>MEGA!E11/Prices!$C$180+LiLAC!E11</f>
        <v>3565.039858010291</v>
      </c>
      <c r="F11" s="271">
        <f>MEGA!F11/Prices!$C$180+LiLAC!F11</f>
        <v>4040.0447380102905</v>
      </c>
      <c r="G11" s="271">
        <f>MEGA!G11/Prices!$C$180+LiLAC!G11</f>
        <v>4018.2407380102904</v>
      </c>
      <c r="H11" s="249"/>
      <c r="I11" s="249"/>
      <c r="J11" s="5" t="s">
        <v>181</v>
      </c>
      <c r="L11" s="64">
        <f>'EM ALTNET &amp; CABLE'!D39</f>
        <v>12.320927856897759</v>
      </c>
      <c r="M11" s="64">
        <f>'EM ALTNET &amp; CABLE'!E39</f>
        <v>10.368680336618187</v>
      </c>
      <c r="N11" s="64">
        <f>'EM ALTNET &amp; CABLE'!F39</f>
        <v>9.5587219650692017</v>
      </c>
      <c r="O11" s="64">
        <f>'EM ALTNET &amp; CABLE'!G39</f>
        <v>8.662004274768087</v>
      </c>
      <c r="P11" s="17">
        <f>'AGG DM'!H39</f>
        <v>8.8933115291126796E-2</v>
      </c>
      <c r="W11" s="10"/>
      <c r="X11" s="10"/>
      <c r="Y11" s="10"/>
      <c r="Z11" s="10"/>
    </row>
    <row r="12" spans="2:63">
      <c r="B12" s="5" t="s">
        <v>225</v>
      </c>
      <c r="C12" s="249"/>
      <c r="D12" s="228">
        <f>MEGA!D12/Prices!$C$180+LiLAC!D12</f>
        <v>8068.0798118677512</v>
      </c>
      <c r="E12" s="228">
        <f>MEGA!E12/Prices!$C$180+LiLAC!E12</f>
        <v>8007.9134625386632</v>
      </c>
      <c r="F12" s="228">
        <f>MEGA!F12/Prices!$C$180+LiLAC!F12</f>
        <v>7820.3884917963387</v>
      </c>
      <c r="G12" s="228">
        <f>MEGA!G12/Prices!$C$180+LiLAC!G12</f>
        <v>7499.4041853202834</v>
      </c>
      <c r="H12" s="247"/>
      <c r="I12" s="247"/>
      <c r="J12" s="5" t="s">
        <v>461</v>
      </c>
      <c r="L12" s="64">
        <f>'EM ALTNET &amp; CABLE'!D40</f>
        <v>17.112399801246887</v>
      </c>
      <c r="M12" s="64">
        <f>'EM ALTNET &amp; CABLE'!E40</f>
        <v>14.400944911969706</v>
      </c>
      <c r="N12" s="64">
        <f>'EM ALTNET &amp; CABLE'!F40</f>
        <v>13.276002729262778</v>
      </c>
      <c r="O12" s="64">
        <f>'EM ALTNET &amp; CABLE'!G40</f>
        <v>12.030561492733456</v>
      </c>
      <c r="P12" s="17">
        <f>'AGG DM'!H40</f>
        <v>8.8308894519717684E-2</v>
      </c>
      <c r="W12" s="10"/>
      <c r="X12" s="10"/>
      <c r="Y12" s="10"/>
      <c r="Z12" s="10"/>
    </row>
    <row r="13" spans="2:63">
      <c r="B13" s="5" t="s">
        <v>524</v>
      </c>
      <c r="C13" s="257"/>
      <c r="D13" s="228">
        <f>MEGA!D13/Prices!$C$180+LiLAC!D13</f>
        <v>0</v>
      </c>
      <c r="E13" s="228">
        <f>MEGA!E13/Prices!$C$180+LiLAC!E13</f>
        <v>0</v>
      </c>
      <c r="F13" s="228">
        <f>MEGA!F13/Prices!$C$180+LiLAC!F13</f>
        <v>0</v>
      </c>
      <c r="G13" s="228">
        <f>MEGA!G13/Prices!$C$180+LiLAC!G13</f>
        <v>0</v>
      </c>
      <c r="H13" s="247"/>
      <c r="I13" s="247"/>
      <c r="J13" s="5" t="s">
        <v>525</v>
      </c>
      <c r="L13" s="64">
        <f>'EM ALTNET &amp; CABLE'!D41</f>
        <v>1.2007397446594752</v>
      </c>
      <c r="M13" s="64">
        <f>'EM ALTNET &amp; CABLE'!E41</f>
        <v>1.189103620138116</v>
      </c>
      <c r="N13" s="64">
        <f>'EM ALTNET &amp; CABLE'!F41</f>
        <v>1.3589051048177667</v>
      </c>
      <c r="O13" s="64">
        <f>'EM ALTNET &amp; CABLE'!G41</f>
        <v>1.3485000178303104</v>
      </c>
      <c r="P13" s="17">
        <f>'AGG DM'!H41</f>
        <v>-2.5897691811048396E-2</v>
      </c>
    </row>
    <row r="14" spans="2:63">
      <c r="B14" s="5" t="s">
        <v>527</v>
      </c>
      <c r="C14" s="274"/>
      <c r="D14" s="228">
        <f>MEGA!D14/Prices!$C$180+LiLAC!D14</f>
        <v>0</v>
      </c>
      <c r="E14" s="228">
        <f>MEGA!E14/Prices!$C$180+LiLAC!E14</f>
        <v>0</v>
      </c>
      <c r="F14" s="228">
        <f>MEGA!F14/Prices!$C$180+LiLAC!F14</f>
        <v>1183.3135633341376</v>
      </c>
      <c r="G14" s="228">
        <f>MEGA!G14/Prices!$C$180+LiLAC!G14</f>
        <v>1183.3135633341376</v>
      </c>
      <c r="H14" s="247"/>
      <c r="I14" s="247"/>
      <c r="J14" s="5" t="s">
        <v>588</v>
      </c>
      <c r="L14" s="64">
        <f>'EM ALTNET &amp; CABLE'!D42</f>
        <v>2.3774967737691939</v>
      </c>
      <c r="M14" s="64">
        <f>'EM ALTNET &amp; CABLE'!E42</f>
        <v>2.1276647884375359</v>
      </c>
      <c r="N14" s="64">
        <f>'EM ALTNET &amp; CABLE'!F42</f>
        <v>2.2439216252801724</v>
      </c>
      <c r="O14" s="64">
        <f>'EM ALTNET &amp; CABLE'!G42</f>
        <v>2.0773317386242183</v>
      </c>
      <c r="P14" s="17">
        <f>'AGG DM'!H42</f>
        <v>-1.3621174796897284E-2</v>
      </c>
    </row>
    <row r="15" spans="2:63">
      <c r="B15" s="5" t="s">
        <v>526</v>
      </c>
      <c r="C15" s="257"/>
      <c r="D15" s="228">
        <f>MEGA!D15/Prices!$C$180+LiLAC!D14</f>
        <v>216.4933605439987</v>
      </c>
      <c r="E15" s="228">
        <f>MEGA!E15/Prices!$C$180+LiLAC!E15</f>
        <v>216.4933605439987</v>
      </c>
      <c r="F15" s="228">
        <f>MEGA!F15/Prices!$C$180+LiLAC!F15</f>
        <v>216.4933605439987</v>
      </c>
      <c r="G15" s="228">
        <f>MEGA!G15/Prices!$C$180+LiLAC!G15</f>
        <v>216.4933605439987</v>
      </c>
      <c r="H15" s="247"/>
      <c r="I15" s="247"/>
      <c r="J15" s="5" t="s">
        <v>470</v>
      </c>
      <c r="L15" s="64">
        <f>'EM ALTNET &amp; CABLE'!D43</f>
        <v>5.5109636185685771</v>
      </c>
      <c r="M15" s="64">
        <f>'EM ALTNET &amp; CABLE'!E43</f>
        <v>3.6397037108520314</v>
      </c>
      <c r="N15" s="64">
        <f>'EM ALTNET &amp; CABLE'!F43</f>
        <v>2.583368468069132</v>
      </c>
      <c r="O15" s="64">
        <f>'EM ALTNET &amp; CABLE'!G43</f>
        <v>2.3375894944260418</v>
      </c>
      <c r="P15" s="17">
        <f>'AGG DM'!H43</f>
        <v>6.900159277298723E-2</v>
      </c>
      <c r="S15" s="88"/>
      <c r="T15" s="88"/>
      <c r="U15" s="88"/>
      <c r="V15" s="42"/>
      <c r="W15" s="42"/>
      <c r="X15" s="42"/>
      <c r="Y15" s="42"/>
      <c r="Z15" s="42"/>
      <c r="AA15" s="42"/>
    </row>
    <row r="16" spans="2:63">
      <c r="B16" s="5" t="s">
        <v>529</v>
      </c>
      <c r="C16" s="257"/>
      <c r="D16" s="228">
        <f>MEGA!D16/Prices!$C$180+LiLAC!D16</f>
        <v>0</v>
      </c>
      <c r="E16" s="228">
        <f>MEGA!E16/Prices!$C$180+LiLAC!E16</f>
        <v>134.05118937276737</v>
      </c>
      <c r="F16" s="228">
        <f>MEGA!F16/Prices!$C$180+LiLAC!F16</f>
        <v>274.80493821417309</v>
      </c>
      <c r="G16" s="228">
        <f>MEGA!G16/Prices!$C$180+LiLAC!G16</f>
        <v>429.6340619397194</v>
      </c>
      <c r="H16" s="247"/>
      <c r="I16" s="247"/>
      <c r="J16" s="5" t="s">
        <v>528</v>
      </c>
      <c r="L16" s="64">
        <f>'EM ALTNET &amp; CABLE'!D44</f>
        <v>7.6011918525835647</v>
      </c>
      <c r="M16" s="64">
        <f>'EM ALTNET &amp; CABLE'!E44</f>
        <v>4.3229009086570729</v>
      </c>
      <c r="N16" s="64">
        <f>'EM ALTNET &amp; CABLE'!F44</f>
        <v>4.5983522776507311</v>
      </c>
      <c r="O16" s="64">
        <f>'EM ALTNET &amp; CABLE'!G44</f>
        <v>4.444424088884638</v>
      </c>
      <c r="P16" s="17">
        <f>'AGG DM'!H44</f>
        <v>8.8584802895584236E-2</v>
      </c>
      <c r="S16" s="88"/>
      <c r="T16" s="88"/>
      <c r="U16" s="88"/>
      <c r="V16" s="42"/>
      <c r="W16" s="42"/>
      <c r="X16" s="42"/>
      <c r="Y16" s="42"/>
      <c r="Z16" s="42"/>
      <c r="AA16" s="42"/>
    </row>
    <row r="17" spans="2:27">
      <c r="B17" s="5" t="s">
        <v>6</v>
      </c>
      <c r="C17" s="257"/>
      <c r="D17" s="228">
        <f>MEGA!D17/Prices!$C$180+LiLAC!D17</f>
        <v>0</v>
      </c>
      <c r="E17" s="228">
        <f>MEGA!E17/Prices!$C$180+LiLAC!E17</f>
        <v>0</v>
      </c>
      <c r="F17" s="228">
        <f>MEGA!F17/Prices!$C$180+LiLAC!F17</f>
        <v>0</v>
      </c>
      <c r="G17" s="228">
        <f>MEGA!G17/Prices!$C$180+LiLAC!G17</f>
        <v>0</v>
      </c>
      <c r="H17" s="247"/>
      <c r="I17" s="247"/>
      <c r="J17" s="5" t="s">
        <v>575</v>
      </c>
      <c r="L17" s="248">
        <f>'EM ALTNET &amp; CABLE'!D45</f>
        <v>3.7695921498269717E-2</v>
      </c>
      <c r="M17" s="248">
        <f>'EM ALTNET &amp; CABLE'!E45</f>
        <v>3.948167606742068E-2</v>
      </c>
      <c r="N17" s="248">
        <f>'EM ALTNET &amp; CABLE'!F45</f>
        <v>3.832361613940919E-2</v>
      </c>
      <c r="O17" s="248">
        <f>'EM ALTNET &amp; CABLE'!G45</f>
        <v>4.2384726849998111E-2</v>
      </c>
      <c r="P17" s="17">
        <f>'AGG DM'!H45</f>
        <v>5.9498643383417704E-2</v>
      </c>
      <c r="S17" s="88"/>
      <c r="T17" s="88"/>
      <c r="U17" s="88"/>
      <c r="V17" s="42"/>
      <c r="W17" s="42"/>
      <c r="X17" s="42"/>
      <c r="Y17" s="42"/>
      <c r="Z17" s="42"/>
      <c r="AA17" s="42"/>
    </row>
    <row r="18" spans="2:27" ht="12.6" thickBot="1">
      <c r="B18" s="41" t="s">
        <v>451</v>
      </c>
      <c r="C18" s="249"/>
      <c r="D18" s="275">
        <f>MEGA!D18/Prices!$C$180+LiLAC!D18</f>
        <v>11840.692350422039</v>
      </c>
      <c r="E18" s="275">
        <f>MEGA!E18/Prices!$C$180+LiLAC!E18</f>
        <v>11655.395491720185</v>
      </c>
      <c r="F18" s="275">
        <f>MEGA!F18/Prices!$C$180+LiLAC!F18</f>
        <v>12985.435215470592</v>
      </c>
      <c r="G18" s="275">
        <f>MEGA!G18/Prices!$C$180+LiLAC!G18</f>
        <v>12487.817785268991</v>
      </c>
      <c r="H18" s="276">
        <f>IF(D18=0,"nm",IF(G18=0,"nm",(G18/D18)^(1/3)-1))</f>
        <v>1.7895400528657568E-2</v>
      </c>
      <c r="I18" s="254"/>
      <c r="J18" s="5" t="s">
        <v>36</v>
      </c>
      <c r="L18" s="248">
        <f>'EM ALTNET &amp; CABLE'!D46</f>
        <v>0.10737862547858126</v>
      </c>
      <c r="M18" s="248">
        <f>'EM ALTNET &amp; CABLE'!E46</f>
        <v>-4.3607510091825692E-3</v>
      </c>
      <c r="N18" s="248">
        <f>'EM ALTNET &amp; CABLE'!F46</f>
        <v>0.48771715451249231</v>
      </c>
      <c r="O18" s="248">
        <f>'EM ALTNET &amp; CABLE'!G46</f>
        <v>0.11627278367832435</v>
      </c>
      <c r="P18" s="17">
        <f>'AGG DM'!H46</f>
        <v>0.1533509355908349</v>
      </c>
      <c r="S18" s="88"/>
      <c r="T18" s="88"/>
      <c r="U18" s="88"/>
      <c r="V18" s="42"/>
      <c r="W18" s="42"/>
      <c r="X18" s="42"/>
      <c r="Y18" s="42"/>
      <c r="Z18" s="42"/>
      <c r="AA18" s="42"/>
    </row>
    <row r="19" spans="2:27" ht="12.6" thickTop="1">
      <c r="B19" s="41"/>
      <c r="C19" s="249"/>
      <c r="D19" s="229"/>
      <c r="E19" s="229"/>
      <c r="F19" s="229"/>
      <c r="G19" s="229"/>
      <c r="H19" s="276"/>
      <c r="I19" s="17"/>
      <c r="J19" s="5" t="s">
        <v>576</v>
      </c>
      <c r="L19" s="248">
        <f>'EM ALTNET &amp; CABLE'!D47</f>
        <v>0.18145646917911262</v>
      </c>
      <c r="M19" s="248">
        <f>'EM ALTNET &amp; CABLE'!E47</f>
        <v>0.27474763866586999</v>
      </c>
      <c r="N19" s="248">
        <f>'EM ALTNET &amp; CABLE'!F47</f>
        <v>0.38709150953887062</v>
      </c>
      <c r="O19" s="248">
        <f>'EM ALTNET &amp; CABLE'!G47</f>
        <v>0.42779110805575132</v>
      </c>
      <c r="P19" s="17">
        <f>'AGG DM'!H47</f>
        <v>6.900159277298723E-2</v>
      </c>
      <c r="S19" s="88"/>
      <c r="T19" s="88"/>
      <c r="U19" s="88"/>
      <c r="V19" s="42"/>
      <c r="W19" s="42"/>
      <c r="X19" s="42"/>
      <c r="Y19" s="42"/>
      <c r="Z19" s="42"/>
      <c r="AA19" s="42"/>
    </row>
    <row r="20" spans="2:27">
      <c r="H20" s="277"/>
      <c r="I20" s="49"/>
      <c r="J20" s="5" t="s">
        <v>599</v>
      </c>
      <c r="L20" s="248">
        <f>'EM ALTNET &amp; CABLE'!D48</f>
        <v>0.40140789609822214</v>
      </c>
      <c r="M20" s="248">
        <f>'EM ALTNET &amp; CABLE'!E48</f>
        <v>0.27836440332773654</v>
      </c>
      <c r="N20" s="248">
        <f>'EM ALTNET &amp; CABLE'!F48</f>
        <v>0.21733351592609534</v>
      </c>
      <c r="O20" s="248">
        <f>'EM ALTNET &amp; CABLE'!G48</f>
        <v>0.21632229582594412</v>
      </c>
      <c r="P20" s="17" t="str">
        <f>'AGG DM'!H48</f>
        <v>nm</v>
      </c>
      <c r="S20" s="42"/>
      <c r="T20" s="42"/>
      <c r="U20" s="42"/>
      <c r="V20" s="42"/>
      <c r="W20" s="42"/>
      <c r="X20" s="42"/>
      <c r="Y20" s="42"/>
      <c r="Z20" s="42"/>
      <c r="AA20" s="42"/>
    </row>
    <row r="21" spans="2:27" ht="12.6" thickBot="1">
      <c r="B21" s="306" t="s">
        <v>156</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MEGA!C23/Prices!$C$180+LiLAC!C23</f>
        <v>6180.6981162250468</v>
      </c>
      <c r="D23" s="228">
        <f>MEGA!D23/Prices!$C$180+LiLAC!D23</f>
        <v>6087.8253922649201</v>
      </c>
      <c r="E23" s="228">
        <f>MEGA!E23/Prices!$C$180+LiLAC!E23</f>
        <v>6327.3158084695388</v>
      </c>
      <c r="F23" s="228">
        <f>MEGA!F23/Prices!$C$180+LiLAC!F23</f>
        <v>6552.902286976534</v>
      </c>
      <c r="G23" s="228">
        <f>MEGA!G23/Prices!$C$180+LiLAC!G23</f>
        <v>6613.8177348701711</v>
      </c>
      <c r="H23" s="279">
        <f t="shared" ref="H23:H33" si="0">IF(D23=0,"nm",IF(G23=0,"nm",(G23/D23)^(1/3)-1))</f>
        <v>2.8008435151252398E-2</v>
      </c>
      <c r="I23" s="249"/>
      <c r="J23" s="306" t="s">
        <v>9</v>
      </c>
      <c r="K23" s="306"/>
      <c r="L23" s="265" t="str">
        <f>L5</f>
        <v>2023E</v>
      </c>
      <c r="M23" s="265" t="str">
        <f>M5</f>
        <v>2024E</v>
      </c>
      <c r="N23" s="265" t="str">
        <f>N5</f>
        <v>2025E</v>
      </c>
      <c r="O23" s="265" t="str">
        <f>O5</f>
        <v>2026E</v>
      </c>
      <c r="P23" s="282" t="str">
        <f>P5</f>
        <v>23E-26E</v>
      </c>
      <c r="S23" s="42"/>
      <c r="T23" s="42"/>
      <c r="U23" s="42"/>
      <c r="V23" s="42"/>
      <c r="W23" s="42" t="s">
        <v>562</v>
      </c>
      <c r="X23" s="42" t="s">
        <v>605</v>
      </c>
      <c r="Y23" s="42"/>
      <c r="Z23" s="42"/>
      <c r="AA23" s="42"/>
    </row>
    <row r="24" spans="2:27" ht="12.6" thickTop="1">
      <c r="B24" s="5" t="s">
        <v>478</v>
      </c>
      <c r="C24" s="365">
        <f>MEGA!C24/Prices!$C$180+LiLAC!C24</f>
        <v>2360.1751950436555</v>
      </c>
      <c r="D24" s="228">
        <f>MEGA!D24/Prices!$C$180+LiLAC!D24</f>
        <v>2333.3666906725466</v>
      </c>
      <c r="E24" s="228">
        <f>MEGA!E24/Prices!$C$180+LiLAC!E24</f>
        <v>2510.7910012328389</v>
      </c>
      <c r="F24" s="228">
        <f>MEGA!F24/Prices!$C$180+LiLAC!F24</f>
        <v>2645.1447942395225</v>
      </c>
      <c r="G24" s="228">
        <f>MEGA!G24/Prices!$C$180+LiLAC!G24</f>
        <v>2700.5722216156269</v>
      </c>
      <c r="H24" s="279">
        <f t="shared" si="0"/>
        <v>4.992336528871455E-2</v>
      </c>
      <c r="I24" s="248"/>
      <c r="J24" s="17"/>
      <c r="K24" s="17"/>
      <c r="L24" s="17"/>
      <c r="M24" s="17"/>
      <c r="N24" s="17"/>
      <c r="O24" s="248"/>
      <c r="S24" s="42"/>
      <c r="T24" s="42"/>
      <c r="U24" s="42"/>
      <c r="V24" s="147" t="s">
        <v>268</v>
      </c>
      <c r="W24" s="288">
        <f t="shared" ref="W24:W31" si="1">E37/M9</f>
        <v>1</v>
      </c>
      <c r="X24" s="288">
        <v>1</v>
      </c>
      <c r="Y24" s="42"/>
      <c r="Z24" s="42"/>
      <c r="AA24" s="42"/>
    </row>
    <row r="25" spans="2:27">
      <c r="B25" s="5" t="s">
        <v>179</v>
      </c>
      <c r="C25" s="365">
        <f>MEGA!C25/Prices!$C$180+LiLAC!C25</f>
        <v>948.62303011314123</v>
      </c>
      <c r="D25" s="228">
        <f>MEGA!D25/Prices!$C$180+LiLAC!D25</f>
        <v>961.02278074724188</v>
      </c>
      <c r="E25" s="228">
        <f>MEGA!E25/Prices!$C$180+LiLAC!E25</f>
        <v>1124.09632791531</v>
      </c>
      <c r="F25" s="228">
        <f>MEGA!F25/Prices!$C$180+LiLAC!F25</f>
        <v>1358.4907336905246</v>
      </c>
      <c r="G25" s="228">
        <f>MEGA!G25/Prices!$C$180+LiLAC!G25</f>
        <v>1441.677629003864</v>
      </c>
      <c r="H25" s="279">
        <f t="shared" si="0"/>
        <v>0.14475221432857377</v>
      </c>
      <c r="I25" s="249"/>
      <c r="J25" s="247" t="s">
        <v>10</v>
      </c>
      <c r="K25" s="247"/>
      <c r="L25" s="332">
        <f>(MEGA!L25)/Prices!$C$180</f>
        <v>0</v>
      </c>
      <c r="M25" s="332">
        <f>(MEGA!M25)/Prices!$C$180</f>
        <v>0</v>
      </c>
      <c r="N25" s="332">
        <f>(MEGA!N25)/Prices!$C$180</f>
        <v>0</v>
      </c>
      <c r="O25" s="332">
        <f>(MEGA!O25)/Prices!$C$180</f>
        <v>0</v>
      </c>
      <c r="P25" s="279" t="str">
        <f>IF(L25=0,"nm",IF(O25=0,"nm",(O25/L25)^(1/3)-1))</f>
        <v>nm</v>
      </c>
      <c r="Q25" s="5"/>
      <c r="S25" s="42"/>
      <c r="T25" s="42"/>
      <c r="U25" s="42"/>
      <c r="V25" s="147" t="s">
        <v>180</v>
      </c>
      <c r="W25" s="288">
        <f t="shared" si="1"/>
        <v>1</v>
      </c>
      <c r="X25" s="288">
        <v>1</v>
      </c>
      <c r="Y25" s="42"/>
      <c r="Z25" s="42"/>
      <c r="AA25" s="42"/>
    </row>
    <row r="26" spans="2:27">
      <c r="B26" s="5" t="s">
        <v>581</v>
      </c>
      <c r="C26" s="365">
        <f>MEGA!C26/Prices!$C$180+LiLAC!C26</f>
        <v>683.00858168146169</v>
      </c>
      <c r="D26" s="228">
        <f>MEGA!D26/Prices!$C$180+LiLAC!D26</f>
        <v>691.93640213801416</v>
      </c>
      <c r="E26" s="228">
        <f>MEGA!E26/Prices!$C$180+LiLAC!E26</f>
        <v>809.34935609902311</v>
      </c>
      <c r="F26" s="228">
        <f>MEGA!F26/Prices!$C$180+LiLAC!F26</f>
        <v>978.11332825717773</v>
      </c>
      <c r="G26" s="228">
        <f>MEGA!G26/Prices!$C$180+LiLAC!G26</f>
        <v>1038.007892882782</v>
      </c>
      <c r="H26" s="279">
        <f t="shared" si="0"/>
        <v>0.14475221432857377</v>
      </c>
      <c r="I26" s="249"/>
      <c r="J26" s="249" t="s">
        <v>11</v>
      </c>
      <c r="K26" s="249"/>
      <c r="L26" s="281">
        <f>(MEGA!L26)/Prices!$C$180</f>
        <v>1840.4003380102906</v>
      </c>
      <c r="M26" s="281">
        <f>(MEGA!M26)/Prices!$C$180</f>
        <v>1840.4003380102906</v>
      </c>
      <c r="N26" s="281">
        <f>(MEGA!N26)/Prices!$C$180</f>
        <v>1840.4003380102906</v>
      </c>
      <c r="O26" s="281">
        <f>(MEGA!O26)/Prices!$C$180</f>
        <v>1840.4003380102906</v>
      </c>
      <c r="P26" s="279">
        <f>IF(L26=0,"nm",IF(O26=0,"nm",(O26/L26)^(1/3)-1))</f>
        <v>0</v>
      </c>
      <c r="Q26" s="41"/>
      <c r="S26" s="42"/>
      <c r="T26" s="42"/>
      <c r="U26" s="42"/>
      <c r="V26" s="147" t="s">
        <v>181</v>
      </c>
      <c r="W26" s="288">
        <f t="shared" si="1"/>
        <v>1</v>
      </c>
      <c r="X26" s="288">
        <v>1</v>
      </c>
      <c r="Y26" s="42"/>
      <c r="Z26" s="42"/>
      <c r="AA26" s="42"/>
    </row>
    <row r="27" spans="2:27">
      <c r="B27" s="5" t="s">
        <v>582</v>
      </c>
      <c r="C27" s="365">
        <f>MEGA!C27/Prices!$C$180+LiLAC!C27</f>
        <v>9558.483136651008</v>
      </c>
      <c r="D27" s="228">
        <f>MEGA!D27/Prices!$C$180+LiLAC!D27</f>
        <v>9861.1646720997069</v>
      </c>
      <c r="E27" s="228">
        <f>MEGA!E27/Prices!$C$180+LiLAC!E27</f>
        <v>9801.833325817639</v>
      </c>
      <c r="F27" s="228">
        <f>MEGA!F27/Prices!$C$180+LiLAC!F27</f>
        <v>9555.8072226183722</v>
      </c>
      <c r="G27" s="228">
        <f>MEGA!G27/Prices!$C$180+LiLAC!G27</f>
        <v>9260.5247461260369</v>
      </c>
      <c r="H27" s="279">
        <f t="shared" si="0"/>
        <v>-2.0729973523027856E-2</v>
      </c>
      <c r="I27" s="248"/>
      <c r="J27" s="248"/>
      <c r="K27" s="248"/>
      <c r="L27" s="248"/>
      <c r="M27" s="248"/>
      <c r="N27" s="248"/>
      <c r="O27" s="248"/>
      <c r="Q27" s="5"/>
      <c r="S27" s="42"/>
      <c r="T27" s="42"/>
      <c r="U27" s="42"/>
      <c r="V27" s="147" t="s">
        <v>461</v>
      </c>
      <c r="W27" s="288">
        <f t="shared" si="1"/>
        <v>1</v>
      </c>
      <c r="X27" s="288">
        <v>1</v>
      </c>
      <c r="Y27" s="42"/>
      <c r="Z27" s="42"/>
      <c r="AA27" s="42"/>
    </row>
    <row r="28" spans="2:27" ht="12.6" thickBot="1">
      <c r="B28" s="5" t="s">
        <v>587</v>
      </c>
      <c r="C28" s="365">
        <f>MEGA!C28/Prices!$C$180+LiLAC!C28</f>
        <v>6618.8868008012469</v>
      </c>
      <c r="D28" s="228">
        <f>MEGA!D28/Prices!$C$180+LiLAC!D28</f>
        <v>4980.3189981411633</v>
      </c>
      <c r="E28" s="228">
        <f>MEGA!E28/Prices!$C$180+LiLAC!E28</f>
        <v>5478.0224568548683</v>
      </c>
      <c r="F28" s="228">
        <f>MEGA!F28/Prices!$C$180+LiLAC!F28</f>
        <v>5786.9379523668758</v>
      </c>
      <c r="G28" s="228">
        <f>MEGA!G28/Prices!$C$180+LiLAC!G28</f>
        <v>6011.4701725683262</v>
      </c>
      <c r="H28" s="279">
        <f t="shared" si="0"/>
        <v>6.4734137256737601E-2</v>
      </c>
      <c r="I28" s="252"/>
      <c r="J28" s="306" t="s">
        <v>747</v>
      </c>
      <c r="K28" s="306"/>
      <c r="L28" s="306"/>
      <c r="M28" s="306"/>
      <c r="N28" s="266"/>
      <c r="O28" s="266"/>
      <c r="P28" s="266"/>
      <c r="Q28" s="5"/>
      <c r="S28" s="42"/>
      <c r="T28" s="42"/>
      <c r="U28" s="42"/>
      <c r="V28" s="147" t="s">
        <v>525</v>
      </c>
      <c r="W28" s="288">
        <f t="shared" si="1"/>
        <v>1</v>
      </c>
      <c r="X28" s="288">
        <v>1</v>
      </c>
      <c r="Y28" s="42"/>
      <c r="Z28" s="42"/>
      <c r="AA28" s="42"/>
    </row>
    <row r="29" spans="2:27" ht="12.6" thickTop="1">
      <c r="B29" s="5" t="s">
        <v>583</v>
      </c>
      <c r="C29" s="365">
        <f>MEGA!C29/Prices!$C$180+LiLAC!C29</f>
        <v>217.91788286337018</v>
      </c>
      <c r="D29" s="228">
        <f>MEGA!D29/Prices!$C$180+LiLAC!D29</f>
        <v>333.95254721139275</v>
      </c>
      <c r="E29" s="228">
        <f>MEGA!E29/Prices!$C$180+LiLAC!E29</f>
        <v>505.6456470681963</v>
      </c>
      <c r="F29" s="228">
        <f>MEGA!F29/Prices!$C$180+LiLAC!F29</f>
        <v>712.40334499625112</v>
      </c>
      <c r="G29" s="228">
        <f>MEGA!G29/Prices!$C$180+LiLAC!G29</f>
        <v>787.30689986360153</v>
      </c>
      <c r="H29" s="279">
        <f t="shared" si="0"/>
        <v>0.33092351726064217</v>
      </c>
      <c r="I29" s="254"/>
      <c r="J29" s="249"/>
      <c r="K29" s="249"/>
      <c r="L29" s="249"/>
      <c r="M29" s="249"/>
      <c r="N29" s="249"/>
      <c r="O29" s="251"/>
      <c r="Q29" s="5"/>
      <c r="S29" s="42"/>
      <c r="T29" s="42"/>
      <c r="U29" s="42"/>
      <c r="V29" s="147" t="s">
        <v>588</v>
      </c>
      <c r="W29" s="288">
        <f t="shared" si="1"/>
        <v>1</v>
      </c>
      <c r="X29" s="288">
        <v>1</v>
      </c>
      <c r="Y29" s="42"/>
      <c r="Z29" s="42"/>
      <c r="AA29" s="42"/>
    </row>
    <row r="30" spans="2:27">
      <c r="B30" s="5" t="s">
        <v>584</v>
      </c>
      <c r="C30" s="365">
        <f>MEGA!C30/Prices!$C$180+LiLAC!C30</f>
        <v>464.43048804320659</v>
      </c>
      <c r="D30" s="228">
        <f>MEGA!D30/Prices!$C$180+LiLAC!D30</f>
        <v>467.83705068588733</v>
      </c>
      <c r="E30" s="228">
        <f>MEGA!E30/Prices!$C$180+LiLAC!E30</f>
        <v>824.68692513189842</v>
      </c>
      <c r="F30" s="228">
        <f>MEGA!F30/Prices!$C$180+LiLAC!F30</f>
        <v>878.5853049245552</v>
      </c>
      <c r="G30" s="228">
        <f>MEGA!G30/Prices!$C$180+LiLAC!G30</f>
        <v>904.10830686922554</v>
      </c>
      <c r="H30" s="279">
        <f t="shared" si="0"/>
        <v>0.24559048535192352</v>
      </c>
      <c r="I30" s="254"/>
      <c r="J30" s="248"/>
      <c r="K30" s="248"/>
      <c r="L30" s="248"/>
      <c r="M30" s="248"/>
      <c r="N30" s="248"/>
      <c r="O30" s="5"/>
      <c r="Q30" s="5"/>
      <c r="S30" s="42"/>
      <c r="T30" s="42"/>
      <c r="U30" s="42"/>
      <c r="V30" s="147" t="s">
        <v>470</v>
      </c>
      <c r="W30" s="288">
        <f t="shared" si="1"/>
        <v>1</v>
      </c>
      <c r="X30" s="288">
        <v>1</v>
      </c>
      <c r="Y30" s="42"/>
      <c r="Z30" s="42"/>
      <c r="AA30" s="42"/>
    </row>
    <row r="31" spans="2:27">
      <c r="B31" s="5" t="s">
        <v>585</v>
      </c>
      <c r="C31" s="365">
        <f>MEGA!C31/Prices!$C$180+LiLAC!C31</f>
        <v>127.66779940263558</v>
      </c>
      <c r="D31" s="228">
        <f>MEGA!D31/Prices!$C$180+LiLAC!D31</f>
        <v>134.05118937276737</v>
      </c>
      <c r="E31" s="228">
        <f>MEGA!E31/Prices!$C$180+LiLAC!E31</f>
        <v>140.75374884140572</v>
      </c>
      <c r="F31" s="228">
        <f>MEGA!F31/Prices!$C$180+LiLAC!F31</f>
        <v>154.82912372554634</v>
      </c>
      <c r="G31" s="228">
        <f>MEGA!G31/Prices!$C$180+LiLAC!G31</f>
        <v>170.31203609810098</v>
      </c>
      <c r="H31" s="279">
        <f t="shared" si="0"/>
        <v>8.3074231263342124E-2</v>
      </c>
      <c r="I31" s="254"/>
      <c r="J31" s="252"/>
      <c r="K31" s="252"/>
      <c r="L31" s="252"/>
      <c r="M31" s="252"/>
      <c r="N31" s="252"/>
      <c r="O31" s="5"/>
      <c r="Q31" s="5"/>
      <c r="S31" s="42"/>
      <c r="T31" s="42"/>
      <c r="U31" s="42"/>
      <c r="V31" s="147" t="s">
        <v>528</v>
      </c>
      <c r="W31" s="288">
        <f t="shared" si="1"/>
        <v>1</v>
      </c>
      <c r="X31" s="288">
        <v>1</v>
      </c>
      <c r="Y31" s="42"/>
      <c r="Z31" s="42"/>
      <c r="AA31" s="42"/>
    </row>
    <row r="32" spans="2:27">
      <c r="B32" s="5" t="s">
        <v>601</v>
      </c>
      <c r="C32" s="365">
        <f>MEGA!C32/Prices!$C$180+LiLAC!C32</f>
        <v>0</v>
      </c>
      <c r="D32" s="228">
        <f>MEGA!D32/Prices!$C$180+LiLAC!D32</f>
        <v>247.7999999999999</v>
      </c>
      <c r="E32" s="228">
        <f>MEGA!E32/Prices!$C$180+LiLAC!E32</f>
        <v>-156.30000000000018</v>
      </c>
      <c r="F32" s="228">
        <f>MEGA!F32/Prices!$C$180+LiLAC!F32</f>
        <v>1815.57</v>
      </c>
      <c r="G32" s="228">
        <f>MEGA!G32/Prices!$C$180+LiLAC!G32</f>
        <v>296.89999999999992</v>
      </c>
      <c r="H32" s="279" t="s">
        <v>602</v>
      </c>
      <c r="I32" s="5"/>
      <c r="J32" s="254"/>
      <c r="K32" s="254"/>
      <c r="L32" s="254"/>
      <c r="M32" s="254"/>
      <c r="N32" s="254"/>
      <c r="O32" s="251"/>
      <c r="Q32" s="5"/>
      <c r="S32" s="42"/>
      <c r="T32" s="42"/>
      <c r="U32" s="42"/>
      <c r="V32" s="147" t="s">
        <v>575</v>
      </c>
      <c r="W32" s="288">
        <f>M17/E45</f>
        <v>1</v>
      </c>
      <c r="X32" s="288">
        <v>1</v>
      </c>
      <c r="Y32" s="42"/>
      <c r="Z32" s="42"/>
      <c r="AA32" s="42"/>
    </row>
    <row r="33" spans="2:42">
      <c r="B33" s="5" t="s">
        <v>5</v>
      </c>
      <c r="C33" s="365">
        <f>MEGA!C33/Prices!$C$180+LiLAC!C33</f>
        <v>496.55116684210083</v>
      </c>
      <c r="D33" s="228">
        <f>MEGA!D33/Prices!$C$180+LiLAC!D33</f>
        <v>332.28333837914158</v>
      </c>
      <c r="E33" s="228">
        <f>MEGA!E33/Prices!$C$180+LiLAC!E33</f>
        <v>319.02539213133031</v>
      </c>
      <c r="F33" s="228">
        <f>MEGA!F33/Prices!$C$180+LiLAC!F33</f>
        <v>322.98825937914074</v>
      </c>
      <c r="G33" s="228">
        <f>MEGA!G33/Prices!$C$180+LiLAC!G33</f>
        <v>339.23373064310704</v>
      </c>
      <c r="H33" s="279">
        <f t="shared" si="0"/>
        <v>6.9242985032220705E-3</v>
      </c>
      <c r="I33" s="49"/>
      <c r="J33" s="254"/>
      <c r="K33" s="254"/>
      <c r="L33" s="254"/>
      <c r="M33" s="254"/>
      <c r="N33" s="254"/>
      <c r="O33" s="251"/>
      <c r="Q33" s="5"/>
      <c r="S33" s="42"/>
      <c r="T33" s="42"/>
      <c r="U33" s="42"/>
      <c r="V33" s="147" t="s">
        <v>576</v>
      </c>
      <c r="W33" s="288">
        <f>M19/E47</f>
        <v>1</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822</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1.9449789682645313</v>
      </c>
      <c r="E37" s="553">
        <f t="shared" si="2"/>
        <v>1.8420758256002729</v>
      </c>
      <c r="F37" s="553">
        <f t="shared" si="2"/>
        <v>1.9816311378972182</v>
      </c>
      <c r="G37" s="553">
        <f t="shared" si="2"/>
        <v>1.8881405998579619</v>
      </c>
      <c r="H37" s="17">
        <f t="shared" ref="H37:H45" si="3">H23</f>
        <v>2.8008435151252398E-2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5.074509890688975</v>
      </c>
      <c r="E38" s="553">
        <f t="shared" si="2"/>
        <v>4.6421209435581048</v>
      </c>
      <c r="F38" s="553">
        <f t="shared" si="2"/>
        <v>4.9091585624158229</v>
      </c>
      <c r="G38" s="553">
        <f t="shared" si="2"/>
        <v>4.6241376865670754</v>
      </c>
      <c r="H38" s="17">
        <f t="shared" si="3"/>
        <v>4.992336528871455E-2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12.320927856897759</v>
      </c>
      <c r="E39" s="553">
        <f t="shared" si="2"/>
        <v>10.368680336618187</v>
      </c>
      <c r="F39" s="553">
        <f t="shared" si="2"/>
        <v>9.5587219650692017</v>
      </c>
      <c r="G39" s="553">
        <f t="shared" si="2"/>
        <v>8.662004274768087</v>
      </c>
      <c r="H39" s="17">
        <f t="shared" si="3"/>
        <v>0.14475221432857377</v>
      </c>
      <c r="I39" s="5"/>
      <c r="J39" s="5"/>
      <c r="K39" s="5"/>
      <c r="L39" s="5"/>
      <c r="M39" s="5"/>
      <c r="N39" s="5"/>
      <c r="O39" s="5"/>
      <c r="Q39" s="5"/>
      <c r="R39" s="5"/>
      <c r="S39" s="42"/>
      <c r="T39" s="42"/>
      <c r="U39" s="42"/>
      <c r="V39" s="42"/>
      <c r="W39" s="288"/>
      <c r="X39" s="288"/>
      <c r="Y39" s="42"/>
      <c r="Z39" s="42"/>
      <c r="AA39" s="42"/>
    </row>
    <row r="40" spans="2:42">
      <c r="B40" s="5" t="s">
        <v>461</v>
      </c>
      <c r="C40" s="247"/>
      <c r="D40" s="553">
        <f t="shared" si="2"/>
        <v>17.112399801246887</v>
      </c>
      <c r="E40" s="553">
        <f t="shared" si="2"/>
        <v>14.400944911969706</v>
      </c>
      <c r="F40" s="553">
        <f t="shared" si="2"/>
        <v>13.276002729262778</v>
      </c>
      <c r="G40" s="553">
        <f t="shared" si="2"/>
        <v>12.030561492733456</v>
      </c>
      <c r="H40" s="17">
        <f t="shared" si="3"/>
        <v>0.14475221432857377</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1.2007397446594752</v>
      </c>
      <c r="E41" s="553">
        <f t="shared" si="2"/>
        <v>1.189103620138116</v>
      </c>
      <c r="F41" s="553">
        <f t="shared" si="2"/>
        <v>1.3589051048177667</v>
      </c>
      <c r="G41" s="553">
        <f t="shared" si="2"/>
        <v>1.3485000178303104</v>
      </c>
      <c r="H41" s="17">
        <f t="shared" si="3"/>
        <v>-2.0729973523027856E-2</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2.3774967737691939</v>
      </c>
      <c r="E42" s="553">
        <f>E18/E28</f>
        <v>2.1276647884375359</v>
      </c>
      <c r="F42" s="553">
        <f>F18/F28</f>
        <v>2.2439216252801724</v>
      </c>
      <c r="G42" s="553">
        <f>G18/G28</f>
        <v>2.0773317386242183</v>
      </c>
      <c r="H42" s="17">
        <f t="shared" si="3"/>
        <v>6.4734137256737601E-2</v>
      </c>
      <c r="I42" s="247"/>
      <c r="J42" s="5"/>
      <c r="K42" s="5"/>
      <c r="L42" s="5"/>
      <c r="M42" s="5"/>
      <c r="N42" s="5"/>
      <c r="O42" s="5"/>
      <c r="Q42" s="5"/>
      <c r="R42" s="5"/>
      <c r="S42" s="42"/>
      <c r="T42" s="42"/>
      <c r="U42" s="42"/>
      <c r="V42" s="42"/>
      <c r="W42" s="288"/>
      <c r="X42" s="288"/>
      <c r="Y42" s="288"/>
      <c r="Z42" s="288"/>
      <c r="AA42" s="42"/>
    </row>
    <row r="43" spans="2:42">
      <c r="B43" s="5" t="s">
        <v>470</v>
      </c>
      <c r="C43" s="247"/>
      <c r="D43" s="553">
        <f>L26/D29</f>
        <v>5.5109636185685771</v>
      </c>
      <c r="E43" s="553">
        <f>M26/E29</f>
        <v>3.6397037108520314</v>
      </c>
      <c r="F43" s="553">
        <f>N26/F29</f>
        <v>2.583368468069132</v>
      </c>
      <c r="G43" s="553">
        <f>O26/G29</f>
        <v>2.3375894944260418</v>
      </c>
      <c r="H43" s="17">
        <f t="shared" si="3"/>
        <v>0.33092351726064217</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7.6011918525835647</v>
      </c>
      <c r="E44" s="553">
        <f>E11/E30</f>
        <v>4.3229009086570729</v>
      </c>
      <c r="F44" s="553">
        <f>F11/F30</f>
        <v>4.5983522776507311</v>
      </c>
      <c r="G44" s="553">
        <f>G11/G30</f>
        <v>4.444424088884638</v>
      </c>
      <c r="H44" s="17">
        <f t="shared" si="3"/>
        <v>0.24559048535192352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3.7695921498269717E-2</v>
      </c>
      <c r="E45" s="248">
        <f>E31/E11</f>
        <v>3.948167606742068E-2</v>
      </c>
      <c r="F45" s="248">
        <f>F31/F11</f>
        <v>3.832361613940919E-2</v>
      </c>
      <c r="G45" s="248">
        <f>G31/G11</f>
        <v>4.2384726849998111E-2</v>
      </c>
      <c r="H45" s="17">
        <f t="shared" si="3"/>
        <v>8.3074231263342124E-2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0.10737862547858126</v>
      </c>
      <c r="E46" s="248">
        <f>(E31+E32)/E11</f>
        <v>-4.3607510091825692E-3</v>
      </c>
      <c r="F46" s="248">
        <f>(F31+F32)/F11</f>
        <v>0.48771715451249231</v>
      </c>
      <c r="G46" s="248">
        <f>(G31+G32)/G11</f>
        <v>0.11627278367832435</v>
      </c>
      <c r="H46" s="279">
        <f>((G31+G32)/(D31+D32))^(1/3)-1</f>
        <v>6.9563625971092335E-2</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0.18145646917911262</v>
      </c>
      <c r="E47" s="248">
        <f>1/E43</f>
        <v>0.27474763866586999</v>
      </c>
      <c r="F47" s="248">
        <f>1/F43</f>
        <v>0.38709150953887062</v>
      </c>
      <c r="G47" s="248">
        <f>1/G43</f>
        <v>0.42779110805575132</v>
      </c>
      <c r="H47" s="17">
        <f>H29</f>
        <v>0.33092351726064217</v>
      </c>
      <c r="I47" s="247"/>
      <c r="J47" s="248"/>
      <c r="K47" s="248"/>
      <c r="L47" s="248"/>
      <c r="M47" s="248"/>
      <c r="N47" s="248"/>
      <c r="O47" s="248"/>
      <c r="Q47" s="5"/>
      <c r="R47" s="5"/>
      <c r="S47" s="5"/>
      <c r="T47" s="5"/>
      <c r="U47" s="5"/>
      <c r="AA47" s="303"/>
      <c r="AB47" s="303"/>
    </row>
    <row r="48" spans="2:42">
      <c r="B48" s="5" t="s">
        <v>613</v>
      </c>
      <c r="C48" s="5"/>
      <c r="D48" s="305">
        <f>D31/D29</f>
        <v>0.40140789609822214</v>
      </c>
      <c r="E48" s="305">
        <f>E31/E29</f>
        <v>0.27836440332773654</v>
      </c>
      <c r="F48" s="305">
        <f>F31/F29</f>
        <v>0.21733351592609534</v>
      </c>
      <c r="G48" s="305">
        <f>G31/G29</f>
        <v>0.21632229582594412</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T56" s="5"/>
      <c r="U56" s="5"/>
    </row>
    <row r="57" spans="2:28">
      <c r="B57" s="41"/>
      <c r="C57" s="249"/>
      <c r="D57" s="249"/>
      <c r="E57" s="249"/>
      <c r="F57" s="249"/>
      <c r="G57" s="249"/>
      <c r="H57" s="249"/>
      <c r="I57" s="17"/>
      <c r="J57" s="249"/>
      <c r="K57" s="249"/>
      <c r="L57" s="249"/>
      <c r="M57" s="249"/>
      <c r="N57" s="249"/>
      <c r="O57" s="251"/>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69"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8">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167</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545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EM'!D37</f>
        <v>1.7568504876692785</v>
      </c>
      <c r="M9" s="64">
        <f>'AGG EM'!E37</f>
        <v>1.6557505993722963</v>
      </c>
      <c r="N9" s="64">
        <f>'AGG EM'!F37</f>
        <v>1.4867932994499977</v>
      </c>
      <c r="O9" s="64">
        <f>'AGG EM'!G37</f>
        <v>1.3237610851186894</v>
      </c>
      <c r="P9" s="17">
        <f>'AGG EM'!H37</f>
        <v>4.2237881472639405E-2</v>
      </c>
    </row>
    <row r="10" spans="2:63">
      <c r="B10" s="5" t="s">
        <v>269</v>
      </c>
      <c r="C10" s="5"/>
      <c r="D10" s="332"/>
      <c r="E10" s="332"/>
      <c r="F10" s="332"/>
      <c r="G10" s="332"/>
      <c r="H10" s="247"/>
      <c r="I10" s="247"/>
      <c r="J10" s="5" t="s">
        <v>180</v>
      </c>
      <c r="L10" s="64">
        <f>'AGG EM'!D38</f>
        <v>5.1440316657520277</v>
      </c>
      <c r="M10" s="64">
        <f>'AGG EM'!E38</f>
        <v>4.8353866940625734</v>
      </c>
      <c r="N10" s="64">
        <f>'AGG EM'!F38</f>
        <v>4.3122989607565385</v>
      </c>
      <c r="O10" s="64">
        <f>'AGG EM'!G38</f>
        <v>3.8049801727031363</v>
      </c>
      <c r="P10" s="17">
        <f>'AGG EM'!H38</f>
        <v>4.8678106743502703E-2</v>
      </c>
      <c r="W10" s="10"/>
      <c r="X10" s="10"/>
      <c r="Y10" s="10"/>
      <c r="Z10" s="10"/>
    </row>
    <row r="11" spans="2:63">
      <c r="B11" s="41" t="s">
        <v>518</v>
      </c>
      <c r="C11" s="5"/>
      <c r="D11" s="271">
        <f>'LATAM INCUMB'!D11+'LATAM CELLULAR'!D11+'LATAM ALTNET &amp; CABLE'!D11</f>
        <v>88526.795557121863</v>
      </c>
      <c r="E11" s="271">
        <f>'LATAM INCUMB'!E11+'LATAM CELLULAR'!E11+'LATAM ALTNET &amp; CABLE'!E11</f>
        <v>86805.826401116807</v>
      </c>
      <c r="F11" s="271">
        <f>'LATAM INCUMB'!F11+'LATAM CELLULAR'!F11+'LATAM ALTNET &amp; CABLE'!F11</f>
        <v>84857.113477910738</v>
      </c>
      <c r="G11" s="271">
        <f>'LATAM INCUMB'!G11+'LATAM CELLULAR'!G11+'LATAM ALTNET &amp; CABLE'!G11</f>
        <v>82381.924723903154</v>
      </c>
      <c r="H11" s="249"/>
      <c r="I11" s="249"/>
      <c r="J11" s="5" t="s">
        <v>181</v>
      </c>
      <c r="L11" s="64">
        <f>'AGG EM'!D39</f>
        <v>10.995479606644533</v>
      </c>
      <c r="M11" s="64">
        <f>'AGG EM'!E39</f>
        <v>9.5892649604733364</v>
      </c>
      <c r="N11" s="64">
        <f>'AGG EM'!F39</f>
        <v>8.1142047815241369</v>
      </c>
      <c r="O11" s="64">
        <f>'AGG EM'!G39</f>
        <v>6.8473836589479324</v>
      </c>
      <c r="P11" s="17">
        <f>'AGG EM'!H39</f>
        <v>0.11059307549826269</v>
      </c>
      <c r="W11" s="10"/>
      <c r="X11" s="10"/>
      <c r="Y11" s="10"/>
      <c r="Z11" s="10"/>
    </row>
    <row r="12" spans="2:63">
      <c r="B12" s="5" t="s">
        <v>225</v>
      </c>
      <c r="C12" s="249"/>
      <c r="D12" s="228">
        <f>'LATAM INCUMB'!D12+'LATAM CELLULAR'!D12+'LATAM ALTNET &amp; CABLE'!D12</f>
        <v>57123.893144649956</v>
      </c>
      <c r="E12" s="228">
        <f>'LATAM INCUMB'!E12+'LATAM CELLULAR'!E12+'LATAM ALTNET &amp; CABLE'!E12</f>
        <v>56492.263598182435</v>
      </c>
      <c r="F12" s="228">
        <f>'LATAM INCUMB'!F12+'LATAM CELLULAR'!F12+'LATAM ALTNET &amp; CABLE'!F12</f>
        <v>54160.333531938973</v>
      </c>
      <c r="G12" s="228">
        <f>'LATAM INCUMB'!G12+'LATAM CELLULAR'!G12+'LATAM ALTNET &amp; CABLE'!G12</f>
        <v>52187.051582900793</v>
      </c>
      <c r="H12" s="247"/>
      <c r="I12" s="247"/>
      <c r="J12" s="5" t="s">
        <v>461</v>
      </c>
      <c r="L12" s="64">
        <f>'AGG EM'!D40</f>
        <v>14.520348963598265</v>
      </c>
      <c r="M12" s="64">
        <f>'AGG EM'!E40</f>
        <v>12.588336648928733</v>
      </c>
      <c r="N12" s="64">
        <f>'AGG EM'!F40</f>
        <v>10.782973360794294</v>
      </c>
      <c r="O12" s="64">
        <f>'AGG EM'!G40</f>
        <v>9.0993411007602809</v>
      </c>
      <c r="P12" s="17">
        <f>'AGG EM'!H40</f>
        <v>0.10827488676451624</v>
      </c>
      <c r="W12" s="10"/>
      <c r="X12" s="10"/>
      <c r="Y12" s="10"/>
      <c r="Z12" s="10"/>
    </row>
    <row r="13" spans="2:63">
      <c r="B13" s="5" t="s">
        <v>524</v>
      </c>
      <c r="C13" s="257"/>
      <c r="D13" s="228">
        <f>'LATAM INCUMB'!D13+'LATAM CELLULAR'!D13+'LATAM ALTNET &amp; CABLE'!D13</f>
        <v>10627.861902248458</v>
      </c>
      <c r="E13" s="228">
        <f>'LATAM INCUMB'!E13+'LATAM CELLULAR'!E13+'LATAM ALTNET &amp; CABLE'!E13</f>
        <v>10627.861902248458</v>
      </c>
      <c r="F13" s="228">
        <f>'LATAM INCUMB'!F13+'LATAM CELLULAR'!F13+'LATAM ALTNET &amp; CABLE'!F13</f>
        <v>10627.861902248458</v>
      </c>
      <c r="G13" s="228">
        <f>'LATAM INCUMB'!G13+'LATAM CELLULAR'!G13+'LATAM ALTNET &amp; CABLE'!G13</f>
        <v>10627.861902248458</v>
      </c>
      <c r="H13" s="247"/>
      <c r="I13" s="247"/>
      <c r="J13" s="5" t="s">
        <v>525</v>
      </c>
      <c r="L13" s="64">
        <f>'AGG EM'!D41</f>
        <v>1.3238253427535878</v>
      </c>
      <c r="M13" s="64">
        <f>'AGG EM'!E41</f>
        <v>1.3149929904097803</v>
      </c>
      <c r="N13" s="64">
        <f>'AGG EM'!F41</f>
        <v>1.2546648940766489</v>
      </c>
      <c r="O13" s="64">
        <f>'AGG EM'!G41</f>
        <v>1.1810433829047893</v>
      </c>
      <c r="P13" s="17">
        <f>'AGG EM'!H41</f>
        <v>-1.4824953823212472E-2</v>
      </c>
    </row>
    <row r="14" spans="2:63">
      <c r="B14" s="5" t="s">
        <v>527</v>
      </c>
      <c r="C14" s="274"/>
      <c r="D14" s="228">
        <f>'LATAM INCUMB'!D14+'LATAM CELLULAR'!D14+'LATAM ALTNET &amp; CABLE'!D14</f>
        <v>6741.678127413229</v>
      </c>
      <c r="E14" s="228">
        <f>'LATAM INCUMB'!E14+'LATAM CELLULAR'!E14+'LATAM ALTNET &amp; CABLE'!E14</f>
        <v>7028.7313523916246</v>
      </c>
      <c r="F14" s="228">
        <f>'LATAM INCUMB'!F14+'LATAM CELLULAR'!F14+'LATAM ALTNET &amp; CABLE'!F14</f>
        <v>8212.0449157257626</v>
      </c>
      <c r="G14" s="228">
        <f>'LATAM INCUMB'!G14+'LATAM CELLULAR'!G14+'LATAM ALTNET &amp; CABLE'!G14</f>
        <v>8212.0449157257626</v>
      </c>
      <c r="H14" s="247"/>
      <c r="I14" s="247"/>
      <c r="J14" s="5" t="s">
        <v>588</v>
      </c>
      <c r="L14" s="64">
        <f>'AGG EM'!D42</f>
        <v>2.0711803682152934</v>
      </c>
      <c r="M14" s="64">
        <f>'AGG EM'!E42</f>
        <v>2.0248906449245871</v>
      </c>
      <c r="N14" s="64">
        <f>'AGG EM'!F42</f>
        <v>1.9071372802806041</v>
      </c>
      <c r="O14" s="64">
        <f>'AGG EM'!G42</f>
        <v>1.8113330320796608</v>
      </c>
      <c r="P14" s="17">
        <f>'AGG EM'!H42</f>
        <v>-8.2588640298681959E-3</v>
      </c>
    </row>
    <row r="15" spans="2:63">
      <c r="B15" s="5" t="s">
        <v>526</v>
      </c>
      <c r="C15" s="257"/>
      <c r="D15" s="228">
        <f>'LATAM INCUMB'!D15+'LATAM CELLULAR'!D15+'LATAM ALTNET &amp; CABLE'!D15</f>
        <v>7265.5818509104356</v>
      </c>
      <c r="E15" s="228">
        <f>'LATAM INCUMB'!E15+'LATAM CELLULAR'!E15+'LATAM ALTNET &amp; CABLE'!E15</f>
        <v>7310.4339173133094</v>
      </c>
      <c r="F15" s="228">
        <f>'LATAM INCUMB'!F15+'LATAM CELLULAR'!F15+'LATAM ALTNET &amp; CABLE'!F15</f>
        <v>7310.4339173133094</v>
      </c>
      <c r="G15" s="228">
        <f>'LATAM INCUMB'!G15+'LATAM CELLULAR'!G15+'LATAM ALTNET &amp; CABLE'!G15</f>
        <v>7310.4339173133094</v>
      </c>
      <c r="H15" s="247"/>
      <c r="I15" s="247"/>
      <c r="J15" s="5" t="s">
        <v>470</v>
      </c>
      <c r="L15" s="64">
        <f>'AGG EM'!D43</f>
        <v>19.941396485994044</v>
      </c>
      <c r="M15" s="64">
        <f>'AGG EM'!E43</f>
        <v>16.131685917921274</v>
      </c>
      <c r="N15" s="64">
        <f>'AGG EM'!F43</f>
        <v>13.571473710874955</v>
      </c>
      <c r="O15" s="64">
        <f>'AGG EM'!G43</f>
        <v>11.537221469167157</v>
      </c>
      <c r="P15" s="17">
        <f>'AGG EM'!H43</f>
        <v>0.19756422158027021</v>
      </c>
      <c r="S15" s="88"/>
      <c r="T15" s="88"/>
      <c r="U15" s="88"/>
      <c r="V15" s="42"/>
      <c r="W15" s="42"/>
      <c r="X15" s="42"/>
      <c r="Y15" s="42"/>
      <c r="Z15" s="42"/>
      <c r="AA15" s="42"/>
    </row>
    <row r="16" spans="2:63">
      <c r="B16" s="5" t="s">
        <v>529</v>
      </c>
      <c r="C16" s="257"/>
      <c r="D16" s="228">
        <f>'LATAM INCUMB'!D16+'LATAM CELLULAR'!D16+'LATAM ALTNET &amp; CABLE'!D16</f>
        <v>1747.208139134669</v>
      </c>
      <c r="E16" s="228">
        <f>'LATAM INCUMB'!E16+'LATAM CELLULAR'!E16+'LATAM ALTNET &amp; CABLE'!E16</f>
        <v>5398.3566824223954</v>
      </c>
      <c r="F16" s="228">
        <f>'LATAM INCUMB'!F16+'LATAM CELLULAR'!F16+'LATAM ALTNET &amp; CABLE'!F16</f>
        <v>9383.5792263532348</v>
      </c>
      <c r="G16" s="228">
        <f>'LATAM INCUMB'!G16+'LATAM CELLULAR'!G16+'LATAM ALTNET &amp; CABLE'!G16</f>
        <v>13684.628944592789</v>
      </c>
      <c r="H16" s="247"/>
      <c r="I16" s="247"/>
      <c r="J16" s="5" t="s">
        <v>528</v>
      </c>
      <c r="L16" s="64">
        <f>'AGG EM'!D44</f>
        <v>18.269093770217651</v>
      </c>
      <c r="M16" s="64">
        <f>'AGG EM'!E44</f>
        <v>15.568805131794383</v>
      </c>
      <c r="N16" s="64">
        <f>'AGG EM'!F44</f>
        <v>13.199234812647555</v>
      </c>
      <c r="O16" s="64">
        <f>'AGG EM'!G44</f>
        <v>11.401551775928532</v>
      </c>
      <c r="P16" s="17">
        <f>'AGG EM'!H44</f>
        <v>0.16848189780945066</v>
      </c>
      <c r="S16" s="88"/>
      <c r="T16" s="88"/>
      <c r="U16" s="88"/>
      <c r="V16" s="42"/>
      <c r="W16" s="42"/>
      <c r="X16" s="42"/>
      <c r="Y16" s="42"/>
      <c r="Z16" s="42"/>
      <c r="AA16" s="42"/>
    </row>
    <row r="17" spans="2:27">
      <c r="B17" s="5" t="s">
        <v>6</v>
      </c>
      <c r="C17" s="257"/>
      <c r="D17" s="228">
        <f>'LATAM INCUMB'!D17+'LATAM CELLULAR'!D17+'LATAM ALTNET &amp; CABLE'!D17</f>
        <v>891.11507445395</v>
      </c>
      <c r="E17" s="228">
        <f>'LATAM INCUMB'!E17+'LATAM CELLULAR'!E17+'LATAM ALTNET &amp; CABLE'!E17</f>
        <v>804.87468110964846</v>
      </c>
      <c r="F17" s="228">
        <f>'LATAM INCUMB'!F17+'LATAM CELLULAR'!F17+'LATAM ALTNET &amp; CABLE'!F17</f>
        <v>798.42800537966605</v>
      </c>
      <c r="G17" s="228">
        <f>'LATAM INCUMB'!G17+'LATAM CELLULAR'!G17+'LATAM ALTNET &amp; CABLE'!G17</f>
        <v>875.35984365011814</v>
      </c>
      <c r="H17" s="247"/>
      <c r="I17" s="247"/>
      <c r="J17" s="5" t="s">
        <v>575</v>
      </c>
      <c r="L17" s="248">
        <f>'AGG EM'!D45</f>
        <v>3.9575725452429565E-2</v>
      </c>
      <c r="M17" s="248">
        <f>'AGG EM'!E45</f>
        <v>4.4599307126826686E-2</v>
      </c>
      <c r="N17" s="248">
        <f>'AGG EM'!F45</f>
        <v>5.062338744034766E-2</v>
      </c>
      <c r="O17" s="248">
        <f>'AGG EM'!G45</f>
        <v>5.8280255420076719E-2</v>
      </c>
      <c r="P17" s="17">
        <f>'AGG EM'!H45</f>
        <v>0.13606146505400307</v>
      </c>
      <c r="S17" s="88"/>
      <c r="T17" s="88"/>
      <c r="U17" s="88"/>
      <c r="V17" s="42"/>
      <c r="W17" s="42"/>
      <c r="X17" s="42"/>
      <c r="Y17" s="42"/>
      <c r="Z17" s="42"/>
      <c r="AA17" s="42"/>
    </row>
    <row r="18" spans="2:27" ht="12.6" thickBot="1">
      <c r="B18" s="41" t="s">
        <v>88</v>
      </c>
      <c r="C18" s="249"/>
      <c r="D18" s="275">
        <f>'LATAM INCUMB'!D18+'LATAM CELLULAR'!D18+'LATAM ALTNET &amp; CABLE'!D18</f>
        <v>153089.8344194472</v>
      </c>
      <c r="E18" s="275">
        <f>'LATAM INCUMB'!E18+'LATAM CELLULAR'!E18+'LATAM ALTNET &amp; CABLE'!E18</f>
        <v>147240.59958842699</v>
      </c>
      <c r="F18" s="275">
        <f>'LATAM INCUMB'!F18+'LATAM CELLULAR'!F18+'LATAM ALTNET &amp; CABLE'!F18</f>
        <v>140488.93876718078</v>
      </c>
      <c r="G18" s="275">
        <f>'LATAM INCUMB'!G18+'LATAM CELLULAR'!G18+'LATAM ALTNET &amp; CABLE'!G18</f>
        <v>132001.5309819832</v>
      </c>
      <c r="H18" s="276">
        <f>IF(D18=0,"nm",IF(G18=0,"nm",(G18/D18)^(1/3)-1))</f>
        <v>-4.8203277486231655E-2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'AGG EM'!D47</f>
        <v>5.0146939343107481E-2</v>
      </c>
      <c r="M19" s="248">
        <f>'AGG EM'!E47</f>
        <v>6.1989801009519022E-2</v>
      </c>
      <c r="N19" s="248">
        <f>'AGG EM'!F47</f>
        <v>7.3683965448696279E-2</v>
      </c>
      <c r="O19" s="248">
        <f>'AGG EM'!G47</f>
        <v>8.6675981966062354E-2</v>
      </c>
      <c r="P19" s="17">
        <f>'AGG EM'!H47</f>
        <v>0.19756422158027021</v>
      </c>
      <c r="S19" s="88"/>
      <c r="T19" s="88"/>
      <c r="U19" s="88"/>
      <c r="V19" s="42"/>
      <c r="W19" s="42"/>
      <c r="X19" s="42"/>
      <c r="Y19" s="42"/>
      <c r="Z19" s="42"/>
      <c r="AA19" s="42"/>
    </row>
    <row r="20" spans="2:27">
      <c r="H20" s="277"/>
      <c r="I20" s="49"/>
      <c r="J20" s="5" t="s">
        <v>599</v>
      </c>
      <c r="L20" s="248">
        <f>'AGG EM'!D48</f>
        <v>0.7811093796944828</v>
      </c>
      <c r="M20" s="248">
        <f>'AGG EM'!E48</f>
        <v>0.71190259032608272</v>
      </c>
      <c r="N20" s="248">
        <f>'AGG EM'!F48</f>
        <v>0.68014626513904075</v>
      </c>
      <c r="O20" s="248">
        <f>'AGG EM'!G48</f>
        <v>0.66683886253088454</v>
      </c>
      <c r="P20" s="17" t="str">
        <f>'AGG EM'!H48</f>
        <v>nm</v>
      </c>
      <c r="S20" s="42"/>
      <c r="T20" s="42"/>
      <c r="U20" s="42"/>
      <c r="V20" s="42"/>
      <c r="W20" s="42"/>
      <c r="X20" s="42"/>
      <c r="Y20" s="42"/>
      <c r="Z20" s="42"/>
      <c r="AA20" s="42"/>
    </row>
    <row r="21" spans="2:27" ht="12.6" thickBot="1">
      <c r="B21" s="306" t="s">
        <v>303</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'LATAM INCUMB'!C23+'LATAM CELLULAR'!C23+'LATAM ALTNET &amp; CABLE'!C23</f>
        <v>76251.941443776392</v>
      </c>
      <c r="D23" s="228">
        <f>'LATAM INCUMB'!D23+'LATAM CELLULAR'!D23+'LATAM ALTNET &amp; CABLE'!D23</f>
        <v>81700.156036750399</v>
      </c>
      <c r="E23" s="228">
        <f>'LATAM INCUMB'!E23+'LATAM CELLULAR'!E23+'LATAM ALTNET &amp; CABLE'!E23</f>
        <v>85011.017672800866</v>
      </c>
      <c r="F23" s="228">
        <f>'LATAM INCUMB'!F23+'LATAM CELLULAR'!F23+'LATAM ALTNET &amp; CABLE'!F23</f>
        <v>87592.90437566991</v>
      </c>
      <c r="G23" s="228">
        <f>'LATAM INCUMB'!G23+'LATAM CELLULAR'!G23+'LATAM ALTNET &amp; CABLE'!G23</f>
        <v>89868.134752206461</v>
      </c>
      <c r="H23" s="279">
        <f t="shared" ref="H23:H33" si="0">IF(D23=0,"nm",IF(G23=0,"nm",(G23/D23)^(1/3)-1))</f>
        <v>3.2272316594768702E-2</v>
      </c>
      <c r="I23" s="249"/>
      <c r="J23" s="306" t="s">
        <v>9</v>
      </c>
      <c r="K23" s="306"/>
      <c r="L23" s="265" t="str">
        <f>L5</f>
        <v>2023E</v>
      </c>
      <c r="M23" s="265" t="str">
        <f>M5</f>
        <v>2024E</v>
      </c>
      <c r="N23" s="265" t="str">
        <f>N5</f>
        <v>2025E</v>
      </c>
      <c r="O23" s="265" t="str">
        <f>O5</f>
        <v>2026E</v>
      </c>
      <c r="P23" s="282" t="str">
        <f>P5</f>
        <v>23E-26E</v>
      </c>
      <c r="S23" s="42"/>
      <c r="T23" s="42"/>
      <c r="U23" s="42"/>
      <c r="V23" s="42"/>
      <c r="W23" s="42" t="s">
        <v>168</v>
      </c>
      <c r="X23" s="42" t="s">
        <v>26</v>
      </c>
      <c r="Y23" s="42"/>
      <c r="Z23" s="42"/>
      <c r="AA23" s="42"/>
    </row>
    <row r="24" spans="2:27" ht="12.6" thickTop="1">
      <c r="B24" s="5" t="s">
        <v>478</v>
      </c>
      <c r="C24" s="365">
        <f>'LATAM INCUMB'!C24+'LATAM CELLULAR'!C24+'LATAM ALTNET &amp; CABLE'!C24</f>
        <v>28841.848994028154</v>
      </c>
      <c r="D24" s="228">
        <f>'LATAM INCUMB'!D24+'LATAM CELLULAR'!D24+'LATAM ALTNET &amp; CABLE'!D24</f>
        <v>31222.953494746762</v>
      </c>
      <c r="E24" s="228">
        <f>'LATAM INCUMB'!E24+'LATAM CELLULAR'!E24+'LATAM ALTNET &amp; CABLE'!E24</f>
        <v>33247.743275127068</v>
      </c>
      <c r="F24" s="228">
        <f>'LATAM INCUMB'!F24+'LATAM CELLULAR'!F24+'LATAM ALTNET &amp; CABLE'!F24</f>
        <v>34953.245901926093</v>
      </c>
      <c r="G24" s="228">
        <f>'LATAM INCUMB'!G24+'LATAM CELLULAR'!G24+'LATAM ALTNET &amp; CABLE'!G24</f>
        <v>36359.415512864311</v>
      </c>
      <c r="H24" s="279">
        <f t="shared" si="0"/>
        <v>5.207726801776924E-2</v>
      </c>
      <c r="I24" s="248"/>
      <c r="J24" s="17"/>
      <c r="K24" s="17"/>
      <c r="L24" s="17"/>
      <c r="M24" s="17"/>
      <c r="N24" s="17"/>
      <c r="O24" s="248"/>
      <c r="S24" s="42"/>
      <c r="T24" s="42"/>
      <c r="U24" s="42"/>
      <c r="V24" s="147" t="s">
        <v>268</v>
      </c>
      <c r="W24" s="288">
        <f t="shared" ref="W24:W31" si="1">E37/M9</f>
        <v>1.0460620368532447</v>
      </c>
      <c r="X24" s="288">
        <v>1</v>
      </c>
      <c r="Y24" s="42"/>
      <c r="Z24" s="42"/>
      <c r="AA24" s="42"/>
    </row>
    <row r="25" spans="2:27">
      <c r="B25" s="5" t="s">
        <v>179</v>
      </c>
      <c r="C25" s="365">
        <f>'LATAM INCUMB'!C25+'LATAM CELLULAR'!C25+'LATAM ALTNET &amp; CABLE'!C25</f>
        <v>13282.209585676086</v>
      </c>
      <c r="D25" s="228">
        <f>'LATAM INCUMB'!D25+'LATAM CELLULAR'!D25+'LATAM ALTNET &amp; CABLE'!D25</f>
        <v>15985.574262528547</v>
      </c>
      <c r="E25" s="228">
        <f>'LATAM INCUMB'!E25+'LATAM CELLULAR'!E25+'LATAM ALTNET &amp; CABLE'!E25</f>
        <v>18741.183498244773</v>
      </c>
      <c r="F25" s="228">
        <f>'LATAM INCUMB'!F25+'LATAM CELLULAR'!F25+'LATAM ALTNET &amp; CABLE'!F25</f>
        <v>20967.41146904093</v>
      </c>
      <c r="G25" s="228">
        <f>'LATAM INCUMB'!G25+'LATAM CELLULAR'!G25+'LATAM ALTNET &amp; CABLE'!G25</f>
        <v>22774.816389212545</v>
      </c>
      <c r="H25" s="279">
        <f t="shared" si="0"/>
        <v>0.12523236171018404</v>
      </c>
      <c r="I25" s="249"/>
      <c r="J25" s="247" t="s">
        <v>10</v>
      </c>
      <c r="K25" s="247"/>
      <c r="L25" s="332">
        <f>'LATAM INCUMB'!L25+'LATAM CELLULAR'!L25+'LATAM ALTNET &amp; CABLE'!L25</f>
        <v>16717.73313632885</v>
      </c>
      <c r="M25" s="332">
        <f>'LATAM INCUMB'!M25+'LATAM CELLULAR'!M25+'LATAM ALTNET &amp; CABLE'!M25</f>
        <v>16819.891066217519</v>
      </c>
      <c r="N25" s="332">
        <f>'LATAM INCUMB'!N25+'LATAM CELLULAR'!N25+'LATAM ALTNET &amp; CABLE'!N25</f>
        <v>16913.593770989057</v>
      </c>
      <c r="O25" s="332">
        <f>'LATAM INCUMB'!O25+'LATAM CELLULAR'!O25+'LATAM ALTNET &amp; CABLE'!O25</f>
        <v>15552.177431047785</v>
      </c>
      <c r="P25" s="279">
        <f>IF(L25=0,"nm",IF(O25=0,"nm",(O25/L25)^(1/3)-1))</f>
        <v>-2.3801945032505545E-2</v>
      </c>
      <c r="Q25" s="5"/>
      <c r="S25" s="42"/>
      <c r="T25" s="42"/>
      <c r="U25" s="42"/>
      <c r="V25" s="147" t="s">
        <v>180</v>
      </c>
      <c r="W25" s="288">
        <f t="shared" si="1"/>
        <v>0.91587075952552754</v>
      </c>
      <c r="X25" s="288">
        <v>1</v>
      </c>
      <c r="Y25" s="42"/>
      <c r="Z25" s="42"/>
      <c r="AA25" s="42"/>
    </row>
    <row r="26" spans="2:27">
      <c r="B26" s="5" t="s">
        <v>581</v>
      </c>
      <c r="C26" s="365">
        <f>'LATAM INCUMB'!C26+'LATAM CELLULAR'!C26+'LATAM ALTNET &amp; CABLE'!C26</f>
        <v>9162.7389708501541</v>
      </c>
      <c r="D26" s="228">
        <f>'LATAM INCUMB'!D26+'LATAM CELLULAR'!D26+'LATAM ALTNET &amp; CABLE'!D26</f>
        <v>10445.419184069689</v>
      </c>
      <c r="E26" s="228">
        <f>'LATAM INCUMB'!E26+'LATAM CELLULAR'!E26+'LATAM ALTNET &amp; CABLE'!E26</f>
        <v>13120.644436486995</v>
      </c>
      <c r="F26" s="228">
        <f>'LATAM INCUMB'!F26+'LATAM CELLULAR'!F26+'LATAM ALTNET &amp; CABLE'!F26</f>
        <v>14714.551500663907</v>
      </c>
      <c r="G26" s="228">
        <f>'LATAM INCUMB'!G26+'LATAM CELLULAR'!G26+'LATAM ALTNET &amp; CABLE'!G26</f>
        <v>16050.054754938616</v>
      </c>
      <c r="H26" s="279">
        <f t="shared" si="0"/>
        <v>0.15394085136934765</v>
      </c>
      <c r="I26" s="249"/>
      <c r="J26" s="249" t="s">
        <v>11</v>
      </c>
      <c r="K26" s="249"/>
      <c r="L26" s="281">
        <f>'LATAM INCUMB'!L26+'LATAM CELLULAR'!L26+'LATAM ALTNET &amp; CABLE'!L26</f>
        <v>103528.80985345072</v>
      </c>
      <c r="M26" s="281">
        <f>'LATAM INCUMB'!M26+'LATAM CELLULAR'!M26+'LATAM ALTNET &amp; CABLE'!M26</f>
        <v>101901.07794733433</v>
      </c>
      <c r="N26" s="281">
        <f>'LATAM INCUMB'!N26+'LATAM CELLULAR'!N26+'LATAM ALTNET &amp; CABLE'!N26</f>
        <v>99571.06284889979</v>
      </c>
      <c r="O26" s="281">
        <f>'LATAM INCUMB'!O26+'LATAM CELLULAR'!O26+'LATAM ALTNET &amp; CABLE'!O26</f>
        <v>95756.26175495093</v>
      </c>
      <c r="P26" s="279">
        <f>IF(L26=0,"nm",IF(O26=0,"nm",(O26/L26)^(1/3)-1))</f>
        <v>-2.5679170396268103E-2</v>
      </c>
      <c r="Q26" s="41"/>
      <c r="S26" s="42"/>
      <c r="T26" s="42"/>
      <c r="U26" s="42"/>
      <c r="V26" s="147" t="s">
        <v>181</v>
      </c>
      <c r="W26" s="288">
        <f t="shared" si="1"/>
        <v>0.81930432150458021</v>
      </c>
      <c r="X26" s="288">
        <v>1</v>
      </c>
      <c r="Y26" s="42"/>
      <c r="Z26" s="42"/>
      <c r="AA26" s="42"/>
    </row>
    <row r="27" spans="2:27">
      <c r="B27" s="5" t="s">
        <v>582</v>
      </c>
      <c r="C27" s="365">
        <f>'LATAM INCUMB'!C27+'LATAM CELLULAR'!C27+'LATAM ALTNET &amp; CABLE'!C27</f>
        <v>100106.56392969552</v>
      </c>
      <c r="D27" s="228">
        <f>'LATAM INCUMB'!D27+'LATAM CELLULAR'!D27+'LATAM ALTNET &amp; CABLE'!D27</f>
        <v>108452.84731227967</v>
      </c>
      <c r="E27" s="228">
        <f>'LATAM INCUMB'!E27+'LATAM CELLULAR'!E27+'LATAM ALTNET &amp; CABLE'!E27</f>
        <v>108360.82158332951</v>
      </c>
      <c r="F27" s="228">
        <f>'LATAM INCUMB'!F27+'LATAM CELLULAR'!F27+'LATAM ALTNET &amp; CABLE'!F27</f>
        <v>107437.91899359912</v>
      </c>
      <c r="G27" s="228">
        <f>'LATAM INCUMB'!G27+'LATAM CELLULAR'!G27+'LATAM ALTNET &amp; CABLE'!G27</f>
        <v>107416.36127035352</v>
      </c>
      <c r="H27" s="279">
        <f t="shared" si="0"/>
        <v>-3.1958761110921774E-3</v>
      </c>
      <c r="I27" s="248"/>
      <c r="J27" s="248"/>
      <c r="K27" s="248"/>
      <c r="L27" s="248"/>
      <c r="M27" s="248"/>
      <c r="N27" s="248"/>
      <c r="O27" s="248"/>
      <c r="Q27" s="5"/>
      <c r="S27" s="42"/>
      <c r="T27" s="42"/>
      <c r="U27" s="42"/>
      <c r="V27" s="147" t="s">
        <v>461</v>
      </c>
      <c r="W27" s="288">
        <f t="shared" si="1"/>
        <v>0.891464518059222</v>
      </c>
      <c r="X27" s="288">
        <v>1</v>
      </c>
      <c r="Y27" s="42"/>
      <c r="Z27" s="42"/>
      <c r="AA27" s="42"/>
    </row>
    <row r="28" spans="2:27" ht="12.6" thickBot="1">
      <c r="B28" s="5" t="s">
        <v>587</v>
      </c>
      <c r="C28" s="365">
        <f>'LATAM INCUMB'!C28+'LATAM CELLULAR'!C28+'LATAM ALTNET &amp; CABLE'!C28</f>
        <v>70612.558955155095</v>
      </c>
      <c r="D28" s="228">
        <f>'LATAM INCUMB'!D28+'LATAM CELLULAR'!D28+'LATAM ALTNET &amp; CABLE'!D28</f>
        <v>73608.9114772295</v>
      </c>
      <c r="E28" s="228">
        <f>'LATAM INCUMB'!E28+'LATAM CELLULAR'!E28+'LATAM ALTNET &amp; CABLE'!E28</f>
        <v>72907.05670364105</v>
      </c>
      <c r="F28" s="228">
        <f>'LATAM INCUMB'!F28+'LATAM CELLULAR'!F28+'LATAM ALTNET &amp; CABLE'!F28</f>
        <v>71913.307442687452</v>
      </c>
      <c r="G28" s="228">
        <f>'LATAM INCUMB'!G28+'LATAM CELLULAR'!G28+'LATAM ALTNET &amp; CABLE'!G28</f>
        <v>71125.89493635291</v>
      </c>
      <c r="H28" s="279">
        <f t="shared" si="0"/>
        <v>-1.1373040173887738E-2</v>
      </c>
      <c r="I28" s="252"/>
      <c r="J28" s="306" t="s">
        <v>747</v>
      </c>
      <c r="K28" s="306"/>
      <c r="L28" s="306"/>
      <c r="M28" s="306"/>
      <c r="N28" s="266"/>
      <c r="O28" s="266"/>
      <c r="P28" s="266"/>
      <c r="Q28" s="5"/>
      <c r="S28" s="42"/>
      <c r="T28" s="42"/>
      <c r="U28" s="42"/>
      <c r="V28" s="147" t="s">
        <v>525</v>
      </c>
      <c r="W28" s="288">
        <f t="shared" si="1"/>
        <v>1.0333128978882937</v>
      </c>
      <c r="X28" s="288">
        <v>1</v>
      </c>
      <c r="Y28" s="42"/>
      <c r="Z28" s="42"/>
      <c r="AA28" s="42"/>
    </row>
    <row r="29" spans="2:27" ht="12.6" thickTop="1">
      <c r="B29" s="5" t="s">
        <v>583</v>
      </c>
      <c r="C29" s="365">
        <f>'LATAM INCUMB'!C29+'LATAM CELLULAR'!C29+'LATAM ALTNET &amp; CABLE'!C29</f>
        <v>2586.0838056514322</v>
      </c>
      <c r="D29" s="228">
        <f>'LATAM INCUMB'!D29+'LATAM CELLULAR'!D29+'LATAM ALTNET &amp; CABLE'!D29</f>
        <v>4200.0553027223559</v>
      </c>
      <c r="E29" s="228">
        <f>'LATAM INCUMB'!E29+'LATAM CELLULAR'!E29+'LATAM ALTNET &amp; CABLE'!E29</f>
        <v>7188.7869243470241</v>
      </c>
      <c r="F29" s="228">
        <f>'LATAM INCUMB'!F29+'LATAM CELLULAR'!F29+'LATAM ALTNET &amp; CABLE'!F29</f>
        <v>9232.7168104723569</v>
      </c>
      <c r="G29" s="228">
        <f>'LATAM INCUMB'!G29+'LATAM CELLULAR'!G29+'LATAM ALTNET &amp; CABLE'!G29</f>
        <v>10991.649226787882</v>
      </c>
      <c r="H29" s="279">
        <f t="shared" si="0"/>
        <v>0.3780636710406986</v>
      </c>
      <c r="I29" s="254"/>
      <c r="J29" s="249"/>
      <c r="K29" s="249"/>
      <c r="L29" s="249"/>
      <c r="M29" s="249"/>
      <c r="N29" s="249"/>
      <c r="O29" s="251"/>
      <c r="Q29" s="5"/>
      <c r="S29" s="42"/>
      <c r="T29" s="42"/>
      <c r="U29" s="42"/>
      <c r="V29" s="147" t="s">
        <v>588</v>
      </c>
      <c r="W29" s="288">
        <f t="shared" si="1"/>
        <v>0.99737031368623053</v>
      </c>
      <c r="X29" s="288">
        <v>1</v>
      </c>
      <c r="Y29" s="42"/>
      <c r="Z29" s="42"/>
      <c r="AA29" s="42"/>
    </row>
    <row r="30" spans="2:27">
      <c r="B30" s="5" t="s">
        <v>584</v>
      </c>
      <c r="C30" s="365">
        <f>'LATAM INCUMB'!C30+'LATAM CELLULAR'!C30+'LATAM ALTNET &amp; CABLE'!C30</f>
        <v>4823.9920446974429</v>
      </c>
      <c r="D30" s="228">
        <f>'LATAM INCUMB'!D30+'LATAM CELLULAR'!D30+'LATAM ALTNET &amp; CABLE'!D30</f>
        <v>5830.1863826368062</v>
      </c>
      <c r="E30" s="228">
        <f>'LATAM INCUMB'!E30+'LATAM CELLULAR'!E30+'LATAM ALTNET &amp; CABLE'!E30</f>
        <v>7967.0479732325712</v>
      </c>
      <c r="F30" s="228">
        <f>'LATAM INCUMB'!F30+'LATAM CELLULAR'!F30+'LATAM ALTNET &amp; CABLE'!F30</f>
        <v>10099.116658800736</v>
      </c>
      <c r="G30" s="228">
        <f>'LATAM INCUMB'!G30+'LATAM CELLULAR'!G30+'LATAM ALTNET &amp; CABLE'!G30</f>
        <v>11969.864845422189</v>
      </c>
      <c r="H30" s="279">
        <f t="shared" si="0"/>
        <v>0.2709708869540397</v>
      </c>
      <c r="I30" s="254"/>
      <c r="J30" s="248"/>
      <c r="K30" s="248"/>
      <c r="L30" s="248"/>
      <c r="M30" s="248"/>
      <c r="N30" s="248"/>
      <c r="O30" s="5"/>
      <c r="Q30" s="5"/>
      <c r="S30" s="42"/>
      <c r="T30" s="42"/>
      <c r="U30" s="42"/>
      <c r="V30" s="147" t="s">
        <v>470</v>
      </c>
      <c r="W30" s="288">
        <f t="shared" si="1"/>
        <v>0.87870563018315018</v>
      </c>
      <c r="X30" s="288">
        <v>1</v>
      </c>
      <c r="Y30" s="42"/>
      <c r="Z30" s="42"/>
      <c r="AA30" s="42"/>
    </row>
    <row r="31" spans="2:27">
      <c r="B31" s="5" t="s">
        <v>585</v>
      </c>
      <c r="C31" s="365">
        <f>'LATAM INCUMB'!C31+'LATAM CELLULAR'!C31+'LATAM ALTNET &amp; CABLE'!C31</f>
        <v>2909.4863953767513</v>
      </c>
      <c r="D31" s="228">
        <f>'LATAM INCUMB'!D31+'LATAM CELLULAR'!D31+'LATAM ALTNET &amp; CABLE'!D31</f>
        <v>2881.0447960192769</v>
      </c>
      <c r="E31" s="228">
        <f>'LATAM INCUMB'!E31+'LATAM CELLULAR'!E31+'LATAM ALTNET &amp; CABLE'!E31</f>
        <v>3241.7123221453362</v>
      </c>
      <c r="F31" s="228">
        <f>'LATAM INCUMB'!F31+'LATAM CELLULAR'!F31+'LATAM ALTNET &amp; CABLE'!F31</f>
        <v>3637.5176876268297</v>
      </c>
      <c r="G31" s="228">
        <f>'LATAM INCUMB'!G31+'LATAM CELLULAR'!G31+'LATAM ALTNET &amp; CABLE'!G31</f>
        <v>3910.8781007864141</v>
      </c>
      <c r="H31" s="279">
        <f t="shared" si="0"/>
        <v>0.10723912345182063</v>
      </c>
      <c r="I31" s="254"/>
      <c r="J31" s="252"/>
      <c r="K31" s="252"/>
      <c r="L31" s="252"/>
      <c r="M31" s="252"/>
      <c r="N31" s="252"/>
      <c r="O31" s="5"/>
      <c r="Q31" s="5"/>
      <c r="S31" s="42"/>
      <c r="T31" s="42"/>
      <c r="U31" s="42"/>
      <c r="V31" s="147" t="s">
        <v>528</v>
      </c>
      <c r="W31" s="288">
        <f t="shared" si="1"/>
        <v>0.69983580955686131</v>
      </c>
      <c r="X31" s="288">
        <v>1</v>
      </c>
      <c r="Y31" s="42"/>
      <c r="Z31" s="42"/>
      <c r="AA31" s="42"/>
    </row>
    <row r="32" spans="2:27">
      <c r="B32" s="5" t="s">
        <v>601</v>
      </c>
      <c r="C32" s="365">
        <f>'LATAM INCUMB'!C32+'LATAM CELLULAR'!C32+'LATAM ALTNET &amp; CABLE'!C32</f>
        <v>65.795090715048033</v>
      </c>
      <c r="D32" s="228">
        <f>'LATAM INCUMB'!D32+'LATAM CELLULAR'!D32+'LATAM ALTNET &amp; CABLE'!D32</f>
        <v>274.37306292251679</v>
      </c>
      <c r="E32" s="228">
        <f>'LATAM INCUMB'!E32+'LATAM CELLULAR'!E32+'LATAM ALTNET &amp; CABLE'!E32</f>
        <v>-136.80000000000018</v>
      </c>
      <c r="F32" s="228">
        <f>'LATAM INCUMB'!F32+'LATAM CELLULAR'!F32+'LATAM ALTNET &amp; CABLE'!F32</f>
        <v>1260.2095781499957</v>
      </c>
      <c r="G32" s="228">
        <f>'LATAM INCUMB'!G32+'LATAM CELLULAR'!G32+'LATAM ALTNET &amp; CABLE'!G32</f>
        <v>2123.4906357811742</v>
      </c>
      <c r="H32" s="279">
        <f t="shared" si="0"/>
        <v>0.97804557133531156</v>
      </c>
      <c r="I32" s="5"/>
      <c r="J32" s="254"/>
      <c r="K32" s="254"/>
      <c r="L32" s="254"/>
      <c r="M32" s="254"/>
      <c r="N32" s="254"/>
      <c r="O32" s="251"/>
      <c r="Q32" s="5"/>
      <c r="S32" s="42"/>
      <c r="T32" s="42"/>
      <c r="U32" s="42"/>
      <c r="V32" s="147" t="s">
        <v>575</v>
      </c>
      <c r="W32" s="288">
        <f>M17/E45</f>
        <v>1.1942699805944834</v>
      </c>
      <c r="X32" s="288">
        <v>1</v>
      </c>
      <c r="Y32" s="42"/>
      <c r="Z32" s="42"/>
      <c r="AA32" s="42"/>
    </row>
    <row r="33" spans="2:42">
      <c r="B33" s="5" t="s">
        <v>5</v>
      </c>
      <c r="C33" s="365">
        <f>'LATAM INCUMB'!C33+'LATAM CELLULAR'!C33+'LATAM ALTNET &amp; CABLE'!C33</f>
        <v>808.48019174069555</v>
      </c>
      <c r="D33" s="228">
        <f>'LATAM INCUMB'!D33+'LATAM CELLULAR'!D33+'LATAM ALTNET &amp; CABLE'!D33</f>
        <v>434.68285608064184</v>
      </c>
      <c r="E33" s="228">
        <f>'LATAM INCUMB'!E33+'LATAM CELLULAR'!E33+'LATAM ALTNET &amp; CABLE'!E33</f>
        <v>429.86933670723073</v>
      </c>
      <c r="F33" s="228">
        <f>'LATAM INCUMB'!F33+'LATAM CELLULAR'!F33+'LATAM ALTNET &amp; CABLE'!F33</f>
        <v>682.44561115485908</v>
      </c>
      <c r="G33" s="228">
        <f>'LATAM INCUMB'!G33+'LATAM CELLULAR'!G33+'LATAM ALTNET &amp; CABLE'!G33</f>
        <v>956.8425811334763</v>
      </c>
      <c r="H33" s="279">
        <f t="shared" si="0"/>
        <v>0.30083633955046141</v>
      </c>
      <c r="I33" s="49"/>
      <c r="J33" s="254"/>
      <c r="K33" s="254"/>
      <c r="L33" s="254"/>
      <c r="M33" s="254"/>
      <c r="N33" s="254"/>
      <c r="O33" s="251"/>
      <c r="Q33" s="5"/>
      <c r="S33" s="42"/>
      <c r="T33" s="42"/>
      <c r="U33" s="42"/>
      <c r="V33" s="147" t="s">
        <v>576</v>
      </c>
      <c r="W33" s="288">
        <f>M19/E47</f>
        <v>0.87870563018315018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296</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1.873801004132529</v>
      </c>
      <c r="E37" s="553">
        <f t="shared" si="2"/>
        <v>1.7320178445003651</v>
      </c>
      <c r="F37" s="553">
        <f t="shared" si="2"/>
        <v>1.60388492388207</v>
      </c>
      <c r="G37" s="553">
        <f t="shared" si="2"/>
        <v>1.4688357708319109</v>
      </c>
      <c r="H37" s="17">
        <f t="shared" ref="H37:H45" si="3">H23</f>
        <v>3.2272316594768702E-2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4.9031182922911007</v>
      </c>
      <c r="E38" s="553">
        <f t="shared" si="2"/>
        <v>4.4285892840907186</v>
      </c>
      <c r="F38" s="553">
        <f t="shared" si="2"/>
        <v>4.019338837982974</v>
      </c>
      <c r="G38" s="553">
        <f t="shared" si="2"/>
        <v>3.6304635022331366</v>
      </c>
      <c r="H38" s="17">
        <f t="shared" si="3"/>
        <v>5.207726801776924E-2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9.5767491305146226</v>
      </c>
      <c r="E39" s="553">
        <f t="shared" si="2"/>
        <v>7.8565262221682524</v>
      </c>
      <c r="F39" s="553">
        <f t="shared" si="2"/>
        <v>6.7003472972625779</v>
      </c>
      <c r="G39" s="553">
        <f t="shared" si="2"/>
        <v>5.7959427082146169</v>
      </c>
      <c r="H39" s="17">
        <f t="shared" si="3"/>
        <v>0.12523236171018404</v>
      </c>
      <c r="I39" s="5"/>
      <c r="J39" s="5"/>
      <c r="K39" s="5"/>
      <c r="L39" s="5"/>
      <c r="M39" s="5"/>
      <c r="N39" s="5"/>
      <c r="O39" s="5"/>
      <c r="Q39" s="5"/>
      <c r="R39" s="5"/>
      <c r="S39" s="42"/>
      <c r="T39" s="42"/>
      <c r="U39" s="42"/>
      <c r="V39" s="42"/>
      <c r="W39" s="288"/>
      <c r="X39" s="288"/>
      <c r="Y39" s="42"/>
      <c r="Z39" s="42"/>
      <c r="AA39" s="42"/>
    </row>
    <row r="40" spans="2:42">
      <c r="B40" s="5" t="s">
        <v>461</v>
      </c>
      <c r="C40" s="247"/>
      <c r="D40" s="553">
        <f t="shared" si="2"/>
        <v>14.656169534385421</v>
      </c>
      <c r="E40" s="553">
        <f t="shared" si="2"/>
        <v>11.222055463904494</v>
      </c>
      <c r="F40" s="553">
        <f t="shared" si="2"/>
        <v>9.5476194949497479</v>
      </c>
      <c r="G40" s="553">
        <f t="shared" si="2"/>
        <v>8.2243663960938331</v>
      </c>
      <c r="H40" s="17">
        <f t="shared" si="3"/>
        <v>0.15394085136934765</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1.4115796699983318</v>
      </c>
      <c r="E41" s="553">
        <f t="shared" si="2"/>
        <v>1.3587992176231234</v>
      </c>
      <c r="F41" s="553">
        <f t="shared" si="2"/>
        <v>1.3076290017824224</v>
      </c>
      <c r="G41" s="553">
        <f t="shared" si="2"/>
        <v>1.2288773276330958</v>
      </c>
      <c r="H41" s="17">
        <f t="shared" si="3"/>
        <v>-3.1958761110921774E-3</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2.0797731055540019</v>
      </c>
      <c r="E42" s="553">
        <f>E18/E28</f>
        <v>2.0195658177087492</v>
      </c>
      <c r="F42" s="553">
        <f>F18/F28</f>
        <v>1.9535875036639896</v>
      </c>
      <c r="G42" s="553">
        <f>G18/G28</f>
        <v>1.8558856953589817</v>
      </c>
      <c r="H42" s="17">
        <f t="shared" si="3"/>
        <v>-1.1373040173887738E-2</v>
      </c>
      <c r="I42" s="247"/>
      <c r="J42" s="5"/>
      <c r="K42" s="5"/>
      <c r="L42" s="5"/>
      <c r="M42" s="5"/>
      <c r="N42" s="5"/>
      <c r="O42" s="5"/>
      <c r="Q42" s="5"/>
      <c r="R42" s="5"/>
      <c r="S42" s="42"/>
      <c r="T42" s="42"/>
      <c r="U42" s="42"/>
      <c r="V42" s="42"/>
      <c r="W42" s="288"/>
      <c r="X42" s="288"/>
      <c r="Y42" s="288"/>
      <c r="Z42" s="288"/>
      <c r="AA42" s="42"/>
    </row>
    <row r="43" spans="2:42">
      <c r="B43" s="5" t="s">
        <v>470</v>
      </c>
      <c r="C43" s="247"/>
      <c r="D43" s="553">
        <f>L26/D29</f>
        <v>24.649392065467875</v>
      </c>
      <c r="E43" s="553">
        <f>M26/E29</f>
        <v>14.175003240423663</v>
      </c>
      <c r="F43" s="553">
        <f>N26/F29</f>
        <v>10.784589725091505</v>
      </c>
      <c r="G43" s="553">
        <f>O26/G29</f>
        <v>8.711728311123883</v>
      </c>
      <c r="H43" s="17">
        <f t="shared" si="3"/>
        <v>0.3780636710406986</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15.184213633507207</v>
      </c>
      <c r="E44" s="553">
        <f>E11/E30</f>
        <v>10.895607343242339</v>
      </c>
      <c r="F44" s="553">
        <f>F11/F30</f>
        <v>8.4024292762241899</v>
      </c>
      <c r="G44" s="553">
        <f>G11/G30</f>
        <v>6.8824440198595624</v>
      </c>
      <c r="H44" s="17">
        <f t="shared" si="3"/>
        <v>0.2709708869540397</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3.2544324889296199E-2</v>
      </c>
      <c r="E45" s="248">
        <f>E31/E11</f>
        <v>3.7344409431296306E-2</v>
      </c>
      <c r="F45" s="248">
        <f>F31/F11</f>
        <v>4.2866384897404228E-2</v>
      </c>
      <c r="G45" s="248">
        <f>G31/G11</f>
        <v>4.7472526453993746E-2</v>
      </c>
      <c r="H45" s="17">
        <f t="shared" si="3"/>
        <v>0.10723912345182063</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3.5643647091074954E-2</v>
      </c>
      <c r="E46" s="248">
        <f>(E31+E32)/E11</f>
        <v>3.5768478348423276E-2</v>
      </c>
      <c r="F46" s="248">
        <f>(F31+F32)/F11</f>
        <v>5.7717344663765387E-2</v>
      </c>
      <c r="G46" s="248">
        <f>(G31+G32)/G11</f>
        <v>7.3248698143328447E-2</v>
      </c>
      <c r="H46" s="279">
        <f>((G31+G32)/(D31+D32))^(1/3)-1</f>
        <v>0.24124731431677326</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4.0568951856663926E-2</v>
      </c>
      <c r="E47" s="248">
        <f>1/E43</f>
        <v>7.054672108633056E-2</v>
      </c>
      <c r="F47" s="248">
        <f>1/F43</f>
        <v>9.2724899647632641E-2</v>
      </c>
      <c r="G47" s="248">
        <f>1/G43</f>
        <v>0.11478778541832096</v>
      </c>
      <c r="H47" s="17">
        <f>H29</f>
        <v>0.3780636710406986</v>
      </c>
      <c r="I47" s="247"/>
      <c r="J47" s="248"/>
      <c r="K47" s="248"/>
      <c r="L47" s="248"/>
      <c r="M47" s="248"/>
      <c r="N47" s="248"/>
      <c r="O47" s="248"/>
      <c r="Q47" s="5"/>
      <c r="R47" s="5"/>
      <c r="S47" s="5"/>
      <c r="T47" s="5"/>
      <c r="U47" s="5"/>
      <c r="AA47" s="303"/>
      <c r="AB47" s="303"/>
    </row>
    <row r="48" spans="2:42">
      <c r="B48" s="5" t="s">
        <v>613</v>
      </c>
      <c r="C48" s="5"/>
      <c r="D48" s="305">
        <f>D31/D29</f>
        <v>0.68595401449877713</v>
      </c>
      <c r="E48" s="305">
        <f>E31/E29</f>
        <v>0.4509401038395347</v>
      </c>
      <c r="F48" s="305">
        <f>F31/F29</f>
        <v>0.39398129091330053</v>
      </c>
      <c r="G48" s="305">
        <f>G31/G29</f>
        <v>0.35580448575953144</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8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504</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505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271"/>
      <c r="E9" s="249"/>
      <c r="F9" s="249"/>
      <c r="G9" s="249"/>
      <c r="H9" s="249"/>
      <c r="I9" s="249"/>
      <c r="J9" s="5" t="s">
        <v>268</v>
      </c>
      <c r="L9" s="64">
        <f>'EM INCUMB'!D37</f>
        <v>1.0176300731136698</v>
      </c>
      <c r="M9" s="64">
        <f>'EM INCUMB'!E37</f>
        <v>0.93429038677213927</v>
      </c>
      <c r="N9" s="64">
        <f>'EM INCUMB'!F37</f>
        <v>0.8317426572747123</v>
      </c>
      <c r="O9" s="64">
        <f>'EM INCUMB'!G37</f>
        <v>0.74303420915690233</v>
      </c>
      <c r="P9" s="17">
        <f>'EM INCUMB'!H37</f>
        <v>3.7474232769618476E-2</v>
      </c>
    </row>
    <row r="10" spans="2:63">
      <c r="B10" s="5" t="s">
        <v>269</v>
      </c>
      <c r="C10" s="5"/>
      <c r="D10" s="332"/>
      <c r="E10" s="332"/>
      <c r="F10" s="332"/>
      <c r="G10" s="332"/>
      <c r="H10" s="247"/>
      <c r="I10" s="247"/>
      <c r="J10" s="5" t="s">
        <v>180</v>
      </c>
      <c r="L10" s="64">
        <f>'EM INCUMB'!D38</f>
        <v>3.3175350374258823</v>
      </c>
      <c r="M10" s="64">
        <f>'EM INCUMB'!E38</f>
        <v>3.0223783223658711</v>
      </c>
      <c r="N10" s="64">
        <f>'EM INCUMB'!F38</f>
        <v>2.6862546809972083</v>
      </c>
      <c r="O10" s="64">
        <f>'EM INCUMB'!G38</f>
        <v>2.3829836713571781</v>
      </c>
      <c r="P10" s="17">
        <f>'EM INCUMB'!H38</f>
        <v>4.3154001905154393E-2</v>
      </c>
      <c r="W10" s="10"/>
      <c r="X10" s="10"/>
      <c r="Y10" s="10"/>
      <c r="Z10" s="10"/>
    </row>
    <row r="11" spans="2:63">
      <c r="B11" s="41" t="s">
        <v>354</v>
      </c>
      <c r="C11" s="5"/>
      <c r="D11" s="271">
        <f>(TKG!D11/Prices!$C$170)</f>
        <v>769.15152965626601</v>
      </c>
      <c r="E11" s="271">
        <f>(TKG!E11/Prices!$C$170)</f>
        <v>769.15152965626601</v>
      </c>
      <c r="F11" s="271">
        <f>(TKG!F11/Prices!$C$170)</f>
        <v>769.15152965626601</v>
      </c>
      <c r="G11" s="271">
        <f>(TKG!G11/Prices!$C$170)</f>
        <v>769.15152965626601</v>
      </c>
      <c r="H11" s="249"/>
      <c r="I11" s="249"/>
      <c r="J11" s="5" t="s">
        <v>181</v>
      </c>
      <c r="L11" s="64">
        <f>'EM INCUMB'!D39</f>
        <v>8.3626832656520378</v>
      </c>
      <c r="M11" s="64">
        <f>'EM INCUMB'!E39</f>
        <v>6.6862965464471191</v>
      </c>
      <c r="N11" s="64">
        <f>'EM INCUMB'!F39</f>
        <v>5.6223434210064793</v>
      </c>
      <c r="O11" s="64">
        <f>'EM INCUMB'!G39</f>
        <v>4.7608020965038236</v>
      </c>
      <c r="P11" s="17">
        <f>'EM INCUMB'!H39</f>
        <v>0.12721160462737946</v>
      </c>
      <c r="W11" s="10"/>
      <c r="X11" s="10"/>
      <c r="Y11" s="10"/>
      <c r="Z11" s="10"/>
    </row>
    <row r="12" spans="2:63">
      <c r="B12" s="5" t="s">
        <v>225</v>
      </c>
      <c r="C12" s="249"/>
      <c r="D12" s="228">
        <f>(TKG!D12/Prices!$C$170)</f>
        <v>694.37441600092507</v>
      </c>
      <c r="E12" s="228">
        <f>(TKG!E12/Prices!$C$170)</f>
        <v>651.96616247338477</v>
      </c>
      <c r="F12" s="228">
        <f>(TKG!F12/Prices!$C$170)</f>
        <v>611.29766720078908</v>
      </c>
      <c r="G12" s="228">
        <f>(TKG!G12/Prices!$C$170)</f>
        <v>569.77732731879269</v>
      </c>
      <c r="H12" s="247"/>
      <c r="I12" s="247"/>
      <c r="J12" s="5" t="s">
        <v>461</v>
      </c>
      <c r="L12" s="64">
        <f>'EM INCUMB'!D40</f>
        <v>11.762846823892597</v>
      </c>
      <c r="M12" s="64">
        <f>'EM INCUMB'!E40</f>
        <v>9.0599421174657948</v>
      </c>
      <c r="N12" s="64">
        <f>'EM INCUMB'!F40</f>
        <v>7.5970645551793998</v>
      </c>
      <c r="O12" s="64">
        <f>'EM INCUMB'!G40</f>
        <v>6.4065033921566776</v>
      </c>
      <c r="P12" s="17">
        <f>'EM INCUMB'!H40</f>
        <v>0.14396851486850371</v>
      </c>
      <c r="W12" s="10"/>
      <c r="X12" s="10"/>
      <c r="Y12" s="10"/>
      <c r="Z12" s="10"/>
    </row>
    <row r="13" spans="2:63">
      <c r="B13" s="5" t="s">
        <v>524</v>
      </c>
      <c r="C13" s="257"/>
      <c r="D13" s="228">
        <f>(TKG!D13/Prices!$C$170)</f>
        <v>0</v>
      </c>
      <c r="E13" s="228">
        <f>(TKG!E13/Prices!$C$170)</f>
        <v>0</v>
      </c>
      <c r="F13" s="228">
        <f>(TKG!F13/Prices!$C$170)</f>
        <v>0</v>
      </c>
      <c r="G13" s="228">
        <f>(TKG!G13/Prices!$C$170)</f>
        <v>0</v>
      </c>
      <c r="H13" s="247"/>
      <c r="I13" s="247"/>
      <c r="J13" s="5" t="s">
        <v>525</v>
      </c>
      <c r="L13" s="64">
        <f>'EM INCUMB'!D41</f>
        <v>0.96958016481008746</v>
      </c>
      <c r="M13" s="64">
        <f>'EM INCUMB'!E41</f>
        <v>0.92844115605028033</v>
      </c>
      <c r="N13" s="64">
        <f>'EM INCUMB'!F41</f>
        <v>0.87061101840353483</v>
      </c>
      <c r="O13" s="64">
        <f>'EM INCUMB'!G41</f>
        <v>0.80791081215813854</v>
      </c>
      <c r="P13" s="17">
        <f>'EM INCUMB'!H41</f>
        <v>-7.2107972668689069E-3</v>
      </c>
    </row>
    <row r="14" spans="2:63">
      <c r="B14" s="5" t="s">
        <v>527</v>
      </c>
      <c r="C14" s="274"/>
      <c r="D14" s="228">
        <f>(TKG!D14/Prices!$C$170)</f>
        <v>0</v>
      </c>
      <c r="E14" s="228">
        <f>(TKG!E14/Prices!$C$170)</f>
        <v>0</v>
      </c>
      <c r="F14" s="228">
        <f>(TKG!F14/Prices!$C$170)</f>
        <v>0</v>
      </c>
      <c r="G14" s="228">
        <f>(TKG!G14/Prices!$C$170)</f>
        <v>0</v>
      </c>
      <c r="H14" s="247"/>
      <c r="I14" s="247"/>
      <c r="J14" s="5" t="s">
        <v>588</v>
      </c>
      <c r="L14" s="64">
        <f>'EM INCUMB'!D42</f>
        <v>1.2111681352410864</v>
      </c>
      <c r="M14" s="64">
        <f>'EM INCUMB'!E42</f>
        <v>1.185956965244517</v>
      </c>
      <c r="N14" s="64">
        <f>'EM INCUMB'!F42</f>
        <v>1.1302029797289712</v>
      </c>
      <c r="O14" s="64">
        <f>'EM INCUMB'!G42</f>
        <v>1.1238793277898012</v>
      </c>
      <c r="P14" s="17">
        <f>'EM INCUMB'!H42</f>
        <v>-4.2191848028902523E-2</v>
      </c>
    </row>
    <row r="15" spans="2:63">
      <c r="B15" s="5" t="s">
        <v>526</v>
      </c>
      <c r="C15" s="257"/>
      <c r="D15" s="228">
        <f>(TKG!D15/Prices!$C$170)</f>
        <v>0</v>
      </c>
      <c r="E15" s="228">
        <f>(TKG!E15/Prices!$C$170)</f>
        <v>0</v>
      </c>
      <c r="F15" s="228">
        <f>(TKG!F15/Prices!$C$170)</f>
        <v>0</v>
      </c>
      <c r="G15" s="228">
        <f>(TKG!G15/Prices!$C$170)</f>
        <v>0</v>
      </c>
      <c r="H15" s="247"/>
      <c r="I15" s="247"/>
      <c r="J15" s="5" t="s">
        <v>470</v>
      </c>
      <c r="L15" s="64">
        <f>'EM INCUMB'!D43</f>
        <v>14.53285700244998</v>
      </c>
      <c r="M15" s="64">
        <f>'EM INCUMB'!E43</f>
        <v>10.889620035203077</v>
      </c>
      <c r="N15" s="64">
        <f>'EM INCUMB'!F43</f>
        <v>9.2948871090281386</v>
      </c>
      <c r="O15" s="64">
        <f>'EM INCUMB'!G43</f>
        <v>8.0587293031146245</v>
      </c>
      <c r="P15" s="17">
        <f>'EM INCUMB'!H43</f>
        <v>0.20633617097870616</v>
      </c>
      <c r="S15" s="88"/>
      <c r="T15" s="88"/>
      <c r="U15" s="88"/>
      <c r="V15" s="42"/>
      <c r="W15" s="42"/>
      <c r="X15" s="42"/>
      <c r="Y15" s="42"/>
      <c r="Z15" s="42"/>
      <c r="AA15" s="42"/>
    </row>
    <row r="16" spans="2:63">
      <c r="B16" s="5" t="s">
        <v>529</v>
      </c>
      <c r="C16" s="257"/>
      <c r="D16" s="228">
        <f>(TKG!D16/Prices!$C$170)</f>
        <v>269.64275059146138</v>
      </c>
      <c r="E16" s="228">
        <f>(TKG!E16/Prices!$C$170)</f>
        <v>394.67632983436772</v>
      </c>
      <c r="F16" s="228">
        <f>(TKG!F16/Prices!$C$170)</f>
        <v>520.25770441220288</v>
      </c>
      <c r="G16" s="228">
        <f>(TKG!G16/Prices!$C$170)</f>
        <v>645.83907899003816</v>
      </c>
      <c r="H16" s="247"/>
      <c r="I16" s="247"/>
      <c r="J16" s="5" t="s">
        <v>528</v>
      </c>
      <c r="L16" s="64">
        <f>'EM INCUMB'!D44</f>
        <v>14.104957257301441</v>
      </c>
      <c r="M16" s="64">
        <f>'EM INCUMB'!E44</f>
        <v>12.075601575663633</v>
      </c>
      <c r="N16" s="64">
        <f>'EM INCUMB'!F44</f>
        <v>10.385279656189478</v>
      </c>
      <c r="O16" s="64">
        <f>'EM INCUMB'!G44</f>
        <v>8.8185004542193948</v>
      </c>
      <c r="P16" s="17">
        <f>'EM INCUMB'!H44</f>
        <v>0.15835578063954037</v>
      </c>
      <c r="S16" s="88"/>
      <c r="T16" s="88"/>
      <c r="U16" s="88"/>
      <c r="V16" s="42"/>
      <c r="W16" s="42"/>
      <c r="X16" s="42"/>
      <c r="Y16" s="42"/>
      <c r="Z16" s="42"/>
      <c r="AA16" s="42"/>
    </row>
    <row r="17" spans="2:27">
      <c r="B17" s="5" t="s">
        <v>6</v>
      </c>
      <c r="C17" s="257"/>
      <c r="D17" s="228">
        <f>(TKG!D17/Prices!$C$170)</f>
        <v>0</v>
      </c>
      <c r="E17" s="228">
        <f>(TKG!E17/Prices!$C$170)</f>
        <v>0</v>
      </c>
      <c r="F17" s="228">
        <f>(TKG!F17/Prices!$C$170)</f>
        <v>0</v>
      </c>
      <c r="G17" s="228">
        <f>(TKG!G17/Prices!$C$170)</f>
        <v>0</v>
      </c>
      <c r="H17" s="247"/>
      <c r="I17" s="247"/>
      <c r="J17" s="5" t="s">
        <v>575</v>
      </c>
      <c r="L17" s="248">
        <f>'EM INCUMB'!D45</f>
        <v>4.5731312159230778E-2</v>
      </c>
      <c r="M17" s="248">
        <f>'EM INCUMB'!E45</f>
        <v>5.0549419067414558E-2</v>
      </c>
      <c r="N17" s="248">
        <f>'EM INCUMB'!F45</f>
        <v>5.8078354371831294E-2</v>
      </c>
      <c r="O17" s="248">
        <f>'EM INCUMB'!G45</f>
        <v>6.7484331182154994E-2</v>
      </c>
      <c r="P17" s="17">
        <f>'EM INCUMB'!H45</f>
        <v>0.12766314772350529</v>
      </c>
      <c r="S17" s="88"/>
      <c r="T17" s="88"/>
      <c r="U17" s="88"/>
      <c r="V17" s="42"/>
      <c r="W17" s="42"/>
      <c r="X17" s="42"/>
      <c r="Y17" s="42"/>
      <c r="Z17" s="42"/>
      <c r="AA17" s="42"/>
    </row>
    <row r="18" spans="2:27" ht="12.6" thickBot="1">
      <c r="B18" s="41" t="s">
        <v>355</v>
      </c>
      <c r="C18" s="249"/>
      <c r="D18" s="275">
        <f>(TKG!D18/Prices!$C$170)</f>
        <v>1193.8831950657298</v>
      </c>
      <c r="E18" s="275">
        <f>(TKG!E18/Prices!$C$170)</f>
        <v>1026.4413622952832</v>
      </c>
      <c r="F18" s="275">
        <f>(TKG!F18/Prices!$C$170)</f>
        <v>860.1914924448522</v>
      </c>
      <c r="G18" s="275">
        <f>(TKG!G18/Prices!$C$170)</f>
        <v>693.08977798502076</v>
      </c>
      <c r="H18" s="276">
        <f>IF(D18=0,"nm",IF(G18=0,"nm",(G18/D18)^(1/3)-1))</f>
        <v>-0.16578905254644949</v>
      </c>
      <c r="I18" s="254"/>
      <c r="J18" s="5" t="s">
        <v>36</v>
      </c>
      <c r="L18" s="248">
        <f>'EM INCUMB'!D46</f>
        <v>4.5858287086324064E-2</v>
      </c>
      <c r="M18" s="248">
        <f>'EM INCUMB'!E46</f>
        <v>5.0643300964691801E-2</v>
      </c>
      <c r="N18" s="248">
        <f>'EM INCUMB'!F46</f>
        <v>5.5771031888533044E-2</v>
      </c>
      <c r="O18" s="248">
        <f>'EM INCUMB'!G46</f>
        <v>7.710678529056475E-2</v>
      </c>
      <c r="P18" s="17">
        <f>'EM INCUMB'!H46</f>
        <v>0.17780813272638851</v>
      </c>
      <c r="S18" s="88"/>
      <c r="T18" s="88"/>
      <c r="U18" s="88"/>
      <c r="V18" s="42"/>
      <c r="W18" s="42"/>
      <c r="X18" s="42"/>
      <c r="Y18" s="42"/>
      <c r="Z18" s="42"/>
      <c r="AA18" s="42"/>
    </row>
    <row r="19" spans="2:27" ht="12.6" thickTop="1">
      <c r="B19" s="41"/>
      <c r="C19" s="249"/>
      <c r="D19" s="229"/>
      <c r="E19" s="229"/>
      <c r="F19" s="229"/>
      <c r="G19" s="229"/>
      <c r="H19" s="276"/>
      <c r="I19" s="17"/>
      <c r="J19" s="5" t="s">
        <v>576</v>
      </c>
      <c r="L19" s="248">
        <f>'EM INCUMB'!D47</f>
        <v>6.8809594688189521E-2</v>
      </c>
      <c r="M19" s="248">
        <f>'EM INCUMB'!E47</f>
        <v>9.1830568630244344E-2</v>
      </c>
      <c r="N19" s="248">
        <f>'EM INCUMB'!F47</f>
        <v>0.10758602963867075</v>
      </c>
      <c r="O19" s="248">
        <f>'EM INCUMB'!G47</f>
        <v>0.12408904212895068</v>
      </c>
      <c r="P19" s="17">
        <f>'EM INCUMB'!H47</f>
        <v>0.20633617097870616</v>
      </c>
      <c r="S19" s="88"/>
      <c r="T19" s="88"/>
      <c r="U19" s="88"/>
      <c r="V19" s="42"/>
      <c r="W19" s="42"/>
      <c r="X19" s="42"/>
      <c r="Y19" s="42"/>
      <c r="Z19" s="42"/>
      <c r="AA19" s="42"/>
    </row>
    <row r="20" spans="2:27">
      <c r="H20" s="277"/>
      <c r="I20" s="49"/>
      <c r="J20" s="5" t="s">
        <v>599</v>
      </c>
      <c r="L20" s="248">
        <f>'EM INCUMB'!D48</f>
        <v>0.62397631981468382</v>
      </c>
      <c r="M20" s="248">
        <f>'EM INCUMB'!E48</f>
        <v>0.51657270572966973</v>
      </c>
      <c r="N20" s="248">
        <f>'EM INCUMB'!F48</f>
        <v>0.50626794033787703</v>
      </c>
      <c r="O20" s="248">
        <f>'EM INCUMB'!G48</f>
        <v>0.50968425989474775</v>
      </c>
      <c r="P20" s="17" t="str">
        <f>'EM INCUMB'!H48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(TKG!C23/Prices!$C$170)</f>
        <v>2720.2102131267702</v>
      </c>
      <c r="D23" s="228">
        <f>(TKG!D23/Prices!$C$170)</f>
        <v>2774.2098823047913</v>
      </c>
      <c r="E23" s="228">
        <f>(TKG!E23/Prices!$C$170)</f>
        <v>2820.0942760522944</v>
      </c>
      <c r="F23" s="228">
        <f>(TKG!F23/Prices!$C$170)</f>
        <v>2879.1641307630443</v>
      </c>
      <c r="G23" s="228">
        <f>(TKG!G23/Prices!$C$170)</f>
        <v>2939.4712660020309</v>
      </c>
      <c r="H23" s="279">
        <f t="shared" ref="H23:H33" si="0">IF(D23=0,"nm",IF(G23=0,"nm",(G23/D23)^(1/3)-1))</f>
        <v>1.947512825024833E-2</v>
      </c>
      <c r="I23" s="249"/>
      <c r="J23" s="306" t="s">
        <v>9</v>
      </c>
      <c r="K23" s="306"/>
      <c r="L23" s="265" t="str">
        <f>L5</f>
        <v>2023E</v>
      </c>
      <c r="M23" s="265" t="str">
        <f>M5</f>
        <v>2024E</v>
      </c>
      <c r="N23" s="265" t="str">
        <f>N5</f>
        <v>2025E</v>
      </c>
      <c r="O23" s="265" t="str">
        <f>O5</f>
        <v>2026E</v>
      </c>
      <c r="P23" s="282" t="str">
        <f>P5</f>
        <v>23E-26E</v>
      </c>
      <c r="S23" s="42"/>
      <c r="T23" s="42"/>
      <c r="U23" s="42"/>
      <c r="V23" s="42"/>
      <c r="W23" s="42" t="s">
        <v>538</v>
      </c>
      <c r="X23" s="42" t="s">
        <v>556</v>
      </c>
      <c r="Y23" s="42"/>
      <c r="Z23" s="42"/>
      <c r="AA23" s="42"/>
    </row>
    <row r="24" spans="2:27" ht="12.6" thickTop="1">
      <c r="B24" s="5" t="s">
        <v>478</v>
      </c>
      <c r="C24" s="365">
        <f>(TKG!C24/Prices!$C$170)</f>
        <v>755.40252172814417</v>
      </c>
      <c r="D24" s="228">
        <f>(TKG!D24/Prices!$C$170)</f>
        <v>746.72847683449424</v>
      </c>
      <c r="E24" s="228">
        <f>(TKG!E24/Prices!$C$170)</f>
        <v>740.66435786675004</v>
      </c>
      <c r="F24" s="228">
        <f>(TKG!F24/Prices!$C$170)</f>
        <v>746.2460692200483</v>
      </c>
      <c r="G24" s="228">
        <f>(TKG!G24/Prices!$C$170)</f>
        <v>761.87698172592502</v>
      </c>
      <c r="H24" s="279">
        <f t="shared" si="0"/>
        <v>6.71694721895566E-3</v>
      </c>
      <c r="I24" s="248"/>
      <c r="J24" s="17"/>
      <c r="K24" s="17"/>
      <c r="L24" s="17"/>
      <c r="M24" s="17"/>
      <c r="N24" s="17"/>
      <c r="O24" s="248"/>
      <c r="S24" s="42"/>
      <c r="T24" s="42"/>
      <c r="U24" s="42"/>
      <c r="V24" s="147" t="s">
        <v>268</v>
      </c>
      <c r="W24" s="288">
        <f t="shared" ref="W24:W31" si="1">E37/M9</f>
        <v>0.38957280920227416</v>
      </c>
      <c r="X24" s="288">
        <v>1</v>
      </c>
      <c r="Y24" s="42"/>
      <c r="Z24" s="42"/>
      <c r="AA24" s="42"/>
    </row>
    <row r="25" spans="2:27">
      <c r="B25" s="5" t="s">
        <v>179</v>
      </c>
      <c r="C25" s="365">
        <f>(TKG!C25/Prices!$C$170)</f>
        <v>336.65383967856411</v>
      </c>
      <c r="D25" s="228">
        <f>(TKG!D25/Prices!$C$170)</f>
        <v>337.825217933423</v>
      </c>
      <c r="E25" s="228">
        <f>(TKG!E25/Prices!$C$170)</f>
        <v>340.98551192834935</v>
      </c>
      <c r="F25" s="228">
        <f>(TKG!F25/Prices!$C$170)</f>
        <v>337.09209589560061</v>
      </c>
      <c r="G25" s="228">
        <f>(TKG!G25/Prices!$C$170)</f>
        <v>344.15284606192819</v>
      </c>
      <c r="H25" s="279">
        <f t="shared" si="0"/>
        <v>6.2049124089686991E-3</v>
      </c>
      <c r="I25" s="249"/>
      <c r="J25" s="247" t="s">
        <v>10</v>
      </c>
      <c r="K25" s="247"/>
      <c r="L25" s="332">
        <f>(TKG!L25/Prices!$C$170)</f>
        <v>0</v>
      </c>
      <c r="M25" s="332">
        <f>(TKG!M25/Prices!$C$170)</f>
        <v>0</v>
      </c>
      <c r="N25" s="332">
        <f>(TKG!N25/Prices!$C$170)</f>
        <v>0</v>
      </c>
      <c r="O25" s="332">
        <f>(TKG!O25/Prices!$C$170)</f>
        <v>0</v>
      </c>
      <c r="P25" s="279" t="str">
        <f>IF(L25=0,"nm",IF(O25=0,"nm",(O25/L25)^(1/3)-1))</f>
        <v>nm</v>
      </c>
      <c r="Q25" s="5"/>
      <c r="S25" s="42"/>
      <c r="T25" s="42"/>
      <c r="U25" s="42"/>
      <c r="V25" s="147" t="s">
        <v>180</v>
      </c>
      <c r="W25" s="288">
        <f t="shared" si="1"/>
        <v>0.45852590068240345</v>
      </c>
      <c r="X25" s="288">
        <v>1</v>
      </c>
      <c r="Y25" s="42"/>
      <c r="Z25" s="42"/>
      <c r="AA25" s="42"/>
    </row>
    <row r="26" spans="2:27">
      <c r="B26" s="5" t="s">
        <v>581</v>
      </c>
      <c r="C26" s="365">
        <f>(TKG!C26/Prices!$C$170)</f>
        <v>242.39076456856611</v>
      </c>
      <c r="D26" s="228">
        <f>(TKG!D26/Prices!$C$170)</f>
        <v>243.23415691206458</v>
      </c>
      <c r="E26" s="228">
        <f>(TKG!E26/Prices!$C$170)</f>
        <v>245.5095685884115</v>
      </c>
      <c r="F26" s="228">
        <f>(TKG!F26/Prices!$C$170)</f>
        <v>242.70630904483241</v>
      </c>
      <c r="G26" s="228">
        <f>(TKG!G26/Prices!$C$170)</f>
        <v>247.79004916458828</v>
      </c>
      <c r="H26" s="279">
        <f t="shared" si="0"/>
        <v>6.2049124089684771E-3</v>
      </c>
      <c r="I26" s="249"/>
      <c r="J26" s="249" t="s">
        <v>11</v>
      </c>
      <c r="K26" s="249"/>
      <c r="L26" s="281">
        <f>(TKG!L26/Prices!$C$170)</f>
        <v>769.15152965626601</v>
      </c>
      <c r="M26" s="281">
        <f>(TKG!M26/Prices!$C$170)</f>
        <v>769.15152965626601</v>
      </c>
      <c r="N26" s="281">
        <f>(TKG!N26/Prices!$C$170)</f>
        <v>769.15152965626601</v>
      </c>
      <c r="O26" s="281">
        <f>(TKG!O26/Prices!$C$170)</f>
        <v>769.15152965626601</v>
      </c>
      <c r="P26" s="279">
        <f>IF(L26=0,"nm",IF(O26=0,"nm",(O26/L26)^(1/3)-1))</f>
        <v>0</v>
      </c>
      <c r="Q26" s="41"/>
      <c r="S26" s="42"/>
      <c r="T26" s="42"/>
      <c r="U26" s="42"/>
      <c r="V26" s="147" t="s">
        <v>181</v>
      </c>
      <c r="W26" s="288">
        <f t="shared" si="1"/>
        <v>0.45020735258780703</v>
      </c>
      <c r="X26" s="288">
        <v>1</v>
      </c>
      <c r="Y26" s="42"/>
      <c r="Z26" s="42"/>
      <c r="AA26" s="42"/>
    </row>
    <row r="27" spans="2:27">
      <c r="B27" s="5" t="s">
        <v>582</v>
      </c>
      <c r="C27" s="365">
        <f>(TKG!C27/Prices!$C$170)</f>
        <v>2582.9668016282585</v>
      </c>
      <c r="D27" s="228">
        <f>(TKG!D27/Prices!$C$170)</f>
        <v>2577.2458468120044</v>
      </c>
      <c r="E27" s="228">
        <f>(TKG!E27/Prices!$C$170)</f>
        <v>2561.3624301914574</v>
      </c>
      <c r="F27" s="228">
        <f>(TKG!F27/Prices!$C$170)</f>
        <v>2546.8870265862652</v>
      </c>
      <c r="G27" s="228">
        <f>(TKG!G27/Prices!$C$170)</f>
        <v>2545.9096512460878</v>
      </c>
      <c r="H27" s="279">
        <f t="shared" si="0"/>
        <v>-4.0694686979286798E-3</v>
      </c>
      <c r="I27" s="248"/>
      <c r="J27" s="248"/>
      <c r="K27" s="248"/>
      <c r="L27" s="248"/>
      <c r="M27" s="248"/>
      <c r="N27" s="248"/>
      <c r="O27" s="248"/>
      <c r="Q27" s="5"/>
      <c r="S27" s="42"/>
      <c r="T27" s="42"/>
      <c r="U27" s="42"/>
      <c r="V27" s="147" t="s">
        <v>461</v>
      </c>
      <c r="W27" s="288">
        <f t="shared" si="1"/>
        <v>0.46146662659592991</v>
      </c>
      <c r="X27" s="288">
        <v>1</v>
      </c>
      <c r="Y27" s="42"/>
      <c r="Z27" s="42"/>
      <c r="AA27" s="42"/>
    </row>
    <row r="28" spans="2:27" ht="12.6" thickBot="1">
      <c r="B28" s="5" t="s">
        <v>587</v>
      </c>
      <c r="C28" s="365">
        <f>(TKG!C28/Prices!$C$170)</f>
        <v>2383.798681429053</v>
      </c>
      <c r="D28" s="228">
        <f>(TKG!D28/Prices!$C$170)</f>
        <v>2435.3418898837908</v>
      </c>
      <c r="E28" s="228">
        <f>(TKG!E28/Prices!$C$170)</f>
        <v>2462.7488968283883</v>
      </c>
      <c r="F28" s="228">
        <f>(TKG!F28/Prices!$C$170)</f>
        <v>2487.7913631270239</v>
      </c>
      <c r="G28" s="228">
        <f>(TKG!G28/Prices!$C$170)</f>
        <v>2539.9007821696687</v>
      </c>
      <c r="H28" s="279">
        <f t="shared" si="0"/>
        <v>1.4111258607638399E-2</v>
      </c>
      <c r="I28" s="252"/>
      <c r="J28" s="306" t="s">
        <v>747</v>
      </c>
      <c r="K28" s="306"/>
      <c r="L28" s="306"/>
      <c r="M28" s="306"/>
      <c r="N28" s="266"/>
      <c r="O28" s="266"/>
      <c r="P28" s="266"/>
      <c r="Q28" s="5"/>
      <c r="S28" s="42"/>
      <c r="T28" s="42"/>
      <c r="U28" s="42"/>
      <c r="V28" s="147" t="s">
        <v>525</v>
      </c>
      <c r="W28" s="288">
        <f t="shared" si="1"/>
        <v>0.43162712120869862</v>
      </c>
      <c r="X28" s="288">
        <v>1</v>
      </c>
      <c r="Y28" s="42"/>
      <c r="Z28" s="42"/>
      <c r="AA28" s="42"/>
    </row>
    <row r="29" spans="2:27" ht="12.6" thickTop="1">
      <c r="B29" s="5" t="s">
        <v>583</v>
      </c>
      <c r="C29" s="365">
        <f>(TKG!C29/Prices!$C$170)</f>
        <v>165.99743380726062</v>
      </c>
      <c r="D29" s="228">
        <f>(TKG!D29/Prices!$C$170)</f>
        <v>166.71143899054181</v>
      </c>
      <c r="E29" s="228">
        <f>(TKG!E29/Prices!$C$170)</f>
        <v>167.44183277044678</v>
      </c>
      <c r="F29" s="228">
        <f>(TKG!F29/Prices!$C$170)</f>
        <v>166.24986985042844</v>
      </c>
      <c r="G29" s="228">
        <f>(TKG!G29/Prices!$C$170)</f>
        <v>169.73214905688573</v>
      </c>
      <c r="H29" s="279">
        <f t="shared" si="0"/>
        <v>6.0036813160782021E-3</v>
      </c>
      <c r="I29" s="254"/>
      <c r="J29" s="249"/>
      <c r="K29" s="249"/>
      <c r="L29" s="249"/>
      <c r="M29" s="249"/>
      <c r="N29" s="249"/>
      <c r="O29" s="251"/>
      <c r="Q29" s="5"/>
      <c r="S29" s="42"/>
      <c r="T29" s="42"/>
      <c r="U29" s="42"/>
      <c r="V29" s="147" t="s">
        <v>588</v>
      </c>
      <c r="W29" s="288">
        <f t="shared" si="1"/>
        <v>0.35143505637743416</v>
      </c>
      <c r="X29" s="288">
        <v>1</v>
      </c>
      <c r="Y29" s="42"/>
      <c r="Z29" s="42"/>
      <c r="AA29" s="42"/>
    </row>
    <row r="30" spans="2:27">
      <c r="B30" s="5" t="s">
        <v>584</v>
      </c>
      <c r="C30" s="365">
        <f>(TKG!C30/Prices!$C$170)</f>
        <v>221.76185486829522</v>
      </c>
      <c r="D30" s="228">
        <f>(TKG!D30/Prices!$C$170)</f>
        <v>211.09019733570142</v>
      </c>
      <c r="E30" s="228">
        <f>(TKG!E30/Prices!$C$170)</f>
        <v>203.14192916834241</v>
      </c>
      <c r="F30" s="228">
        <f>(TKG!F30/Prices!$C$170)</f>
        <v>204.88475779340112</v>
      </c>
      <c r="G30" s="228">
        <f>(TKG!G30/Prices!$C$170)</f>
        <v>209.17628555475133</v>
      </c>
      <c r="H30" s="279">
        <f t="shared" si="0"/>
        <v>-3.031445748740591E-3</v>
      </c>
      <c r="I30" s="254"/>
      <c r="J30" s="248"/>
      <c r="K30" s="248"/>
      <c r="L30" s="248"/>
      <c r="M30" s="248"/>
      <c r="N30" s="248"/>
      <c r="O30" s="5"/>
      <c r="Q30" s="5"/>
      <c r="S30" s="42"/>
      <c r="T30" s="42"/>
      <c r="U30" s="42"/>
      <c r="V30" s="147" t="s">
        <v>470</v>
      </c>
      <c r="W30" s="288">
        <f t="shared" si="1"/>
        <v>0.42182781424752497</v>
      </c>
      <c r="X30" s="288">
        <v>1</v>
      </c>
      <c r="Y30" s="42"/>
      <c r="Z30" s="42"/>
      <c r="AA30" s="42"/>
    </row>
    <row r="31" spans="2:27">
      <c r="B31" s="5" t="s">
        <v>585</v>
      </c>
      <c r="C31" s="365">
        <f>(TKG!C31/Prices!$C$170)</f>
        <v>121.31074511590695</v>
      </c>
      <c r="D31" s="228">
        <f>(TKG!D31/Prices!$C$170)</f>
        <v>121.83253933172016</v>
      </c>
      <c r="E31" s="228">
        <f>(TKG!E31/Prices!$C$170)</f>
        <v>122.36631031622321</v>
      </c>
      <c r="F31" s="228">
        <f>(TKG!F31/Prices!$C$170)</f>
        <v>121.49522510326983</v>
      </c>
      <c r="G31" s="228">
        <f>(TKG!G31/Prices!$C$170)</f>
        <v>122.36631031622346</v>
      </c>
      <c r="H31" s="279">
        <f t="shared" si="0"/>
        <v>1.4582676697889596E-3</v>
      </c>
      <c r="I31" s="254"/>
      <c r="J31" s="252"/>
      <c r="K31" s="252"/>
      <c r="L31" s="252"/>
      <c r="M31" s="252"/>
      <c r="N31" s="252"/>
      <c r="O31" s="5"/>
      <c r="Q31" s="5"/>
      <c r="S31" s="42"/>
      <c r="T31" s="42"/>
      <c r="U31" s="42"/>
      <c r="V31" s="147" t="s">
        <v>528</v>
      </c>
      <c r="W31" s="288">
        <f t="shared" si="1"/>
        <v>0.31354765726265543</v>
      </c>
      <c r="X31" s="288">
        <v>1</v>
      </c>
      <c r="Y31" s="42"/>
      <c r="Z31" s="42"/>
      <c r="AA31" s="42"/>
    </row>
    <row r="32" spans="2:27">
      <c r="B32" s="5" t="s">
        <v>601</v>
      </c>
      <c r="C32" s="365">
        <f>(TKG!C32/Prices!$C$170)</f>
        <v>42.826888356847398</v>
      </c>
      <c r="D32" s="228">
        <f>(TKG!D32/Prices!$C$170)</f>
        <v>0</v>
      </c>
      <c r="E32" s="228">
        <f>(TKG!E32/Prices!$C$170)</f>
        <v>0</v>
      </c>
      <c r="F32" s="228">
        <f>(TKG!F32/Prices!$C$170)</f>
        <v>0</v>
      </c>
      <c r="G32" s="228">
        <f>(TKG!G32/Prices!$C$170)</f>
        <v>0</v>
      </c>
      <c r="H32" s="279" t="str">
        <f t="shared" si="0"/>
        <v>nm</v>
      </c>
      <c r="I32" s="5"/>
      <c r="J32" s="254"/>
      <c r="K32" s="254"/>
      <c r="L32" s="254"/>
      <c r="M32" s="254"/>
      <c r="N32" s="254"/>
      <c r="O32" s="251"/>
      <c r="Q32" s="5"/>
      <c r="S32" s="42"/>
      <c r="T32" s="42"/>
      <c r="U32" s="42"/>
      <c r="V32" s="147" t="s">
        <v>575</v>
      </c>
      <c r="W32" s="288">
        <f>M17/E45</f>
        <v>0.31773584492710522</v>
      </c>
      <c r="X32" s="288">
        <v>1</v>
      </c>
      <c r="Y32" s="42"/>
      <c r="Z32" s="42"/>
      <c r="AA32" s="42"/>
    </row>
    <row r="33" spans="2:42">
      <c r="B33" s="5" t="s">
        <v>5</v>
      </c>
      <c r="C33" s="365">
        <f>(TKG!C33/Prices!$C$170)</f>
        <v>56.359070242727199</v>
      </c>
      <c r="D33" s="228">
        <f>(TKG!D33/Prices!$C$170)</f>
        <v>52.848700390646492</v>
      </c>
      <c r="E33" s="228">
        <f>(TKG!E33/Prices!$C$170)</f>
        <v>50.047474639876711</v>
      </c>
      <c r="F33" s="228">
        <f>(TKG!F33/Prices!$C$170)</f>
        <v>47.29738860001882</v>
      </c>
      <c r="G33" s="228">
        <f>(TKG!G33/Prices!$C$170)</f>
        <v>48.288082385161339</v>
      </c>
      <c r="H33" s="279">
        <f t="shared" si="0"/>
        <v>-2.9634794273174836E-2</v>
      </c>
      <c r="I33" s="49"/>
      <c r="J33" s="254"/>
      <c r="K33" s="254"/>
      <c r="L33" s="254"/>
      <c r="M33" s="254"/>
      <c r="N33" s="254"/>
      <c r="O33" s="251"/>
      <c r="Q33" s="5"/>
      <c r="S33" s="42"/>
      <c r="T33" s="42"/>
      <c r="U33" s="42"/>
      <c r="V33" s="147" t="s">
        <v>576</v>
      </c>
      <c r="W33" s="288">
        <f>M19/E47</f>
        <v>0.42182781424752497</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506</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0.4303507109108346</v>
      </c>
      <c r="E37" s="553">
        <f t="shared" si="2"/>
        <v>0.36397413058550154</v>
      </c>
      <c r="F37" s="553">
        <f t="shared" si="2"/>
        <v>0.29876431261905234</v>
      </c>
      <c r="G37" s="553">
        <f t="shared" si="2"/>
        <v>0.23578722677146316</v>
      </c>
      <c r="H37" s="17">
        <f t="shared" ref="H37:H45" si="3">H23</f>
        <v>1.947512825024833E-2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1.5988183551359907</v>
      </c>
      <c r="E38" s="553">
        <f t="shared" si="2"/>
        <v>1.3858387424657825</v>
      </c>
      <c r="F38" s="553">
        <f t="shared" si="2"/>
        <v>1.152691488671955</v>
      </c>
      <c r="G38" s="553">
        <f t="shared" si="2"/>
        <v>0.90971350311033605</v>
      </c>
      <c r="H38" s="17">
        <f t="shared" si="3"/>
        <v>6.71694721895566E-3</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3.534026270652816</v>
      </c>
      <c r="E39" s="553">
        <f t="shared" si="2"/>
        <v>3.0102198667929545</v>
      </c>
      <c r="F39" s="553">
        <f t="shared" si="2"/>
        <v>2.5517996503580389</v>
      </c>
      <c r="G39" s="553">
        <f t="shared" si="2"/>
        <v>2.0139010498268655</v>
      </c>
      <c r="H39" s="17">
        <f t="shared" si="3"/>
        <v>6.2049124089686991E-3</v>
      </c>
      <c r="I39" s="5"/>
      <c r="J39" s="5"/>
      <c r="K39" s="5"/>
      <c r="L39" s="5"/>
      <c r="M39" s="5"/>
      <c r="N39" s="5"/>
      <c r="O39" s="5"/>
      <c r="Q39" s="5"/>
      <c r="R39" s="5"/>
      <c r="S39" s="42"/>
      <c r="T39" s="42"/>
      <c r="U39" s="42"/>
      <c r="V39" s="42"/>
      <c r="W39" s="288"/>
      <c r="X39" s="288"/>
      <c r="Y39" s="42"/>
      <c r="Z39" s="42"/>
      <c r="AA39" s="42"/>
    </row>
    <row r="40" spans="2:42">
      <c r="B40" s="5" t="s">
        <v>461</v>
      </c>
      <c r="C40" s="247"/>
      <c r="D40" s="553">
        <f t="shared" si="2"/>
        <v>4.9083698203511332</v>
      </c>
      <c r="E40" s="553">
        <f t="shared" si="2"/>
        <v>4.1808609261013263</v>
      </c>
      <c r="F40" s="553">
        <f t="shared" si="2"/>
        <v>3.5441661810528324</v>
      </c>
      <c r="G40" s="553">
        <f t="shared" si="2"/>
        <v>2.7970847914262018</v>
      </c>
      <c r="H40" s="17">
        <f t="shared" si="3"/>
        <v>6.2049124089684771E-3</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0.4632399336456538</v>
      </c>
      <c r="E41" s="553">
        <f t="shared" si="2"/>
        <v>0.40074038339765861</v>
      </c>
      <c r="F41" s="553">
        <f t="shared" si="2"/>
        <v>0.33774230402273275</v>
      </c>
      <c r="G41" s="553">
        <f t="shared" si="2"/>
        <v>0.27223659631668001</v>
      </c>
      <c r="H41" s="17">
        <f t="shared" si="3"/>
        <v>-4.0694686979286798E-3</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0.49023227499392263</v>
      </c>
      <c r="E42" s="553">
        <f>E18/E28</f>
        <v>0.41678685294191758</v>
      </c>
      <c r="F42" s="553">
        <f>F18/F28</f>
        <v>0.34576512532129561</v>
      </c>
      <c r="G42" s="553">
        <f>G18/G28</f>
        <v>0.27288065063429767</v>
      </c>
      <c r="H42" s="17">
        <f t="shared" si="3"/>
        <v>1.4111258607638399E-2</v>
      </c>
      <c r="I42" s="247"/>
      <c r="J42" s="5"/>
      <c r="K42" s="5"/>
      <c r="L42" s="5"/>
      <c r="M42" s="5"/>
      <c r="N42" s="5"/>
      <c r="O42" s="5"/>
      <c r="Q42" s="5"/>
      <c r="R42" s="5"/>
      <c r="S42" s="42"/>
      <c r="T42" s="42"/>
      <c r="U42" s="42"/>
      <c r="V42" s="42"/>
      <c r="W42" s="288"/>
      <c r="X42" s="288"/>
      <c r="Y42" s="288"/>
      <c r="Z42" s="288"/>
      <c r="AA42" s="42"/>
    </row>
    <row r="43" spans="2:42">
      <c r="B43" s="5" t="s">
        <v>470</v>
      </c>
      <c r="C43" s="247"/>
      <c r="D43" s="553">
        <f>L26/D29</f>
        <v>4.6136697896291503</v>
      </c>
      <c r="E43" s="553">
        <f>M26/E29</f>
        <v>4.5935446174357697</v>
      </c>
      <c r="F43" s="553">
        <f>N26/F29</f>
        <v>4.6264789882136794</v>
      </c>
      <c r="G43" s="553">
        <f>O26/G29</f>
        <v>4.5315606614895616</v>
      </c>
      <c r="H43" s="17">
        <f t="shared" si="3"/>
        <v>6.0036813160782021E-3</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3.6437103160838267</v>
      </c>
      <c r="E44" s="553">
        <f>E11/E30</f>
        <v>3.7862765840865626</v>
      </c>
      <c r="F44" s="553">
        <f>F11/F30</f>
        <v>3.7540690578449594</v>
      </c>
      <c r="G44" s="553">
        <f>G11/G30</f>
        <v>3.6770493730511467</v>
      </c>
      <c r="H44" s="17">
        <f t="shared" si="3"/>
        <v>-3.031445748740591E-3</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0.15839861800205629</v>
      </c>
      <c r="E45" s="248">
        <f>E31/E11</f>
        <v>0.15909259176915208</v>
      </c>
      <c r="F45" s="248">
        <f>F31/F11</f>
        <v>0.15796006432902249</v>
      </c>
      <c r="G45" s="248">
        <f>G31/G11</f>
        <v>0.15909259176915241</v>
      </c>
      <c r="H45" s="17">
        <f t="shared" si="3"/>
        <v>1.4582676697889596E-3</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0.15839861800205629</v>
      </c>
      <c r="E46" s="248">
        <f>(E31+E32)/E11</f>
        <v>0.15909259176915208</v>
      </c>
      <c r="F46" s="248">
        <f>(F31+F32)/F11</f>
        <v>0.15796006432902249</v>
      </c>
      <c r="G46" s="248">
        <f>(G31+G32)/G11</f>
        <v>0.15909259176915241</v>
      </c>
      <c r="H46" s="279">
        <f>((G31+G32)/(D31+D32))^(1/3)-1</f>
        <v>1.4582676697889596E-3</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0.21674719813018534</v>
      </c>
      <c r="E47" s="248">
        <f>1/E43</f>
        <v>0.21769680786473447</v>
      </c>
      <c r="F47" s="248">
        <f>1/F43</f>
        <v>0.2161470964306936</v>
      </c>
      <c r="G47" s="248">
        <f>1/G43</f>
        <v>0.22067452577613553</v>
      </c>
      <c r="H47" s="17">
        <f>H29</f>
        <v>6.0036813160782021E-3</v>
      </c>
      <c r="I47" s="247"/>
      <c r="J47" s="248"/>
      <c r="K47" s="248"/>
      <c r="L47" s="248"/>
      <c r="M47" s="248"/>
      <c r="N47" s="248"/>
      <c r="O47" s="248"/>
      <c r="Q47" s="5"/>
      <c r="R47" s="5"/>
      <c r="S47" s="5"/>
      <c r="T47" s="5"/>
      <c r="U47" s="5"/>
      <c r="AA47" s="303"/>
      <c r="AB47" s="303"/>
    </row>
    <row r="48" spans="2:42">
      <c r="B48" s="5" t="s">
        <v>613</v>
      </c>
      <c r="C48" s="5"/>
      <c r="D48" s="305">
        <f>D31/D29</f>
        <v>0.73079891859509527</v>
      </c>
      <c r="E48" s="305">
        <f>E31/E29</f>
        <v>0.73079891859509472</v>
      </c>
      <c r="F48" s="305">
        <f>F31/F29</f>
        <v>0.73079891859510371</v>
      </c>
      <c r="G48" s="305">
        <f>G31/G29</f>
        <v>0.72093773039550912</v>
      </c>
      <c r="H48" s="17">
        <f>H30</f>
        <v>-3.031445748740591E-3</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249"/>
      <c r="K49" s="249"/>
      <c r="L49" s="249"/>
      <c r="M49" s="249"/>
      <c r="N49" s="249"/>
      <c r="O49" s="250"/>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90">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28</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B6" s="352"/>
      <c r="I6" s="5"/>
      <c r="J6" s="5"/>
      <c r="K6" s="5"/>
      <c r="L6" s="5"/>
      <c r="M6" s="5"/>
      <c r="N6" s="5"/>
      <c r="O6" s="49"/>
    </row>
    <row r="7" spans="2:63" ht="12.6" thickBot="1">
      <c r="B7" s="306" t="s">
        <v>266</v>
      </c>
      <c r="C7" s="265"/>
      <c r="D7" s="265"/>
      <c r="E7" s="265"/>
      <c r="F7" s="265"/>
      <c r="G7" s="265"/>
      <c r="H7" s="265"/>
      <c r="I7" s="49"/>
      <c r="J7" s="306" t="s">
        <v>29</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'EM CELLULAR'!D37</f>
        <v>2.3633605749224893</v>
      </c>
      <c r="M9" s="64">
        <f>'EM CELLULAR'!E37</f>
        <v>2.2492348089852174</v>
      </c>
      <c r="N9" s="64">
        <f>'EM CELLULAR'!F37</f>
        <v>2.0126947496551715</v>
      </c>
      <c r="O9" s="64">
        <f>'EM CELLULAR'!G37</f>
        <v>1.7794170168899046</v>
      </c>
      <c r="P9" s="17">
        <f>'EM CELLULAR'!H37</f>
        <v>4.6449022636606552E-2</v>
      </c>
    </row>
    <row r="10" spans="2:63">
      <c r="B10" s="5" t="s">
        <v>269</v>
      </c>
      <c r="C10" s="5"/>
      <c r="D10" s="332"/>
      <c r="E10" s="332"/>
      <c r="F10" s="332"/>
      <c r="G10" s="332"/>
      <c r="H10" s="247"/>
      <c r="I10" s="247"/>
      <c r="J10" s="5" t="s">
        <v>180</v>
      </c>
      <c r="L10" s="64">
        <f>'EM CELLULAR'!D38</f>
        <v>6.3987600118023149</v>
      </c>
      <c r="M10" s="64">
        <f>'EM CELLULAR'!E38</f>
        <v>6.0988539640971684</v>
      </c>
      <c r="N10" s="64">
        <f>'EM CELLULAR'!F38</f>
        <v>5.4062212910944272</v>
      </c>
      <c r="O10" s="64">
        <f>'EM CELLULAR'!G38</f>
        <v>4.7363909360102729</v>
      </c>
      <c r="P10" s="17">
        <f>'EM CELLULAR'!H38</f>
        <v>5.2406256537620211E-2</v>
      </c>
      <c r="W10" s="10"/>
      <c r="X10" s="10"/>
      <c r="Y10" s="10"/>
      <c r="Z10" s="10"/>
    </row>
    <row r="11" spans="2:63">
      <c r="B11" s="41" t="s">
        <v>354</v>
      </c>
      <c r="C11" s="5"/>
      <c r="D11" s="271">
        <f>AAF!D11 + MTS!D11+VIMP!D11+(TKC!D11/Prices!$C$150)+(MTN!D11/Prices!$C$170)+(VODA!D11/Prices!$C$170)+(SAF!D11/Prices!$C$179)</f>
        <v>96829.534983431367</v>
      </c>
      <c r="E11" s="271">
        <f>AAF!E11 + MTS!E11+VIMP!E11+(TKC!E11/Prices!$C$150)+(MTN!E11/Prices!$C$170)+(VODA!E11/Prices!$C$170)+(SAF!E11/Prices!$C$179)</f>
        <v>96713.83476035393</v>
      </c>
      <c r="F11" s="271">
        <f>AAF!F11 + MTS!F11+VIMP!F11+(TKC!F11/Prices!$C$150)+(MTN!F11/Prices!$C$170)+(VODA!F11/Prices!$C$170)+(SAF!F11/Prices!$C$179)</f>
        <v>96713.83476035393</v>
      </c>
      <c r="G11" s="271">
        <f>AAF!G11 + MTS!G11+VIMP!G11+(TKC!G11/Prices!$C$150)+(MTN!G11/Prices!$C$170)+(VODA!G11/Prices!$C$170)+(SAF!G11/Prices!$C$179)</f>
        <v>96713.83476035393</v>
      </c>
      <c r="H11" s="249"/>
      <c r="I11" s="249"/>
      <c r="J11" s="5" t="s">
        <v>181</v>
      </c>
      <c r="L11" s="64">
        <f>'EM CELLULAR'!D39</f>
        <v>12.354841094717424</v>
      </c>
      <c r="M11" s="64">
        <f>'EM CELLULAR'!E39</f>
        <v>11.255278834896844</v>
      </c>
      <c r="N11" s="64">
        <f>'EM CELLULAR'!F39</f>
        <v>9.5104933094138762</v>
      </c>
      <c r="O11" s="64">
        <f>'EM CELLULAR'!G39</f>
        <v>7.9868347347493183</v>
      </c>
      <c r="P11" s="17">
        <f>'EM CELLULAR'!H39</f>
        <v>0.10100210602425808</v>
      </c>
      <c r="W11" s="10"/>
      <c r="X11" s="10"/>
      <c r="Y11" s="10"/>
      <c r="Z11" s="10"/>
    </row>
    <row r="12" spans="2:63">
      <c r="B12" s="5" t="s">
        <v>225</v>
      </c>
      <c r="C12" s="249"/>
      <c r="D12" s="228">
        <f>AAF!D12 + MTS!D12+VIMP!D12+(TKC!D12/Prices!$C$150)+(MTN!D12/Prices!$C$170)+(VODA!D12/Prices!$C$170)+(SAF!D12/Prices!$C$179)</f>
        <v>21432.383185699437</v>
      </c>
      <c r="E12" s="228">
        <f>AAF!E12 + MTS!E12+VIMP!E12+(TKC!E12/Prices!$C$150)+(MTN!E12/Prices!$C$170)+(VODA!E12/Prices!$C$170)+(SAF!E12/Prices!$C$179)</f>
        <v>21430.435192537327</v>
      </c>
      <c r="F12" s="228">
        <f>AAF!F12 + MTS!F12+VIMP!F12+(TKC!F12/Prices!$C$150)+(MTN!F12/Prices!$C$170)+(VODA!F12/Prices!$C$170)+(SAF!F12/Prices!$C$179)</f>
        <v>20872.473889025838</v>
      </c>
      <c r="G12" s="228">
        <f>AAF!G12 + MTS!G12+VIMP!G12+(TKC!G12/Prices!$C$150)+(MTN!G12/Prices!$C$170)+(VODA!G12/Prices!$C$170)+(SAF!G12/Prices!$C$179)</f>
        <v>20331.047149930964</v>
      </c>
      <c r="H12" s="247"/>
      <c r="I12" s="247"/>
      <c r="J12" s="5" t="s">
        <v>461</v>
      </c>
      <c r="L12" s="64">
        <f>'EM CELLULAR'!D40</f>
        <v>15.793747180179601</v>
      </c>
      <c r="M12" s="64">
        <f>'EM CELLULAR'!E40</f>
        <v>14.497838545954387</v>
      </c>
      <c r="N12" s="64">
        <f>'EM CELLULAR'!F40</f>
        <v>12.508534104316029</v>
      </c>
      <c r="O12" s="64">
        <f>'EM CELLULAR'!G40</f>
        <v>10.530054441456244</v>
      </c>
      <c r="P12" s="17">
        <f>'EM CELLULAR'!H40</f>
        <v>8.9729855374904854E-2</v>
      </c>
      <c r="W12" s="10"/>
      <c r="X12" s="10"/>
      <c r="Y12" s="10"/>
      <c r="Z12" s="10"/>
    </row>
    <row r="13" spans="2:63">
      <c r="B13" s="5" t="s">
        <v>524</v>
      </c>
      <c r="C13" s="257"/>
      <c r="D13" s="228">
        <f>AAF!D13 + MTS!D13+VIMP!D13+(TKC!D13/Prices!$C$150)+(MTN!D13/Prices!$C$170)+(VODA!D13/Prices!$C$170)+(SAF!D13/Prices!$C$179)</f>
        <v>2322.469827607119</v>
      </c>
      <c r="E13" s="228">
        <f>AAF!E13 + MTS!E13+VIMP!E13+(TKC!E13/Prices!$C$150)+(MTN!E13/Prices!$C$170)+(VODA!E13/Prices!$C$170)+(SAF!E13/Prices!$C$179)</f>
        <v>2322.469827607119</v>
      </c>
      <c r="F13" s="228">
        <f>AAF!F13 + MTS!F13+VIMP!F13+(TKC!F13/Prices!$C$150)+(MTN!F13/Prices!$C$170)+(VODA!F13/Prices!$C$170)+(SAF!F13/Prices!$C$179)</f>
        <v>2322.469827607119</v>
      </c>
      <c r="G13" s="228">
        <f>AAF!G13 + MTS!G13+VIMP!G13+(TKC!G13/Prices!$C$150)+(MTN!G13/Prices!$C$170)+(VODA!G13/Prices!$C$170)+(SAF!G13/Prices!$C$179)</f>
        <v>2322.469827607119</v>
      </c>
      <c r="H13" s="247"/>
      <c r="I13" s="247"/>
      <c r="J13" s="5" t="s">
        <v>525</v>
      </c>
      <c r="L13" s="64">
        <f>'EM CELLULAR'!D41</f>
        <v>1.5248467904271694</v>
      </c>
      <c r="M13" s="64">
        <f>'EM CELLULAR'!E41</f>
        <v>1.5383461925366451</v>
      </c>
      <c r="N13" s="64">
        <f>'EM CELLULAR'!F41</f>
        <v>1.4721220686093988</v>
      </c>
      <c r="O13" s="64">
        <f>'EM CELLULAR'!G41</f>
        <v>1.3935425458382409</v>
      </c>
      <c r="P13" s="17">
        <f>'EM CELLULAR'!H41</f>
        <v>-1.8999293431604336E-2</v>
      </c>
    </row>
    <row r="14" spans="2:63">
      <c r="B14" s="5" t="s">
        <v>527</v>
      </c>
      <c r="C14" s="274"/>
      <c r="D14" s="228">
        <f>AAF!D14 + MTS!D14+VIMP!D14+(TKC!D14/Prices!$C$150)+(MTN!D14/Prices!$C$170)+(VODA!D14/Prices!$C$170)+(SAF!D14/Prices!$C$179)</f>
        <v>4820.1655690586504</v>
      </c>
      <c r="E14" s="228">
        <f>AAF!E14 + MTS!E14+VIMP!E14+(TKC!E14/Prices!$C$150)+(MTN!E14/Prices!$C$170)+(VODA!E14/Prices!$C$170)+(SAF!E14/Prices!$C$179)</f>
        <v>4820.1655690586504</v>
      </c>
      <c r="F14" s="228">
        <f>AAF!F14 + MTS!F14+VIMP!F14+(TKC!F14/Prices!$C$150)+(MTN!F14/Prices!$C$170)+(VODA!F14/Prices!$C$170)+(SAF!F14/Prices!$C$179)</f>
        <v>4820.1655690586504</v>
      </c>
      <c r="G14" s="228">
        <f>AAF!G14 + MTS!G14+VIMP!G14+(TKC!G14/Prices!$C$150)+(MTN!G14/Prices!$C$170)+(VODA!G14/Prices!$C$170)+(SAF!G14/Prices!$C$179)</f>
        <v>4820.1655690586504</v>
      </c>
      <c r="H14" s="247"/>
      <c r="I14" s="247"/>
      <c r="J14" s="5" t="s">
        <v>588</v>
      </c>
      <c r="L14" s="64">
        <f>'EM CELLULAR'!D42</f>
        <v>2.7624241253170956</v>
      </c>
      <c r="M14" s="64">
        <f>'EM CELLULAR'!E42</f>
        <v>2.6732057804679736</v>
      </c>
      <c r="N14" s="64">
        <f>'EM CELLULAR'!F42</f>
        <v>2.4753011765074051</v>
      </c>
      <c r="O14" s="64">
        <f>'EM CELLULAR'!G42</f>
        <v>2.2720312772237086</v>
      </c>
      <c r="P14" s="17">
        <f>'EM CELLULAR'!H42</f>
        <v>1.6075575533494924E-2</v>
      </c>
    </row>
    <row r="15" spans="2:63">
      <c r="B15" s="5" t="s">
        <v>526</v>
      </c>
      <c r="C15" s="257"/>
      <c r="D15" s="228">
        <f>AAF!D15 + MTS!D15+VIMP!D15+(TKC!D15/Prices!$C$150)+(MTN!D15/Prices!$C$170)+(VODA!D15/Prices!$C$170)+(SAF!D15/Prices!$C$179)</f>
        <v>6137.0868798387455</v>
      </c>
      <c r="E15" s="228">
        <f>AAF!E15 + MTS!E15+VIMP!E15+(TKC!E15/Prices!$C$150)+(MTN!E15/Prices!$C$170)+(VODA!E15/Prices!$C$170)+(SAF!E15/Prices!$C$179)</f>
        <v>6137.0868798387455</v>
      </c>
      <c r="F15" s="228">
        <f>AAF!F15 + MTS!F15+VIMP!F15+(TKC!F15/Prices!$C$150)+(MTN!F15/Prices!$C$170)+(VODA!F15/Prices!$C$170)+(SAF!F15/Prices!$C$179)</f>
        <v>6137.0868798387455</v>
      </c>
      <c r="G15" s="228">
        <f>AAF!G15 + MTS!G15+VIMP!G15+(TKC!G15/Prices!$C$150)+(MTN!G15/Prices!$C$170)+(VODA!G15/Prices!$C$170)+(SAF!G15/Prices!$C$179)</f>
        <v>6137.0868798387455</v>
      </c>
      <c r="H15" s="247"/>
      <c r="I15" s="247"/>
      <c r="J15" s="5" t="s">
        <v>470</v>
      </c>
      <c r="L15" s="64">
        <f>'EM CELLULAR'!D43</f>
        <v>24.107062077664011</v>
      </c>
      <c r="M15" s="64">
        <f>'EM CELLULAR'!E43</f>
        <v>20.678797637593679</v>
      </c>
      <c r="N15" s="64">
        <f>'EM CELLULAR'!F43</f>
        <v>17.221097288297262</v>
      </c>
      <c r="O15" s="64">
        <f>'EM CELLULAR'!G43</f>
        <v>14.37930180381365</v>
      </c>
      <c r="P15" s="17">
        <f>'EM CELLULAR'!H43</f>
        <v>0.18889227648007534</v>
      </c>
      <c r="S15" s="88"/>
      <c r="T15" s="88"/>
      <c r="U15" s="88"/>
      <c r="V15" s="42"/>
      <c r="W15" s="42"/>
      <c r="X15" s="42"/>
      <c r="Y15" s="42"/>
      <c r="Z15" s="42"/>
      <c r="AA15" s="42"/>
    </row>
    <row r="16" spans="2:63">
      <c r="B16" s="5" t="s">
        <v>529</v>
      </c>
      <c r="C16" s="257"/>
      <c r="D16" s="228">
        <f>AAF!D16 + MTS!D16+VIMP!D16+(TKC!D16/Prices!$C$150)+(MTN!D16/Prices!$C$170)+(VODA!D16/Prices!$C$170)+(SAF!D16/Prices!$C$179)</f>
        <v>2347.2337453691948</v>
      </c>
      <c r="E16" s="228">
        <f>AAF!E16 + MTS!E16+VIMP!E16+(TKC!E16/Prices!$C$150)+(MTN!E16/Prices!$C$170)+(VODA!E16/Prices!$C$170)+(SAF!E16/Prices!$C$179)</f>
        <v>3312.6905791961758</v>
      </c>
      <c r="F16" s="228">
        <f>AAF!F16 + MTS!F16+VIMP!F16+(TKC!F16/Prices!$C$150)+(MTN!F16/Prices!$C$170)+(VODA!F16/Prices!$C$170)+(SAF!F16/Prices!$C$179)</f>
        <v>5904.2125543696402</v>
      </c>
      <c r="G16" s="228">
        <f>AAF!G16 + MTS!G16+VIMP!G16+(TKC!G16/Prices!$C$150)+(MTN!G16/Prices!$C$170)+(VODA!G16/Prices!$C$170)+(SAF!G16/Prices!$C$179)</f>
        <v>9138.9719733821894</v>
      </c>
      <c r="H16" s="247"/>
      <c r="I16" s="247"/>
      <c r="J16" s="5" t="s">
        <v>528</v>
      </c>
      <c r="L16" s="64">
        <f>'EM CELLULAR'!D44</f>
        <v>20.954288205249199</v>
      </c>
      <c r="M16" s="64">
        <f>'EM CELLULAR'!E44</f>
        <v>17.944541054613072</v>
      </c>
      <c r="N16" s="64">
        <f>'EM CELLULAR'!F44</f>
        <v>15.012709911805581</v>
      </c>
      <c r="O16" s="64">
        <f>'EM CELLULAR'!G44</f>
        <v>13.042817542084691</v>
      </c>
      <c r="P16" s="17">
        <f>'EM CELLULAR'!H44</f>
        <v>0.17290611502365838</v>
      </c>
      <c r="S16" s="88"/>
      <c r="T16" s="88"/>
      <c r="U16" s="88"/>
      <c r="V16" s="42"/>
      <c r="W16" s="42"/>
      <c r="X16" s="42"/>
      <c r="Y16" s="42"/>
      <c r="Z16" s="42"/>
      <c r="AA16" s="42"/>
    </row>
    <row r="17" spans="2:27">
      <c r="B17" s="5" t="s">
        <v>6</v>
      </c>
      <c r="C17" s="257"/>
      <c r="D17" s="228">
        <f>AAF!D17 + MTS!D17+VIMP!D17+(TKC!D17/Prices!$C$150)+(MTN!D17/Prices!$C$170)+(VODA!D17/Prices!$C$170)+(SAF!D17/Prices!$C$179)</f>
        <v>0</v>
      </c>
      <c r="E17" s="228">
        <f>AAF!E17 + MTS!E17+VIMP!E17+(TKC!E17/Prices!$C$150)+(MTN!E17/Prices!$C$170)+(VODA!E17/Prices!$C$170)+(SAF!E17/Prices!$C$179)</f>
        <v>0</v>
      </c>
      <c r="F17" s="228">
        <f>AAF!F17 + MTS!F17+VIMP!F17+(TKC!F17/Prices!$C$150)+(MTN!F17/Prices!$C$170)+(VODA!F17/Prices!$C$170)+(SAF!F17/Prices!$C$179)</f>
        <v>0</v>
      </c>
      <c r="G17" s="228">
        <f>AAF!G17 + MTS!G17+VIMP!G17+(TKC!G17/Prices!$C$150)+(MTN!G17/Prices!$C$170)+(VODA!G17/Prices!$C$170)+(SAF!G17/Prices!$C$179)</f>
        <v>0</v>
      </c>
      <c r="H17" s="247"/>
      <c r="I17" s="247"/>
      <c r="J17" s="5" t="s">
        <v>575</v>
      </c>
      <c r="L17" s="248">
        <f>'EM CELLULAR'!D45</f>
        <v>3.7116361304412031E-2</v>
      </c>
      <c r="M17" s="248">
        <f>'EM CELLULAR'!E45</f>
        <v>4.227508239193372E-2</v>
      </c>
      <c r="N17" s="248">
        <f>'EM CELLULAR'!F45</f>
        <v>4.7791817313081346E-2</v>
      </c>
      <c r="O17" s="248">
        <f>'EM CELLULAR'!G45</f>
        <v>5.4825835656098436E-2</v>
      </c>
      <c r="P17" s="17">
        <f>'EM CELLULAR'!H45</f>
        <v>0.14051948142171655</v>
      </c>
      <c r="S17" s="88"/>
      <c r="T17" s="88"/>
      <c r="U17" s="88"/>
      <c r="V17" s="42"/>
      <c r="W17" s="42"/>
      <c r="X17" s="42"/>
      <c r="Y17" s="42"/>
      <c r="Z17" s="42"/>
      <c r="AA17" s="42"/>
    </row>
    <row r="18" spans="2:27" ht="12.6" thickBot="1">
      <c r="B18" s="41" t="s">
        <v>355</v>
      </c>
      <c r="C18" s="249"/>
      <c r="D18" s="275">
        <f>AAF!D18 + MTS!D18+VIMP!D18+(TKC!D18/Prices!$C$150)+(MTN!D18/Prices!$C$170)+(VODA!D18/Prices!$C$170)+(SAF!D18/Prices!$C$179)</f>
        <v>119554.07556214882</v>
      </c>
      <c r="E18" s="275">
        <f>AAF!E18 + MTS!E18+VIMP!E18+(TKC!E18/Prices!$C$150)+(MTN!E18/Prices!$C$170)+(VODA!E18/Prices!$C$170)+(SAF!E18/Prices!$C$179)</f>
        <v>118470.97051208231</v>
      </c>
      <c r="F18" s="275">
        <f>AAF!F18 + MTS!F18+VIMP!F18+(TKC!F18/Prices!$C$150)+(MTN!F18/Prices!$C$170)+(VODA!F18/Prices!$C$170)+(SAF!F18/Prices!$C$179)</f>
        <v>115321.48723339738</v>
      </c>
      <c r="G18" s="275">
        <f>AAF!G18 + MTS!G18+VIMP!G18+(TKC!G18/Prices!$C$150)+(MTN!G18/Prices!$C$170)+(VODA!G18/Prices!$C$170)+(SAF!G18/Prices!$C$179)</f>
        <v>111545.30107528996</v>
      </c>
      <c r="H18" s="276">
        <f>IF(D18=0,"nm",IF(G18=0,"nm",(G18/D18)^(1/3)-1))</f>
        <v>-2.2847611062479012E-2</v>
      </c>
      <c r="I18" s="254"/>
      <c r="J18" s="5" t="s">
        <v>36</v>
      </c>
      <c r="L18" s="248" t="e">
        <f>'EM CELLULAR'!D46</f>
        <v>#VALUE!</v>
      </c>
      <c r="M18" s="248" t="e">
        <f>'EM CELLULAR'!E46</f>
        <v>#VALUE!</v>
      </c>
      <c r="N18" s="248" t="e">
        <f>'EM CELLULAR'!F46</f>
        <v>#VALUE!</v>
      </c>
      <c r="O18" s="248" t="e">
        <f>'EM CELLULAR'!G46</f>
        <v>#VALUE!</v>
      </c>
      <c r="P18" s="17" t="e">
        <f>'EM CELLULAR'!H46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'EM CELLULAR'!D47</f>
        <v>4.148162048027134E-2</v>
      </c>
      <c r="M19" s="248">
        <f>'EM CELLULAR'!E47</f>
        <v>4.8358711058810219E-2</v>
      </c>
      <c r="N19" s="248">
        <f>'EM CELLULAR'!F47</f>
        <v>5.8068309078049177E-2</v>
      </c>
      <c r="O19" s="248">
        <f>'EM CELLULAR'!G47</f>
        <v>6.954440581633678E-2</v>
      </c>
      <c r="P19" s="17">
        <f>'EM CELLULAR'!H47</f>
        <v>0.18889227648007534</v>
      </c>
      <c r="S19" s="88"/>
      <c r="T19" s="88"/>
      <c r="U19" s="88"/>
      <c r="V19" s="42"/>
      <c r="W19" s="42"/>
      <c r="X19" s="42"/>
      <c r="Y19" s="42"/>
      <c r="Z19" s="42"/>
      <c r="AA19" s="42"/>
    </row>
    <row r="20" spans="2:27">
      <c r="H20" s="277"/>
      <c r="I20" s="49"/>
      <c r="J20" s="5" t="s">
        <v>599</v>
      </c>
      <c r="L20" s="248">
        <f>'EM CELLULAR'!D48</f>
        <v>0.89903425552652083</v>
      </c>
      <c r="M20" s="248">
        <f>'EM CELLULAR'!E48</f>
        <v>0.87797834322746737</v>
      </c>
      <c r="N20" s="248">
        <f>'EM CELLULAR'!F48</f>
        <v>0.8264400051459927</v>
      </c>
      <c r="O20" s="248">
        <f>'EM CELLULAR'!G48</f>
        <v>0.79370085194664652</v>
      </c>
      <c r="P20" s="17" t="str">
        <f>'EM CELLULAR'!H48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AAF!C23+MTS!C23+VIMP!C23+(TKC!C23/Prices!$C$150)+(MTN!C23/Prices!$C$170)+(VODA!C23/Prices!$C$170)+(SAF!C23/Prices!$C$179)</f>
        <v>35049.501001563593</v>
      </c>
      <c r="D23" s="228">
        <f>AAF!D23+MTS!D23+VIMP!D23+(TKC!D23/Prices!$C$150)+(MTN!D23/Prices!$C$170)+(VODA!D23/Prices!$C$170)+(SAF!D23/Prices!$C$179)</f>
        <v>37583.141641035982</v>
      </c>
      <c r="E23" s="228">
        <f>AAF!E23+MTS!E23+VIMP!E23+(TKC!E23/Prices!$C$150)+(MTN!E23/Prices!$C$170)+(VODA!E23/Prices!$C$170)+(SAF!E23/Prices!$C$179)</f>
        <v>36651.230739787046</v>
      </c>
      <c r="F23" s="228">
        <f>AAF!F23+MTS!F23+VIMP!F23+(TKC!F23/Prices!$C$150)+(MTN!F23/Prices!$C$170)+(VODA!F23/Prices!$C$170)+(SAF!F23/Prices!$C$179)</f>
        <v>39810.516915542314</v>
      </c>
      <c r="G23" s="228">
        <f>AAF!G23+MTS!G23+VIMP!G23+(TKC!G23/Prices!$C$150)+(MTN!G23/Prices!$C$170)+(VODA!G23/Prices!$C$170)+(SAF!G23/Prices!$C$179)</f>
        <v>43196.371807923919</v>
      </c>
      <c r="H23" s="279">
        <f t="shared" ref="H23:H33" si="0">IF(D23=0,"nm",IF(G23=0,"nm",(G23/D23)^(1/3)-1))</f>
        <v>4.7493644526533263E-2</v>
      </c>
      <c r="I23" s="249"/>
      <c r="J23" s="306" t="s">
        <v>9</v>
      </c>
      <c r="K23" s="306"/>
      <c r="L23" s="265" t="str">
        <f>L5</f>
        <v>2023E</v>
      </c>
      <c r="M23" s="265" t="str">
        <f>M5</f>
        <v>2024E</v>
      </c>
      <c r="N23" s="265" t="str">
        <f>N5</f>
        <v>2025E</v>
      </c>
      <c r="O23" s="265" t="str">
        <f>O5</f>
        <v>2026E</v>
      </c>
      <c r="P23" s="282" t="str">
        <f>P5</f>
        <v>23E-26E</v>
      </c>
      <c r="S23" s="42"/>
      <c r="T23" s="42"/>
      <c r="U23" s="42"/>
      <c r="V23" s="42"/>
      <c r="W23" s="42" t="s">
        <v>557</v>
      </c>
      <c r="X23" s="42" t="s">
        <v>558</v>
      </c>
      <c r="Y23" s="42"/>
      <c r="Z23" s="42"/>
      <c r="AA23" s="42"/>
    </row>
    <row r="24" spans="2:27" ht="12.6" thickTop="1">
      <c r="B24" s="5" t="s">
        <v>478</v>
      </c>
      <c r="C24" s="365">
        <f>AAF!C24+MTS!C24+VIMP!C24+(TKC!C24/Prices!$C$150)+(MTN!C24/Prices!$C$170)+(VODA!C24/Prices!$C$170)+(SAF!C24/Prices!$C$179)</f>
        <v>14953.287632307676</v>
      </c>
      <c r="D24" s="228">
        <f>AAF!D24+MTS!D24+VIMP!D24+(TKC!D24/Prices!$C$150)+(MTN!D24/Prices!$C$170)+(VODA!D24/Prices!$C$170)+(SAF!D24/Prices!$C$179)</f>
        <v>15411.861711702855</v>
      </c>
      <c r="E24" s="228">
        <f>AAF!E24+MTS!E24+VIMP!E24+(TKC!E24/Prices!$C$150)+(MTN!E24/Prices!$C$170)+(VODA!E24/Prices!$C$170)+(SAF!E24/Prices!$C$179)</f>
        <v>14634.328472259458</v>
      </c>
      <c r="F24" s="228">
        <f>AAF!F24+MTS!F24+VIMP!F24+(TKC!F24/Prices!$C$150)+(MTN!F24/Prices!$C$170)+(VODA!F24/Prices!$C$170)+(SAF!F24/Prices!$C$179)</f>
        <v>16137.094234482964</v>
      </c>
      <c r="G24" s="228">
        <f>AAF!G24+MTS!G24+VIMP!G24+(TKC!G24/Prices!$C$150)+(MTN!G24/Prices!$C$170)+(VODA!G24/Prices!$C$170)+(SAF!G24/Prices!$C$179)</f>
        <v>17671.056805015021</v>
      </c>
      <c r="H24" s="279">
        <f t="shared" si="0"/>
        <v>4.6652398847596643E-2</v>
      </c>
      <c r="I24" s="248"/>
      <c r="J24" s="17"/>
      <c r="K24" s="17"/>
      <c r="L24" s="17"/>
      <c r="M24" s="17"/>
      <c r="N24" s="17"/>
      <c r="O24" s="248"/>
      <c r="S24" s="42"/>
      <c r="T24" s="42"/>
      <c r="U24" s="42"/>
      <c r="V24" s="147" t="s">
        <v>268</v>
      </c>
      <c r="W24" s="288">
        <f t="shared" ref="W24:W29" si="1">E37/M9</f>
        <v>1.437105288167019</v>
      </c>
      <c r="X24" s="288">
        <v>1</v>
      </c>
      <c r="Y24" s="42"/>
      <c r="Z24" s="42"/>
      <c r="AA24" s="42"/>
    </row>
    <row r="25" spans="2:27">
      <c r="B25" s="5" t="s">
        <v>179</v>
      </c>
      <c r="C25" s="365">
        <f>AAF!C25+MTS!C25+VIMP!C25+(TKC!C25/Prices!$C$150)+(MTN!C25/Prices!$C$170)+(VODA!C25/Prices!$C$170)+(SAF!C25/Prices!$C$179)</f>
        <v>7712.4208003080421</v>
      </c>
      <c r="D25" s="228">
        <f>AAF!D25+MTS!D25+VIMP!D25+(TKC!D25/Prices!$C$150)+(MTN!D25/Prices!$C$170)+(VODA!D25/Prices!$C$170)+(SAF!D25/Prices!$C$179)</f>
        <v>7661.1924993353678</v>
      </c>
      <c r="E25" s="228">
        <f>AAF!E25+MTS!E25+VIMP!E25+(TKC!E25/Prices!$C$150)+(MTN!E25/Prices!$C$170)+(VODA!E25/Prices!$C$170)+(SAF!E25/Prices!$C$179)</f>
        <v>7975.6608914842718</v>
      </c>
      <c r="F25" s="228">
        <f>AAF!F25+MTS!F25+VIMP!F25+(TKC!F25/Prices!$C$150)+(MTN!F25/Prices!$C$170)+(VODA!F25/Prices!$C$170)+(SAF!F25/Prices!$C$179)</f>
        <v>9248.0154534090125</v>
      </c>
      <c r="G25" s="228">
        <f>AAF!G25+MTS!G25+VIMP!G25+(TKC!G25/Prices!$C$150)+(MTN!G25/Prices!$C$170)+(VODA!G25/Prices!$C$170)+(SAF!G25/Prices!$C$179)</f>
        <v>10392.402008939385</v>
      </c>
      <c r="H25" s="279">
        <f t="shared" si="0"/>
        <v>0.10698020388173712</v>
      </c>
      <c r="I25" s="249"/>
      <c r="J25" s="247" t="s">
        <v>10</v>
      </c>
      <c r="K25" s="247"/>
      <c r="L25" s="332">
        <f>MTS!L25+VIMP!L25+(TKC!L25/Prices!$C$150)+(MTN!L25/Prices!$C$170)+(VODA!L25/Prices!$C$170)+(SAF!L25/Prices!$C$179)</f>
        <v>0</v>
      </c>
      <c r="M25" s="332">
        <f>MTS!M25+VIMP!M25+(TKC!M25/Prices!$C$150)+(MTN!M25/Prices!$C$170)+(VODA!M25/Prices!$C$170)+(SAF!M25/Prices!$C$179)</f>
        <v>0</v>
      </c>
      <c r="N25" s="332">
        <f>MTS!N25+VIMP!N25+(TKC!N25/Prices!$C$150)+(MTN!N25/Prices!$C$170)+(VODA!N25/Prices!$C$170)+(SAF!N25/Prices!$C$179)</f>
        <v>0</v>
      </c>
      <c r="O25" s="332">
        <f>MTS!O25+VIMP!O25+(TKC!O25/Prices!$C$150)+(MTN!O25/Prices!$C$170)+(VODA!O25/Prices!$C$170)+(SAF!O25/Prices!$C$179)</f>
        <v>0</v>
      </c>
      <c r="P25" s="279" t="str">
        <f>IF(L25=0,"nm",IF(O25=0,"nm",(O25/L25)^(1/3)-1))</f>
        <v>nm</v>
      </c>
      <c r="Q25" s="5"/>
      <c r="S25" s="42"/>
      <c r="T25" s="42"/>
      <c r="U25" s="42"/>
      <c r="V25" s="147" t="s">
        <v>180</v>
      </c>
      <c r="W25" s="288">
        <f t="shared" si="1"/>
        <v>1.3273666845676726</v>
      </c>
      <c r="X25" s="288">
        <v>1</v>
      </c>
      <c r="Y25" s="42"/>
      <c r="Z25" s="42"/>
      <c r="AA25" s="42"/>
    </row>
    <row r="26" spans="2:27">
      <c r="B26" s="5" t="s">
        <v>581</v>
      </c>
      <c r="C26" s="365">
        <f>AAF!C26+MTS!C26+VIMP!C26+(TKC!C26/Prices!$C$150)+(MTN!C26/Prices!$C$170)+(VODA!C26/Prices!$C$170)+(SAF!C26/Prices!$C$179)</f>
        <v>5510.4366729741841</v>
      </c>
      <c r="D26" s="228">
        <f>AAF!D26+MTS!D26+VIMP!D26+(TKC!D26/Prices!$C$150)+(MTN!D26/Prices!$C$170)+(VODA!D26/Prices!$C$170)+(SAF!D26/Prices!$C$179)</f>
        <v>5988.0102015790808</v>
      </c>
      <c r="E26" s="228">
        <f>AAF!E26+MTS!E26+VIMP!E26+(TKC!E26/Prices!$C$150)+(MTN!E26/Prices!$C$170)+(VODA!E26/Prices!$C$170)+(SAF!E26/Prices!$C$179)</f>
        <v>6263.3161528878318</v>
      </c>
      <c r="F26" s="228">
        <f>AAF!F26+MTS!F26+VIMP!F26+(TKC!F26/Prices!$C$150)+(MTN!F26/Prices!$C$170)+(VODA!F26/Prices!$C$170)+(SAF!F26/Prices!$C$179)</f>
        <v>6391.971390550033</v>
      </c>
      <c r="G26" s="228">
        <f>AAF!G26+MTS!G26+VIMP!G26+(TKC!G26/Prices!$C$150)+(MTN!G26/Prices!$C$170)+(VODA!G26/Prices!$C$170)+(SAF!G26/Prices!$C$179)</f>
        <v>7153.4348088895022</v>
      </c>
      <c r="H26" s="279">
        <f t="shared" si="0"/>
        <v>6.1069987666233061E-2</v>
      </c>
      <c r="I26" s="249"/>
      <c r="J26" s="249" t="s">
        <v>11</v>
      </c>
      <c r="K26" s="249"/>
      <c r="L26" s="281">
        <f>MTS!L26+VIMP!L26+(TKC!L26/Prices!$C$150)+(MTN!L26/Prices!$C$170)+(VODA!L26/Prices!$C$170)+(SAF!L26/Prices!$C$179)</f>
        <v>91265.540922361717</v>
      </c>
      <c r="M26" s="281">
        <f>MTS!M26+VIMP!M26+(TKC!M26/Prices!$C$150)+(MTN!M26/Prices!$C$170)+(VODA!M26/Prices!$C$170)+(SAF!M26/Prices!$C$179)</f>
        <v>91265.540922361717</v>
      </c>
      <c r="N26" s="281">
        <f>MTS!N26+VIMP!N26+(TKC!N26/Prices!$C$150)+(MTN!N26/Prices!$C$170)+(VODA!N26/Prices!$C$170)+(SAF!N26/Prices!$C$179)</f>
        <v>91265.540922361717</v>
      </c>
      <c r="O26" s="281">
        <f>MTS!O26+VIMP!O26+(TKC!O26/Prices!$C$150)+(MTN!O26/Prices!$C$170)+(VODA!O26/Prices!$C$170)+(SAF!O26/Prices!$C$179)</f>
        <v>91265.540922361717</v>
      </c>
      <c r="P26" s="279">
        <f>IF(L26=0,"nm",IF(O26=0,"nm",(O26/L26)^(1/3)-1))</f>
        <v>0</v>
      </c>
      <c r="Q26" s="41"/>
      <c r="S26" s="42"/>
      <c r="T26" s="42"/>
      <c r="U26" s="42"/>
      <c r="V26" s="147" t="s">
        <v>181</v>
      </c>
      <c r="W26" s="288">
        <f t="shared" si="1"/>
        <v>1.3197419063316569</v>
      </c>
      <c r="X26" s="288">
        <v>1</v>
      </c>
      <c r="Y26" s="42"/>
      <c r="Z26" s="42"/>
      <c r="AA26" s="42"/>
    </row>
    <row r="27" spans="2:27">
      <c r="B27" s="5" t="s">
        <v>582</v>
      </c>
      <c r="C27" s="365">
        <f>AAF!C27+MTS!C27+VIMP!C27+(TKC!C27/Prices!$C$150)+(MTN!C27/Prices!$C$170)+(VODA!C27/Prices!$C$170)+(SAF!C27/Prices!$C$179)</f>
        <v>40302.299939517397</v>
      </c>
      <c r="D27" s="228">
        <f>AAF!D27+MTS!D27+VIMP!D27+(TKC!D27/Prices!$C$150)+(MTN!D27/Prices!$C$170)+(VODA!D27/Prices!$C$170)+(SAF!D27/Prices!$C$179)</f>
        <v>40961.21726594519</v>
      </c>
      <c r="E27" s="228">
        <f>AAF!E27+MTS!E27+VIMP!E27+(TKC!E27/Prices!$C$150)+(MTN!E27/Prices!$C$170)+(VODA!E27/Prices!$C$170)+(SAF!E27/Prices!$C$179)</f>
        <v>40138.337908835434</v>
      </c>
      <c r="F27" s="228">
        <f>AAF!F27+MTS!F27+VIMP!F27+(TKC!F27/Prices!$C$150)+(MTN!F27/Prices!$C$170)+(VODA!F27/Prices!$C$170)+(SAF!F27/Prices!$C$179)</f>
        <v>40796.403475730796</v>
      </c>
      <c r="G27" s="228">
        <f>AAF!G27+MTS!G27+VIMP!G27+(TKC!G27/Prices!$C$150)+(MTN!G27/Prices!$C$170)+(VODA!G27/Prices!$C$170)+(SAF!G27/Prices!$C$179)</f>
        <v>41818.360799948292</v>
      </c>
      <c r="H27" s="279">
        <f t="shared" si="0"/>
        <v>6.9271484573356634E-3</v>
      </c>
      <c r="I27" s="248"/>
      <c r="J27" s="248"/>
      <c r="K27" s="248"/>
      <c r="L27" s="248"/>
      <c r="M27" s="248"/>
      <c r="N27" s="248"/>
      <c r="O27" s="248"/>
      <c r="Q27" s="5"/>
      <c r="S27" s="42"/>
      <c r="T27" s="42"/>
      <c r="U27" s="42"/>
      <c r="V27" s="147" t="s">
        <v>461</v>
      </c>
      <c r="W27" s="288">
        <f t="shared" si="1"/>
        <v>1.3046810460301406</v>
      </c>
      <c r="X27" s="288">
        <v>1</v>
      </c>
      <c r="Y27" s="42"/>
      <c r="Z27" s="42"/>
      <c r="AA27" s="42"/>
    </row>
    <row r="28" spans="2:27" ht="12.6" thickBot="1">
      <c r="B28" s="5" t="s">
        <v>587</v>
      </c>
      <c r="C28" s="365">
        <f>AAF!C28+MTS!C28+VIMP!C28+(TKC!C28/Prices!$C$150)+(MTN!C28/Prices!$C$170)+(VODA!C28/Prices!$C$170)+(SAF!C28/Prices!$C$179)</f>
        <v>25173.791051000098</v>
      </c>
      <c r="D28" s="228">
        <f>AAF!D28+MTS!D28+VIMP!D28+(TKC!D28/Prices!$C$150)+(MTN!D28/Prices!$C$170)+(VODA!D28/Prices!$C$170)+(SAF!D28/Prices!$C$179)</f>
        <v>25377.931125956504</v>
      </c>
      <c r="E28" s="228">
        <f>AAF!E28+MTS!E28+VIMP!E28+(TKC!E28/Prices!$C$150)+(MTN!E28/Prices!$C$170)+(VODA!E28/Prices!$C$170)+(SAF!E28/Prices!$C$179)</f>
        <v>27202.856289422336</v>
      </c>
      <c r="F28" s="228">
        <f>AAF!F28+MTS!F28+VIMP!F28+(TKC!F28/Prices!$C$150)+(MTN!F28/Prices!$C$170)+(VODA!F28/Prices!$C$170)+(SAF!F28/Prices!$C$179)</f>
        <v>27740.333574195687</v>
      </c>
      <c r="G28" s="228">
        <f>AAF!G28+MTS!G28+VIMP!G28+(TKC!G28/Prices!$C$150)+(MTN!G28/Prices!$C$170)+(VODA!G28/Prices!$C$170)+(SAF!G28/Prices!$C$179)</f>
        <v>28606.208208812473</v>
      </c>
      <c r="H28" s="279">
        <f t="shared" si="0"/>
        <v>4.0721900193509741E-2</v>
      </c>
      <c r="I28" s="252"/>
      <c r="J28" s="306" t="s">
        <v>747</v>
      </c>
      <c r="K28" s="306"/>
      <c r="L28" s="306"/>
      <c r="M28" s="306"/>
      <c r="N28" s="266"/>
      <c r="O28" s="266"/>
      <c r="P28" s="266"/>
      <c r="Q28" s="5"/>
      <c r="S28" s="42"/>
      <c r="T28" s="42"/>
      <c r="U28" s="42"/>
      <c r="V28" s="147" t="s">
        <v>525</v>
      </c>
      <c r="W28" s="288">
        <f t="shared" si="1"/>
        <v>1.9186620274080155</v>
      </c>
      <c r="X28" s="288">
        <v>1</v>
      </c>
      <c r="Y28" s="42"/>
      <c r="Z28" s="42"/>
      <c r="AA28" s="42"/>
    </row>
    <row r="29" spans="2:27" ht="12.6" thickTop="1">
      <c r="B29" s="5" t="s">
        <v>583</v>
      </c>
      <c r="C29" s="365">
        <f>AAF!C29+MTS!C29+VIMP!C29+(TKC!C29/Prices!$C$150)+(MTN!C29/Prices!$C$170)+(VODA!C29/Prices!$C$170)+(SAF!C29/Prices!$C$179)</f>
        <v>1980.9753726615293</v>
      </c>
      <c r="D29" s="228">
        <f>AAF!D29+MTS!D29+VIMP!D29+(TKC!D29/Prices!$C$150)+(MTN!D29/Prices!$C$170)+(VODA!D29/Prices!$C$170)+(SAF!D29/Prices!$C$179)</f>
        <v>2032.0342197332061</v>
      </c>
      <c r="E29" s="228">
        <f>AAF!E29+MTS!E29+VIMP!E29+(TKC!E29/Prices!$C$150)+(MTN!E29/Prices!$C$170)+(VODA!E29/Prices!$C$170)+(SAF!E29/Prices!$C$179)</f>
        <v>3042.6859624349686</v>
      </c>
      <c r="F29" s="228">
        <f>AAF!F29+MTS!F29+VIMP!F29+(TKC!F29/Prices!$C$150)+(MTN!F29/Prices!$C$170)+(VODA!F29/Prices!$C$170)+(SAF!F29/Prices!$C$179)</f>
        <v>3641.2640736967624</v>
      </c>
      <c r="G29" s="228">
        <f>AAF!G29+MTS!G29+VIMP!G29+(TKC!G29/Prices!$C$150)+(MTN!G29/Prices!$C$170)+(VODA!G29/Prices!$C$170)+(SAF!G29/Prices!$C$179)</f>
        <v>4301.1453403920523</v>
      </c>
      <c r="H29" s="279">
        <f t="shared" si="0"/>
        <v>0.28395863860305148</v>
      </c>
      <c r="I29" s="254"/>
      <c r="J29" s="249"/>
      <c r="K29" s="249"/>
      <c r="L29" s="249"/>
      <c r="M29" s="249"/>
      <c r="N29" s="249"/>
      <c r="O29" s="251"/>
      <c r="Q29" s="5"/>
      <c r="S29" s="42"/>
      <c r="T29" s="42"/>
      <c r="U29" s="42"/>
      <c r="V29" s="147" t="s">
        <v>588</v>
      </c>
      <c r="W29" s="288">
        <f t="shared" si="1"/>
        <v>1.6291649102299597</v>
      </c>
      <c r="X29" s="288">
        <v>1</v>
      </c>
      <c r="Y29" s="42"/>
      <c r="Z29" s="42"/>
      <c r="AA29" s="42"/>
    </row>
    <row r="30" spans="2:27">
      <c r="B30" s="5" t="s">
        <v>584</v>
      </c>
      <c r="C30" s="365">
        <f>AAF!C30+MTS!C30+VIMP!C30+(TKC!C30/Prices!$C$150)+(MTN!C30/Prices!$C$170)+(VODA!C30/Prices!$C$170)+(SAF!C30/Prices!$C$179)</f>
        <v>4237.8480163895683</v>
      </c>
      <c r="D30" s="228">
        <f>AAF!D30+MTS!D30+VIMP!D30+(TKC!D30/Prices!$C$150)+(MTN!D30/Prices!$C$170)+(VODA!D30/Prices!$C$170)+(SAF!D30/Prices!$C$179)</f>
        <v>3257.1996336628513</v>
      </c>
      <c r="E30" s="228">
        <f>AAF!E30+MTS!E30+VIMP!E30+(TKC!E30/Prices!$C$150)+(MTN!E30/Prices!$C$170)+(VODA!E30/Prices!$C$170)+(SAF!E30/Prices!$C$179)</f>
        <v>3560.9907109107958</v>
      </c>
      <c r="F30" s="228">
        <f>AAF!F30+MTS!F30+VIMP!F30+(TKC!F30/Prices!$C$150)+(MTN!F30/Prices!$C$170)+(VODA!F30/Prices!$C$170)+(SAF!F30/Prices!$C$179)</f>
        <v>4944.2625867121042</v>
      </c>
      <c r="G30" s="228">
        <f>AAF!G30+MTS!G30+VIMP!G30+(TKC!G30/Prices!$C$150)+(MTN!G30/Prices!$C$170)+(VODA!G30/Prices!$C$170)+(SAF!G30/Prices!$C$179)</f>
        <v>5924.3562141498742</v>
      </c>
      <c r="H30" s="279">
        <f t="shared" si="0"/>
        <v>0.22067184815723828</v>
      </c>
      <c r="I30" s="254"/>
      <c r="J30" s="248"/>
      <c r="K30" s="248"/>
      <c r="L30" s="248"/>
      <c r="M30" s="248"/>
      <c r="N30" s="248"/>
      <c r="O30" s="5"/>
      <c r="Q30" s="5"/>
      <c r="S30" s="42"/>
      <c r="T30" s="42"/>
      <c r="U30" s="42"/>
      <c r="V30" s="147" t="s">
        <v>379</v>
      </c>
      <c r="W30" s="288">
        <f>F43/N15</f>
        <v>1.4554384222604968</v>
      </c>
      <c r="X30" s="288">
        <v>1</v>
      </c>
      <c r="Y30" s="42"/>
      <c r="Z30" s="42"/>
      <c r="AA30" s="42"/>
    </row>
    <row r="31" spans="2:27">
      <c r="B31" s="5" t="s">
        <v>585</v>
      </c>
      <c r="C31" s="365">
        <f>AAF!C31+MTS!C31+VIMP!C31+(TKC!C31/Prices!$C$150)+(MTN!C31/Prices!$C$170)+(VODA!C31/Prices!$C$170)+(SAF!C31/Prices!$C$179)</f>
        <v>1909.0001725779484</v>
      </c>
      <c r="D31" s="228">
        <f>AAF!D31+MTS!D31+VIMP!D31+(TKC!D31/Prices!$C$150)+(MTN!D31/Prices!$C$170)+(VODA!D31/Prices!$C$170)+(SAF!D31/Prices!$C$179)</f>
        <v>1749.4523288476753</v>
      </c>
      <c r="E31" s="228">
        <f>AAF!E31+MTS!E31+VIMP!E31+(TKC!E31/Prices!$C$150)+(MTN!E31/Prices!$C$170)+(VODA!E31/Prices!$C$170)+(SAF!E31/Prices!$C$179)</f>
        <v>2097.2586021742927</v>
      </c>
      <c r="F31" s="228">
        <f>AAF!F31+MTS!F31+VIMP!F31+(TKC!F31/Prices!$C$150)+(MTN!F31/Prices!$C$170)+(VODA!F31/Prices!$C$170)+(SAF!F31/Prices!$C$179)</f>
        <v>2627.3234326213274</v>
      </c>
      <c r="G31" s="228">
        <f>AAF!G31+MTS!G31+VIMP!G31+(TKC!G31/Prices!$C$150)+(MTN!G31/Prices!$C$170)+(VODA!G31/Prices!$C$170)+(SAF!G31/Prices!$C$179)</f>
        <v>2812.0955943604085</v>
      </c>
      <c r="H31" s="279">
        <f t="shared" si="0"/>
        <v>0.17141106606848178</v>
      </c>
      <c r="I31" s="254"/>
      <c r="J31" s="252"/>
      <c r="K31" s="252"/>
      <c r="L31" s="252"/>
      <c r="M31" s="252"/>
      <c r="N31" s="252"/>
      <c r="O31" s="5"/>
      <c r="Q31" s="5"/>
      <c r="S31" s="42"/>
      <c r="T31" s="42"/>
      <c r="U31" s="42"/>
      <c r="V31" s="147" t="s">
        <v>528</v>
      </c>
      <c r="W31" s="288">
        <f>E44/M16</f>
        <v>1.5135103928346152</v>
      </c>
      <c r="X31" s="288">
        <v>1</v>
      </c>
      <c r="Y31" s="42"/>
      <c r="Z31" s="42"/>
      <c r="AA31" s="42"/>
    </row>
    <row r="32" spans="2:27">
      <c r="B32" s="5" t="s">
        <v>601</v>
      </c>
      <c r="C32" s="365">
        <f>AAF!C32+MTS!C32+VIMP!C32+(TKC!C32/Prices!$C$150)+(MTN!C32/Prices!$C$170)+(VODA!C32/Prices!$C$170)+(SAF!C32/Prices!$C$179)</f>
        <v>385.72138728651544</v>
      </c>
      <c r="D32" s="228">
        <f>AAF!D32+MTS!D32+VIMP!D32+(TKC!D32/Prices!$C$150)+(MTN!D32/Prices!$C$170)+(VODA!D32/Prices!$C$170)+(SAF!D32/Prices!$C$179)</f>
        <v>96.21537246893142</v>
      </c>
      <c r="E32" s="228">
        <f>AAF!E32+MTS!E32+VIMP!E32+(TKC!E32/Prices!$C$150)+(MTN!E32/Prices!$C$170)+(VODA!E32/Prices!$C$170)+(SAF!E32/Prices!$C$179)</f>
        <v>-506.42476781722974</v>
      </c>
      <c r="F32" s="228">
        <f>AAF!F32+MTS!F32+VIMP!F32+(TKC!F32/Prices!$C$150)+(MTN!F32/Prices!$C$170)+(VODA!F32/Prices!$C$170)+(SAF!F32/Prices!$C$179)</f>
        <v>518.35334659571549</v>
      </c>
      <c r="G32" s="228">
        <f>AAF!G32+MTS!G32+VIMP!G32+(TKC!G32/Prices!$C$150)+(MTN!G32/Prices!$C$170)+(VODA!G32/Prices!$C$170)+(SAF!G32/Prices!$C$179)</f>
        <v>-33.647836863012813</v>
      </c>
      <c r="H32" s="279">
        <f t="shared" si="0"/>
        <v>-1.7045376851021725</v>
      </c>
      <c r="I32" s="5"/>
      <c r="J32" s="254"/>
      <c r="K32" s="254"/>
      <c r="L32" s="254"/>
      <c r="M32" s="254"/>
      <c r="N32" s="254"/>
      <c r="O32" s="251"/>
      <c r="Q32" s="5"/>
      <c r="S32" s="42"/>
      <c r="T32" s="42"/>
      <c r="U32" s="42"/>
      <c r="V32" s="147" t="s">
        <v>575</v>
      </c>
      <c r="W32" s="288">
        <f>M17/E45</f>
        <v>1.9494903149735865</v>
      </c>
      <c r="X32" s="288">
        <v>1</v>
      </c>
      <c r="Y32" s="42"/>
      <c r="Z32" s="42"/>
      <c r="AA32" s="42"/>
    </row>
    <row r="33" spans="2:42">
      <c r="B33" s="5" t="s">
        <v>5</v>
      </c>
      <c r="C33" s="365">
        <f>AAF!C33+MTS!C33+VIMP!C33+(TKC!C33/Prices!$C$150)+(MTN!C33/Prices!$C$170)+(VODA!C33/Prices!$C$170)+(SAF!C33/Prices!$C$179)</f>
        <v>-2507.6927742446651</v>
      </c>
      <c r="D33" s="228">
        <f>AAF!D33+MTS!D33+VIMP!D33+(TKC!D33/Prices!$C$150)+(MTN!D33/Prices!$C$170)+(VODA!D33/Prices!$C$170)+(SAF!D33/Prices!$C$179)</f>
        <v>-3724.3408390202299</v>
      </c>
      <c r="E33" s="228">
        <f>AAF!E33+MTS!E33+VIMP!E33+(TKC!E33/Prices!$C$150)+(MTN!E33/Prices!$C$170)+(VODA!E33/Prices!$C$170)+(SAF!E33/Prices!$C$179)</f>
        <v>-2715.2744902685713</v>
      </c>
      <c r="F33" s="228">
        <f>AAF!F33+MTS!F33+VIMP!F33+(TKC!F33/Prices!$C$150)+(MTN!F33/Prices!$C$170)+(VODA!F33/Prices!$C$170)+(SAF!F33/Prices!$C$179)</f>
        <v>-2234.7510604235604</v>
      </c>
      <c r="G33" s="228">
        <f>AAF!G33+MTS!G33+VIMP!G33+(TKC!G33/Prices!$C$150)+(MTN!G33/Prices!$C$170)+(VODA!G33/Prices!$C$170)+(SAF!G33/Prices!$C$179)</f>
        <v>-2101.4285898252556</v>
      </c>
      <c r="H33" s="279">
        <f t="shared" si="0"/>
        <v>-0.17366704651759945</v>
      </c>
      <c r="I33" s="49"/>
      <c r="J33" s="254"/>
      <c r="K33" s="254"/>
      <c r="L33" s="254"/>
      <c r="M33" s="254"/>
      <c r="N33" s="254"/>
      <c r="O33" s="251"/>
      <c r="Q33" s="5"/>
      <c r="S33" s="42"/>
      <c r="T33" s="42"/>
      <c r="U33" s="42"/>
      <c r="V33" s="147" t="s">
        <v>261</v>
      </c>
      <c r="W33" s="288">
        <f>N19/F47</f>
        <v>1.4554384222604968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275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3.1810559293853995</v>
      </c>
      <c r="E37" s="64">
        <f t="shared" si="2"/>
        <v>3.2323872383219907</v>
      </c>
      <c r="F37" s="64">
        <f t="shared" si="2"/>
        <v>2.8967593532646405</v>
      </c>
      <c r="G37" s="64">
        <f t="shared" si="2"/>
        <v>2.5822840300404155</v>
      </c>
      <c r="H37" s="17">
        <f t="shared" ref="H37:H45" si="3">H23</f>
        <v>4.7493644526533263E-2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7.7572766871744339</v>
      </c>
      <c r="E38" s="64">
        <f t="shared" si="2"/>
        <v>8.095415565986066</v>
      </c>
      <c r="F38" s="64">
        <f t="shared" si="2"/>
        <v>7.1463601536743644</v>
      </c>
      <c r="G38" s="64">
        <f t="shared" si="2"/>
        <v>6.3123163660270478</v>
      </c>
      <c r="H38" s="17">
        <f t="shared" si="3"/>
        <v>4.6652398847596643E-2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15.605152275252255</v>
      </c>
      <c r="E39" s="64">
        <f t="shared" si="2"/>
        <v>14.854063145861112</v>
      </c>
      <c r="F39" s="64">
        <f t="shared" si="2"/>
        <v>12.469863163008389</v>
      </c>
      <c r="G39" s="64">
        <f t="shared" si="2"/>
        <v>10.733351248281235</v>
      </c>
      <c r="H39" s="17">
        <f t="shared" si="3"/>
        <v>0.10698020388173712</v>
      </c>
      <c r="I39" s="5"/>
      <c r="J39" s="5"/>
      <c r="K39" s="5"/>
      <c r="L39" s="5"/>
      <c r="M39" s="5"/>
      <c r="N39" s="5"/>
      <c r="O39" s="5"/>
      <c r="Q39" s="5"/>
      <c r="R39" s="5"/>
      <c r="S39" s="42"/>
      <c r="T39" s="42"/>
      <c r="U39" s="42"/>
      <c r="V39" s="42"/>
      <c r="W39" s="288"/>
      <c r="X39" s="288"/>
      <c r="Y39" s="42"/>
      <c r="Z39" s="42"/>
      <c r="AA39" s="42"/>
    </row>
    <row r="40" spans="2:42">
      <c r="B40" s="5" t="s">
        <v>461</v>
      </c>
      <c r="C40" s="247"/>
      <c r="D40" s="64">
        <f t="shared" si="2"/>
        <v>19.965576466556715</v>
      </c>
      <c r="E40" s="64">
        <f t="shared" si="2"/>
        <v>18.915055159311862</v>
      </c>
      <c r="F40" s="64">
        <f t="shared" si="2"/>
        <v>18.041615049136492</v>
      </c>
      <c r="G40" s="64">
        <f t="shared" si="2"/>
        <v>15.593250523045757</v>
      </c>
      <c r="H40" s="17">
        <f t="shared" si="3"/>
        <v>6.1069987666233061E-2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2.9187139333758294</v>
      </c>
      <c r="E41" s="64">
        <f t="shared" si="2"/>
        <v>2.9515664246277606</v>
      </c>
      <c r="F41" s="64">
        <f t="shared" si="2"/>
        <v>2.8267562188907287</v>
      </c>
      <c r="G41" s="64">
        <f t="shared" si="2"/>
        <v>2.6673762180421927</v>
      </c>
      <c r="H41" s="17">
        <f t="shared" si="3"/>
        <v>6.9271484573356634E-3</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4.7109464900339777</v>
      </c>
      <c r="E42" s="64">
        <f>E18/E28</f>
        <v>4.3550930553623157</v>
      </c>
      <c r="F42" s="64">
        <f>F18/F28</f>
        <v>4.15717737946275</v>
      </c>
      <c r="G42" s="64">
        <f>G18/G28</f>
        <v>3.8993389218542824</v>
      </c>
      <c r="H42" s="17">
        <f t="shared" si="3"/>
        <v>4.0721900193509741E-2</v>
      </c>
      <c r="I42" s="247"/>
      <c r="J42" s="5"/>
      <c r="K42" s="5"/>
      <c r="L42" s="5"/>
      <c r="M42" s="5"/>
      <c r="N42" s="5"/>
      <c r="O42" s="5"/>
      <c r="Q42" s="5"/>
      <c r="R42" s="5"/>
      <c r="S42" s="42"/>
      <c r="T42" s="42"/>
      <c r="U42" s="42"/>
      <c r="V42" s="42"/>
      <c r="W42" s="288"/>
      <c r="X42" s="288"/>
      <c r="Y42" s="288"/>
      <c r="Z42" s="288"/>
      <c r="AA42" s="42"/>
    </row>
    <row r="43" spans="2:42">
      <c r="B43" s="5" t="s">
        <v>470</v>
      </c>
      <c r="C43" s="247"/>
      <c r="D43" s="64">
        <f>L26/D29</f>
        <v>44.913387794396655</v>
      </c>
      <c r="E43" s="64">
        <f>M26/E29</f>
        <v>29.995057672440403</v>
      </c>
      <c r="F43" s="64">
        <f>N26/F29</f>
        <v>25.064246666873888</v>
      </c>
      <c r="G43" s="64">
        <f>O26/G29</f>
        <v>21.218892573865638</v>
      </c>
      <c r="H43" s="17">
        <f t="shared" si="3"/>
        <v>0.28395863860305148</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29.727847806043954</v>
      </c>
      <c r="E44" s="64">
        <f>E11/E30</f>
        <v>27.159249380804312</v>
      </c>
      <c r="F44" s="64">
        <f>F11/F30</f>
        <v>19.560820863413703</v>
      </c>
      <c r="G44" s="64">
        <f>G11/G30</f>
        <v>16.324783869234651</v>
      </c>
      <c r="H44" s="17">
        <f t="shared" si="3"/>
        <v>0.22067184815723828</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1.8067342047517077E-2</v>
      </c>
      <c r="E45" s="248">
        <f>E31/E11</f>
        <v>2.1685197442238385E-2</v>
      </c>
      <c r="F45" s="248">
        <f>F31/F11</f>
        <v>2.716595241137466E-2</v>
      </c>
      <c r="G45" s="248">
        <f>G31/G11</f>
        <v>2.9076456344932108E-2</v>
      </c>
      <c r="H45" s="17">
        <f t="shared" si="3"/>
        <v>0.17141106606848178</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1.9060999328690584E-2</v>
      </c>
      <c r="E46" s="248">
        <f>(E31+E32)/E11</f>
        <v>1.6448875575029897E-2</v>
      </c>
      <c r="F46" s="248">
        <f>(F31+F32)/F11</f>
        <v>3.2525613186693281E-2</v>
      </c>
      <c r="G46" s="248">
        <f>(G31+G32)/G11</f>
        <v>2.8728545035796364E-2</v>
      </c>
      <c r="H46" s="279">
        <f>((G31+G32)/(D31+D32))^(1/3)-1</f>
        <v>0.14608344960699671</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2.226507616343203E-2</v>
      </c>
      <c r="E47" s="248">
        <f>1/E43</f>
        <v>3.3338825713237569E-2</v>
      </c>
      <c r="F47" s="248">
        <f>1/F43</f>
        <v>3.9897468824452963E-2</v>
      </c>
      <c r="G47" s="248">
        <f>1/G43</f>
        <v>4.712781293928861E-2</v>
      </c>
      <c r="H47" s="17">
        <f>H29</f>
        <v>0.28395863860305148</v>
      </c>
      <c r="I47" s="247"/>
      <c r="J47" s="248"/>
      <c r="K47" s="248"/>
      <c r="L47" s="248"/>
      <c r="M47" s="248"/>
      <c r="N47" s="248"/>
      <c r="O47" s="248"/>
      <c r="Q47" s="5"/>
      <c r="R47" s="5"/>
      <c r="S47" s="5"/>
      <c r="T47" s="5"/>
      <c r="U47" s="5"/>
      <c r="AA47" s="303"/>
      <c r="AB47" s="303"/>
    </row>
    <row r="48" spans="2:42">
      <c r="B48" s="5" t="s">
        <v>613</v>
      </c>
      <c r="C48" s="5"/>
      <c r="D48" s="305">
        <f>D31/D29</f>
        <v>0.86093645070473657</v>
      </c>
      <c r="E48" s="305">
        <f>E31/E29</f>
        <v>0.6892786925982729</v>
      </c>
      <c r="F48" s="305">
        <f>F31/F29</f>
        <v>0.72154157991457057</v>
      </c>
      <c r="G48" s="305">
        <f>G31/G29</f>
        <v>0.65380157418816365</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63">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332</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545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EM'!D37</f>
        <v>1.7568504876692785</v>
      </c>
      <c r="M9" s="64">
        <f>'AGG EM'!E37</f>
        <v>1.6557505993722963</v>
      </c>
      <c r="N9" s="64">
        <f>'AGG EM'!F37</f>
        <v>1.4867932994499977</v>
      </c>
      <c r="O9" s="64">
        <f>'AGG EM'!G37</f>
        <v>1.3237610851186894</v>
      </c>
      <c r="P9" s="17">
        <f>'AGG EM'!H37</f>
        <v>4.2237881472639405E-2</v>
      </c>
    </row>
    <row r="10" spans="2:63">
      <c r="B10" s="5" t="s">
        <v>269</v>
      </c>
      <c r="C10" s="5"/>
      <c r="D10" s="332"/>
      <c r="E10" s="332"/>
      <c r="F10" s="332"/>
      <c r="G10" s="332"/>
      <c r="H10" s="247"/>
      <c r="I10" s="247"/>
      <c r="J10" s="5" t="s">
        <v>180</v>
      </c>
      <c r="L10" s="64">
        <f>'AGG EM'!D38</f>
        <v>5.1440316657520277</v>
      </c>
      <c r="M10" s="64">
        <f>'AGG EM'!E38</f>
        <v>4.8353866940625734</v>
      </c>
      <c r="N10" s="64">
        <f>'AGG EM'!F38</f>
        <v>4.3122989607565385</v>
      </c>
      <c r="O10" s="64">
        <f>'AGG EM'!G38</f>
        <v>3.8049801727031363</v>
      </c>
      <c r="P10" s="17">
        <f>'AGG EM'!H38</f>
        <v>4.8678106743502703E-2</v>
      </c>
      <c r="W10" s="10"/>
      <c r="X10" s="10"/>
      <c r="Y10" s="10"/>
      <c r="Z10" s="10"/>
    </row>
    <row r="11" spans="2:63">
      <c r="B11" s="41" t="s">
        <v>518</v>
      </c>
      <c r="C11" s="5"/>
      <c r="D11" s="271">
        <f>'EMEA INCUMB'!D11+'EMEA CELLULAR'!D11</f>
        <v>97598.686513087639</v>
      </c>
      <c r="E11" s="271">
        <f>'EMEA INCUMB'!E11+'EMEA CELLULAR'!E11</f>
        <v>97482.986290010202</v>
      </c>
      <c r="F11" s="271">
        <f>'EMEA INCUMB'!F11+'EMEA CELLULAR'!F11</f>
        <v>97482.986290010202</v>
      </c>
      <c r="G11" s="271">
        <f>'EMEA INCUMB'!G11+'EMEA CELLULAR'!G11</f>
        <v>97482.986290010202</v>
      </c>
      <c r="H11" s="249"/>
      <c r="I11" s="249"/>
      <c r="J11" s="5" t="s">
        <v>181</v>
      </c>
      <c r="L11" s="64">
        <f>'AGG EM'!D39</f>
        <v>10.995479606644533</v>
      </c>
      <c r="M11" s="64">
        <f>'AGG EM'!E39</f>
        <v>9.5892649604733364</v>
      </c>
      <c r="N11" s="64">
        <f>'AGG EM'!F39</f>
        <v>8.1142047815241369</v>
      </c>
      <c r="O11" s="64">
        <f>'AGG EM'!G39</f>
        <v>6.8473836589479324</v>
      </c>
      <c r="P11" s="17">
        <f>'AGG EM'!H39</f>
        <v>0.11059307549826269</v>
      </c>
      <c r="W11" s="10"/>
      <c r="X11" s="10"/>
      <c r="Y11" s="10"/>
      <c r="Z11" s="10"/>
    </row>
    <row r="12" spans="2:63">
      <c r="B12" s="5" t="s">
        <v>225</v>
      </c>
      <c r="C12" s="249"/>
      <c r="D12" s="228">
        <f>'EMEA INCUMB'!D12+'EMEA CELLULAR'!D12</f>
        <v>22126.757601700363</v>
      </c>
      <c r="E12" s="228">
        <f>'EMEA INCUMB'!E12+'EMEA CELLULAR'!E12</f>
        <v>22082.401355010712</v>
      </c>
      <c r="F12" s="228">
        <f>'EMEA INCUMB'!F12+'EMEA CELLULAR'!F12</f>
        <v>21483.771556226628</v>
      </c>
      <c r="G12" s="228">
        <f>'EMEA INCUMB'!G12+'EMEA CELLULAR'!G12</f>
        <v>20900.824477249756</v>
      </c>
      <c r="H12" s="247"/>
      <c r="I12" s="247"/>
      <c r="J12" s="5" t="s">
        <v>461</v>
      </c>
      <c r="L12" s="64">
        <f>'AGG EM'!D40</f>
        <v>14.520348963598265</v>
      </c>
      <c r="M12" s="64">
        <f>'AGG EM'!E40</f>
        <v>12.588336648928733</v>
      </c>
      <c r="N12" s="64">
        <f>'AGG EM'!F40</f>
        <v>10.782973360794294</v>
      </c>
      <c r="O12" s="64">
        <f>'AGG EM'!G40</f>
        <v>9.0993411007602809</v>
      </c>
      <c r="P12" s="17">
        <f>'AGG EM'!H40</f>
        <v>0.10827488676451624</v>
      </c>
      <c r="W12" s="10"/>
      <c r="X12" s="10"/>
      <c r="Y12" s="10"/>
      <c r="Z12" s="10"/>
    </row>
    <row r="13" spans="2:63">
      <c r="B13" s="5" t="s">
        <v>524</v>
      </c>
      <c r="C13" s="257"/>
      <c r="D13" s="228">
        <f>'EMEA INCUMB'!D13+'EMEA CELLULAR'!D13</f>
        <v>2322.469827607119</v>
      </c>
      <c r="E13" s="228">
        <f>'EMEA INCUMB'!E13+'EMEA CELLULAR'!E13</f>
        <v>2322.469827607119</v>
      </c>
      <c r="F13" s="228">
        <f>'EMEA INCUMB'!F13+'EMEA CELLULAR'!F13</f>
        <v>2322.469827607119</v>
      </c>
      <c r="G13" s="228">
        <f>'EMEA INCUMB'!G13+'EMEA CELLULAR'!G13</f>
        <v>2322.469827607119</v>
      </c>
      <c r="H13" s="247"/>
      <c r="I13" s="247"/>
      <c r="J13" s="5" t="s">
        <v>525</v>
      </c>
      <c r="L13" s="64">
        <f>'AGG EM'!D41</f>
        <v>1.3238253427535878</v>
      </c>
      <c r="M13" s="64">
        <f>'AGG EM'!E41</f>
        <v>1.3149929904097803</v>
      </c>
      <c r="N13" s="64">
        <f>'AGG EM'!F41</f>
        <v>1.2546648940766489</v>
      </c>
      <c r="O13" s="64">
        <f>'AGG EM'!G41</f>
        <v>1.1810433829047893</v>
      </c>
      <c r="P13" s="17">
        <f>'AGG EM'!H41</f>
        <v>-1.4824953823212472E-2</v>
      </c>
    </row>
    <row r="14" spans="2:63">
      <c r="B14" s="5" t="s">
        <v>527</v>
      </c>
      <c r="C14" s="274"/>
      <c r="D14" s="228">
        <f>'EMEA INCUMB'!D14+'EMEA CELLULAR'!D14</f>
        <v>4820.1655690586504</v>
      </c>
      <c r="E14" s="228">
        <f>'EMEA INCUMB'!E14+'EMEA CELLULAR'!E14</f>
        <v>4820.1655690586504</v>
      </c>
      <c r="F14" s="228">
        <f>'EMEA INCUMB'!F14+'EMEA CELLULAR'!F14</f>
        <v>4820.1655690586504</v>
      </c>
      <c r="G14" s="228">
        <f>'EMEA INCUMB'!G14+'EMEA CELLULAR'!G14</f>
        <v>4820.1655690586504</v>
      </c>
      <c r="H14" s="247"/>
      <c r="I14" s="247"/>
      <c r="J14" s="5" t="s">
        <v>588</v>
      </c>
      <c r="L14" s="64">
        <f>'AGG EM'!D42</f>
        <v>2.0711803682152934</v>
      </c>
      <c r="M14" s="64">
        <f>'AGG EM'!E42</f>
        <v>2.0248906449245871</v>
      </c>
      <c r="N14" s="64">
        <f>'AGG EM'!F42</f>
        <v>1.9071372802806041</v>
      </c>
      <c r="O14" s="64">
        <f>'AGG EM'!G42</f>
        <v>1.8113330320796608</v>
      </c>
      <c r="P14" s="17">
        <f>'AGG EM'!H42</f>
        <v>-8.2588640298681959E-3</v>
      </c>
    </row>
    <row r="15" spans="2:63">
      <c r="B15" s="5" t="s">
        <v>526</v>
      </c>
      <c r="C15" s="257"/>
      <c r="D15" s="228">
        <f>'EMEA INCUMB'!D15+'EMEA CELLULAR'!D15</f>
        <v>6137.0868798387455</v>
      </c>
      <c r="E15" s="228">
        <f>'EMEA INCUMB'!E15+'EMEA CELLULAR'!E15</f>
        <v>6137.0868798387455</v>
      </c>
      <c r="F15" s="228">
        <f>'EMEA INCUMB'!F15+'EMEA CELLULAR'!F15</f>
        <v>6137.0868798387455</v>
      </c>
      <c r="G15" s="228">
        <f>'EMEA INCUMB'!G15+'EMEA CELLULAR'!G15</f>
        <v>6137.0868798387455</v>
      </c>
      <c r="H15" s="247"/>
      <c r="I15" s="247"/>
      <c r="J15" s="5" t="s">
        <v>470</v>
      </c>
      <c r="L15" s="64">
        <f>'AGG EM'!D43</f>
        <v>19.941396485994044</v>
      </c>
      <c r="M15" s="64">
        <f>'AGG EM'!E43</f>
        <v>16.131685917921274</v>
      </c>
      <c r="N15" s="64">
        <f>'AGG EM'!F43</f>
        <v>13.571473710874955</v>
      </c>
      <c r="O15" s="64">
        <f>'AGG EM'!G43</f>
        <v>11.537221469167157</v>
      </c>
      <c r="P15" s="17">
        <f>'AGG EM'!H43</f>
        <v>0.19756422158027021</v>
      </c>
      <c r="S15" s="88"/>
      <c r="T15" s="88"/>
      <c r="U15" s="88"/>
      <c r="V15" s="42"/>
      <c r="W15" s="42"/>
      <c r="X15" s="42"/>
      <c r="Y15" s="42"/>
      <c r="Z15" s="42"/>
      <c r="AA15" s="42"/>
    </row>
    <row r="16" spans="2:63">
      <c r="B16" s="5" t="s">
        <v>529</v>
      </c>
      <c r="C16" s="257"/>
      <c r="D16" s="228">
        <f>'EMEA INCUMB'!D16+'EMEA CELLULAR'!D16</f>
        <v>2616.876495960656</v>
      </c>
      <c r="E16" s="228">
        <f>'EMEA INCUMB'!E16+'EMEA CELLULAR'!E16</f>
        <v>3707.3669090305434</v>
      </c>
      <c r="F16" s="228">
        <f>'EMEA INCUMB'!F16+'EMEA CELLULAR'!F16</f>
        <v>6424.4702587818429</v>
      </c>
      <c r="G16" s="228">
        <f>'EMEA INCUMB'!G16+'EMEA CELLULAR'!G16</f>
        <v>9784.811052372228</v>
      </c>
      <c r="H16" s="247"/>
      <c r="I16" s="247"/>
      <c r="J16" s="5" t="s">
        <v>528</v>
      </c>
      <c r="L16" s="64">
        <f>'AGG EM'!D44</f>
        <v>18.269093770217651</v>
      </c>
      <c r="M16" s="64">
        <f>'AGG EM'!E44</f>
        <v>15.568805131794383</v>
      </c>
      <c r="N16" s="64">
        <f>'AGG EM'!F44</f>
        <v>13.199234812647555</v>
      </c>
      <c r="O16" s="64">
        <f>'AGG EM'!G44</f>
        <v>11.401551775928532</v>
      </c>
      <c r="P16" s="17">
        <f>'AGG EM'!H44</f>
        <v>0.16848189780945066</v>
      </c>
      <c r="S16" s="88"/>
      <c r="T16" s="88"/>
      <c r="U16" s="88"/>
      <c r="V16" s="42"/>
      <c r="W16" s="42"/>
      <c r="X16" s="42"/>
      <c r="Y16" s="42"/>
      <c r="Z16" s="42"/>
      <c r="AA16" s="42"/>
    </row>
    <row r="17" spans="2:27">
      <c r="B17" s="5" t="s">
        <v>6</v>
      </c>
      <c r="C17" s="257"/>
      <c r="D17" s="228">
        <f>'EMEA INCUMB'!D17+'EMEA CELLULAR'!D17</f>
        <v>0</v>
      </c>
      <c r="E17" s="228">
        <f>'EMEA INCUMB'!E17+'EMEA CELLULAR'!E17</f>
        <v>0</v>
      </c>
      <c r="F17" s="228">
        <f>'EMEA INCUMB'!F17+'EMEA CELLULAR'!F17</f>
        <v>0</v>
      </c>
      <c r="G17" s="228">
        <f>'EMEA INCUMB'!G17+'EMEA CELLULAR'!G17</f>
        <v>0</v>
      </c>
      <c r="H17" s="247"/>
      <c r="I17" s="247"/>
      <c r="J17" s="5" t="s">
        <v>575</v>
      </c>
      <c r="L17" s="248">
        <f>'AGG EM'!D45</f>
        <v>3.9575725452429565E-2</v>
      </c>
      <c r="M17" s="248">
        <f>'AGG EM'!E45</f>
        <v>4.4599307126826686E-2</v>
      </c>
      <c r="N17" s="248">
        <f>'AGG EM'!F45</f>
        <v>5.062338744034766E-2</v>
      </c>
      <c r="O17" s="248">
        <f>'AGG EM'!G45</f>
        <v>5.8280255420076719E-2</v>
      </c>
      <c r="P17" s="17">
        <f>'AGG EM'!H45</f>
        <v>0.13606146505400307</v>
      </c>
      <c r="S17" s="88"/>
      <c r="T17" s="88"/>
      <c r="U17" s="88"/>
      <c r="V17" s="42"/>
      <c r="W17" s="42"/>
      <c r="X17" s="42"/>
      <c r="Y17" s="42"/>
      <c r="Z17" s="42"/>
      <c r="AA17" s="42"/>
    </row>
    <row r="18" spans="2:27" ht="12.6" thickBot="1">
      <c r="B18" s="41" t="s">
        <v>88</v>
      </c>
      <c r="C18" s="249"/>
      <c r="D18" s="275">
        <f>'EMEA INCUMB'!D18+'EMEA CELLULAR'!D18</f>
        <v>120747.95875721455</v>
      </c>
      <c r="E18" s="275">
        <f>'EMEA INCUMB'!E18+'EMEA CELLULAR'!E18</f>
        <v>119497.41187437759</v>
      </c>
      <c r="F18" s="275">
        <f>'EMEA INCUMB'!F18+'EMEA CELLULAR'!F18</f>
        <v>116181.67872584223</v>
      </c>
      <c r="G18" s="275">
        <f>'EMEA INCUMB'!G18+'EMEA CELLULAR'!G18</f>
        <v>112238.39085327498</v>
      </c>
      <c r="H18" s="276">
        <f>IF(D18=0,"nm",IF(G18=0,"nm",(G18/D18)^(1/3)-1))</f>
        <v>-2.4065783745059743E-2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'AGG EM'!D47</f>
        <v>5.0146939343107481E-2</v>
      </c>
      <c r="M19" s="248">
        <f>'AGG EM'!E47</f>
        <v>6.1989801009519022E-2</v>
      </c>
      <c r="N19" s="248">
        <f>'AGG EM'!F47</f>
        <v>7.3683965448696279E-2</v>
      </c>
      <c r="O19" s="248">
        <f>'AGG EM'!G47</f>
        <v>8.6675981966062354E-2</v>
      </c>
      <c r="P19" s="17">
        <f>'AGG EM'!H47</f>
        <v>0.19756422158027021</v>
      </c>
      <c r="S19" s="88"/>
      <c r="T19" s="88"/>
      <c r="U19" s="88"/>
      <c r="V19" s="42"/>
      <c r="W19" s="42"/>
      <c r="X19" s="42"/>
      <c r="Y19" s="42"/>
      <c r="Z19" s="42"/>
      <c r="AA19" s="42"/>
    </row>
    <row r="20" spans="2:27">
      <c r="H20" s="277"/>
      <c r="I20" s="49"/>
      <c r="J20" s="5" t="s">
        <v>599</v>
      </c>
      <c r="L20" s="248">
        <f>'AGG EM'!D48</f>
        <v>0.7811093796944828</v>
      </c>
      <c r="M20" s="248">
        <f>'AGG EM'!E48</f>
        <v>0.71190259032608272</v>
      </c>
      <c r="N20" s="248">
        <f>'AGG EM'!F48</f>
        <v>0.68014626513904075</v>
      </c>
      <c r="O20" s="248">
        <f>'AGG EM'!G48</f>
        <v>0.66683886253088454</v>
      </c>
      <c r="P20" s="17" t="str">
        <f>'AGG EM'!H48</f>
        <v>nm</v>
      </c>
      <c r="S20" s="42"/>
      <c r="T20" s="42"/>
      <c r="U20" s="42"/>
      <c r="V20" s="42"/>
      <c r="W20" s="42"/>
      <c r="X20" s="42"/>
      <c r="Y20" s="42"/>
      <c r="Z20" s="42"/>
      <c r="AA20" s="42"/>
    </row>
    <row r="21" spans="2:27" ht="12.6" thickBot="1">
      <c r="B21" s="306" t="s">
        <v>303</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'EMEA INCUMB'!C23+'EMEA CELLULAR'!C23</f>
        <v>37769.71121469036</v>
      </c>
      <c r="D23" s="228">
        <f>'EMEA INCUMB'!D23+'EMEA CELLULAR'!D23</f>
        <v>40357.351523340774</v>
      </c>
      <c r="E23" s="228">
        <f>'EMEA INCUMB'!E23+'EMEA CELLULAR'!E23</f>
        <v>39471.325015839342</v>
      </c>
      <c r="F23" s="228">
        <f>'EMEA INCUMB'!F23+'EMEA CELLULAR'!F23</f>
        <v>42689.681046305355</v>
      </c>
      <c r="G23" s="228">
        <f>'EMEA INCUMB'!G23+'EMEA CELLULAR'!G23</f>
        <v>46135.843073925949</v>
      </c>
      <c r="H23" s="279">
        <f t="shared" ref="H23:H33" si="0">IF(D23=0,"nm",IF(G23=0,"nm",(G23/D23)^(1/3)-1))</f>
        <v>4.5615312204706271E-2</v>
      </c>
      <c r="I23" s="249"/>
      <c r="J23" s="306" t="s">
        <v>9</v>
      </c>
      <c r="K23" s="306"/>
      <c r="L23" s="265" t="str">
        <f>L5</f>
        <v>2023E</v>
      </c>
      <c r="M23" s="265" t="str">
        <f>M5</f>
        <v>2024E</v>
      </c>
      <c r="N23" s="265" t="str">
        <f>N5</f>
        <v>2025E</v>
      </c>
      <c r="O23" s="265" t="str">
        <f>O5</f>
        <v>2026E</v>
      </c>
      <c r="P23" s="282" t="str">
        <f>P5</f>
        <v>23E-26E</v>
      </c>
      <c r="S23" s="42"/>
      <c r="T23" s="42"/>
      <c r="U23" s="42"/>
      <c r="V23" s="42"/>
      <c r="W23" s="42" t="s">
        <v>356</v>
      </c>
      <c r="X23" s="42" t="s">
        <v>26</v>
      </c>
      <c r="Y23" s="42"/>
      <c r="Z23" s="42"/>
      <c r="AA23" s="42"/>
    </row>
    <row r="24" spans="2:27" ht="12.6" thickTop="1">
      <c r="B24" s="5" t="s">
        <v>478</v>
      </c>
      <c r="C24" s="365">
        <f>'EMEA INCUMB'!C24+'EMEA CELLULAR'!C24</f>
        <v>15708.690154035819</v>
      </c>
      <c r="D24" s="228">
        <f>'EMEA INCUMB'!D24+'EMEA CELLULAR'!D24</f>
        <v>16158.59018853735</v>
      </c>
      <c r="E24" s="228">
        <f>'EMEA INCUMB'!E24+'EMEA CELLULAR'!E24</f>
        <v>15374.992830126208</v>
      </c>
      <c r="F24" s="228">
        <f>'EMEA INCUMB'!F24+'EMEA CELLULAR'!F24</f>
        <v>16883.340303703011</v>
      </c>
      <c r="G24" s="228">
        <f>'EMEA INCUMB'!G24+'EMEA CELLULAR'!G24</f>
        <v>18432.933786740945</v>
      </c>
      <c r="H24" s="279">
        <f t="shared" si="0"/>
        <v>4.4873381424675785E-2</v>
      </c>
      <c r="I24" s="248"/>
      <c r="J24" s="17"/>
      <c r="K24" s="17"/>
      <c r="L24" s="17"/>
      <c r="M24" s="17"/>
      <c r="N24" s="17"/>
      <c r="O24" s="248"/>
      <c r="S24" s="42"/>
      <c r="T24" s="42"/>
      <c r="U24" s="42"/>
      <c r="V24" s="147" t="s">
        <v>268</v>
      </c>
      <c r="W24" s="288">
        <f t="shared" ref="W24:W31" si="1">E37/M9</f>
        <v>1.8284448804879543</v>
      </c>
      <c r="X24" s="288">
        <v>1</v>
      </c>
      <c r="Y24" s="42"/>
      <c r="Z24" s="42"/>
      <c r="AA24" s="42"/>
    </row>
    <row r="25" spans="2:27">
      <c r="B25" s="5" t="s">
        <v>179</v>
      </c>
      <c r="C25" s="365">
        <f>'EMEA INCUMB'!C25+'EMEA CELLULAR'!C25</f>
        <v>8049.0746399866066</v>
      </c>
      <c r="D25" s="228">
        <f>'EMEA INCUMB'!D25+'EMEA CELLULAR'!D25</f>
        <v>7999.0177172687909</v>
      </c>
      <c r="E25" s="228">
        <f>'EMEA INCUMB'!E25+'EMEA CELLULAR'!E25</f>
        <v>8316.646403412622</v>
      </c>
      <c r="F25" s="228">
        <f>'EMEA INCUMB'!F25+'EMEA CELLULAR'!F25</f>
        <v>9585.1075493046137</v>
      </c>
      <c r="G25" s="228">
        <f>'EMEA INCUMB'!G25+'EMEA CELLULAR'!G25</f>
        <v>10736.554855001314</v>
      </c>
      <c r="H25" s="279">
        <f t="shared" si="0"/>
        <v>0.10308614435668972</v>
      </c>
      <c r="I25" s="249"/>
      <c r="J25" s="247" t="s">
        <v>10</v>
      </c>
      <c r="K25" s="247"/>
      <c r="L25" s="332">
        <f>'EMEA INCUMB'!L25+'EMEA CELLULAR'!L25</f>
        <v>0</v>
      </c>
      <c r="M25" s="332">
        <f>'EMEA INCUMB'!M25+'EMEA CELLULAR'!M25</f>
        <v>0</v>
      </c>
      <c r="N25" s="332">
        <f>'EMEA INCUMB'!N25+'EMEA CELLULAR'!N25</f>
        <v>0</v>
      </c>
      <c r="O25" s="332">
        <f>'EMEA INCUMB'!O25+'EMEA CELLULAR'!O25</f>
        <v>0</v>
      </c>
      <c r="P25" s="279" t="str">
        <f>IF(L25=0,"nm",IF(O25=0,"nm",(O25/L25)^(1/3)-1))</f>
        <v>nm</v>
      </c>
      <c r="Q25" s="5"/>
      <c r="S25" s="42"/>
      <c r="T25" s="42"/>
      <c r="U25" s="42"/>
      <c r="V25" s="147" t="s">
        <v>180</v>
      </c>
      <c r="W25" s="288">
        <f t="shared" si="1"/>
        <v>1.6073570753253406</v>
      </c>
      <c r="X25" s="288">
        <v>1</v>
      </c>
      <c r="Y25" s="42"/>
      <c r="Z25" s="42"/>
      <c r="AA25" s="42"/>
    </row>
    <row r="26" spans="2:27">
      <c r="B26" s="5" t="s">
        <v>581</v>
      </c>
      <c r="C26" s="365">
        <f>'EMEA INCUMB'!C26+'EMEA CELLULAR'!C26</f>
        <v>5752.82743754275</v>
      </c>
      <c r="D26" s="228">
        <f>'EMEA INCUMB'!D26+'EMEA CELLULAR'!D26</f>
        <v>6231.2443584911452</v>
      </c>
      <c r="E26" s="228">
        <f>'EMEA INCUMB'!E26+'EMEA CELLULAR'!E26</f>
        <v>6508.8257214762434</v>
      </c>
      <c r="F26" s="228">
        <f>'EMEA INCUMB'!F26+'EMEA CELLULAR'!F26</f>
        <v>6634.6776995948658</v>
      </c>
      <c r="G26" s="228">
        <f>'EMEA INCUMB'!G26+'EMEA CELLULAR'!G26</f>
        <v>7401.2248580540909</v>
      </c>
      <c r="H26" s="279">
        <f t="shared" si="0"/>
        <v>5.9033273823953181E-2</v>
      </c>
      <c r="I26" s="249"/>
      <c r="J26" s="249" t="s">
        <v>11</v>
      </c>
      <c r="K26" s="249"/>
      <c r="L26" s="281">
        <f>'EMEA INCUMB'!L26+'EMEA CELLULAR'!L26</f>
        <v>92034.692452017989</v>
      </c>
      <c r="M26" s="281">
        <f>'EMEA INCUMB'!M26+'EMEA CELLULAR'!M26</f>
        <v>92034.692452017989</v>
      </c>
      <c r="N26" s="281">
        <f>'EMEA INCUMB'!N26+'EMEA CELLULAR'!N26</f>
        <v>92034.692452017989</v>
      </c>
      <c r="O26" s="281">
        <f>'EMEA INCUMB'!O26+'EMEA CELLULAR'!O26</f>
        <v>92034.692452017989</v>
      </c>
      <c r="P26" s="279">
        <f>IF(L26=0,"nm",IF(O26=0,"nm",(O26/L26)^(1/3)-1))</f>
        <v>0</v>
      </c>
      <c r="Q26" s="41"/>
      <c r="S26" s="42"/>
      <c r="T26" s="42"/>
      <c r="U26" s="42"/>
      <c r="V26" s="147" t="s">
        <v>181</v>
      </c>
      <c r="W26" s="288">
        <f t="shared" si="1"/>
        <v>1.498390267130677</v>
      </c>
      <c r="X26" s="288">
        <v>1</v>
      </c>
      <c r="Y26" s="42"/>
      <c r="Z26" s="42"/>
      <c r="AA26" s="42"/>
    </row>
    <row r="27" spans="2:27">
      <c r="B27" s="5" t="s">
        <v>582</v>
      </c>
      <c r="C27" s="365">
        <f>'EMEA INCUMB'!C27+'EMEA CELLULAR'!C27</f>
        <v>42885.266741145657</v>
      </c>
      <c r="D27" s="228">
        <f>'EMEA INCUMB'!D27+'EMEA CELLULAR'!D27</f>
        <v>43538.463112757192</v>
      </c>
      <c r="E27" s="228">
        <f>'EMEA INCUMB'!E27+'EMEA CELLULAR'!E27</f>
        <v>42699.700339026895</v>
      </c>
      <c r="F27" s="228">
        <f>'EMEA INCUMB'!F27+'EMEA CELLULAR'!F27</f>
        <v>43343.290502317061</v>
      </c>
      <c r="G27" s="228">
        <f>'EMEA INCUMB'!G27+'EMEA CELLULAR'!G27</f>
        <v>44364.270451194381</v>
      </c>
      <c r="H27" s="279">
        <f t="shared" si="0"/>
        <v>6.2828779974728466E-3</v>
      </c>
      <c r="I27" s="248"/>
      <c r="J27" s="248"/>
      <c r="K27" s="248"/>
      <c r="L27" s="248"/>
      <c r="M27" s="248"/>
      <c r="N27" s="248"/>
      <c r="O27" s="248"/>
      <c r="Q27" s="5"/>
      <c r="S27" s="42"/>
      <c r="T27" s="42"/>
      <c r="U27" s="42"/>
      <c r="V27" s="147" t="s">
        <v>461</v>
      </c>
      <c r="W27" s="288">
        <f t="shared" si="1"/>
        <v>1.458436441629928</v>
      </c>
      <c r="X27" s="288">
        <v>1</v>
      </c>
      <c r="Y27" s="42"/>
      <c r="Z27" s="42"/>
      <c r="AA27" s="42"/>
    </row>
    <row r="28" spans="2:27" ht="12.6" thickBot="1">
      <c r="B28" s="5" t="s">
        <v>587</v>
      </c>
      <c r="C28" s="365">
        <f>'EMEA INCUMB'!C28+'EMEA CELLULAR'!C28</f>
        <v>27557.589732429151</v>
      </c>
      <c r="D28" s="228">
        <f>'EMEA INCUMB'!D28+'EMEA CELLULAR'!D28</f>
        <v>27813.273015840296</v>
      </c>
      <c r="E28" s="228">
        <f>'EMEA INCUMB'!E28+'EMEA CELLULAR'!E28</f>
        <v>29665.605186250723</v>
      </c>
      <c r="F28" s="228">
        <f>'EMEA INCUMB'!F28+'EMEA CELLULAR'!F28</f>
        <v>30228.124937322711</v>
      </c>
      <c r="G28" s="228">
        <f>'EMEA INCUMB'!G28+'EMEA CELLULAR'!G28</f>
        <v>31146.108990982142</v>
      </c>
      <c r="H28" s="279">
        <f t="shared" si="0"/>
        <v>3.8445957538745912E-2</v>
      </c>
      <c r="I28" s="252"/>
      <c r="J28" s="306" t="s">
        <v>747</v>
      </c>
      <c r="K28" s="306"/>
      <c r="L28" s="306"/>
      <c r="M28" s="306"/>
      <c r="N28" s="266"/>
      <c r="O28" s="266"/>
      <c r="P28" s="266"/>
      <c r="Q28" s="5"/>
      <c r="S28" s="42"/>
      <c r="T28" s="42"/>
      <c r="U28" s="42"/>
      <c r="V28" s="147" t="s">
        <v>525</v>
      </c>
      <c r="W28" s="288">
        <f t="shared" si="1"/>
        <v>2.1281891965165873</v>
      </c>
      <c r="X28" s="288">
        <v>1</v>
      </c>
      <c r="Y28" s="42"/>
      <c r="Z28" s="42"/>
      <c r="AA28" s="42"/>
    </row>
    <row r="29" spans="2:27" ht="12.6" thickTop="1">
      <c r="B29" s="5" t="s">
        <v>583</v>
      </c>
      <c r="C29" s="365">
        <f>'EMEA INCUMB'!C29+'EMEA CELLULAR'!C29</f>
        <v>2146.9728064687897</v>
      </c>
      <c r="D29" s="228">
        <f>'EMEA INCUMB'!D29+'EMEA CELLULAR'!D29</f>
        <v>2198.745658723748</v>
      </c>
      <c r="E29" s="228">
        <f>'EMEA INCUMB'!E29+'EMEA CELLULAR'!E29</f>
        <v>3210.1277952054152</v>
      </c>
      <c r="F29" s="228">
        <f>'EMEA INCUMB'!F29+'EMEA CELLULAR'!F29</f>
        <v>3807.5139435471906</v>
      </c>
      <c r="G29" s="228">
        <f>'EMEA INCUMB'!G29+'EMEA CELLULAR'!G29</f>
        <v>4470.8774894489379</v>
      </c>
      <c r="H29" s="279">
        <f t="shared" si="0"/>
        <v>0.26689102117716113</v>
      </c>
      <c r="I29" s="254"/>
      <c r="J29" s="249"/>
      <c r="K29" s="249"/>
      <c r="L29" s="249"/>
      <c r="M29" s="249"/>
      <c r="N29" s="249"/>
      <c r="O29" s="251"/>
      <c r="Q29" s="5"/>
      <c r="S29" s="42"/>
      <c r="T29" s="42"/>
      <c r="U29" s="42"/>
      <c r="V29" s="147" t="s">
        <v>588</v>
      </c>
      <c r="W29" s="288">
        <f t="shared" si="1"/>
        <v>1.9893157122340581</v>
      </c>
      <c r="X29" s="288">
        <v>1</v>
      </c>
      <c r="Y29" s="42"/>
      <c r="Z29" s="42"/>
      <c r="AA29" s="42"/>
    </row>
    <row r="30" spans="2:27">
      <c r="B30" s="5" t="s">
        <v>584</v>
      </c>
      <c r="C30" s="365">
        <f>'EMEA INCUMB'!C30+'EMEA CELLULAR'!C30</f>
        <v>4459.6098712578632</v>
      </c>
      <c r="D30" s="228">
        <f>'EMEA INCUMB'!D30+'EMEA CELLULAR'!D30</f>
        <v>3468.2898309985526</v>
      </c>
      <c r="E30" s="228">
        <f>'EMEA INCUMB'!E30+'EMEA CELLULAR'!E30</f>
        <v>3764.1326400791381</v>
      </c>
      <c r="F30" s="228">
        <f>'EMEA INCUMB'!F30+'EMEA CELLULAR'!F30</f>
        <v>5149.1473445055053</v>
      </c>
      <c r="G30" s="228">
        <f>'EMEA INCUMB'!G30+'EMEA CELLULAR'!G30</f>
        <v>6133.5324997046255</v>
      </c>
      <c r="H30" s="279">
        <f t="shared" si="0"/>
        <v>0.20929362313270228</v>
      </c>
      <c r="I30" s="254"/>
      <c r="J30" s="248"/>
      <c r="K30" s="248"/>
      <c r="L30" s="248"/>
      <c r="M30" s="248"/>
      <c r="N30" s="248"/>
      <c r="O30" s="5"/>
      <c r="Q30" s="5"/>
      <c r="S30" s="42"/>
      <c r="T30" s="42"/>
      <c r="U30" s="42"/>
      <c r="V30" s="147" t="s">
        <v>470</v>
      </c>
      <c r="W30" s="288">
        <f t="shared" si="1"/>
        <v>1.7772539397322662</v>
      </c>
      <c r="X30" s="288">
        <v>1</v>
      </c>
      <c r="Y30" s="42"/>
      <c r="Z30" s="42"/>
      <c r="AA30" s="42"/>
    </row>
    <row r="31" spans="2:27">
      <c r="B31" s="5" t="s">
        <v>585</v>
      </c>
      <c r="C31" s="365">
        <f>'EMEA INCUMB'!C31+'EMEA CELLULAR'!C31</f>
        <v>2030.3109176938553</v>
      </c>
      <c r="D31" s="228">
        <f>'EMEA INCUMB'!D31+'EMEA CELLULAR'!D31</f>
        <v>1871.2848681793955</v>
      </c>
      <c r="E31" s="228">
        <f>'EMEA INCUMB'!E31+'EMEA CELLULAR'!E31</f>
        <v>2219.6249124905157</v>
      </c>
      <c r="F31" s="228">
        <f>'EMEA INCUMB'!F31+'EMEA CELLULAR'!F31</f>
        <v>2748.818657724597</v>
      </c>
      <c r="G31" s="228">
        <f>'EMEA INCUMB'!G31+'EMEA CELLULAR'!G31</f>
        <v>2934.461904676632</v>
      </c>
      <c r="H31" s="279">
        <f t="shared" si="0"/>
        <v>0.16179505427307861</v>
      </c>
      <c r="I31" s="254"/>
      <c r="J31" s="252"/>
      <c r="K31" s="252"/>
      <c r="L31" s="252"/>
      <c r="M31" s="252"/>
      <c r="N31" s="252"/>
      <c r="O31" s="5"/>
      <c r="Q31" s="5"/>
      <c r="S31" s="42"/>
      <c r="T31" s="42"/>
      <c r="U31" s="42"/>
      <c r="V31" s="147" t="s">
        <v>528</v>
      </c>
      <c r="W31" s="288">
        <f t="shared" si="1"/>
        <v>1.663445679752128</v>
      </c>
      <c r="X31" s="288">
        <v>1</v>
      </c>
      <c r="Y31" s="42"/>
      <c r="Z31" s="42"/>
      <c r="AA31" s="42"/>
    </row>
    <row r="32" spans="2:27">
      <c r="B32" s="5" t="s">
        <v>601</v>
      </c>
      <c r="C32" s="365">
        <f>'EMEA INCUMB'!C32+'EMEA CELLULAR'!C32</f>
        <v>428.54827564336284</v>
      </c>
      <c r="D32" s="228">
        <f>'EMEA INCUMB'!D32+'EMEA CELLULAR'!D32</f>
        <v>96.21537246893142</v>
      </c>
      <c r="E32" s="228">
        <f>'EMEA INCUMB'!E32+'EMEA CELLULAR'!E32</f>
        <v>-506.42476781722974</v>
      </c>
      <c r="F32" s="228">
        <f>'EMEA INCUMB'!F32+'EMEA CELLULAR'!F32</f>
        <v>518.35334659571549</v>
      </c>
      <c r="G32" s="228">
        <f>'EMEA INCUMB'!G32+'EMEA CELLULAR'!G32</f>
        <v>-33.647836863012813</v>
      </c>
      <c r="H32" s="279">
        <f t="shared" si="0"/>
        <v>-1.7045376851021725</v>
      </c>
      <c r="I32" s="5"/>
      <c r="J32" s="254"/>
      <c r="K32" s="254"/>
      <c r="L32" s="254"/>
      <c r="M32" s="254"/>
      <c r="N32" s="254"/>
      <c r="O32" s="251"/>
      <c r="Q32" s="5"/>
      <c r="S32" s="42"/>
      <c r="T32" s="42"/>
      <c r="U32" s="42"/>
      <c r="V32" s="147" t="s">
        <v>575</v>
      </c>
      <c r="W32" s="288">
        <f>M17/E45</f>
        <v>1.958742497762886</v>
      </c>
      <c r="X32" s="288">
        <v>1</v>
      </c>
      <c r="Y32" s="42"/>
      <c r="Z32" s="42"/>
      <c r="AA32" s="42"/>
    </row>
    <row r="33" spans="2:42">
      <c r="B33" s="5" t="s">
        <v>5</v>
      </c>
      <c r="C33" s="365">
        <f>'EMEA INCUMB'!C33+'EMEA CELLULAR'!C33</f>
        <v>-2451.3337040019378</v>
      </c>
      <c r="D33" s="228">
        <f>'EMEA INCUMB'!D33+'EMEA CELLULAR'!D33</f>
        <v>-3671.4921386295832</v>
      </c>
      <c r="E33" s="228">
        <f>'EMEA INCUMB'!E33+'EMEA CELLULAR'!E33</f>
        <v>-2665.2270156286945</v>
      </c>
      <c r="F33" s="228">
        <f>'EMEA INCUMB'!F33+'EMEA CELLULAR'!F33</f>
        <v>-2187.4536718235418</v>
      </c>
      <c r="G33" s="228">
        <f>'EMEA INCUMB'!G33+'EMEA CELLULAR'!G33</f>
        <v>-2053.1405074400941</v>
      </c>
      <c r="H33" s="279">
        <f t="shared" si="0"/>
        <v>-0.17612999874710933</v>
      </c>
      <c r="I33" s="49"/>
      <c r="J33" s="254"/>
      <c r="K33" s="254"/>
      <c r="L33" s="254"/>
      <c r="M33" s="254"/>
      <c r="N33" s="254"/>
      <c r="O33" s="251"/>
      <c r="Q33" s="5"/>
      <c r="S33" s="42"/>
      <c r="T33" s="42"/>
      <c r="U33" s="42"/>
      <c r="V33" s="147" t="s">
        <v>576</v>
      </c>
      <c r="W33" s="288">
        <f>M19/E47</f>
        <v>1.7772539397322664</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27</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2.9919693488156591</v>
      </c>
      <c r="E37" s="553">
        <f t="shared" si="2"/>
        <v>3.027448706787137</v>
      </c>
      <c r="F37" s="553">
        <f t="shared" si="2"/>
        <v>2.7215400977069928</v>
      </c>
      <c r="G37" s="553">
        <f t="shared" si="2"/>
        <v>2.4327807486562962</v>
      </c>
      <c r="H37" s="17">
        <f t="shared" ref="H37:H45" si="3">H23</f>
        <v>4.5615312204706271E-2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7.472679073380502</v>
      </c>
      <c r="E38" s="553">
        <f t="shared" si="2"/>
        <v>7.7721930146354854</v>
      </c>
      <c r="F38" s="553">
        <f t="shared" si="2"/>
        <v>6.8814391368016308</v>
      </c>
      <c r="G38" s="553">
        <f t="shared" si="2"/>
        <v>6.0890139438361972</v>
      </c>
      <c r="H38" s="17">
        <f t="shared" si="3"/>
        <v>4.4873381424675785E-2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15.095348332150351</v>
      </c>
      <c r="E39" s="553">
        <f t="shared" si="2"/>
        <v>14.368461285710483</v>
      </c>
      <c r="F39" s="553">
        <f t="shared" si="2"/>
        <v>12.121061566416232</v>
      </c>
      <c r="G39" s="553">
        <f t="shared" si="2"/>
        <v>10.453855298004832</v>
      </c>
      <c r="H39" s="17">
        <f t="shared" si="3"/>
        <v>0.10308614435668972</v>
      </c>
      <c r="I39" s="5"/>
      <c r="J39" s="5"/>
      <c r="K39" s="5"/>
      <c r="L39" s="5"/>
      <c r="M39" s="5"/>
      <c r="N39" s="5"/>
      <c r="O39" s="5"/>
      <c r="Q39" s="5"/>
      <c r="R39" s="5"/>
      <c r="S39" s="42"/>
      <c r="T39" s="42"/>
      <c r="U39" s="42"/>
      <c r="V39" s="42"/>
      <c r="W39" s="288"/>
      <c r="X39" s="288"/>
      <c r="Y39" s="42"/>
      <c r="Z39" s="42"/>
      <c r="AA39" s="42"/>
    </row>
    <row r="40" spans="2:42">
      <c r="B40" s="5" t="s">
        <v>461</v>
      </c>
      <c r="C40" s="247"/>
      <c r="D40" s="553">
        <f t="shared" si="2"/>
        <v>19.377824365477601</v>
      </c>
      <c r="E40" s="553">
        <f t="shared" si="2"/>
        <v>18.359288908303235</v>
      </c>
      <c r="F40" s="553">
        <f t="shared" si="2"/>
        <v>17.511276958176378</v>
      </c>
      <c r="G40" s="553">
        <f t="shared" si="2"/>
        <v>15.164840010385035</v>
      </c>
      <c r="H40" s="17">
        <f t="shared" si="3"/>
        <v>5.9033273823953181E-2</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2.7733629100434238</v>
      </c>
      <c r="E41" s="553">
        <f t="shared" si="2"/>
        <v>2.7985538756851351</v>
      </c>
      <c r="F41" s="553">
        <f t="shared" si="2"/>
        <v>2.6804997354695841</v>
      </c>
      <c r="G41" s="553">
        <f t="shared" si="2"/>
        <v>2.5299275681034734</v>
      </c>
      <c r="H41" s="17">
        <f t="shared" si="3"/>
        <v>6.2828779974728466E-3</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4.3413789771684126</v>
      </c>
      <c r="E42" s="553">
        <f>E18/E28</f>
        <v>4.0281467755042364</v>
      </c>
      <c r="F42" s="553">
        <f>F18/F28</f>
        <v>3.8434960476953877</v>
      </c>
      <c r="G42" s="553">
        <f>G18/G28</f>
        <v>3.6036087488736332</v>
      </c>
      <c r="H42" s="17">
        <f t="shared" si="3"/>
        <v>3.8445957538745912E-2</v>
      </c>
      <c r="I42" s="247"/>
      <c r="J42" s="5"/>
      <c r="K42" s="5"/>
      <c r="L42" s="5"/>
      <c r="M42" s="5"/>
      <c r="N42" s="5"/>
      <c r="O42" s="5"/>
      <c r="Q42" s="5"/>
      <c r="R42" s="5"/>
      <c r="S42" s="42"/>
      <c r="T42" s="42"/>
      <c r="U42" s="42"/>
      <c r="V42" s="42"/>
      <c r="W42" s="288"/>
      <c r="X42" s="288"/>
      <c r="Y42" s="288"/>
      <c r="Z42" s="288"/>
      <c r="AA42" s="42"/>
    </row>
    <row r="43" spans="2:42">
      <c r="B43" s="5" t="s">
        <v>470</v>
      </c>
      <c r="C43" s="247"/>
      <c r="D43" s="553">
        <f>L26/D29</f>
        <v>41.857816563212282</v>
      </c>
      <c r="E43" s="553">
        <f>M26/E29</f>
        <v>28.670102352149105</v>
      </c>
      <c r="F43" s="553">
        <f>N26/F29</f>
        <v>24.171859595680377</v>
      </c>
      <c r="G43" s="553">
        <f>O26/G29</f>
        <v>20.585375615685191</v>
      </c>
      <c r="H43" s="17">
        <f t="shared" si="3"/>
        <v>0.26689102117716113</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28.140291402632887</v>
      </c>
      <c r="E44" s="553">
        <f>E11/E30</f>
        <v>25.897861635386125</v>
      </c>
      <c r="F44" s="553">
        <f>F11/F30</f>
        <v>18.931869641297265</v>
      </c>
      <c r="G44" s="553">
        <f>G11/G30</f>
        <v>15.893449051538363</v>
      </c>
      <c r="H44" s="17">
        <f t="shared" si="3"/>
        <v>0.20929362313270228</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1.9173258729547171E-2</v>
      </c>
      <c r="E45" s="248">
        <f>E31/E11</f>
        <v>2.2769356961297532E-2</v>
      </c>
      <c r="F45" s="248">
        <f>F31/F11</f>
        <v>2.8197932401731199E-2</v>
      </c>
      <c r="G45" s="248">
        <f>G31/G11</f>
        <v>3.0102298014821359E-2</v>
      </c>
      <c r="H45" s="17">
        <f t="shared" si="3"/>
        <v>0.16179505427307861</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2.0159085239169608E-2</v>
      </c>
      <c r="E46" s="248">
        <f>(E31+E32)/E11</f>
        <v>1.7574350252017774E-2</v>
      </c>
      <c r="F46" s="248">
        <f>(F31+F32)/F11</f>
        <v>3.351530486151226E-2</v>
      </c>
      <c r="G46" s="248">
        <f>(G31+G32)/G11</f>
        <v>2.9757131764344472E-2</v>
      </c>
      <c r="H46" s="279">
        <f>((G31+G32)/(D31+D32))^(1/3)-1</f>
        <v>0.13815575730238483</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2.3890400458175674E-2</v>
      </c>
      <c r="E47" s="248">
        <f>1/E43</f>
        <v>3.4879540634951384E-2</v>
      </c>
      <c r="F47" s="248">
        <f>1/F43</f>
        <v>4.137042067622735E-2</v>
      </c>
      <c r="G47" s="248">
        <f>1/G43</f>
        <v>4.8578176015308755E-2</v>
      </c>
      <c r="H47" s="17">
        <f>H29</f>
        <v>0.26689102117716113</v>
      </c>
      <c r="I47" s="247"/>
      <c r="J47" s="248"/>
      <c r="K47" s="248"/>
      <c r="L47" s="248"/>
      <c r="M47" s="248"/>
      <c r="N47" s="248"/>
      <c r="O47" s="248"/>
      <c r="Q47" s="5"/>
      <c r="R47" s="5"/>
      <c r="S47" s="5"/>
      <c r="T47" s="5"/>
      <c r="U47" s="5"/>
      <c r="AA47" s="303"/>
      <c r="AB47" s="303"/>
    </row>
    <row r="48" spans="2:42">
      <c r="B48" s="5" t="s">
        <v>613</v>
      </c>
      <c r="C48" s="5"/>
      <c r="D48" s="305">
        <f>D31/D29</f>
        <v>0.85106927249856379</v>
      </c>
      <c r="E48" s="305">
        <f>E31/E29</f>
        <v>0.6914444078537012</v>
      </c>
      <c r="F48" s="305">
        <f>F31/F29</f>
        <v>0.72194578890070138</v>
      </c>
      <c r="G48" s="305">
        <f>G31/G29</f>
        <v>0.65635032755914813</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65">
    <tabColor theme="3" tint="0.59999389629810485"/>
    <pageSetUpPr fitToPage="1"/>
  </sheetPr>
  <dimension ref="B1:BK164"/>
  <sheetViews>
    <sheetView showGridLines="0" zoomScale="80" zoomScaleNormal="80" workbookViewId="0">
      <selection activeCell="D11" sqref="D11"/>
    </sheetView>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812</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505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'EM INCUMB'!D37</f>
        <v>1.0176300731136698</v>
      </c>
      <c r="M9" s="64">
        <f>'EM INCUMB'!E37</f>
        <v>0.93429038677213927</v>
      </c>
      <c r="N9" s="64">
        <f>'EM INCUMB'!F37</f>
        <v>0.8317426572747123</v>
      </c>
      <c r="O9" s="64">
        <f>'EM INCUMB'!G37</f>
        <v>0.74303420915690233</v>
      </c>
      <c r="P9" s="17">
        <f>'EM INCUMB'!H37</f>
        <v>3.7474232769618476E-2</v>
      </c>
    </row>
    <row r="10" spans="2:63">
      <c r="B10" s="5" t="s">
        <v>269</v>
      </c>
      <c r="C10" s="5"/>
      <c r="D10" s="332"/>
      <c r="E10" s="332"/>
      <c r="F10" s="332"/>
      <c r="G10" s="332"/>
      <c r="H10" s="247"/>
      <c r="I10" s="247"/>
      <c r="J10" s="5" t="s">
        <v>180</v>
      </c>
      <c r="L10" s="64">
        <f>'EM INCUMB'!D38</f>
        <v>3.3175350374258823</v>
      </c>
      <c r="M10" s="64">
        <f>'EM INCUMB'!E38</f>
        <v>3.0223783223658711</v>
      </c>
      <c r="N10" s="64">
        <f>'EM INCUMB'!F38</f>
        <v>2.6862546809972083</v>
      </c>
      <c r="O10" s="64">
        <f>'EM INCUMB'!G38</f>
        <v>2.3829836713571781</v>
      </c>
      <c r="P10" s="17">
        <f>'EM INCUMB'!H38</f>
        <v>4.3154001905154393E-2</v>
      </c>
      <c r="W10" s="10"/>
      <c r="X10" s="10"/>
      <c r="Y10" s="10"/>
      <c r="Z10" s="10"/>
    </row>
    <row r="11" spans="2:63">
      <c r="B11" s="41" t="s">
        <v>354</v>
      </c>
      <c r="C11" s="5"/>
      <c r="D11" s="271">
        <f>((PTT!D11/Prices!$C$172)*1000)+(_CT!D11/Prices!$C$175)+(_CU!D11/Prices!$C$175)+(_KT!D11*1000/Prices!$C$173)+(CHUNG!D11/Prices!$C$181)</f>
        <v>134793.45543593701</v>
      </c>
      <c r="E11" s="271">
        <f>((PTT!E11/Prices!$C$172)*1000)+(_CT!E11/Prices!$C$175)+(_CU!E11/Prices!$C$175)+(_KT!E11*1000/Prices!$C$173)+(CHUNG!E11/Prices!$C$181)</f>
        <v>134953.08778367139</v>
      </c>
      <c r="F11" s="271">
        <f>((PTT!F11/Prices!$C$172)*1000)+(_CT!F11/Prices!$C$175)+(_CU!F11/Prices!$C$175)+(_KT!F11*1000/Prices!$C$173)+(CHUNG!F11/Prices!$C$181)</f>
        <v>134953.08778367139</v>
      </c>
      <c r="G11" s="271">
        <f>((PTT!G11/Prices!$C$172)*1000)+(_CT!G11/Prices!$C$175)+(_CU!G11/Prices!$C$175)+(_KT!G11*1000/Prices!$C$173)+(CHUNG!G11/Prices!$C$181)</f>
        <v>134953.08778367139</v>
      </c>
      <c r="H11" s="249"/>
      <c r="I11" s="249"/>
      <c r="J11" s="5" t="s">
        <v>181</v>
      </c>
      <c r="L11" s="64">
        <f>'EM INCUMB'!D39</f>
        <v>8.3626832656520378</v>
      </c>
      <c r="M11" s="64">
        <f>'EM INCUMB'!E39</f>
        <v>6.6862965464471191</v>
      </c>
      <c r="N11" s="64">
        <f>'EM INCUMB'!F39</f>
        <v>5.6223434210064793</v>
      </c>
      <c r="O11" s="64">
        <f>'EM INCUMB'!G39</f>
        <v>4.7608020965038236</v>
      </c>
      <c r="P11" s="17">
        <f>'EM INCUMB'!H39</f>
        <v>0.12721160462737946</v>
      </c>
      <c r="W11" s="10"/>
      <c r="X11" s="10"/>
      <c r="Y11" s="10"/>
      <c r="Z11" s="10"/>
    </row>
    <row r="12" spans="2:63">
      <c r="B12" s="5" t="s">
        <v>225</v>
      </c>
      <c r="C12" s="249"/>
      <c r="D12" s="228">
        <f>((PTT!D12/Prices!$C$172)*1000)+(_CT!D12/Prices!$C$175)+(_CU!D12/Prices!$C$175)+(_KT!D12*1000/Prices!$C$173)+(CHUNG!D12/Prices!$C$181)</f>
        <v>1736.9921753518161</v>
      </c>
      <c r="E12" s="228">
        <f>((PTT!E12/Prices!$C$172)*1000)+(_CT!E12/Prices!$C$175)+(_CU!E12/Prices!$C$175)+(_KT!E12*1000/Prices!$C$173)+(CHUNG!E12/Prices!$C$181)</f>
        <v>-3749.2416620169311</v>
      </c>
      <c r="F12" s="228">
        <f>((PTT!F12/Prices!$C$172)*1000)+(_CT!F12/Prices!$C$175)+(_CU!F12/Prices!$C$175)+(_KT!F12*1000/Prices!$C$173)+(CHUNG!F12/Prices!$C$181)</f>
        <v>-10162.033909098489</v>
      </c>
      <c r="G12" s="228">
        <f>((PTT!G12/Prices!$C$172)*1000)+(_CT!G12/Prices!$C$175)+(_CU!G12/Prices!$C$175)+(_KT!G12*1000/Prices!$C$173)+(CHUNG!G12/Prices!$C$181)</f>
        <v>-16480.978343387884</v>
      </c>
      <c r="H12" s="247"/>
      <c r="I12" s="247"/>
      <c r="J12" s="5" t="s">
        <v>461</v>
      </c>
      <c r="L12" s="64">
        <f>'EM INCUMB'!D40</f>
        <v>11.762846823892597</v>
      </c>
      <c r="M12" s="64">
        <f>'EM INCUMB'!E40</f>
        <v>9.0599421174657948</v>
      </c>
      <c r="N12" s="64">
        <f>'EM INCUMB'!F40</f>
        <v>7.5970645551793998</v>
      </c>
      <c r="O12" s="64">
        <f>'EM INCUMB'!G40</f>
        <v>6.4065033921566776</v>
      </c>
      <c r="P12" s="17">
        <f>'EM INCUMB'!H40</f>
        <v>0.14396851486850371</v>
      </c>
      <c r="W12" s="10"/>
      <c r="X12" s="10"/>
      <c r="Y12" s="10"/>
      <c r="Z12" s="10"/>
    </row>
    <row r="13" spans="2:63">
      <c r="B13" s="5" t="s">
        <v>524</v>
      </c>
      <c r="C13" s="257"/>
      <c r="D13" s="228">
        <f>((PTT!D13/Prices!$C$172)*1000)+(_CT!D13/Prices!$C$175)+(_CU!D13/Prices!$C$175)+(_KT!D13*1000/Prices!$C$173)+(CHUNG!D13/Prices!$C$181)</f>
        <v>1100.2349705044846</v>
      </c>
      <c r="E13" s="228">
        <f>((PTT!E13/Prices!$C$172)*1000)+(_CT!E13/Prices!$C$175)+(_CU!E13/Prices!$C$175)+(_KT!E13*1000/Prices!$C$173)+(CHUNG!E13/Prices!$C$181)</f>
        <v>1036.0920555063115</v>
      </c>
      <c r="F13" s="228">
        <f>((PTT!F13/Prices!$C$172)*1000)+(_CT!F13/Prices!$C$175)+(_CU!F13/Prices!$C$175)+(_KT!F13*1000/Prices!$C$173)+(CHUNG!F13/Prices!$C$181)</f>
        <v>966.49699273329384</v>
      </c>
      <c r="G13" s="228">
        <f>((PTT!G13/Prices!$C$172)*1000)+(_CT!G13/Prices!$C$175)+(_CU!G13/Prices!$C$175)+(_KT!G13*1000/Prices!$C$173)+(CHUNG!G13/Prices!$C$181)</f>
        <v>890.98634962456947</v>
      </c>
      <c r="H13" s="247"/>
      <c r="I13" s="247"/>
      <c r="J13" s="5" t="s">
        <v>525</v>
      </c>
      <c r="L13" s="64">
        <f>'EM INCUMB'!D41</f>
        <v>0.96958016481008746</v>
      </c>
      <c r="M13" s="64">
        <f>'EM INCUMB'!E41</f>
        <v>0.92844115605028033</v>
      </c>
      <c r="N13" s="64">
        <f>'EM INCUMB'!F41</f>
        <v>0.87061101840353483</v>
      </c>
      <c r="O13" s="64">
        <f>'EM INCUMB'!G41</f>
        <v>0.80791081215813854</v>
      </c>
      <c r="P13" s="17">
        <f>'EM INCUMB'!H41</f>
        <v>-7.2107972668689069E-3</v>
      </c>
    </row>
    <row r="14" spans="2:63">
      <c r="B14" s="5" t="s">
        <v>527</v>
      </c>
      <c r="C14" s="274"/>
      <c r="D14" s="228">
        <f>((PTT!D14/Prices!$C$172)*1000)+(_CT!D14/Prices!$C$175)+(_CU!D14/Prices!$C$175)+(_KT!D14*1000/Prices!$C$173)+(CHUNG!D14/Prices!$C$181)</f>
        <v>20461.048355346553</v>
      </c>
      <c r="E14" s="228">
        <f>((PTT!E14/Prices!$C$172)*1000)+(_CT!E14/Prices!$C$175)+(_CU!E14/Prices!$C$175)+(_KT!E14*1000/Prices!$C$173)+(CHUNG!E14/Prices!$C$181)</f>
        <v>20461.048355346553</v>
      </c>
      <c r="F14" s="228">
        <f>((PTT!F14/Prices!$C$172)*1000)+(_CT!F14/Prices!$C$175)+(_CU!F14/Prices!$C$175)+(_KT!F14*1000/Prices!$C$173)+(CHUNG!F14/Prices!$C$181)</f>
        <v>20461.048355346553</v>
      </c>
      <c r="G14" s="228">
        <f>((PTT!G14/Prices!$C$172)*1000)+(_CT!G14/Prices!$C$175)+(_CU!G14/Prices!$C$175)+(_KT!G14*1000/Prices!$C$173)+(CHUNG!G14/Prices!$C$181)</f>
        <v>20461.048355346553</v>
      </c>
      <c r="H14" s="247"/>
      <c r="I14" s="247"/>
      <c r="J14" s="5" t="s">
        <v>588</v>
      </c>
      <c r="L14" s="64">
        <f>'EM INCUMB'!D42</f>
        <v>1.2111681352410864</v>
      </c>
      <c r="M14" s="64">
        <f>'EM INCUMB'!E42</f>
        <v>1.185956965244517</v>
      </c>
      <c r="N14" s="64">
        <f>'EM INCUMB'!F42</f>
        <v>1.1302029797289712</v>
      </c>
      <c r="O14" s="64">
        <f>'EM INCUMB'!G42</f>
        <v>1.1238793277898012</v>
      </c>
      <c r="P14" s="17">
        <f>'EM INCUMB'!H42</f>
        <v>-4.2191848028902523E-2</v>
      </c>
    </row>
    <row r="15" spans="2:63">
      <c r="B15" s="5" t="s">
        <v>526</v>
      </c>
      <c r="C15" s="257"/>
      <c r="D15" s="228">
        <f>((PTT!D15/Prices!$C$172)*1000)+(_CT!D15/Prices!$C$175)+(_CU!D15/Prices!$C$175)+(_KT!D15*1000/Prices!$C$173)+(CHUNG!D15/Prices!$C$181)</f>
        <v>11873.256561774393</v>
      </c>
      <c r="E15" s="228">
        <f>((PTT!E15/Prices!$C$172)*1000)+(_CT!E15/Prices!$C$175)+(_CU!E15/Prices!$C$175)+(_KT!E15*1000/Prices!$C$173)+(CHUNG!E15/Prices!$C$181)</f>
        <v>11873.256561774393</v>
      </c>
      <c r="F15" s="228">
        <f>((PTT!F15/Prices!$C$172)*1000)+(_CT!F15/Prices!$C$175)+(_CU!F15/Prices!$C$175)+(_KT!F15*1000/Prices!$C$173)+(CHUNG!F15/Prices!$C$181)</f>
        <v>11873.256561774393</v>
      </c>
      <c r="G15" s="228">
        <f>((PTT!G15/Prices!$C$172)*1000)+(_CT!G15/Prices!$C$175)+(_CU!G15/Prices!$C$175)+(_KT!G15*1000/Prices!$C$173)+(CHUNG!G15/Prices!$C$181)</f>
        <v>11873.256561774393</v>
      </c>
      <c r="H15" s="247"/>
      <c r="I15" s="247"/>
      <c r="J15" s="5" t="s">
        <v>470</v>
      </c>
      <c r="L15" s="64">
        <f>'EM INCUMB'!D43</f>
        <v>14.53285700244998</v>
      </c>
      <c r="M15" s="64">
        <f>'EM INCUMB'!E43</f>
        <v>10.889620035203077</v>
      </c>
      <c r="N15" s="64">
        <f>'EM INCUMB'!F43</f>
        <v>9.2948871090281386</v>
      </c>
      <c r="O15" s="64">
        <f>'EM INCUMB'!G43</f>
        <v>8.0587293031146245</v>
      </c>
      <c r="P15" s="17">
        <f>'EM INCUMB'!H43</f>
        <v>0.20633617097870616</v>
      </c>
      <c r="S15" s="88"/>
      <c r="T15" s="88"/>
      <c r="U15" s="88"/>
      <c r="V15" s="42"/>
      <c r="W15" s="42"/>
      <c r="X15" s="42"/>
      <c r="Y15" s="42"/>
      <c r="Z15" s="42"/>
      <c r="AA15" s="42"/>
    </row>
    <row r="16" spans="2:63">
      <c r="B16" s="5" t="s">
        <v>529</v>
      </c>
      <c r="C16" s="257"/>
      <c r="D16" s="228">
        <f>((PTT!D16/Prices!$C$172)*1000)+(_CT!D16/Prices!$C$175)+(_CU!D16/Prices!$C$175)+(_KT!D16*1000/Prices!$C$173)+(CHUNG!D16/Prices!$C$181)</f>
        <v>12299.56826325658</v>
      </c>
      <c r="E16" s="228">
        <f>((PTT!E16/Prices!$C$172)*1000)+(_CT!E16/Prices!$C$175)+(_CU!E16/Prices!$C$175)+(_KT!E16*1000/Prices!$C$173)+(CHUNG!E16/Prices!$C$181)</f>
        <v>13409.186437485376</v>
      </c>
      <c r="F16" s="228">
        <f>((PTT!F16/Prices!$C$172)*1000)+(_CT!F16/Prices!$C$175)+(_CU!F16/Prices!$C$175)+(_KT!F16*1000/Prices!$C$173)+(CHUNG!F16/Prices!$C$181)</f>
        <v>16282.214967796433</v>
      </c>
      <c r="G16" s="228">
        <f>((PTT!G16/Prices!$C$172)*1000)+(_CT!G16/Prices!$C$175)+(_CU!G16/Prices!$C$175)+(_KT!G16*1000/Prices!$C$173)+(CHUNG!G16/Prices!$C$181)</f>
        <v>19424.111117855377</v>
      </c>
      <c r="H16" s="247"/>
      <c r="I16" s="247"/>
      <c r="J16" s="5" t="s">
        <v>528</v>
      </c>
      <c r="L16" s="64">
        <f>'EM INCUMB'!D44</f>
        <v>14.104957257301441</v>
      </c>
      <c r="M16" s="64">
        <f>'EM INCUMB'!E44</f>
        <v>12.075601575663633</v>
      </c>
      <c r="N16" s="64">
        <f>'EM INCUMB'!F44</f>
        <v>10.385279656189478</v>
      </c>
      <c r="O16" s="64">
        <f>'EM INCUMB'!G44</f>
        <v>8.8185004542193948</v>
      </c>
      <c r="P16" s="17">
        <f>'EM INCUMB'!H44</f>
        <v>0.15835578063954037</v>
      </c>
      <c r="S16" s="88"/>
      <c r="T16" s="88"/>
      <c r="U16" s="88"/>
      <c r="V16" s="42"/>
      <c r="W16" s="42"/>
      <c r="X16" s="42"/>
      <c r="Y16" s="42"/>
      <c r="Z16" s="42"/>
      <c r="AA16" s="42"/>
    </row>
    <row r="17" spans="2:27">
      <c r="B17" s="5" t="s">
        <v>6</v>
      </c>
      <c r="C17" s="257"/>
      <c r="D17" s="228">
        <f>((PTT!D17/Prices!$C$172)*1000)+(_CT!D17/Prices!$C$175)+(_CU!D17/Prices!$C$175)+(_KT!D17*1000/Prices!$C$173)+(CHUNG!D17/Prices!$C$181)</f>
        <v>429.25200756493678</v>
      </c>
      <c r="E17" s="228">
        <f>((PTT!E17/Prices!$C$172)*1000)+(_CT!E17/Prices!$C$175)+(_CU!E17/Prices!$C$175)+(_KT!E17*1000/Prices!$C$173)+(CHUNG!E17/Prices!$C$181)</f>
        <v>429.25200756493678</v>
      </c>
      <c r="F17" s="228">
        <f>((PTT!F17/Prices!$C$172)*1000)+(_CT!F17/Prices!$C$175)+(_CU!F17/Prices!$C$175)+(_KT!F17*1000/Prices!$C$173)+(CHUNG!F17/Prices!$C$181)</f>
        <v>429.25200756493678</v>
      </c>
      <c r="G17" s="228">
        <f>((PTT!G17/Prices!$C$172)*1000)+(_CT!G17/Prices!$C$175)+(_CU!G17/Prices!$C$175)+(_KT!G17*1000/Prices!$C$173)+(CHUNG!G17/Prices!$C$181)</f>
        <v>429.25200756493678</v>
      </c>
      <c r="H17" s="247"/>
      <c r="I17" s="247"/>
      <c r="J17" s="5" t="s">
        <v>575</v>
      </c>
      <c r="L17" s="248">
        <f>'EM INCUMB'!D45</f>
        <v>4.5731312159230778E-2</v>
      </c>
      <c r="M17" s="248">
        <f>'EM INCUMB'!E45</f>
        <v>5.0549419067414558E-2</v>
      </c>
      <c r="N17" s="248">
        <f>'EM INCUMB'!F45</f>
        <v>5.8078354371831294E-2</v>
      </c>
      <c r="O17" s="248">
        <f>'EM INCUMB'!G45</f>
        <v>6.7484331182154994E-2</v>
      </c>
      <c r="P17" s="17">
        <f>'EM INCUMB'!H45</f>
        <v>0.12766314772350529</v>
      </c>
      <c r="S17" s="88"/>
      <c r="T17" s="88"/>
      <c r="U17" s="88"/>
      <c r="V17" s="42"/>
      <c r="W17" s="42"/>
      <c r="X17" s="42"/>
      <c r="Y17" s="42"/>
      <c r="Z17" s="42"/>
      <c r="AA17" s="42"/>
    </row>
    <row r="18" spans="2:27" ht="12.6" thickBot="1">
      <c r="B18" s="41" t="s">
        <v>355</v>
      </c>
      <c r="C18" s="249"/>
      <c r="D18" s="275">
        <f>((PTT!D18/Prices!$C$172)*1000)+(_CT!D18/Prices!$C$175)+(_CU!D18/Prices!$C$175)+(_KT!D18*1000/Prices!$C$173)+(CHUNG!D18/Prices!$C$181)</f>
        <v>116314.07051739964</v>
      </c>
      <c r="E18" s="275">
        <f>((PTT!E18/Prices!$C$172)*1000)+(_CT!E18/Prices!$C$175)+(_CU!E18/Prices!$C$175)+(_KT!E18*1000/Prices!$C$173)+(CHUNG!E18/Prices!$C$181)</f>
        <v>109813.70793853831</v>
      </c>
      <c r="F18" s="275">
        <f>((PTT!F18/Prices!$C$172)*1000)+(_CT!F18/Prices!$C$175)+(_CU!F18/Prices!$C$175)+(_KT!F18*1000/Prices!$C$173)+(CHUNG!F18/Prices!$C$181)</f>
        <v>100458.29209837268</v>
      </c>
      <c r="G18" s="275">
        <f>((PTT!G18/Prices!$C$172)*1000)+(_CT!G18/Prices!$C$175)+(_CU!G18/Prices!$C$175)+(_KT!G18*1000/Prices!$C$173)+(CHUNG!G18/Prices!$C$181)</f>
        <v>90921.940870915612</v>
      </c>
      <c r="H18" s="276">
        <f>IF(D18=0,"nm",IF(G18=0,"nm",(G18/D18)^(1/3)-1))</f>
        <v>-7.881791962138418E-2</v>
      </c>
      <c r="I18" s="254"/>
      <c r="J18" s="5" t="s">
        <v>36</v>
      </c>
      <c r="L18" s="248">
        <f>'EM INCUMB'!D46</f>
        <v>4.5858287086324064E-2</v>
      </c>
      <c r="M18" s="248">
        <f>'EM INCUMB'!E46</f>
        <v>5.0643300964691801E-2</v>
      </c>
      <c r="N18" s="248">
        <f>'EM INCUMB'!F46</f>
        <v>5.5771031888533044E-2</v>
      </c>
      <c r="O18" s="248">
        <f>'EM INCUMB'!G46</f>
        <v>7.710678529056475E-2</v>
      </c>
      <c r="P18" s="17">
        <f>'EM INCUMB'!H46</f>
        <v>0.17780813272638851</v>
      </c>
      <c r="S18" s="88"/>
      <c r="T18" s="88"/>
      <c r="U18" s="88"/>
      <c r="V18" s="42"/>
      <c r="W18" s="42"/>
      <c r="X18" s="42"/>
      <c r="Y18" s="42"/>
      <c r="Z18" s="42"/>
      <c r="AA18" s="42"/>
    </row>
    <row r="19" spans="2:27" ht="12.6" thickTop="1">
      <c r="B19" s="41"/>
      <c r="C19" s="249"/>
      <c r="D19" s="229"/>
      <c r="E19" s="229"/>
      <c r="F19" s="229"/>
      <c r="G19" s="229"/>
      <c r="H19" s="276"/>
      <c r="I19" s="17"/>
      <c r="J19" s="5" t="s">
        <v>576</v>
      </c>
      <c r="L19" s="248">
        <f>'EM INCUMB'!D47</f>
        <v>6.8809594688189521E-2</v>
      </c>
      <c r="M19" s="248">
        <f>'EM INCUMB'!E47</f>
        <v>9.1830568630244344E-2</v>
      </c>
      <c r="N19" s="248">
        <f>'EM INCUMB'!F47</f>
        <v>0.10758602963867075</v>
      </c>
      <c r="O19" s="248">
        <f>'EM INCUMB'!G47</f>
        <v>0.12408904212895068</v>
      </c>
      <c r="P19" s="17">
        <f>'EM INCUMB'!H47</f>
        <v>0.20633617097870616</v>
      </c>
      <c r="S19" s="88"/>
      <c r="T19" s="88"/>
      <c r="U19" s="88"/>
      <c r="V19" s="42"/>
      <c r="W19" s="42"/>
      <c r="X19" s="42"/>
      <c r="Y19" s="42"/>
      <c r="Z19" s="42"/>
      <c r="AA19" s="42"/>
    </row>
    <row r="20" spans="2:27">
      <c r="H20" s="277"/>
      <c r="I20" s="49"/>
      <c r="J20" s="5" t="s">
        <v>599</v>
      </c>
      <c r="L20" s="248">
        <f>'EM INCUMB'!D48</f>
        <v>0.62397631981468382</v>
      </c>
      <c r="M20" s="248">
        <f>'EM INCUMB'!E48</f>
        <v>0.51657270572966973</v>
      </c>
      <c r="N20" s="248">
        <f>'EM INCUMB'!F48</f>
        <v>0.50626794033787703</v>
      </c>
      <c r="O20" s="248">
        <f>'EM INCUMB'!G48</f>
        <v>0.50968425989474775</v>
      </c>
      <c r="P20" s="17" t="str">
        <f>'EM INCUMB'!H48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((PTT!C23/Prices!$C$172)*1000)+(_CT!C23/Prices!$C$175)+(_CU!C23/Prices!$C$175)+(_KT!C23*1000/Prices!$C$173)+(CHUNG!C23/Prices!$C$181)</f>
        <v>153373.08798261129</v>
      </c>
      <c r="D23" s="228">
        <f>((PTT!D23/Prices!$C$172)*1000)+(_CT!D23/Prices!$C$175)+(_CU!D23/Prices!$C$175)+(_KT!D23*1000/Prices!$C$173)+(CHUNG!D23/Prices!$C$181)</f>
        <v>161146.57441587691</v>
      </c>
      <c r="E23" s="228">
        <f>((PTT!E23/Prices!$C$172)*1000)+(_CT!E23/Prices!$C$175)+(_CU!E23/Prices!$C$175)+(_KT!E23*1000/Prices!$C$173)+(CHUNG!E23/Prices!$C$181)</f>
        <v>166731.87554489632</v>
      </c>
      <c r="F23" s="228">
        <f>((PTT!F23/Prices!$C$172)*1000)+(_CT!F23/Prices!$C$175)+(_CU!F23/Prices!$C$175)+(_KT!F23*1000/Prices!$C$173)+(CHUNG!F23/Prices!$C$181)</f>
        <v>174674.3249169054</v>
      </c>
      <c r="G23" s="228">
        <f>((PTT!G23/Prices!$C$172)*1000)+(_CT!G23/Prices!$C$175)+(_CU!G23/Prices!$C$175)+(_KT!G23*1000/Prices!$C$173)+(CHUNG!G23/Prices!$C$181)</f>
        <v>181175.47410522724</v>
      </c>
      <c r="H23" s="279">
        <f t="shared" ref="H23:H33" si="0">IF(D23=0,"nm",IF(G23=0,"nm",(G23/D23)^(1/3)-1))</f>
        <v>3.9823056089359321E-2</v>
      </c>
      <c r="I23" s="249"/>
      <c r="J23" s="306" t="s">
        <v>9</v>
      </c>
      <c r="K23" s="306"/>
      <c r="L23" s="265" t="str">
        <f>L5</f>
        <v>2023E</v>
      </c>
      <c r="M23" s="265" t="str">
        <f>M5</f>
        <v>2024E</v>
      </c>
      <c r="N23" s="265" t="str">
        <f>N5</f>
        <v>2025E</v>
      </c>
      <c r="O23" s="265" t="str">
        <f>O5</f>
        <v>2026E</v>
      </c>
      <c r="P23" s="282" t="str">
        <f>P5</f>
        <v>23E-26E</v>
      </c>
      <c r="S23" s="42"/>
      <c r="T23" s="42"/>
      <c r="U23" s="42"/>
      <c r="V23" s="42"/>
      <c r="W23" s="42" t="s">
        <v>608</v>
      </c>
      <c r="X23" s="42" t="s">
        <v>556</v>
      </c>
      <c r="Y23" s="42"/>
      <c r="Z23" s="42"/>
      <c r="AA23" s="42"/>
    </row>
    <row r="24" spans="2:27" ht="12.6" thickTop="1">
      <c r="B24" s="5" t="s">
        <v>478</v>
      </c>
      <c r="C24" s="365">
        <f>((PTT!C24/Prices!$C$172)*1000)+(_CT!C24/Prices!$C$175)+(_CU!C24/Prices!$C$175)+(_KT!C24*1000/Prices!$C$173)+(CHUNG!C24/Prices!$C$181)</f>
        <v>43973.681117081702</v>
      </c>
      <c r="D24" s="228">
        <f>((PTT!D24/Prices!$C$172)*1000)+(_CT!D24/Prices!$C$175)+(_CU!D24/Prices!$C$175)+(_KT!D24*1000/Prices!$C$173)+(CHUNG!D24/Prices!$C$181)</f>
        <v>45005.167823144024</v>
      </c>
      <c r="E24" s="228">
        <f>((PTT!E24/Prices!$C$172)*1000)+(_CT!E24/Prices!$C$175)+(_CU!E24/Prices!$C$175)+(_KT!E24*1000/Prices!$C$173)+(CHUNG!E24/Prices!$C$181)</f>
        <v>46538.261341457197</v>
      </c>
      <c r="F24" s="228">
        <f>((PTT!F24/Prices!$C$172)*1000)+(_CT!F24/Prices!$C$175)+(_CU!F24/Prices!$C$175)+(_KT!F24*1000/Prices!$C$173)+(CHUNG!F24/Prices!$C$181)</f>
        <v>48442.534195675311</v>
      </c>
      <c r="G24" s="228">
        <f>((PTT!G24/Prices!$C$172)*1000)+(_CT!G24/Prices!$C$175)+(_CU!G24/Prices!$C$175)+(_KT!G24*1000/Prices!$C$173)+(CHUNG!G24/Prices!$C$181)</f>
        <v>50441.106177105699</v>
      </c>
      <c r="H24" s="279">
        <f t="shared" si="0"/>
        <v>3.8741314755313283E-2</v>
      </c>
      <c r="I24" s="248"/>
      <c r="J24" s="17"/>
      <c r="K24" s="17"/>
      <c r="L24" s="17"/>
      <c r="M24" s="17"/>
      <c r="N24" s="17"/>
      <c r="O24" s="248"/>
      <c r="S24" s="42"/>
      <c r="T24" s="42"/>
      <c r="U24" s="42"/>
      <c r="V24" s="147" t="s">
        <v>268</v>
      </c>
      <c r="W24" s="288">
        <f t="shared" ref="W24:W31" si="1">E37/M9</f>
        <v>0.70494630785493351</v>
      </c>
      <c r="X24" s="288">
        <v>1</v>
      </c>
      <c r="Y24" s="42"/>
      <c r="Z24" s="42"/>
      <c r="AA24" s="42"/>
    </row>
    <row r="25" spans="2:27">
      <c r="B25" s="5" t="s">
        <v>179</v>
      </c>
      <c r="C25" s="365">
        <f>((PTT!C25/Prices!$C$172)*1000)+(_CT!C25/Prices!$C$175)+(_CU!C25/Prices!$C$175)+(_KT!C25*1000/Prices!$C$173)+(CHUNG!C25/Prices!$C$181)</f>
        <v>14605.148335070171</v>
      </c>
      <c r="D25" s="228">
        <f>((PTT!D25/Prices!$C$172)*1000)+(_CT!D25/Prices!$C$175)+(_CU!D25/Prices!$C$175)+(_KT!D25*1000/Prices!$C$173)+(CHUNG!D25/Prices!$C$181)</f>
        <v>15139.130836089025</v>
      </c>
      <c r="E25" s="228">
        <f>((PTT!E25/Prices!$C$172)*1000)+(_CT!E25/Prices!$C$175)+(_CU!E25/Prices!$C$175)+(_KT!E25*1000/Prices!$C$173)+(CHUNG!E25/Prices!$C$181)</f>
        <v>18096.438432611681</v>
      </c>
      <c r="F25" s="228">
        <f>((PTT!F25/Prices!$C$172)*1000)+(_CT!F25/Prices!$C$175)+(_CU!F25/Prices!$C$175)+(_KT!F25*1000/Prices!$C$173)+(CHUNG!F25/Prices!$C$181)</f>
        <v>19813.48049686903</v>
      </c>
      <c r="G25" s="228">
        <f>((PTT!G25/Prices!$C$172)*1000)+(_CT!G25/Prices!$C$175)+(_CU!G25/Prices!$C$175)+(_KT!G25*1000/Prices!$C$173)+(CHUNG!G25/Prices!$C$181)</f>
        <v>21556.491704999942</v>
      </c>
      <c r="H25" s="279">
        <f t="shared" si="0"/>
        <v>0.12501689969524077</v>
      </c>
      <c r="I25" s="249"/>
      <c r="J25" s="247" t="s">
        <v>10</v>
      </c>
      <c r="K25" s="247"/>
      <c r="L25" s="332">
        <f>(((PTT!L25/Prices!$C$172)*1000)+(_CT!L25/Prices!$C$175)+(_CU!L25/Prices!$C$175)+(_KT!L25*1000/Prices!$C$173)+(CHUNG!L25/Prices!$C$181))</f>
        <v>-0.24142935954241926</v>
      </c>
      <c r="M25" s="332">
        <f>(((PTT!M25/Prices!$C$172)*1000)+(_CT!M25/Prices!$C$175)+(_CU!M25/Prices!$C$175)+(_KT!M25*1000/Prices!$C$173)+(CHUNG!M25/Prices!$C$181))</f>
        <v>-0.13295491553329461</v>
      </c>
      <c r="N25" s="332">
        <f>(((PTT!N25/Prices!$C$172)*1000)+(_CT!N25/Prices!$C$175)+(_CU!N25/Prices!$C$175)+(_KT!N25*1000/Prices!$C$173)+(CHUNG!N25/Prices!$C$181))</f>
        <v>-0.13295491553329461</v>
      </c>
      <c r="O25" s="332">
        <f>(((PTT!O25/Prices!$C$172)*1000)+(_CT!O25/Prices!$C$175)+(_CU!O25/Prices!$C$175)+(_KT!O25*1000/Prices!$C$173)+(CHUNG!O25/Prices!$C$181))</f>
        <v>-0.13295491553329461</v>
      </c>
      <c r="P25" s="279">
        <f>IF(L25=0,"nm",IF(O25=0,"nm",(O25/L25)^(1/3)-1))</f>
        <v>-0.18033176425189545</v>
      </c>
      <c r="Q25" s="5"/>
      <c r="S25" s="42"/>
      <c r="T25" s="42"/>
      <c r="U25" s="42"/>
      <c r="V25" s="147" t="s">
        <v>180</v>
      </c>
      <c r="W25" s="288">
        <f t="shared" si="1"/>
        <v>0.78072408303907426</v>
      </c>
      <c r="X25" s="288">
        <v>1</v>
      </c>
      <c r="Y25" s="42"/>
      <c r="Z25" s="42"/>
      <c r="AA25" s="42"/>
    </row>
    <row r="26" spans="2:27">
      <c r="B26" s="5" t="s">
        <v>581</v>
      </c>
      <c r="C26" s="365">
        <f>((PTT!C26/Prices!$C$172)*1000)+(_CT!C26/Prices!$C$175)+(_CU!C26/Prices!$C$175)+(_KT!C26*1000/Prices!$C$173)+(CHUNG!C26/Prices!$C$181)</f>
        <v>11422.086518559438</v>
      </c>
      <c r="D26" s="228">
        <f>((PTT!D26/Prices!$C$172)*1000)+(_CT!D26/Prices!$C$175)+(_CU!D26/Prices!$C$175)+(_KT!D26*1000/Prices!$C$173)+(CHUNG!D26/Prices!$C$181)</f>
        <v>11936.261433811458</v>
      </c>
      <c r="E26" s="228">
        <f>((PTT!E26/Prices!$C$172)*1000)+(_CT!E26/Prices!$C$175)+(_CU!E26/Prices!$C$175)+(_KT!E26*1000/Prices!$C$173)+(CHUNG!E26/Prices!$C$181)</f>
        <v>14222.023358505137</v>
      </c>
      <c r="F26" s="228">
        <f>((PTT!F26/Prices!$C$172)*1000)+(_CT!F26/Prices!$C$175)+(_CU!F26/Prices!$C$175)+(_KT!F26*1000/Prices!$C$173)+(CHUNG!F26/Prices!$C$181)</f>
        <v>15546.048693246541</v>
      </c>
      <c r="G26" s="228">
        <f>((PTT!G26/Prices!$C$172)*1000)+(_CT!G26/Prices!$C$175)+(_CU!G26/Prices!$C$175)+(_KT!G26*1000/Prices!$C$173)+(CHUNG!G26/Prices!$C$181)</f>
        <v>16908.142654563093</v>
      </c>
      <c r="H26" s="279">
        <f t="shared" si="0"/>
        <v>0.1230761218841967</v>
      </c>
      <c r="I26" s="249"/>
      <c r="J26" s="249" t="s">
        <v>11</v>
      </c>
      <c r="K26" s="249"/>
      <c r="L26" s="281">
        <f>(((PTT!L26/Prices!$C$172)*1000)+(_CT!L26/Prices!$C$175)+(_CU!L26/Prices!$C$175)+(_KT!L26*1000/Prices!$C$173)+(CHUNG!L26/Prices!$C$181))</f>
        <v>134793.21400657747</v>
      </c>
      <c r="M26" s="281">
        <f>(((PTT!M26/Prices!$C$172)*1000)+(_CT!M26/Prices!$C$175)+(_CU!M26/Prices!$C$175)+(_KT!M26*1000/Prices!$C$173)+(CHUNG!M26/Prices!$C$181))</f>
        <v>134952.95482875587</v>
      </c>
      <c r="N26" s="281">
        <f>(((PTT!N26/Prices!$C$172)*1000)+(_CT!N26/Prices!$C$175)+(_CU!N26/Prices!$C$175)+(_KT!N26*1000/Prices!$C$173)+(CHUNG!N26/Prices!$C$181))</f>
        <v>134952.95482875587</v>
      </c>
      <c r="O26" s="281">
        <f>(((PTT!O26/Prices!$C$172)*1000)+(_CT!O26/Prices!$C$175)+(_CU!O26/Prices!$C$175)+(_KT!O26*1000/Prices!$C$173)+(CHUNG!O26/Prices!$C$181))</f>
        <v>134952.95482875587</v>
      </c>
      <c r="P26" s="279">
        <f>IF(L26=0,"nm",IF(O26=0,"nm",(O26/L26)^(1/3)-1))</f>
        <v>3.9487092123824397E-4</v>
      </c>
      <c r="Q26" s="41"/>
      <c r="S26" s="42"/>
      <c r="T26" s="42"/>
      <c r="U26" s="42"/>
      <c r="V26" s="147" t="s">
        <v>181</v>
      </c>
      <c r="W26" s="288">
        <f t="shared" si="1"/>
        <v>0.9075651528090376</v>
      </c>
      <c r="X26" s="288">
        <v>1</v>
      </c>
      <c r="Y26" s="42"/>
      <c r="Z26" s="42"/>
      <c r="AA26" s="42"/>
    </row>
    <row r="27" spans="2:27">
      <c r="B27" s="5" t="s">
        <v>582</v>
      </c>
      <c r="C27" s="365">
        <f>((PTT!C27/Prices!$C$172)*1000)+(_CT!C27/Prices!$C$175)+(_CU!C27/Prices!$C$175)+(_KT!C27*1000/Prices!$C$173)+(CHUNG!C27/Prices!$C$181)</f>
        <v>151389.03235146491</v>
      </c>
      <c r="D27" s="228">
        <f>((PTT!D27/Prices!$C$172)*1000)+(_CT!D27/Prices!$C$175)+(_CU!D27/Prices!$C$175)+(_KT!D27*1000/Prices!$C$173)+(CHUNG!D27/Prices!$C$181)</f>
        <v>151633.88051634247</v>
      </c>
      <c r="E27" s="228">
        <f>((PTT!E27/Prices!$C$172)*1000)+(_CT!E27/Prices!$C$175)+(_CU!E27/Prices!$C$175)+(_KT!E27*1000/Prices!$C$173)+(CHUNG!E27/Prices!$C$181)</f>
        <v>150116.91197906225</v>
      </c>
      <c r="F27" s="228">
        <f>((PTT!F27/Prices!$C$172)*1000)+(_CT!F27/Prices!$C$175)+(_CU!F27/Prices!$C$175)+(_KT!F27*1000/Prices!$C$173)+(CHUNG!F27/Prices!$C$181)</f>
        <v>148270.91479569167</v>
      </c>
      <c r="G27" s="228">
        <f>((PTT!G27/Prices!$C$172)*1000)+(_CT!G27/Prices!$C$175)+(_CU!G27/Prices!$C$175)+(_KT!G27*1000/Prices!$C$173)+(CHUNG!G27/Prices!$C$181)</f>
        <v>147000.17009316472</v>
      </c>
      <c r="H27" s="279">
        <f t="shared" si="0"/>
        <v>-1.0291737415997981E-2</v>
      </c>
      <c r="I27" s="248"/>
      <c r="J27" s="248"/>
      <c r="K27" s="248"/>
      <c r="L27" s="248"/>
      <c r="M27" s="248"/>
      <c r="N27" s="248"/>
      <c r="O27" s="248"/>
      <c r="Q27" s="5"/>
      <c r="S27" s="42"/>
      <c r="T27" s="42"/>
      <c r="U27" s="42"/>
      <c r="V27" s="147" t="s">
        <v>461</v>
      </c>
      <c r="W27" s="288">
        <f t="shared" si="1"/>
        <v>0.85225536812324343</v>
      </c>
      <c r="X27" s="288">
        <v>1</v>
      </c>
      <c r="Y27" s="42"/>
      <c r="Z27" s="42"/>
      <c r="AA27" s="42"/>
    </row>
    <row r="28" spans="2:27" ht="12.6" thickBot="1">
      <c r="B28" s="5" t="s">
        <v>587</v>
      </c>
      <c r="C28" s="365">
        <f>((PTT!C28/Prices!$C$172)*1000)+(_CT!C28/Prices!$C$175)+(_CU!C28/Prices!$C$175)+(_KT!C28*1000/Prices!$C$173)+(CHUNG!C28/Prices!$C$181)</f>
        <v>139418.46647982235</v>
      </c>
      <c r="D28" s="228">
        <f>((PTT!D28/Prices!$C$172)*1000)+(_CT!D28/Prices!$C$175)+(_CU!D28/Prices!$C$175)+(_KT!D28*1000/Prices!$C$173)+(CHUNG!D28/Prices!$C$181)</f>
        <v>139018.35699293934</v>
      </c>
      <c r="E28" s="228">
        <f>((PTT!E28/Prices!$C$172)*1000)+(_CT!E28/Prices!$C$175)+(_CU!E28/Prices!$C$175)+(_KT!E28*1000/Prices!$C$173)+(CHUNG!E28/Prices!$C$181)</f>
        <v>134906.481492052</v>
      </c>
      <c r="F28" s="228">
        <f>((PTT!F28/Prices!$C$172)*1000)+(_CT!F28/Prices!$C$175)+(_CU!F28/Prices!$C$175)+(_KT!F28*1000/Prices!$C$173)+(CHUNG!F28/Prices!$C$181)</f>
        <v>131366.69592796883</v>
      </c>
      <c r="G28" s="228">
        <f>((PTT!G28/Prices!$C$172)*1000)+(_CT!G28/Prices!$C$175)+(_CU!G28/Prices!$C$175)+(_KT!G28*1000/Prices!$C$173)+(CHUNG!G28/Prices!$C$181)</f>
        <v>119705.22441312342</v>
      </c>
      <c r="H28" s="279">
        <f t="shared" si="0"/>
        <v>-4.8635406216775201E-2</v>
      </c>
      <c r="I28" s="252"/>
      <c r="J28" s="306" t="s">
        <v>747</v>
      </c>
      <c r="K28" s="306"/>
      <c r="L28" s="306"/>
      <c r="M28" s="306"/>
      <c r="N28" s="266"/>
      <c r="O28" s="266"/>
      <c r="P28" s="266"/>
      <c r="Q28" s="5"/>
      <c r="S28" s="42"/>
      <c r="T28" s="42"/>
      <c r="U28" s="42"/>
      <c r="V28" s="147" t="s">
        <v>525</v>
      </c>
      <c r="W28" s="288">
        <f t="shared" si="1"/>
        <v>0.78790263033099317</v>
      </c>
      <c r="X28" s="288">
        <v>1</v>
      </c>
      <c r="Y28" s="42"/>
      <c r="Z28" s="42"/>
      <c r="AA28" s="42"/>
    </row>
    <row r="29" spans="2:27" ht="12.6" thickTop="1">
      <c r="B29" s="5" t="s">
        <v>583</v>
      </c>
      <c r="C29" s="365">
        <f>((PTT!C29/Prices!$C$172)*1000)+(_CT!C29/Prices!$C$175)+(_CU!C29/Prices!$C$175)+(_KT!C29*1000/Prices!$C$173)+(CHUNG!C29/Prices!$C$181)</f>
        <v>12057.733803557283</v>
      </c>
      <c r="D29" s="228">
        <f>((PTT!D29/Prices!$C$172)*1000)+(_CT!D29/Prices!$C$175)+(_CU!D29/Prices!$C$175)+(_KT!D29*1000/Prices!$C$173)+(CHUNG!D29/Prices!$C$181)</f>
        <v>12435.080688091071</v>
      </c>
      <c r="E29" s="228">
        <f>((PTT!E29/Prices!$C$172)*1000)+(_CT!E29/Prices!$C$175)+(_CU!E29/Prices!$C$175)+(_KT!E29*1000/Prices!$C$173)+(CHUNG!E29/Prices!$C$181)</f>
        <v>14958.238092309772</v>
      </c>
      <c r="F29" s="228">
        <f>((PTT!F29/Prices!$C$172)*1000)+(_CT!F29/Prices!$C$175)+(_CU!F29/Prices!$C$175)+(_KT!F29*1000/Prices!$C$173)+(CHUNG!F29/Prices!$C$181)</f>
        <v>16693.239658625949</v>
      </c>
      <c r="G29" s="228">
        <f>((PTT!G29/Prices!$C$172)*1000)+(_CT!G29/Prices!$C$175)+(_CU!G29/Prices!$C$175)+(_KT!G29*1000/Prices!$C$173)+(CHUNG!G29/Prices!$C$181)</f>
        <v>18520.17500723201</v>
      </c>
      <c r="H29" s="279">
        <f t="shared" si="0"/>
        <v>0.14199839323879559</v>
      </c>
      <c r="I29" s="254"/>
      <c r="J29" s="249"/>
      <c r="K29" s="249"/>
      <c r="L29" s="249"/>
      <c r="M29" s="249"/>
      <c r="N29" s="249"/>
      <c r="O29" s="251"/>
      <c r="Q29" s="5"/>
      <c r="S29" s="42"/>
      <c r="T29" s="42"/>
      <c r="U29" s="42"/>
      <c r="V29" s="147" t="s">
        <v>588</v>
      </c>
      <c r="W29" s="288">
        <f t="shared" si="1"/>
        <v>0.68636449599566707</v>
      </c>
      <c r="X29" s="288">
        <v>1</v>
      </c>
      <c r="Y29" s="42"/>
      <c r="Z29" s="42"/>
      <c r="AA29" s="42"/>
    </row>
    <row r="30" spans="2:27">
      <c r="B30" s="5" t="s">
        <v>584</v>
      </c>
      <c r="C30" s="365">
        <f>((PTT!C30/Prices!$C$172)*1000)+(_CT!C30/Prices!$C$175)+(_CU!C30/Prices!$C$175)+(_KT!C30*1000/Prices!$C$173)+(CHUNG!C30/Prices!$C$181)</f>
        <v>9752.1596303093011</v>
      </c>
      <c r="D30" s="228">
        <f>((PTT!D30/Prices!$C$172)*1000)+(_CT!D30/Prices!$C$175)+(_CU!D30/Prices!$C$175)+(_KT!D30*1000/Prices!$C$173)+(CHUNG!D30/Prices!$C$181)</f>
        <v>10199.163310859185</v>
      </c>
      <c r="E30" s="228">
        <f>((PTT!E30/Prices!$C$172)*1000)+(_CT!E30/Prices!$C$175)+(_CU!E30/Prices!$C$175)+(_KT!E30*1000/Prices!$C$173)+(CHUNG!E30/Prices!$C$181)</f>
        <v>11087.686690909268</v>
      </c>
      <c r="F30" s="228">
        <f>((PTT!F30/Prices!$C$172)*1000)+(_CT!F30/Prices!$C$175)+(_CU!F30/Prices!$C$175)+(_KT!F30*1000/Prices!$C$173)+(CHUNG!F30/Prices!$C$181)</f>
        <v>11979.041424861416</v>
      </c>
      <c r="G30" s="228">
        <f>((PTT!G30/Prices!$C$172)*1000)+(_CT!G30/Prices!$C$175)+(_CU!G30/Prices!$C$175)+(_KT!G30*1000/Prices!$C$173)+(CHUNG!G30/Prices!$C$181)</f>
        <v>13649.822088789409</v>
      </c>
      <c r="H30" s="279">
        <f t="shared" si="0"/>
        <v>0.10201493844112686</v>
      </c>
      <c r="I30" s="254"/>
      <c r="J30" s="248"/>
      <c r="K30" s="248"/>
      <c r="L30" s="248"/>
      <c r="M30" s="248"/>
      <c r="N30" s="248"/>
      <c r="O30" s="5"/>
      <c r="Q30" s="5"/>
      <c r="S30" s="42"/>
      <c r="T30" s="42"/>
      <c r="U30" s="42"/>
      <c r="V30" s="147" t="s">
        <v>470</v>
      </c>
      <c r="W30" s="288">
        <f t="shared" si="1"/>
        <v>0.82849373728230991</v>
      </c>
      <c r="X30" s="288">
        <v>1</v>
      </c>
      <c r="Y30" s="42"/>
      <c r="Z30" s="42"/>
      <c r="AA30" s="42"/>
    </row>
    <row r="31" spans="2:27">
      <c r="B31" s="5" t="s">
        <v>585</v>
      </c>
      <c r="C31" s="365">
        <f>((PTT!C31/Prices!$C$172)*1000)+(_CT!C31/Prices!$C$175)+(_CU!C31/Prices!$C$175)+(_KT!C31*1000/Prices!$C$173)+(CHUNG!C31/Prices!$C$181)</f>
        <v>6236.0712622621413</v>
      </c>
      <c r="D31" s="228">
        <f>((PTT!D31/Prices!$C$172)*1000)+(_CT!D31/Prices!$C$175)+(_CU!D31/Prices!$C$175)+(_KT!D31*1000/Prices!$C$173)+(CHUNG!D31/Prices!$C$181)</f>
        <v>7087.9310916797403</v>
      </c>
      <c r="E31" s="228">
        <f>((PTT!E31/Prices!$C$172)*1000)+(_CT!E31/Prices!$C$175)+(_CU!E31/Prices!$C$175)+(_KT!E31*1000/Prices!$C$173)+(CHUNG!E31/Prices!$C$181)</f>
        <v>7826.5862908069194</v>
      </c>
      <c r="F31" s="228">
        <f>((PTT!F31/Prices!$C$172)*1000)+(_CT!F31/Prices!$C$175)+(_CU!F31/Prices!$C$175)+(_KT!F31*1000/Prices!$C$173)+(CHUNG!F31/Prices!$C$181)</f>
        <v>8965.3010897712447</v>
      </c>
      <c r="G31" s="228">
        <f>((PTT!G31/Prices!$C$172)*1000)+(_CT!G31/Prices!$C$175)+(_CU!G31/Prices!$C$175)+(_KT!G31*1000/Prices!$C$173)+(CHUNG!G31/Prices!$C$181)</f>
        <v>10525.589956133153</v>
      </c>
      <c r="H31" s="279">
        <f t="shared" si="0"/>
        <v>0.14088618209203663</v>
      </c>
      <c r="I31" s="254"/>
      <c r="J31" s="252"/>
      <c r="K31" s="252"/>
      <c r="L31" s="252"/>
      <c r="M31" s="252"/>
      <c r="N31" s="252"/>
      <c r="O31" s="5"/>
      <c r="Q31" s="5"/>
      <c r="S31" s="42"/>
      <c r="T31" s="42"/>
      <c r="U31" s="42"/>
      <c r="V31" s="147" t="s">
        <v>528</v>
      </c>
      <c r="W31" s="288">
        <f t="shared" si="1"/>
        <v>1.0079363435988782</v>
      </c>
      <c r="X31" s="288">
        <v>1</v>
      </c>
      <c r="Y31" s="42"/>
      <c r="Z31" s="42"/>
      <c r="AA31" s="42"/>
    </row>
    <row r="32" spans="2:27">
      <c r="B32" s="5" t="s">
        <v>601</v>
      </c>
      <c r="C32" s="365">
        <f>((PTT!C32/Prices!$C$172)*1000)+(_CT!C32/Prices!$C$175)+(_CU!C32/Prices!$C$175)+(_KT!C32*1000/Prices!$C$173)+(CHUNG!C32/Prices!$C$181)</f>
        <v>0</v>
      </c>
      <c r="D32" s="228">
        <f>((PTT!D32/Prices!$C$172)*1000)+(_CT!D32/Prices!$C$175)+(_CU!D32/Prices!$C$175)+(_KT!D32*1000/Prices!$C$173)+(CHUNG!D32/Prices!$C$181)</f>
        <v>0</v>
      </c>
      <c r="E32" s="228">
        <f>((PTT!E32/Prices!$C$172)*1000)+(_CT!E32/Prices!$C$175)+(_CU!E32/Prices!$C$175)+(_KT!E32*1000/Prices!$C$173)+(CHUNG!E32/Prices!$C$181)</f>
        <v>0</v>
      </c>
      <c r="F32" s="228">
        <f>((PTT!F32/Prices!$C$172)*1000)+(_CT!F32/Prices!$C$175)+(_CU!F32/Prices!$C$175)+(_KT!F32*1000/Prices!$C$173)+(CHUNG!F32/Prices!$C$181)</f>
        <v>86.393461147312507</v>
      </c>
      <c r="G32" s="228">
        <f>((PTT!G32/Prices!$C$172)*1000)+(_CT!G32/Prices!$C$175)+(_CU!G32/Prices!$C$175)+(_KT!G32*1000/Prices!$C$173)+(CHUNG!G32/Prices!$C$181)</f>
        <v>145.8631210215074</v>
      </c>
      <c r="H32" s="279" t="str">
        <f t="shared" si="0"/>
        <v>nm</v>
      </c>
      <c r="I32" s="5"/>
      <c r="J32" s="254"/>
      <c r="K32" s="254"/>
      <c r="L32" s="254"/>
      <c r="M32" s="254"/>
      <c r="N32" s="254"/>
      <c r="O32" s="251"/>
      <c r="Q32" s="5"/>
      <c r="S32" s="42"/>
      <c r="T32" s="42"/>
      <c r="U32" s="42"/>
      <c r="V32" s="147" t="s">
        <v>575</v>
      </c>
      <c r="W32" s="288">
        <f>M17/E45</f>
        <v>0.87161885595400024</v>
      </c>
      <c r="X32" s="288">
        <v>1</v>
      </c>
      <c r="Y32" s="42"/>
      <c r="Z32" s="42"/>
      <c r="AA32" s="42"/>
    </row>
    <row r="33" spans="2:42">
      <c r="B33" s="5" t="s">
        <v>5</v>
      </c>
      <c r="C33" s="365">
        <f>((PTT!C33/Prices!$C$172)*1000)+(_CT!C33/Prices!$C$175)+(_CU!C33/Prices!$C$175)+(_KT!C33*1000/Prices!$C$173)+(CHUNG!C33/Prices!$C$181)</f>
        <v>340.85136035285058</v>
      </c>
      <c r="D33" s="228">
        <f>((PTT!D33/Prices!$C$172)*1000)+(_CT!D33/Prices!$C$175)+(_CU!D33/Prices!$C$175)+(_KT!D33*1000/Prices!$C$173)+(CHUNG!D33/Prices!$C$181)</f>
        <v>-140.66461516930616</v>
      </c>
      <c r="E33" s="228">
        <f>((PTT!E33/Prices!$C$172)*1000)+(_CT!E33/Prices!$C$175)+(_CU!E33/Prices!$C$175)+(_KT!E33*1000/Prices!$C$173)+(CHUNG!E33/Prices!$C$181)</f>
        <v>-231.51765860438675</v>
      </c>
      <c r="F33" s="228">
        <f>((PTT!F33/Prices!$C$172)*1000)+(_CT!F33/Prices!$C$175)+(_CU!F33/Prices!$C$175)+(_KT!F33*1000/Prices!$C$173)+(CHUNG!F33/Prices!$C$181)</f>
        <v>-197.4766402206549</v>
      </c>
      <c r="G33" s="228">
        <f>((PTT!G33/Prices!$C$172)*1000)+(_CT!G33/Prices!$C$175)+(_CU!G33/Prices!$C$175)+(_KT!G33*1000/Prices!$C$173)+(CHUNG!G33/Prices!$C$181)</f>
        <v>-166.50074769560536</v>
      </c>
      <c r="H33" s="279">
        <f t="shared" si="0"/>
        <v>5.7816755673558928E-2</v>
      </c>
      <c r="I33" s="49"/>
      <c r="J33" s="254"/>
      <c r="K33" s="254"/>
      <c r="L33" s="254"/>
      <c r="M33" s="254"/>
      <c r="N33" s="254"/>
      <c r="O33" s="251"/>
      <c r="Q33" s="5"/>
      <c r="S33" s="42"/>
      <c r="T33" s="42"/>
      <c r="U33" s="42"/>
      <c r="V33" s="147" t="s">
        <v>576</v>
      </c>
      <c r="W33" s="288">
        <f>M19/E47</f>
        <v>0.82849373728230991</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542</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0.72179052480025807</v>
      </c>
      <c r="E37" s="553">
        <f t="shared" si="2"/>
        <v>0.65862455861937741</v>
      </c>
      <c r="F37" s="553">
        <f t="shared" si="2"/>
        <v>0.57511767769053557</v>
      </c>
      <c r="G37" s="553">
        <f t="shared" si="2"/>
        <v>0.50184464161030917</v>
      </c>
      <c r="H37" s="17">
        <f t="shared" ref="H37:H45" si="3">H23</f>
        <v>3.9823056089359321E-2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2.5844603218563007</v>
      </c>
      <c r="E38" s="553">
        <f t="shared" si="2"/>
        <v>2.3596435443262704</v>
      </c>
      <c r="F38" s="553">
        <f t="shared" si="2"/>
        <v>2.0737621135299946</v>
      </c>
      <c r="G38" s="553">
        <f t="shared" si="2"/>
        <v>1.8025366166966303</v>
      </c>
      <c r="H38" s="17">
        <f t="shared" si="3"/>
        <v>3.8741314755313283E-2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7.6830084749731702</v>
      </c>
      <c r="E39" s="553">
        <f t="shared" si="2"/>
        <v>6.0682497469028203</v>
      </c>
      <c r="F39" s="553">
        <f t="shared" si="2"/>
        <v>5.0701991562889379</v>
      </c>
      <c r="G39" s="553">
        <f t="shared" si="2"/>
        <v>4.2178450053552377</v>
      </c>
      <c r="H39" s="17">
        <f t="shared" si="3"/>
        <v>0.12501689969524077</v>
      </c>
      <c r="I39" s="5"/>
      <c r="J39" s="5"/>
      <c r="K39" s="5"/>
      <c r="L39" s="5"/>
      <c r="M39" s="5"/>
      <c r="N39" s="5"/>
      <c r="O39" s="5"/>
      <c r="Q39" s="5"/>
      <c r="R39" s="5"/>
      <c r="S39" s="42"/>
      <c r="T39" s="42"/>
      <c r="U39" s="42"/>
      <c r="V39" s="42"/>
      <c r="W39" s="288"/>
      <c r="X39" s="288"/>
      <c r="Y39" s="42"/>
      <c r="Z39" s="42"/>
      <c r="AA39" s="42"/>
    </row>
    <row r="40" spans="2:42">
      <c r="B40" s="5" t="s">
        <v>461</v>
      </c>
      <c r="C40" s="247"/>
      <c r="D40" s="553">
        <f t="shared" si="2"/>
        <v>9.7445981023773971</v>
      </c>
      <c r="E40" s="553">
        <f t="shared" si="2"/>
        <v>7.7213843044960884</v>
      </c>
      <c r="F40" s="553">
        <f t="shared" si="2"/>
        <v>6.4619823390887365</v>
      </c>
      <c r="G40" s="553">
        <f t="shared" si="2"/>
        <v>5.3774055925875457</v>
      </c>
      <c r="H40" s="17">
        <f t="shared" si="3"/>
        <v>0.1230761218841967</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0.76707177921799474</v>
      </c>
      <c r="E41" s="553">
        <f t="shared" si="2"/>
        <v>0.73152122895956395</v>
      </c>
      <c r="F41" s="553">
        <f t="shared" si="2"/>
        <v>0.6775320179065335</v>
      </c>
      <c r="G41" s="553">
        <f t="shared" si="2"/>
        <v>0.61851588888156894</v>
      </c>
      <c r="H41" s="17">
        <f t="shared" si="3"/>
        <v>-1.0291737415997981E-2</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0.83668137815286625</v>
      </c>
      <c r="E42" s="553">
        <f>E18/E28</f>
        <v>0.81399875472260375</v>
      </c>
      <c r="F42" s="553">
        <f>F18/F28</f>
        <v>0.76471659265493064</v>
      </c>
      <c r="G42" s="553">
        <f>G18/G28</f>
        <v>0.75954864390152499</v>
      </c>
      <c r="H42" s="17">
        <f t="shared" si="3"/>
        <v>-4.8635406216775201E-2</v>
      </c>
      <c r="I42" s="247"/>
      <c r="J42" s="5"/>
      <c r="K42" s="5"/>
      <c r="L42" s="5"/>
      <c r="M42" s="5"/>
      <c r="N42" s="5"/>
      <c r="O42" s="5"/>
      <c r="Q42" s="5"/>
      <c r="R42" s="5"/>
      <c r="S42" s="42"/>
      <c r="T42" s="42"/>
      <c r="U42" s="42"/>
      <c r="V42" s="42"/>
      <c r="W42" s="288"/>
      <c r="X42" s="288"/>
      <c r="Y42" s="288"/>
      <c r="Z42" s="288"/>
      <c r="AA42" s="42"/>
    </row>
    <row r="43" spans="2:42">
      <c r="B43" s="5" t="s">
        <v>470</v>
      </c>
      <c r="C43" s="247"/>
      <c r="D43" s="553">
        <f>L26/D29</f>
        <v>10.839753869523928</v>
      </c>
      <c r="E43" s="553">
        <f>M26/E29</f>
        <v>9.0219820005497162</v>
      </c>
      <c r="F43" s="553">
        <f>N26/F29</f>
        <v>8.0842878667365934</v>
      </c>
      <c r="G43" s="553">
        <f>O26/G29</f>
        <v>7.2868077529536093</v>
      </c>
      <c r="H43" s="17">
        <f t="shared" si="3"/>
        <v>0.14199839323879559</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13.216128747778813</v>
      </c>
      <c r="E44" s="553">
        <f>E11/E30</f>
        <v>12.171437698931255</v>
      </c>
      <c r="F44" s="553">
        <f>F11/F30</f>
        <v>11.265766850391591</v>
      </c>
      <c r="G44" s="553">
        <f>G11/G30</f>
        <v>9.8868019601887909</v>
      </c>
      <c r="H44" s="17">
        <f t="shared" si="3"/>
        <v>0.10201493844112686</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5.2583644129876955E-2</v>
      </c>
      <c r="E45" s="248">
        <f>E31/E11</f>
        <v>5.7994866359433496E-2</v>
      </c>
      <c r="F45" s="248">
        <f>F31/F11</f>
        <v>6.6432722933635599E-2</v>
      </c>
      <c r="G45" s="248">
        <f>G31/G11</f>
        <v>7.7994435910985468E-2</v>
      </c>
      <c r="H45" s="17">
        <f t="shared" si="3"/>
        <v>0.14088618209203663</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5.2583644129876955E-2</v>
      </c>
      <c r="E46" s="248">
        <f>(E31+E32)/E11</f>
        <v>5.7994866359433496E-2</v>
      </c>
      <c r="F46" s="248">
        <f>(F31+F32)/F11</f>
        <v>6.7072896956817646E-2</v>
      </c>
      <c r="G46" s="248">
        <f>(G31+G32)/G11</f>
        <v>7.9075279064832568E-2</v>
      </c>
      <c r="H46" s="279">
        <f>((G31+G32)/(D31+D32))^(1/3)-1</f>
        <v>0.14613213880568821</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9.2253017184413158E-2</v>
      </c>
      <c r="E47" s="248">
        <f>1/E43</f>
        <v>0.11084038961051676</v>
      </c>
      <c r="F47" s="248">
        <f>1/F43</f>
        <v>0.12369673327870656</v>
      </c>
      <c r="G47" s="248">
        <f>1/G43</f>
        <v>0.13723430532315931</v>
      </c>
      <c r="H47" s="17">
        <f>H29</f>
        <v>0.14199839323879559</v>
      </c>
      <c r="I47" s="247"/>
      <c r="J47" s="248"/>
      <c r="K47" s="248"/>
      <c r="L47" s="248"/>
      <c r="M47" s="248"/>
      <c r="N47" s="248"/>
      <c r="O47" s="248"/>
      <c r="Q47" s="5"/>
      <c r="R47" s="5"/>
      <c r="S47" s="5"/>
      <c r="T47" s="5"/>
      <c r="U47" s="5"/>
      <c r="AA47" s="303"/>
      <c r="AB47" s="303"/>
    </row>
    <row r="48" spans="2:42">
      <c r="B48" s="5" t="s">
        <v>613</v>
      </c>
      <c r="C48" s="5"/>
      <c r="D48" s="305">
        <f>D31/D29</f>
        <v>0.5699947808515442</v>
      </c>
      <c r="E48" s="305">
        <f>E31/E29</f>
        <v>0.52322915590109986</v>
      </c>
      <c r="F48" s="305">
        <f>F31/F29</f>
        <v>0.53706178507648616</v>
      </c>
      <c r="G48" s="305">
        <f>G31/G29</f>
        <v>0.568331020199484</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67">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813</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29</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'EM CELLULAR'!D37</f>
        <v>2.3633605749224893</v>
      </c>
      <c r="M9" s="64">
        <f>'EM CELLULAR'!E37</f>
        <v>2.2492348089852174</v>
      </c>
      <c r="N9" s="64">
        <f>'EM CELLULAR'!F37</f>
        <v>2.0126947496551715</v>
      </c>
      <c r="O9" s="64">
        <f>'EM CELLULAR'!G37</f>
        <v>1.7794170168899046</v>
      </c>
      <c r="P9" s="17">
        <f>'EM CELLULAR'!H37</f>
        <v>4.6449022636606552E-2</v>
      </c>
    </row>
    <row r="10" spans="2:63">
      <c r="B10" s="5" t="s">
        <v>269</v>
      </c>
      <c r="C10" s="5"/>
      <c r="D10" s="332"/>
      <c r="E10" s="332"/>
      <c r="F10" s="332"/>
      <c r="G10" s="332"/>
      <c r="H10" s="247"/>
      <c r="I10" s="247"/>
      <c r="J10" s="5" t="s">
        <v>180</v>
      </c>
      <c r="L10" s="64">
        <f>'EM CELLULAR'!D38</f>
        <v>6.3987600118023149</v>
      </c>
      <c r="M10" s="64">
        <f>'EM CELLULAR'!E38</f>
        <v>6.0988539640971684</v>
      </c>
      <c r="N10" s="64">
        <f>'EM CELLULAR'!F38</f>
        <v>5.4062212910944272</v>
      </c>
      <c r="O10" s="64">
        <f>'EM CELLULAR'!G38</f>
        <v>4.7363909360102729</v>
      </c>
      <c r="P10" s="17">
        <f>'EM CELLULAR'!H38</f>
        <v>5.2406256537620211E-2</v>
      </c>
      <c r="W10" s="10"/>
      <c r="X10" s="10"/>
      <c r="Y10" s="10"/>
      <c r="Z10" s="10"/>
    </row>
    <row r="11" spans="2:63">
      <c r="B11" s="41" t="s">
        <v>354</v>
      </c>
      <c r="C11" s="351"/>
      <c r="D11" s="271">
        <f>ADVANCED!D11/Prices!$C$163+AXI!D11/Prices!$C$159+BHART!D11/Prices!$C$152+_CM!D11/Prices!$C$175*1000+DIGI!D11/Prices!$C$159+FAR!D11/Prices!$C$181+IDEA!D11/Prices!$C$152+INDO!D11/Prices!$C$172*1000+_LG!D11/Prices!$C$173*1000+MAXI!D11/Prices!$C$159+SKT!D11/Prices!$C$173*1000+TAIWAN!D11/Prices!$C$181+XLAX!D11/Prices!$C$172*1000+TRUECORP!D11/Prices!$C$163</f>
        <v>413002.8576051257</v>
      </c>
      <c r="E11" s="271">
        <f>ADVANCED!E11/Prices!$C$163+AXI!E11/Prices!$C$159+BHART!E11/Prices!$C$152+_CM!E11/Prices!$C$175*1000+DIGI!E11/Prices!$C$159+FAR!E11/Prices!$C$181+IDEA!E11/Prices!$C$152+INDO!E11/Prices!$C$172*1000+_LG!E11/Prices!$C$173*1000+MAXI!E11/Prices!$C$159+SKT!E11/Prices!$C$173*1000+TAIWAN!E11/Prices!$C$181+XLAX!E11/Prices!$C$172*1000+TRUECORP!E11/Prices!$C$163</f>
        <v>415921.7135502756</v>
      </c>
      <c r="F11" s="271">
        <f>ADVANCED!F11/Prices!$C$163+AXI!F11/Prices!$C$159+BHART!F11/Prices!$C$152+_CM!F11/Prices!$C$175*1000+DIGI!F11/Prices!$C$159+FAR!F11/Prices!$C$181+IDEA!F11/Prices!$C$152+INDO!F11/Prices!$C$172*1000+_LG!F11/Prices!$C$173*1000+MAXI!F11/Prices!$C$159+SKT!F11/Prices!$C$173*1000+TAIWAN!F11/Prices!$C$181+XLAX!F11/Prices!$C$172*1000+TRUECORP!F11/Prices!$C$163</f>
        <v>415921.7135502756</v>
      </c>
      <c r="G11" s="271">
        <f>ADVANCED!G11/Prices!$C$163+AXI!G11/Prices!$C$159+BHART!G11/Prices!$C$152+_CM!G11/Prices!$C$175*1000+DIGI!G11/Prices!$C$159+FAR!G11/Prices!$C$181+IDEA!G11/Prices!$C$152+INDO!G11/Prices!$C$172*1000+_LG!G11/Prices!$C$173*1000+MAXI!G11/Prices!$C$159+SKT!G11/Prices!$C$173*1000+TAIWAN!G11/Prices!$C$181+XLAX!G11/Prices!$C$172*1000+TRUECORP!G11/Prices!$C$163</f>
        <v>415921.7135502756</v>
      </c>
      <c r="H11" s="249"/>
      <c r="I11" s="249"/>
      <c r="J11" s="5" t="s">
        <v>181</v>
      </c>
      <c r="L11" s="64">
        <f>'EM CELLULAR'!D39</f>
        <v>12.354841094717424</v>
      </c>
      <c r="M11" s="64">
        <f>'EM CELLULAR'!E39</f>
        <v>11.255278834896844</v>
      </c>
      <c r="N11" s="64">
        <f>'EM CELLULAR'!F39</f>
        <v>9.5104933094138762</v>
      </c>
      <c r="O11" s="64">
        <f>'EM CELLULAR'!G39</f>
        <v>7.9868347347493183</v>
      </c>
      <c r="P11" s="17">
        <f>'EM CELLULAR'!H39</f>
        <v>0.10100210602425808</v>
      </c>
      <c r="W11" s="10"/>
      <c r="X11" s="10"/>
      <c r="Y11" s="10"/>
      <c r="Z11" s="10"/>
    </row>
    <row r="12" spans="2:63">
      <c r="B12" s="5" t="s">
        <v>225</v>
      </c>
      <c r="C12" s="249"/>
      <c r="D12" s="228">
        <f>ADVANCED!D12/Prices!$C$163+AXI!D12/Prices!$C$159+BHART!D12/Prices!$C$152+_CM!D12/Prices!$C$175*1000+DIGI!D12/Prices!$C$159+FAR!D12/Prices!$C$181+IDEA!D12/Prices!$C$152+INDO!D12/Prices!$C$172*1000+_LG!D12/Prices!$C$173*1000+MAXI!D12/Prices!$C$159+SKT!D12/Prices!$C$173*1000+TAIWAN!D12/Prices!$C$181+XLAX!D12/Prices!$C$172*1000+TRUECORP!D12/Prices!$C$163</f>
        <v>91505.851971210053</v>
      </c>
      <c r="E12" s="228">
        <f>ADVANCED!E12/Prices!$C$163+AXI!E12/Prices!$C$159+BHART!E12/Prices!$C$152+_CM!E12/Prices!$C$175*1000+DIGI!E12/Prices!$C$159+FAR!E12/Prices!$C$181+IDEA!E12/Prices!$C$152+INDO!E12/Prices!$C$172*1000+_LG!E12/Prices!$C$173*1000+MAXI!E12/Prices!$C$159+SKT!E12/Prices!$C$173*1000+TAIWAN!E12/Prices!$C$181+XLAX!E12/Prices!$C$172*1000+TRUECORP!E12/Prices!$C$163</f>
        <v>79524.501596159345</v>
      </c>
      <c r="F12" s="228">
        <f>ADVANCED!F12/Prices!$C$163+AXI!F12/Prices!$C$159+BHART!F12/Prices!$C$152+_CM!F12/Prices!$C$175*1000+DIGI!F12/Prices!$C$159+FAR!F12/Prices!$C$181+IDEA!F12/Prices!$C$152+INDO!F12/Prices!$C$172*1000+_LG!F12/Prices!$C$173*1000+MAXI!F12/Prices!$C$159+SKT!F12/Prices!$C$173*1000+TAIWAN!F12/Prices!$C$181+XLAX!F12/Prices!$C$172*1000+TRUECORP!F12/Prices!$C$163</f>
        <v>68545.059708995046</v>
      </c>
      <c r="G12" s="228">
        <f>ADVANCED!G12/Prices!$C$163+AXI!G12/Prices!$C$159+BHART!G12/Prices!$C$152+_CM!G12/Prices!$C$175*1000+DIGI!G12/Prices!$C$159+FAR!G12/Prices!$C$181+IDEA!G12/Prices!$C$152+INDO!G12/Prices!$C$172*1000+_LG!G12/Prices!$C$173*1000+MAXI!G12/Prices!$C$159+SKT!G12/Prices!$C$173*1000+TAIWAN!G12/Prices!$C$181+XLAX!G12/Prices!$C$172*1000+TRUECORP!G12/Prices!$C$163</f>
        <v>55172.449930880903</v>
      </c>
      <c r="H12" s="247"/>
      <c r="I12" s="247"/>
      <c r="J12" s="5" t="s">
        <v>461</v>
      </c>
      <c r="L12" s="64">
        <f>'EM CELLULAR'!D40</f>
        <v>15.793747180179601</v>
      </c>
      <c r="M12" s="64">
        <f>'EM CELLULAR'!E40</f>
        <v>14.497838545954387</v>
      </c>
      <c r="N12" s="64">
        <f>'EM CELLULAR'!F40</f>
        <v>12.508534104316029</v>
      </c>
      <c r="O12" s="64">
        <f>'EM CELLULAR'!G40</f>
        <v>10.530054441456244</v>
      </c>
      <c r="P12" s="17">
        <f>'EM CELLULAR'!H40</f>
        <v>8.9729855374904854E-2</v>
      </c>
      <c r="W12" s="10"/>
      <c r="X12" s="10"/>
      <c r="Y12" s="10"/>
      <c r="Z12" s="10"/>
    </row>
    <row r="13" spans="2:63">
      <c r="B13" s="5" t="s">
        <v>524</v>
      </c>
      <c r="C13" s="257"/>
      <c r="D13" s="228">
        <f>ADVANCED!D13/Prices!$C$163+AXI!D13/Prices!$C$159+BHART!D13/Prices!$C$152+_CM!D13/Prices!$C$175*1000+DIGI!D13/Prices!$C$159+FAR!D13/Prices!$C$181+IDEA!D13/Prices!$C$152+INDO!D13/Prices!$C$172*1000+_LG!D13/Prices!$C$173*1000+MAXI!D13/Prices!$C$159+SKT!D13/Prices!$C$173*1000+TAIWAN!D13/Prices!$C$181+XLAX!D13/Prices!$C$172*1000+TRUECORP!D13/Prices!$C$163</f>
        <v>5639.611079156256</v>
      </c>
      <c r="E13" s="228">
        <f>ADVANCED!E13/Prices!$C$163+AXI!E13/Prices!$C$159+BHART!E13/Prices!$C$152+_CM!E13/Prices!$C$175*1000+DIGI!E13/Prices!$C$159+FAR!E13/Prices!$C$181+IDEA!E13/Prices!$C$152+INDO!E13/Prices!$C$172*1000+_LG!E13/Prices!$C$173*1000+MAXI!E13/Prices!$C$159+SKT!E13/Prices!$C$173*1000+TAIWAN!E13/Prices!$C$181+XLAX!E13/Prices!$C$172*1000+TRUECORP!E13/Prices!$C$163</f>
        <v>5269.5523982385457</v>
      </c>
      <c r="F13" s="228">
        <f>ADVANCED!F13/Prices!$C$163+AXI!F13/Prices!$C$159+BHART!F13/Prices!$C$152+_CM!F13/Prices!$C$175*1000+DIGI!F13/Prices!$C$159+FAR!F13/Prices!$C$181+IDEA!F13/Prices!$C$152+INDO!F13/Prices!$C$172*1000+_LG!F13/Prices!$C$173*1000+MAXI!F13/Prices!$C$159+SKT!F13/Prices!$C$173*1000+TAIWAN!F13/Prices!$C$181+XLAX!F13/Prices!$C$172*1000+TRUECORP!F13/Prices!$C$163</f>
        <v>4874.9781886736519</v>
      </c>
      <c r="G13" s="228">
        <f>ADVANCED!G13/Prices!$C$163+AXI!G13/Prices!$C$159+BHART!G13/Prices!$C$152+_CM!G13/Prices!$C$175*1000+DIGI!G13/Prices!$C$159+FAR!G13/Prices!$C$181+IDEA!G13/Prices!$C$152+INDO!G13/Prices!$C$172*1000+_LG!G13/Prices!$C$173*1000+MAXI!G13/Prices!$C$159+SKT!G13/Prices!$C$173*1000+TAIWAN!G13/Prices!$C$181+XLAX!G13/Prices!$C$172*1000+TRUECORP!G13/Prices!$C$163</f>
        <v>4453.8110110316356</v>
      </c>
      <c r="H13" s="247"/>
      <c r="I13" s="247"/>
      <c r="J13" s="5" t="s">
        <v>525</v>
      </c>
      <c r="L13" s="64">
        <f>'EM CELLULAR'!D41</f>
        <v>1.5248467904271694</v>
      </c>
      <c r="M13" s="64">
        <f>'EM CELLULAR'!E41</f>
        <v>1.5383461925366451</v>
      </c>
      <c r="N13" s="64">
        <f>'EM CELLULAR'!F41</f>
        <v>1.4721220686093988</v>
      </c>
      <c r="O13" s="64">
        <f>'EM CELLULAR'!G41</f>
        <v>1.3935425458382409</v>
      </c>
      <c r="P13" s="17">
        <f>'EM CELLULAR'!H41</f>
        <v>-1.8999293431604336E-2</v>
      </c>
    </row>
    <row r="14" spans="2:63">
      <c r="B14" s="5" t="s">
        <v>527</v>
      </c>
      <c r="C14" s="274"/>
      <c r="D14" s="228">
        <f>ADVANCED!D14/Prices!$C$163+AXI!D14/Prices!$C$159+BHART!D14/Prices!$C$152+_CM!D14/Prices!$C$175*1000+DIGI!D14/Prices!$C$159+FAR!D14/Prices!$C$181+IDEA!D14/Prices!$C$152+INDO!D14/Prices!$C$172*1000+_LG!D14/Prices!$C$173*1000+MAXI!D14/Prices!$C$159+SKT!D14/Prices!$C$173*1000+TAIWAN!D14/Prices!$C$181+XLAX!D14/Prices!$C$172*1000+TRUECORP!D14/Prices!$C$163</f>
        <v>16550.148023104102</v>
      </c>
      <c r="E14" s="228">
        <f>ADVANCED!E14/Prices!$C$163+AXI!E14/Prices!$C$159+BHART!E14/Prices!$C$152+_CM!E14/Prices!$C$175*1000+DIGI!E14/Prices!$C$159+FAR!E14/Prices!$C$181+IDEA!E14/Prices!$C$152+INDO!E14/Prices!$C$172*1000+_LG!E14/Prices!$C$173*1000+MAXI!E14/Prices!$C$159+SKT!E14/Prices!$C$173*1000+TAIWAN!E14/Prices!$C$181+XLAX!E14/Prices!$C$172*1000+TRUECORP!E14/Prices!$C$163</f>
        <v>14767.558574096687</v>
      </c>
      <c r="F14" s="228">
        <f>ADVANCED!F14/Prices!$C$163+AXI!F14/Prices!$C$159+BHART!F14/Prices!$C$152+_CM!F14/Prices!$C$175*1000+DIGI!F14/Prices!$C$159+FAR!F14/Prices!$C$181+IDEA!F14/Prices!$C$152+INDO!F14/Prices!$C$172*1000+_LG!F14/Prices!$C$173*1000+MAXI!F14/Prices!$C$159+SKT!F14/Prices!$C$173*1000+TAIWAN!F14/Prices!$C$181+XLAX!F14/Prices!$C$172*1000+TRUECORP!F14/Prices!$C$163</f>
        <v>14764.51459223034</v>
      </c>
      <c r="G14" s="228">
        <f>ADVANCED!G14/Prices!$C$163+AXI!G14/Prices!$C$159+BHART!G14/Prices!$C$152+_CM!G14/Prices!$C$175*1000+DIGI!G14/Prices!$C$159+FAR!G14/Prices!$C$181+IDEA!G14/Prices!$C$152+INDO!G14/Prices!$C$172*1000+_LG!G14/Prices!$C$173*1000+MAXI!G14/Prices!$C$159+SKT!G14/Prices!$C$173*1000+TAIWAN!G14/Prices!$C$181+XLAX!G14/Prices!$C$172*1000+TRUECORP!G14/Prices!$C$163</f>
        <v>14762.992601297166</v>
      </c>
      <c r="H14" s="247"/>
      <c r="I14" s="247"/>
      <c r="J14" s="5" t="s">
        <v>588</v>
      </c>
      <c r="L14" s="64">
        <f>'EM CELLULAR'!D42</f>
        <v>2.7624241253170956</v>
      </c>
      <c r="M14" s="64">
        <f>'EM CELLULAR'!E42</f>
        <v>2.6732057804679736</v>
      </c>
      <c r="N14" s="64">
        <f>'EM CELLULAR'!F42</f>
        <v>2.4753011765074051</v>
      </c>
      <c r="O14" s="64">
        <f>'EM CELLULAR'!G42</f>
        <v>2.2720312772237086</v>
      </c>
      <c r="P14" s="17">
        <f>'EM CELLULAR'!H42</f>
        <v>1.6075575533494924E-2</v>
      </c>
    </row>
    <row r="15" spans="2:63">
      <c r="B15" s="5" t="s">
        <v>526</v>
      </c>
      <c r="C15" s="257"/>
      <c r="D15" s="228">
        <f>ADVANCED!D15/Prices!$C$163+AXI!D15/Prices!$C$159+BHART!D15/Prices!$C$152+_CM!D15/Prices!$C$175*1000+DIGI!D15/Prices!$C$159+FAR!D15/Prices!$C$181+IDEA!D15/Prices!$C$152+INDO!D15/Prices!$C$172*1000+_LG!D15/Prices!$C$173*1000+MAXI!D15/Prices!$C$159+SKT!D15/Prices!$C$173*1000+TAIWAN!D15/Prices!$C$181+XLAX!D15/Prices!$C$172*1000+TRUECORP!D15/Prices!$C$163</f>
        <v>11993.526478113052</v>
      </c>
      <c r="E15" s="228">
        <f>ADVANCED!E15/Prices!$C$163+AXI!E15/Prices!$C$159+BHART!E15/Prices!$C$152+_CM!E15/Prices!$C$175*1000+DIGI!E15/Prices!$C$159+FAR!E15/Prices!$C$181+IDEA!E15/Prices!$C$152+INDO!E15/Prices!$C$172*1000+_LG!E15/Prices!$C$173*1000+MAXI!E15/Prices!$C$159+SKT!E15/Prices!$C$173*1000+TAIWAN!E15/Prices!$C$181+XLAX!E15/Prices!$C$172*1000+TRUECORP!E15/Prices!$C$163</f>
        <v>11985.422817391178</v>
      </c>
      <c r="F15" s="228">
        <f>ADVANCED!F15/Prices!$C$163+AXI!F15/Prices!$C$159+BHART!F15/Prices!$C$152+_CM!F15/Prices!$C$175*1000+DIGI!F15/Prices!$C$159+FAR!F15/Prices!$C$181+IDEA!F15/Prices!$C$152+INDO!F15/Prices!$C$172*1000+_LG!F15/Prices!$C$173*1000+MAXI!F15/Prices!$C$159+SKT!F15/Prices!$C$173*1000+TAIWAN!F15/Prices!$C$181+XLAX!F15/Prices!$C$172*1000+TRUECORP!F15/Prices!$C$163</f>
        <v>12002.44036153524</v>
      </c>
      <c r="G15" s="228">
        <f>ADVANCED!G15/Prices!$C$163+AXI!G15/Prices!$C$159+BHART!G15/Prices!$C$152+_CM!G15/Prices!$C$175*1000+DIGI!G15/Prices!$C$159+FAR!G15/Prices!$C$181+IDEA!G15/Prices!$C$152+INDO!G15/Prices!$C$172*1000+_LG!G15/Prices!$C$173*1000+MAXI!G15/Prices!$C$159+SKT!G15/Prices!$C$173*1000+TAIWAN!G15/Prices!$C$181+XLAX!G15/Prices!$C$172*1000+TRUECORP!G15/Prices!$C$163</f>
        <v>12042.969730407011</v>
      </c>
      <c r="H15" s="247"/>
      <c r="I15" s="247"/>
      <c r="J15" s="5" t="s">
        <v>470</v>
      </c>
      <c r="L15" s="64">
        <f>'EM CELLULAR'!D43</f>
        <v>24.107062077664011</v>
      </c>
      <c r="M15" s="64">
        <f>'EM CELLULAR'!E43</f>
        <v>20.678797637593679</v>
      </c>
      <c r="N15" s="64">
        <f>'EM CELLULAR'!F43</f>
        <v>17.221097288297262</v>
      </c>
      <c r="O15" s="64">
        <f>'EM CELLULAR'!G43</f>
        <v>14.37930180381365</v>
      </c>
      <c r="P15" s="17">
        <f>'EM CELLULAR'!H43</f>
        <v>0.18889227648007534</v>
      </c>
      <c r="S15" s="88"/>
      <c r="T15" s="88"/>
      <c r="U15" s="88"/>
      <c r="V15" s="42"/>
      <c r="W15" s="42"/>
      <c r="X15" s="42"/>
      <c r="Y15" s="42"/>
      <c r="Z15" s="42"/>
      <c r="AA15" s="42"/>
    </row>
    <row r="16" spans="2:63">
      <c r="B16" s="5" t="s">
        <v>529</v>
      </c>
      <c r="C16" s="257"/>
      <c r="D16" s="228">
        <f>ADVANCED!D16/Prices!$C$163+AXI!D16/Prices!$C$159+BHART!D16/Prices!$C$152+_CM!D16/Prices!$C$175*1000+DIGI!D16/Prices!$C$159+FAR!D16/Prices!$C$181+IDEA!D16/Prices!$C$152+INDO!D16/Prices!$C$172*1000+_LG!D16/Prices!$C$173*1000+MAXI!D16/Prices!$C$159+SKT!D16/Prices!$C$173*1000+TAIWAN!D16/Prices!$C$181+XLAX!D16/Prices!$C$172*1000+TRUECORP!D16/Prices!$C$163</f>
        <v>3141.3226215377231</v>
      </c>
      <c r="E16" s="228">
        <f>ADVANCED!E16/Prices!$C$163+AXI!E16/Prices!$C$159+BHART!E16/Prices!$C$152+_CM!E16/Prices!$C$175*1000+DIGI!E16/Prices!$C$159+FAR!E16/Prices!$C$181+IDEA!E16/Prices!$C$152+INDO!E16/Prices!$C$172*1000+_LG!E16/Prices!$C$173*1000+MAXI!E16/Prices!$C$159+SKT!E16/Prices!$C$173*1000+TAIWAN!E16/Prices!$C$181+XLAX!E16/Prices!$C$172*1000+TRUECORP!E16/Prices!$C$163</f>
        <v>3939.0493255757901</v>
      </c>
      <c r="F16" s="228">
        <f>ADVANCED!F16/Prices!$C$163+AXI!F16/Prices!$C$159+BHART!F16/Prices!$C$152+_CM!F16/Prices!$C$175*1000+DIGI!F16/Prices!$C$159+FAR!F16/Prices!$C$181+IDEA!F16/Prices!$C$152+INDO!F16/Prices!$C$172*1000+_LG!F16/Prices!$C$173*1000+MAXI!F16/Prices!$C$159+SKT!F16/Prices!$C$173*1000+TAIWAN!F16/Prices!$C$181+XLAX!F16/Prices!$C$172*1000+TRUECORP!F16/Prices!$C$163</f>
        <v>24337.1617352879</v>
      </c>
      <c r="G16" s="228">
        <f>ADVANCED!G16/Prices!$C$163+AXI!G16/Prices!$C$159+BHART!G16/Prices!$C$152+_CM!G16/Prices!$C$175*1000+DIGI!G16/Prices!$C$159+FAR!G16/Prices!$C$181+IDEA!G16/Prices!$C$152+INDO!G16/Prices!$C$172*1000+_LG!G16/Prices!$C$173*1000+MAXI!G16/Prices!$C$159+SKT!G16/Prices!$C$173*1000+TAIWAN!G16/Prices!$C$181+XLAX!G16/Prices!$C$172*1000+TRUECORP!G16/Prices!$C$163</f>
        <v>46553.928046399131</v>
      </c>
      <c r="H16" s="247"/>
      <c r="I16" s="247"/>
      <c r="J16" s="5" t="s">
        <v>528</v>
      </c>
      <c r="L16" s="64">
        <f>'EM CELLULAR'!D44</f>
        <v>20.954288205249199</v>
      </c>
      <c r="M16" s="64">
        <f>'EM CELLULAR'!E44</f>
        <v>17.944541054613072</v>
      </c>
      <c r="N16" s="64">
        <f>'EM CELLULAR'!F44</f>
        <v>15.012709911805581</v>
      </c>
      <c r="O16" s="64">
        <f>'EM CELLULAR'!G44</f>
        <v>13.042817542084691</v>
      </c>
      <c r="P16" s="17">
        <f>'EM CELLULAR'!H44</f>
        <v>0.17290611502365838</v>
      </c>
      <c r="S16" s="88"/>
      <c r="T16" s="88"/>
      <c r="U16" s="88"/>
      <c r="V16" s="42"/>
      <c r="W16" s="42"/>
      <c r="X16" s="42"/>
      <c r="Y16" s="42"/>
      <c r="Z16" s="42"/>
      <c r="AA16" s="42"/>
    </row>
    <row r="17" spans="2:27">
      <c r="B17" s="5" t="s">
        <v>6</v>
      </c>
      <c r="C17" s="257"/>
      <c r="D17" s="228">
        <f>ADVANCED!D17/Prices!$C$163+AXI!D17/Prices!$C$159+BHART!D17/Prices!$C$152+_CM!D17/Prices!$C$175*1000+DIGI!D17/Prices!$C$159+FAR!D17/Prices!$C$181+IDEA!D17/Prices!$C$152+INDO!D17/Prices!$C$172*1000+_LG!D17/Prices!$C$173*1000+MAXI!D17/Prices!$C$159+SKT!D17/Prices!$C$173*1000+TAIWAN!D17/Prices!$C$181+XLAX!D17/Prices!$C$172*1000+TRUECORP!D17/Prices!$C$163</f>
        <v>0</v>
      </c>
      <c r="E17" s="228">
        <f>ADVANCED!E17/Prices!$C$163+AXI!E17/Prices!$C$159+BHART!E17/Prices!$C$152+_CM!E17/Prices!$C$175*1000+DIGI!E17/Prices!$C$159+FAR!E17/Prices!$C$181+IDEA!E17/Prices!$C$152+INDO!E17/Prices!$C$172*1000+_LG!E17/Prices!$C$173*1000+MAXI!E17/Prices!$C$159+SKT!E17/Prices!$C$173*1000+TAIWAN!E17/Prices!$C$181+XLAX!E17/Prices!$C$172*1000+TRUECORP!E17/Prices!$C$163</f>
        <v>0</v>
      </c>
      <c r="F17" s="228">
        <f>ADVANCED!F17/Prices!$C$163+AXI!F17/Prices!$C$159+BHART!F17/Prices!$C$152+_CM!F17/Prices!$C$175*1000+DIGI!F17/Prices!$C$159+FAR!F17/Prices!$C$181+IDEA!F17/Prices!$C$152+INDO!F17/Prices!$C$172*1000+_LG!F17/Prices!$C$173*1000+MAXI!F17/Prices!$C$159+SKT!F17/Prices!$C$173*1000+TAIWAN!F17/Prices!$C$181+XLAX!F17/Prices!$C$172*1000+TRUECORP!F17/Prices!$C$163</f>
        <v>0</v>
      </c>
      <c r="G17" s="228">
        <f>ADVANCED!G17/Prices!$C$163+AXI!G17/Prices!$C$159+BHART!G17/Prices!$C$152+_CM!G17/Prices!$C$175*1000+DIGI!G17/Prices!$C$159+FAR!G17/Prices!$C$181+IDEA!G17/Prices!$C$152+INDO!G17/Prices!$C$172*1000+_LG!G17/Prices!$C$173*1000+MAXI!G17/Prices!$C$159+SKT!G17/Prices!$C$173*1000+TAIWAN!G17/Prices!$C$181+XLAX!G17/Prices!$C$172*1000+TRUECORP!G17/Prices!$C$163</f>
        <v>0</v>
      </c>
      <c r="H17" s="247"/>
      <c r="I17" s="247"/>
      <c r="J17" s="5" t="s">
        <v>575</v>
      </c>
      <c r="L17" s="248">
        <f>'EM CELLULAR'!D45</f>
        <v>3.7116361304412031E-2</v>
      </c>
      <c r="M17" s="248">
        <f>'EM CELLULAR'!E45</f>
        <v>4.227508239193372E-2</v>
      </c>
      <c r="N17" s="248">
        <f>'EM CELLULAR'!F45</f>
        <v>4.7791817313081346E-2</v>
      </c>
      <c r="O17" s="248">
        <f>'EM CELLULAR'!G45</f>
        <v>5.4825835656098436E-2</v>
      </c>
      <c r="P17" s="17">
        <f>'EM CELLULAR'!H45</f>
        <v>0.14051948142171655</v>
      </c>
      <c r="S17" s="88"/>
      <c r="T17" s="88"/>
      <c r="U17" s="88"/>
      <c r="V17" s="42"/>
      <c r="W17" s="42"/>
      <c r="X17" s="42"/>
      <c r="Y17" s="42"/>
      <c r="Z17" s="42"/>
      <c r="AA17" s="42"/>
    </row>
    <row r="18" spans="2:27" ht="12.6" thickBot="1">
      <c r="B18" s="41" t="s">
        <v>355</v>
      </c>
      <c r="C18" s="249"/>
      <c r="D18" s="275">
        <f>ADVANCED!D18/Prices!$C$163+AXI!D18/Prices!$C$159+BHART!D18/Prices!$C$152+_CM!D18/Prices!$C$175*1000+DIGI!D18/Prices!$C$159+FAR!D18/Prices!$C$181+IDEA!D18/Prices!$C$152+INDO!D18/Prices!$C$172*1000+_LG!D18/Prices!$C$173*1000+MAXI!D18/Prices!$C$159+SKT!D18/Prices!$C$173*1000+TAIWAN!D18/Prices!$C$181+XLAX!D18/Prices!$C$172*1000+TRUECORP!D18/Prices!$C$163</f>
        <v>502450.37648896326</v>
      </c>
      <c r="E18" s="275">
        <f>ADVANCED!E18/Prices!$C$163+AXI!E18/Prices!$C$159+BHART!E18/Prices!$C$152+_CM!E18/Prices!$C$175*1000+DIGI!E18/Prices!$C$159+FAR!E18/Prices!$C$181+IDEA!E18/Prices!$C$152+INDO!E18/Prices!$C$172*1000+_LG!E18/Prices!$C$173*1000+MAXI!E18/Prices!$C$159+SKT!E18/Prices!$C$173*1000+TAIWAN!E18/Prices!$C$181+XLAX!E18/Prices!$C$172*1000+TRUECORP!E18/Prices!$C$163</f>
        <v>493994.58246239211</v>
      </c>
      <c r="F18" s="275">
        <f>ADVANCED!F18/Prices!$C$163+AXI!F18/Prices!$C$159+BHART!F18/Prices!$C$152+_CM!F18/Prices!$C$175*1000+DIGI!F18/Prices!$C$159+FAR!F18/Prices!$C$181+IDEA!F18/Prices!$C$152+INDO!F18/Prices!$C$172*1000+_LG!F18/Prices!$C$173*1000+MAXI!F18/Prices!$C$159+SKT!F18/Prices!$C$173*1000+TAIWAN!F18/Prices!$C$181+XLAX!F18/Prices!$C$172*1000+TRUECORP!F18/Prices!$C$163</f>
        <v>462242.51548196131</v>
      </c>
      <c r="G18" s="275">
        <f>ADVANCED!G18/Prices!$C$163+AXI!G18/Prices!$C$159+BHART!G18/Prices!$C$152+_CM!G18/Prices!$C$175*1000+DIGI!G18/Prices!$C$159+FAR!G18/Prices!$C$181+IDEA!G18/Prices!$C$152+INDO!G18/Prices!$C$172*1000+_LG!G18/Prices!$C$173*1000+MAXI!G18/Prices!$C$159+SKT!G18/Prices!$C$173*1000+TAIWAN!G18/Prices!$C$181+XLAX!G18/Prices!$C$172*1000+TRUECORP!G18/Prices!$C$163</f>
        <v>426274.02357489883</v>
      </c>
      <c r="H18" s="276">
        <f>IF(D18=0,"nm",IF(G18=0,"nm",(G18/D18)^(1/3)-1))</f>
        <v>-5.3330109932094416E-2</v>
      </c>
      <c r="I18" s="254"/>
      <c r="J18" s="5" t="s">
        <v>36</v>
      </c>
      <c r="L18" s="248" t="e">
        <f>'EM CELLULAR'!D46</f>
        <v>#VALUE!</v>
      </c>
      <c r="M18" s="248" t="e">
        <f>'EM CELLULAR'!E46</f>
        <v>#VALUE!</v>
      </c>
      <c r="N18" s="248" t="e">
        <f>'EM CELLULAR'!F46</f>
        <v>#VALUE!</v>
      </c>
      <c r="O18" s="248" t="e">
        <f>'EM CELLULAR'!G46</f>
        <v>#VALUE!</v>
      </c>
      <c r="P18" s="17" t="e">
        <f>'EM CELLULAR'!H46</f>
        <v>#VALUE!</v>
      </c>
      <c r="S18" s="88"/>
      <c r="T18" s="42"/>
      <c r="U18" s="42"/>
      <c r="V18" s="42"/>
      <c r="W18" s="42"/>
      <c r="X18" s="42"/>
      <c r="Y18" s="42"/>
      <c r="Z18" s="42"/>
      <c r="AA18" s="42"/>
    </row>
    <row r="19" spans="2:27" ht="12.6" thickTop="1">
      <c r="B19" s="41"/>
      <c r="C19" s="249"/>
      <c r="D19" s="229"/>
      <c r="E19" s="229"/>
      <c r="F19" s="229"/>
      <c r="G19" s="229"/>
      <c r="H19" s="276"/>
      <c r="I19" s="17"/>
      <c r="J19" s="5" t="s">
        <v>576</v>
      </c>
      <c r="L19" s="248">
        <f>'EM CELLULAR'!D47</f>
        <v>4.148162048027134E-2</v>
      </c>
      <c r="M19" s="248">
        <f>'EM CELLULAR'!E47</f>
        <v>4.8358711058810219E-2</v>
      </c>
      <c r="N19" s="248">
        <f>'EM CELLULAR'!F47</f>
        <v>5.8068309078049177E-2</v>
      </c>
      <c r="O19" s="248">
        <f>'EM CELLULAR'!G47</f>
        <v>6.954440581633678E-2</v>
      </c>
      <c r="P19" s="17">
        <f>'EM CELLULAR'!H47</f>
        <v>0.18889227648007534</v>
      </c>
      <c r="S19" s="88"/>
      <c r="T19" s="42"/>
      <c r="U19" s="42"/>
      <c r="V19" s="42"/>
      <c r="W19" s="42"/>
      <c r="X19" s="42"/>
      <c r="Y19" s="42"/>
      <c r="Z19" s="42"/>
      <c r="AA19" s="42"/>
    </row>
    <row r="20" spans="2:27">
      <c r="H20" s="277"/>
      <c r="I20" s="49"/>
      <c r="J20" s="5" t="s">
        <v>599</v>
      </c>
      <c r="L20" s="248">
        <f>'EM CELLULAR'!D48</f>
        <v>0.89903425552652083</v>
      </c>
      <c r="M20" s="248">
        <f>'EM CELLULAR'!E48</f>
        <v>0.87797834322746737</v>
      </c>
      <c r="N20" s="248">
        <f>'EM CELLULAR'!F48</f>
        <v>0.8264400051459927</v>
      </c>
      <c r="O20" s="248">
        <f>'EM CELLULAR'!G48</f>
        <v>0.79370085194664652</v>
      </c>
      <c r="P20" s="17" t="str">
        <f>'EM CELLULAR'!H48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ADVANCED!C23/Prices!$C$163+AXI!C23/Prices!$C$159+BHART!C23/Prices!$C$152+_CM!C23/Prices!$C$175*1000+DIGI!C23/Prices!$C$159+FAR!C23/Prices!$C$181+IDEA!C23/Prices!$C$152+INDO!C23/Prices!$C$172*1000+_LG!C23/Prices!$C$173*1000+MAXI!C23/Prices!$C$159+SKT!C23/Prices!$C$173*1000+TAIWAN!C23/Prices!$C$181+XLAX!C23/Prices!$C$172*1000+TRUECORP!C23/Prices!$C$163</f>
        <v>209051.56508714627</v>
      </c>
      <c r="D23" s="228">
        <f>ADVANCED!D23/Prices!$C$163+AXI!D23/Prices!$C$159+BHART!D23/Prices!$C$152+_CM!D23/Prices!$C$175*1000+DIGI!D23/Prices!$C$159+FAR!D23/Prices!$C$181+IDEA!D23/Prices!$C$152+INDO!D23/Prices!$C$172*1000+_LG!D23/Prices!$C$173*1000+MAXI!D23/Prices!$C$159+SKT!D23/Prices!$C$173*1000+TAIWAN!D23/Prices!$C$181+XLAX!D23/Prices!$C$172*1000+TRUECORP!D23/Prices!$C$163</f>
        <v>224865.47001373669</v>
      </c>
      <c r="E23" s="228">
        <f>ADVANCED!E23/Prices!$C$163+AXI!E23/Prices!$C$159+BHART!E23/Prices!$C$152+_CM!E23/Prices!$C$175*1000+DIGI!E23/Prices!$C$159+FAR!E23/Prices!$C$181+IDEA!E23/Prices!$C$152+INDO!E23/Prices!$C$172*1000+_LG!E23/Prices!$C$173*1000+MAXI!E23/Prices!$C$159+SKT!E23/Prices!$C$173*1000+TAIWAN!E23/Prices!$C$181+XLAX!E23/Prices!$C$172*1000+TRUECORP!E23/Prices!$C$163</f>
        <v>234557.17644013211</v>
      </c>
      <c r="F23" s="228">
        <f>ADVANCED!F23/Prices!$C$163+AXI!F23/Prices!$C$159+BHART!F23/Prices!$C$152+_CM!F23/Prices!$C$175*1000+DIGI!F23/Prices!$C$159+FAR!F23/Prices!$C$181+IDEA!F23/Prices!$C$152+INDO!F23/Prices!$C$172*1000+_LG!F23/Prices!$C$173*1000+MAXI!F23/Prices!$C$159+SKT!F23/Prices!$C$173*1000+TAIWAN!F23/Prices!$C$181+XLAX!F23/Prices!$C$172*1000+TRUECORP!F23/Prices!$C$163</f>
        <v>246142.84601357474</v>
      </c>
      <c r="G23" s="228">
        <f>ADVANCED!G23/Prices!$C$163+AXI!G23/Prices!$C$159+BHART!G23/Prices!$C$152+_CM!G23/Prices!$C$175*1000+DIGI!G23/Prices!$C$159+FAR!G23/Prices!$C$181+IDEA!G23/Prices!$C$152+INDO!G23/Prices!$C$172*1000+_LG!G23/Prices!$C$173*1000+MAXI!G23/Prices!$C$159+SKT!G23/Prices!$C$173*1000+TAIWAN!G23/Prices!$C$181+XLAX!G23/Prices!$C$172*1000+TRUECORP!G23/Prices!$C$163</f>
        <v>258026.97681239038</v>
      </c>
      <c r="H23" s="279">
        <f>IF(D23=0,"nm",IF(G23=0,"nm",(G23/D23)^(1/3)-1))</f>
        <v>4.6921489371530178E-2</v>
      </c>
      <c r="I23" s="249"/>
      <c r="J23" s="306" t="s">
        <v>9</v>
      </c>
      <c r="K23" s="306"/>
      <c r="L23" s="265" t="str">
        <f>L5</f>
        <v>2023E</v>
      </c>
      <c r="M23" s="265" t="str">
        <f>M5</f>
        <v>2024E</v>
      </c>
      <c r="N23" s="265" t="str">
        <f>N5</f>
        <v>2025E</v>
      </c>
      <c r="O23" s="265" t="str">
        <f>O5</f>
        <v>2026E</v>
      </c>
      <c r="P23" s="282" t="str">
        <f>P5</f>
        <v>23E-26E</v>
      </c>
      <c r="S23" s="42"/>
      <c r="T23" s="42"/>
      <c r="U23" s="42"/>
      <c r="V23" s="42"/>
      <c r="W23" s="42" t="s">
        <v>42</v>
      </c>
      <c r="X23" s="42" t="s">
        <v>558</v>
      </c>
      <c r="Y23" s="42"/>
      <c r="Z23" s="42"/>
      <c r="AA23" s="42"/>
    </row>
    <row r="24" spans="2:27" ht="12.6" thickTop="1">
      <c r="B24" s="5" t="s">
        <v>478</v>
      </c>
      <c r="C24" s="365">
        <f>ADVANCED!C24/Prices!$C$163+AXI!C24/Prices!$C$159+BHART!C24/Prices!$C$152+_CM!C24/Prices!$C$175*1000+DIGI!C24/Prices!$C$159+FAR!C24/Prices!$C$181+IDEA!C24/Prices!$C$152+INDO!C24/Prices!$C$172*1000+_LG!C24/Prices!$C$173*1000+MAXI!C24/Prices!$C$159+SKT!C24/Prices!$C$173*1000+TAIWAN!C24/Prices!$C$181+XLAX!C24/Prices!$C$172*1000+TRUECORP!C24/Prices!$C$163</f>
        <v>76329.926056699376</v>
      </c>
      <c r="D24" s="228">
        <f>ADVANCED!D24/Prices!$C$163+AXI!D24/Prices!$C$159+BHART!D24/Prices!$C$152+_CM!D24/Prices!$C$175*1000+DIGI!D24/Prices!$C$159+FAR!D24/Prices!$C$181+IDEA!D24/Prices!$C$152+INDO!D24/Prices!$C$172*1000+_LG!D24/Prices!$C$173*1000+MAXI!D24/Prices!$C$159+SKT!D24/Prices!$C$173*1000+TAIWAN!D24/Prices!$C$181+XLAX!D24/Prices!$C$172*1000+TRUECORP!D24/Prices!$C$163</f>
        <v>81135.206355353046</v>
      </c>
      <c r="E24" s="228">
        <f>ADVANCED!E24/Prices!$C$163+AXI!E24/Prices!$C$159+BHART!E24/Prices!$C$152+_CM!E24/Prices!$C$175*1000+DIGI!E24/Prices!$C$159+FAR!E24/Prices!$C$181+IDEA!E24/Prices!$C$152+INDO!E24/Prices!$C$172*1000+_LG!E24/Prices!$C$173*1000+MAXI!E24/Prices!$C$159+SKT!E24/Prices!$C$173*1000+TAIWAN!E24/Prices!$C$181+XLAX!E24/Prices!$C$172*1000+TRUECORP!E24/Prices!$C$163</f>
        <v>84875.545014865347</v>
      </c>
      <c r="F24" s="228">
        <f>ADVANCED!F24/Prices!$C$163+AXI!F24/Prices!$C$159+BHART!F24/Prices!$C$152+_CM!F24/Prices!$C$175*1000+DIGI!F24/Prices!$C$159+FAR!F24/Prices!$C$181+IDEA!F24/Prices!$C$152+INDO!F24/Prices!$C$172*1000+_LG!F24/Prices!$C$173*1000+MAXI!F24/Prices!$C$159+SKT!F24/Prices!$C$173*1000+TAIWAN!F24/Prices!$C$181+XLAX!F24/Prices!$C$172*1000+TRUECORP!F24/Prices!$C$163</f>
        <v>89728.908385644201</v>
      </c>
      <c r="G24" s="228">
        <f>ADVANCED!G24/Prices!$C$163+AXI!G24/Prices!$C$159+BHART!G24/Prices!$C$152+_CM!G24/Prices!$C$175*1000+DIGI!G24/Prices!$C$159+FAR!G24/Prices!$C$181+IDEA!G24/Prices!$C$152+INDO!G24/Prices!$C$172*1000+_LG!G24/Prices!$C$173*1000+MAXI!G24/Prices!$C$159+SKT!G24/Prices!$C$173*1000+TAIWAN!G24/Prices!$C$181+XLAX!G24/Prices!$C$172*1000+TRUECORP!G24/Prices!$C$163</f>
        <v>94882.143480571671</v>
      </c>
      <c r="H24" s="279">
        <f>IF(D24=0,"nm",IF(G24=0,"nm",(G24/D24)^(1/3)-1))</f>
        <v>5.3557833944543054E-2</v>
      </c>
      <c r="I24" s="248"/>
      <c r="J24" s="17"/>
      <c r="K24" s="17"/>
      <c r="L24" s="17"/>
      <c r="M24" s="17"/>
      <c r="N24" s="17"/>
      <c r="O24" s="248"/>
      <c r="S24" s="42"/>
      <c r="T24" s="42"/>
      <c r="U24" s="42"/>
      <c r="V24" s="147" t="s">
        <v>268</v>
      </c>
      <c r="W24" s="288">
        <f t="shared" ref="W24:W31" si="0">E37/M9</f>
        <v>0.93635097081791163</v>
      </c>
      <c r="X24" s="288">
        <v>1</v>
      </c>
      <c r="Y24" s="42"/>
      <c r="Z24" s="42"/>
      <c r="AA24" s="42"/>
    </row>
    <row r="25" spans="2:27">
      <c r="B25" s="5" t="s">
        <v>179</v>
      </c>
      <c r="C25" s="365">
        <f>ADVANCED!C25/Prices!$C$163+AXI!C25/Prices!$C$159+BHART!C25/Prices!$C$152+_CM!C25/Prices!$C$175*1000+DIGI!C25/Prices!$C$159+FAR!C25/Prices!$C$181+IDEA!C25/Prices!$C$152+INDO!C25/Prices!$C$172*1000+_LG!C25/Prices!$C$173*1000+MAXI!C25/Prices!$C$159+SKT!C25/Prices!$C$173*1000+TAIWAN!C25/Prices!$C$181+XLAX!C25/Prices!$C$172*1000+TRUECORP!C25/Prices!$C$163</f>
        <v>36822.162312166991</v>
      </c>
      <c r="D25" s="228">
        <f>ADVANCED!D25/Prices!$C$163+AXI!D25/Prices!$C$159+BHART!D25/Prices!$C$152+_CM!D25/Prices!$C$175*1000+DIGI!D25/Prices!$C$159+FAR!D25/Prices!$C$181+IDEA!D25/Prices!$C$152+INDO!D25/Prices!$C$172*1000+_LG!D25/Prices!$C$173*1000+MAXI!D25/Prices!$C$159+SKT!D25/Prices!$C$173*1000+TAIWAN!D25/Prices!$C$181+XLAX!D25/Prices!$C$172*1000+TRUECORP!D25/Prices!$C$163</f>
        <v>42055.295482108369</v>
      </c>
      <c r="E25" s="228">
        <f>ADVANCED!E25/Prices!$C$163+AXI!E25/Prices!$C$159+BHART!E25/Prices!$C$152+_CM!E25/Prices!$C$175*1000+DIGI!E25/Prices!$C$159+FAR!E25/Prices!$C$181+IDEA!E25/Prices!$C$152+INDO!E25/Prices!$C$172*1000+_LG!E25/Prices!$C$173*1000+MAXI!E25/Prices!$C$159+SKT!E25/Prices!$C$173*1000+TAIWAN!E25/Prices!$C$181+XLAX!E25/Prices!$C$172*1000+TRUECORP!E25/Prices!$C$163</f>
        <v>45629.155155654385</v>
      </c>
      <c r="F25" s="228">
        <f>ADVANCED!F25/Prices!$C$163+AXI!F25/Prices!$C$159+BHART!F25/Prices!$C$152+_CM!F25/Prices!$C$175*1000+DIGI!F25/Prices!$C$159+FAR!F25/Prices!$C$181+IDEA!F25/Prices!$C$152+INDO!F25/Prices!$C$172*1000+_LG!F25/Prices!$C$173*1000+MAXI!F25/Prices!$C$159+SKT!F25/Prices!$C$173*1000+TAIWAN!F25/Prices!$C$181+XLAX!F25/Prices!$C$172*1000+TRUECORP!F25/Prices!$C$163</f>
        <v>50613.880477344588</v>
      </c>
      <c r="G25" s="228">
        <f>ADVANCED!G25/Prices!$C$163+AXI!G25/Prices!$C$159+BHART!G25/Prices!$C$152+_CM!G25/Prices!$C$175*1000+DIGI!G25/Prices!$C$159+FAR!G25/Prices!$C$181+IDEA!G25/Prices!$C$152+INDO!G25/Prices!$C$172*1000+_LG!G25/Prices!$C$173*1000+MAXI!G25/Prices!$C$159+SKT!G25/Prices!$C$173*1000+TAIWAN!G25/Prices!$C$181+XLAX!G25/Prices!$C$172*1000+TRUECORP!G25/Prices!$C$163</f>
        <v>56133.133549069709</v>
      </c>
      <c r="H25" s="279">
        <f t="shared" ref="H25:H33" si="1">IF(D25=0,"nm",IF(G25=0,"nm",(G25/D25)^(1/3)-1))</f>
        <v>0.10103096398056932</v>
      </c>
      <c r="I25" s="249"/>
      <c r="J25" s="247" t="s">
        <v>10</v>
      </c>
      <c r="K25" s="247"/>
      <c r="L25" s="332">
        <f>ADVANCED!L25/Prices!$C$163+AXI!L25/Prices!$C$159+BHART!L25/Prices!$C$152+_CM!L25/Prices!$C$175*1000+DIGI!L25/Prices!$C$159+FAR!L25/Prices!$C$181+IDEA!L25/Prices!$C$152+INDO!L25/Prices!$C$172*1000+_LG!L25/Prices!$C$173*1000+MAXI!L25/Prices!$C$159+SKT!L25/Prices!$C$173*1000+TAIWAN!L25/Prices!$C$181+XLAX!L25/Prices!$C$172*1000+TRUECORP!L25/Prices!$C$163</f>
        <v>0</v>
      </c>
      <c r="M25" s="332">
        <f>ADVANCED!M25/Prices!$C$163+AXI!M25/Prices!$C$159+BHART!M25/Prices!$C$152+_CM!M25/Prices!$C$175*1000+DIGI!M25/Prices!$C$159+FAR!M25/Prices!$C$181+IDEA!M25/Prices!$C$152+INDO!M25/Prices!$C$172*1000+_LG!M25/Prices!$C$173*1000+MAXI!M25/Prices!$C$159+SKT!M25/Prices!$C$173*1000+TAIWAN!M25/Prices!$C$181+XLAX!M25/Prices!$C$172*1000+TRUECORP!M25/Prices!$C$163</f>
        <v>0</v>
      </c>
      <c r="N25" s="332">
        <f>ADVANCED!N25/Prices!$C$163+AXI!N25/Prices!$C$159+BHART!N25/Prices!$C$152+_CM!N25/Prices!$C$175*1000+DIGI!N25/Prices!$C$159+FAR!N25/Prices!$C$181+IDEA!N25/Prices!$C$152+INDO!N25/Prices!$C$172*1000+_LG!N25/Prices!$C$173*1000+MAXI!N25/Prices!$C$159+SKT!N25/Prices!$C$173*1000+TAIWAN!N25/Prices!$C$181+XLAX!N25/Prices!$C$172*1000+TRUECORP!N25/Prices!$C$163</f>
        <v>0</v>
      </c>
      <c r="O25" s="332">
        <f>ADVANCED!O25/Prices!$C$163+AXI!O25/Prices!$C$159+BHART!O25/Prices!$C$152+_CM!O25/Prices!$C$175*1000+DIGI!O25/Prices!$C$159+FAR!O25/Prices!$C$181+IDEA!O25/Prices!$C$152+INDO!O25/Prices!$C$172*1000+_LG!O25/Prices!$C$173*1000+MAXI!O25/Prices!$C$159+SKT!O25/Prices!$C$173*1000+TAIWAN!O25/Prices!$C$181+XLAX!O25/Prices!$C$172*1000+TRUECORP!O25/Prices!$C$163</f>
        <v>0</v>
      </c>
      <c r="P25" s="279" t="str">
        <f>IF(L25=0,"nm",IF(O25=0,"nm",(O25/L25)^(1/3)-1))</f>
        <v>nm</v>
      </c>
      <c r="Q25" s="5"/>
      <c r="S25" s="42"/>
      <c r="T25" s="42"/>
      <c r="U25" s="42"/>
      <c r="V25" s="147" t="s">
        <v>180</v>
      </c>
      <c r="W25" s="288">
        <f t="shared" si="0"/>
        <v>0.95431417716694988</v>
      </c>
      <c r="X25" s="288">
        <v>1</v>
      </c>
      <c r="Y25" s="42"/>
      <c r="Z25" s="42"/>
      <c r="AA25" s="42"/>
    </row>
    <row r="26" spans="2:27">
      <c r="B26" s="5" t="s">
        <v>581</v>
      </c>
      <c r="C26" s="365">
        <f>ADVANCED!C26/Prices!$C$163+AXI!C26/Prices!$C$159+BHART!C26/Prices!$C$152+_CM!C26/Prices!$C$175*1000+DIGI!C26/Prices!$C$159+FAR!C26/Prices!$C$181+IDEA!C26/Prices!$C$152+INDO!C26/Prices!$C$172*1000+_LG!C26/Prices!$C$173*1000+MAXI!C26/Prices!$C$159+SKT!C26/Prices!$C$173*1000+TAIWAN!C26/Prices!$C$181+XLAX!C26/Prices!$C$172*1000+TRUECORP!C26/Prices!$C$163</f>
        <v>29174.814365366092</v>
      </c>
      <c r="D26" s="228">
        <f>ADVANCED!D26/Prices!$C$163+AXI!D26/Prices!$C$159+BHART!D26/Prices!$C$152+_CM!D26/Prices!$C$175*1000+DIGI!D26/Prices!$C$159+FAR!D26/Prices!$C$181+IDEA!D26/Prices!$C$152+INDO!D26/Prices!$C$172*1000+_LG!D26/Prices!$C$173*1000+MAXI!D26/Prices!$C$159+SKT!D26/Prices!$C$173*1000+TAIWAN!D26/Prices!$C$181+XLAX!D26/Prices!$C$172*1000+TRUECORP!D26/Prices!$C$163</f>
        <v>32859.581119778049</v>
      </c>
      <c r="E26" s="228">
        <f>ADVANCED!E26/Prices!$C$163+AXI!E26/Prices!$C$159+BHART!E26/Prices!$C$152+_CM!E26/Prices!$C$175*1000+DIGI!E26/Prices!$C$159+FAR!E26/Prices!$C$181+IDEA!E26/Prices!$C$152+INDO!E26/Prices!$C$172*1000+_LG!E26/Prices!$C$173*1000+MAXI!E26/Prices!$C$159+SKT!E26/Prices!$C$173*1000+TAIWAN!E26/Prices!$C$181+XLAX!E26/Prices!$C$172*1000+TRUECORP!E26/Prices!$C$163</f>
        <v>35303.497022954376</v>
      </c>
      <c r="F26" s="228">
        <f>ADVANCED!F26/Prices!$C$163+AXI!F26/Prices!$C$159+BHART!F26/Prices!$C$152+_CM!F26/Prices!$C$175*1000+DIGI!F26/Prices!$C$159+FAR!F26/Prices!$C$181+IDEA!F26/Prices!$C$152+INDO!F26/Prices!$C$172*1000+_LG!F26/Prices!$C$173*1000+MAXI!F26/Prices!$C$159+SKT!F26/Prices!$C$173*1000+TAIWAN!F26/Prices!$C$181+XLAX!F26/Prices!$C$172*1000+TRUECORP!F26/Prices!$C$163</f>
        <v>39092.244068897147</v>
      </c>
      <c r="G26" s="228">
        <f>ADVANCED!G26/Prices!$C$163+AXI!G26/Prices!$C$159+BHART!G26/Prices!$C$152+_CM!G26/Prices!$C$175*1000+DIGI!G26/Prices!$C$159+FAR!G26/Prices!$C$181+IDEA!G26/Prices!$C$152+INDO!G26/Prices!$C$172*1000+_LG!G26/Prices!$C$173*1000+MAXI!G26/Prices!$C$159+SKT!G26/Prices!$C$173*1000+TAIWAN!G26/Prices!$C$181+XLAX!G26/Prices!$C$172*1000+TRUECORP!G26/Prices!$C$163</f>
        <v>43320.909950944311</v>
      </c>
      <c r="H26" s="279">
        <f t="shared" si="1"/>
        <v>9.6508112488197906E-2</v>
      </c>
      <c r="I26" s="249"/>
      <c r="J26" s="249" t="s">
        <v>11</v>
      </c>
      <c r="K26" s="249"/>
      <c r="L26" s="281">
        <f>ADVANCED!L26/Prices!$C$163+AXI!L26/Prices!$C$159+BHART!L26/Prices!$C$152+_CM!L26/Prices!$C$175*1000+DIGI!L26/Prices!$C$159+FAR!L26/Prices!$C$181+IDEA!L26/Prices!$C$152+INDO!L26/Prices!$C$172*1000+_LG!L26/Prices!$C$173*1000+MAXI!L26/Prices!$C$159+SKT!L26/Prices!$C$173*1000+TAIWAN!L26/Prices!$C$181+XLAX!L26/Prices!$C$172*1000+TRUECORP!L26/Prices!$C$163</f>
        <v>413002.8576051257</v>
      </c>
      <c r="M26" s="281">
        <f>ADVANCED!M26/Prices!$C$163+AXI!M26/Prices!$C$159+BHART!M26/Prices!$C$152+_CM!M26/Prices!$C$175*1000+DIGI!M26/Prices!$C$159+FAR!M26/Prices!$C$181+IDEA!M26/Prices!$C$152+INDO!M26/Prices!$C$172*1000+_LG!M26/Prices!$C$173*1000+MAXI!M26/Prices!$C$159+SKT!M26/Prices!$C$173*1000+TAIWAN!M26/Prices!$C$181+XLAX!M26/Prices!$C$172*1000+TRUECORP!M26/Prices!$C$163</f>
        <v>415921.7135502756</v>
      </c>
      <c r="N26" s="281">
        <f>ADVANCED!N26/Prices!$C$163+AXI!N26/Prices!$C$159+BHART!N26/Prices!$C$152+_CM!N26/Prices!$C$175*1000+DIGI!N26/Prices!$C$159+FAR!N26/Prices!$C$181+IDEA!N26/Prices!$C$152+INDO!N26/Prices!$C$172*1000+_LG!N26/Prices!$C$173*1000+MAXI!N26/Prices!$C$159+SKT!N26/Prices!$C$173*1000+TAIWAN!N26/Prices!$C$181+XLAX!N26/Prices!$C$172*1000+TRUECORP!N26/Prices!$C$163</f>
        <v>415921.7135502756</v>
      </c>
      <c r="O26" s="281">
        <f>ADVANCED!O26/Prices!$C$163+AXI!O26/Prices!$C$159+BHART!O26/Prices!$C$152+_CM!O26/Prices!$C$175*1000+DIGI!O26/Prices!$C$159+FAR!O26/Prices!$C$181+IDEA!O26/Prices!$C$152+INDO!O26/Prices!$C$172*1000+_LG!O26/Prices!$C$173*1000+MAXI!O26/Prices!$C$159+SKT!O26/Prices!$C$173*1000+TAIWAN!O26/Prices!$C$181+XLAX!O26/Prices!$C$172*1000+TRUECORP!O26/Prices!$C$163</f>
        <v>415921.7135502756</v>
      </c>
      <c r="P26" s="279">
        <f>IF(L26=0,"nm",IF(O26=0,"nm",(O26/L26)^(1/3)-1))</f>
        <v>2.3502715325161017E-3</v>
      </c>
      <c r="Q26" s="41"/>
      <c r="S26" s="42"/>
      <c r="T26" s="42"/>
      <c r="U26" s="42"/>
      <c r="V26" s="147" t="s">
        <v>181</v>
      </c>
      <c r="W26" s="288">
        <f t="shared" si="0"/>
        <v>0.96188576999736874</v>
      </c>
      <c r="X26" s="288">
        <v>1</v>
      </c>
      <c r="Y26" s="42"/>
      <c r="Z26" s="42"/>
      <c r="AA26" s="42"/>
    </row>
    <row r="27" spans="2:27">
      <c r="B27" s="5" t="s">
        <v>582</v>
      </c>
      <c r="C27" s="365">
        <f>ADVANCED!C27/Prices!$C$163+AXI!C27/Prices!$C$159+BHART!C27/Prices!$C$152+_CM!C27/Prices!$C$175*1000+DIGI!C27/Prices!$C$159+FAR!C27/Prices!$C$181+IDEA!C27/Prices!$C$152+INDO!C27/Prices!$C$172*1000+_LG!C27/Prices!$C$173*1000+MAXI!C27/Prices!$C$159+SKT!C27/Prices!$C$173*1000+TAIWAN!C27/Prices!$C$181+XLAX!C27/Prices!$C$172*1000+TRUECORP!C27/Prices!$C$163</f>
        <v>295173.91434740374</v>
      </c>
      <c r="D27" s="228">
        <f>ADVANCED!D27/Prices!$C$163+AXI!D27/Prices!$C$159+BHART!D27/Prices!$C$152+_CM!D27/Prices!$C$175*1000+DIGI!D27/Prices!$C$159+FAR!D27/Prices!$C$181+IDEA!D27/Prices!$C$152+INDO!D27/Prices!$C$172*1000+_LG!D27/Prices!$C$173*1000+MAXI!D27/Prices!$C$159+SKT!D27/Prices!$C$173*1000+TAIWAN!D27/Prices!$C$181+XLAX!D27/Prices!$C$172*1000+TRUECORP!D27/Prices!$C$163</f>
        <v>370634.63122397586</v>
      </c>
      <c r="E27" s="228">
        <f>ADVANCED!E27/Prices!$C$163+AXI!E27/Prices!$C$159+BHART!E27/Prices!$C$152+_CM!E27/Prices!$C$175*1000+DIGI!E27/Prices!$C$159+FAR!E27/Prices!$C$181+IDEA!E27/Prices!$C$152+INDO!E27/Prices!$C$172*1000+_LG!E27/Prices!$C$173*1000+MAXI!E27/Prices!$C$159+SKT!E27/Prices!$C$173*1000+TAIWAN!E27/Prices!$C$181+XLAX!E27/Prices!$C$172*1000+TRUECORP!E27/Prices!$C$163</f>
        <v>360838.49182032538</v>
      </c>
      <c r="F27" s="228">
        <f>ADVANCED!F27/Prices!$C$163+AXI!F27/Prices!$C$159+BHART!F27/Prices!$C$152+_CM!F27/Prices!$C$175*1000+DIGI!F27/Prices!$C$159+FAR!F27/Prices!$C$181+IDEA!F27/Prices!$C$152+INDO!F27/Prices!$C$172*1000+_LG!F27/Prices!$C$173*1000+MAXI!F27/Prices!$C$159+SKT!F27/Prices!$C$173*1000+TAIWAN!F27/Prices!$C$181+XLAX!F27/Prices!$C$172*1000+TRUECORP!F27/Prices!$C$163</f>
        <v>354007.85127769399</v>
      </c>
      <c r="G27" s="228">
        <f>ADVANCED!G27/Prices!$C$163+AXI!G27/Prices!$C$159+BHART!G27/Prices!$C$152+_CM!G27/Prices!$C$175*1000+DIGI!G27/Prices!$C$159+FAR!G27/Prices!$C$181+IDEA!G27/Prices!$C$152+INDO!G27/Prices!$C$172*1000+_LG!G27/Prices!$C$173*1000+MAXI!G27/Prices!$C$159+SKT!G27/Prices!$C$173*1000+TAIWAN!G27/Prices!$C$181+XLAX!G27/Prices!$C$172*1000+TRUECORP!G27/Prices!$C$163</f>
        <v>345933.77624618192</v>
      </c>
      <c r="H27" s="279">
        <f t="shared" si="1"/>
        <v>-2.2727547201761622E-2</v>
      </c>
      <c r="I27" s="248"/>
      <c r="J27" s="248"/>
      <c r="K27" s="248"/>
      <c r="L27" s="248"/>
      <c r="M27" s="248"/>
      <c r="N27" s="248"/>
      <c r="O27" s="248"/>
      <c r="Q27" s="5"/>
      <c r="S27" s="42"/>
      <c r="T27" s="42"/>
      <c r="U27" s="42"/>
      <c r="V27" s="147" t="s">
        <v>461</v>
      </c>
      <c r="W27" s="288">
        <f t="shared" si="0"/>
        <v>0.96516419012878263</v>
      </c>
      <c r="X27" s="288">
        <v>1</v>
      </c>
      <c r="Y27" s="42"/>
      <c r="Z27" s="42"/>
      <c r="AA27" s="42"/>
    </row>
    <row r="28" spans="2:27" ht="12.6" thickBot="1">
      <c r="B28" s="5" t="s">
        <v>587</v>
      </c>
      <c r="C28" s="365">
        <f>ADVANCED!C28/Prices!$C$163+AXI!C28/Prices!$C$159+BHART!C28/Prices!$C$152+_CM!C28/Prices!$C$175*1000+DIGI!C28/Prices!$C$159+FAR!C28/Prices!$C$181+IDEA!C28/Prices!$C$152+INDO!C28/Prices!$C$172*1000+_LG!C28/Prices!$C$173*1000+MAXI!C28/Prices!$C$159+SKT!C28/Prices!$C$173*1000+TAIWAN!C28/Prices!$C$181+XLAX!C28/Prices!$C$172*1000+TRUECORP!C28/Prices!$C$163</f>
        <v>195410.42930295502</v>
      </c>
      <c r="D28" s="228">
        <f>ADVANCED!D28/Prices!$C$163+AXI!D28/Prices!$C$159+BHART!D28/Prices!$C$152+_CM!D28/Prices!$C$175*1000+DIGI!D28/Prices!$C$159+FAR!D28/Prices!$C$181+IDEA!D28/Prices!$C$152+INDO!D28/Prices!$C$172*1000+_LG!D28/Prices!$C$173*1000+MAXI!D28/Prices!$C$159+SKT!D28/Prices!$C$173*1000+TAIWAN!D28/Prices!$C$181+XLAX!D28/Prices!$C$172*1000+TRUECORP!D28/Prices!$C$163</f>
        <v>190522.52376946513</v>
      </c>
      <c r="E28" s="228">
        <f>ADVANCED!E28/Prices!$C$163+AXI!E28/Prices!$C$159+BHART!E28/Prices!$C$152+_CM!E28/Prices!$C$175*1000+DIGI!E28/Prices!$C$159+FAR!E28/Prices!$C$181+IDEA!E28/Prices!$C$152+INDO!E28/Prices!$C$172*1000+_LG!E28/Prices!$C$173*1000+MAXI!E28/Prices!$C$159+SKT!E28/Prices!$C$173*1000+TAIWAN!E28/Prices!$C$181+XLAX!E28/Prices!$C$172*1000+TRUECORP!E28/Prices!$C$163</f>
        <v>192443.48184513699</v>
      </c>
      <c r="F28" s="228">
        <f>ADVANCED!F28/Prices!$C$163+AXI!F28/Prices!$C$159+BHART!F28/Prices!$C$152+_CM!F28/Prices!$C$175*1000+DIGI!F28/Prices!$C$159+FAR!F28/Prices!$C$181+IDEA!F28/Prices!$C$152+INDO!F28/Prices!$C$172*1000+_LG!F28/Prices!$C$173*1000+MAXI!F28/Prices!$C$159+SKT!F28/Prices!$C$173*1000+TAIWAN!F28/Prices!$C$181+XLAX!F28/Prices!$C$172*1000+TRUECORP!F28/Prices!$C$163</f>
        <v>196126.08499458933</v>
      </c>
      <c r="G28" s="228">
        <f>ADVANCED!G28/Prices!$C$163+AXI!G28/Prices!$C$159+BHART!G28/Prices!$C$152+_CM!G28/Prices!$C$175*1000+DIGI!G28/Prices!$C$159+FAR!G28/Prices!$C$181+IDEA!G28/Prices!$C$152+INDO!G28/Prices!$C$172*1000+_LG!G28/Prices!$C$173*1000+MAXI!G28/Prices!$C$159+SKT!G28/Prices!$C$173*1000+TAIWAN!G28/Prices!$C$181+XLAX!G28/Prices!$C$172*1000+TRUECORP!G28/Prices!$C$163</f>
        <v>198395.98453406143</v>
      </c>
      <c r="H28" s="279">
        <f t="shared" si="1"/>
        <v>1.3589689287555551E-2</v>
      </c>
      <c r="I28" s="252"/>
      <c r="J28" s="306" t="s">
        <v>747</v>
      </c>
      <c r="K28" s="306"/>
      <c r="L28" s="306"/>
      <c r="M28" s="306"/>
      <c r="N28" s="266"/>
      <c r="O28" s="266"/>
      <c r="P28" s="266"/>
      <c r="Q28" s="5"/>
      <c r="S28" s="42"/>
      <c r="T28" s="42"/>
      <c r="U28" s="42"/>
      <c r="V28" s="147" t="s">
        <v>525</v>
      </c>
      <c r="W28" s="288">
        <f t="shared" si="0"/>
        <v>0.88992876825968492</v>
      </c>
      <c r="X28" s="288">
        <v>1</v>
      </c>
      <c r="Y28" s="42"/>
      <c r="Z28" s="42"/>
      <c r="AA28" s="42"/>
    </row>
    <row r="29" spans="2:27" ht="12.6" thickTop="1">
      <c r="B29" s="5" t="s">
        <v>583</v>
      </c>
      <c r="C29" s="365">
        <f>ADVANCED!C29/Prices!$C$163+AXI!C29/Prices!$C$159+BHART!C29/Prices!$C$152+_CM!C29/Prices!$C$175*1000+DIGI!C29/Prices!$C$159+FAR!C29/Prices!$C$181+IDEA!C29/Prices!$C$152+INDO!C29/Prices!$C$172*1000+_LG!C29/Prices!$C$173*1000+MAXI!C29/Prices!$C$159+SKT!C29/Prices!$C$173*1000+TAIWAN!C29/Prices!$C$181+XLAX!C29/Prices!$C$172*1000+TRUECORP!C29/Prices!$C$163</f>
        <v>15010.44807289135</v>
      </c>
      <c r="D29" s="228">
        <f>ADVANCED!D29/Prices!$C$163+AXI!D29/Prices!$C$159+BHART!D29/Prices!$C$152+_CM!D29/Prices!$C$175*1000+DIGI!D29/Prices!$C$159+FAR!D29/Prices!$C$181+IDEA!D29/Prices!$C$152+INDO!D29/Prices!$C$172*1000+_LG!D29/Prices!$C$173*1000+MAXI!D29/Prices!$C$159+SKT!D29/Prices!$C$173*1000+TAIWAN!D29/Prices!$C$181+XLAX!D29/Prices!$C$172*1000+TRUECORP!D29/Prices!$C$163</f>
        <v>18351.03536968823</v>
      </c>
      <c r="E29" s="228">
        <f>ADVANCED!E29/Prices!$C$163+AXI!E29/Prices!$C$159+BHART!E29/Prices!$C$152+_CM!E29/Prices!$C$175*1000+DIGI!E29/Prices!$C$159+FAR!E29/Prices!$C$181+IDEA!E29/Prices!$C$152+INDO!E29/Prices!$C$172*1000+_LG!E29/Prices!$C$173*1000+MAXI!E29/Prices!$C$159+SKT!E29/Prices!$C$173*1000+TAIWAN!E29/Prices!$C$181+XLAX!E29/Prices!$C$172*1000+TRUECORP!E29/Prices!$C$163</f>
        <v>20699.412027091246</v>
      </c>
      <c r="F29" s="228">
        <f>ADVANCED!F29/Prices!$C$163+AXI!F29/Prices!$C$159+BHART!F29/Prices!$C$152+_CM!F29/Prices!$C$175*1000+DIGI!F29/Prices!$C$159+FAR!F29/Prices!$C$181+IDEA!F29/Prices!$C$152+INDO!F29/Prices!$C$172*1000+_LG!F29/Prices!$C$173*1000+MAXI!F29/Prices!$C$159+SKT!F29/Prices!$C$173*1000+TAIWAN!F29/Prices!$C$181+XLAX!F29/Prices!$C$172*1000+TRUECORP!F29/Prices!$C$163</f>
        <v>24839.823477203539</v>
      </c>
      <c r="G29" s="228">
        <f>ADVANCED!G29/Prices!$C$163+AXI!G29/Prices!$C$159+BHART!G29/Prices!$C$152+_CM!G29/Prices!$C$175*1000+DIGI!G29/Prices!$C$159+FAR!G29/Prices!$C$181+IDEA!G29/Prices!$C$152+INDO!G29/Prices!$C$172*1000+_LG!G29/Prices!$C$173*1000+MAXI!G29/Prices!$C$159+SKT!G29/Prices!$C$173*1000+TAIWAN!G29/Prices!$C$181+XLAX!G29/Prices!$C$172*1000+TRUECORP!G29/Prices!$C$163</f>
        <v>29882.347952237847</v>
      </c>
      <c r="H29" s="279">
        <f t="shared" si="1"/>
        <v>0.17648045170847126</v>
      </c>
      <c r="I29" s="254"/>
      <c r="J29" s="249"/>
      <c r="K29" s="249"/>
      <c r="L29" s="249"/>
      <c r="M29" s="249"/>
      <c r="N29" s="249"/>
      <c r="O29" s="251"/>
      <c r="Q29" s="5"/>
      <c r="S29" s="42"/>
      <c r="T29" s="42"/>
      <c r="U29" s="42"/>
      <c r="V29" s="147" t="s">
        <v>588</v>
      </c>
      <c r="W29" s="288">
        <f t="shared" si="0"/>
        <v>0.96025502535120444</v>
      </c>
      <c r="X29" s="288">
        <v>1</v>
      </c>
      <c r="Y29" s="42"/>
      <c r="Z29" s="42"/>
      <c r="AA29" s="42"/>
    </row>
    <row r="30" spans="2:27">
      <c r="B30" s="5" t="s">
        <v>584</v>
      </c>
      <c r="C30" s="365">
        <f>ADVANCED!C30/Prices!$C$163+AXI!C30/Prices!$C$159+BHART!C30/Prices!$C$152+_CM!C30/Prices!$C$175*1000+DIGI!C30/Prices!$C$159+FAR!C30/Prices!$C$181+IDEA!C30/Prices!$C$152+INDO!C30/Prices!$C$172*1000+_LG!C30/Prices!$C$173*1000+MAXI!C30/Prices!$C$159+SKT!C30/Prices!$C$173*1000+TAIWAN!C30/Prices!$C$181+XLAX!C30/Prices!$C$172*1000+TRUECORP!C30/Prices!$C$163</f>
        <v>20411.95356168646</v>
      </c>
      <c r="D30" s="228">
        <f>ADVANCED!D30/Prices!$C$163+AXI!D30/Prices!$C$159+BHART!D30/Prices!$C$152+_CM!D30/Prices!$C$175*1000+DIGI!D30/Prices!$C$159+FAR!D30/Prices!$C$181+IDEA!D30/Prices!$C$152+INDO!D30/Prices!$C$172*1000+_LG!D30/Prices!$C$173*1000+MAXI!D30/Prices!$C$159+SKT!D30/Prices!$C$173*1000+TAIWAN!D30/Prices!$C$181+XLAX!D30/Prices!$C$172*1000+TRUECORP!D30/Prices!$C$163</f>
        <v>20675.223144135161</v>
      </c>
      <c r="E30" s="228">
        <f>ADVANCED!E30/Prices!$C$163+AXI!E30/Prices!$C$159+BHART!E30/Prices!$C$152+_CM!E30/Prices!$C$175*1000+DIGI!E30/Prices!$C$159+FAR!E30/Prices!$C$181+IDEA!E30/Prices!$C$152+INDO!E30/Prices!$C$172*1000+_LG!E30/Prices!$C$173*1000+MAXI!E30/Prices!$C$159+SKT!E30/Prices!$C$173*1000+TAIWAN!E30/Prices!$C$181+XLAX!E30/Prices!$C$172*1000+TRUECORP!E30/Prices!$C$163</f>
        <v>24401.43045156078</v>
      </c>
      <c r="F30" s="228">
        <f>ADVANCED!F30/Prices!$C$163+AXI!F30/Prices!$C$159+BHART!F30/Prices!$C$152+_CM!F30/Prices!$C$175*1000+DIGI!F30/Prices!$C$159+FAR!F30/Prices!$C$181+IDEA!F30/Prices!$C$152+INDO!F30/Prices!$C$172*1000+_LG!F30/Prices!$C$173*1000+MAXI!F30/Prices!$C$159+SKT!F30/Prices!$C$173*1000+TAIWAN!F30/Prices!$C$181+XLAX!F30/Prices!$C$172*1000+TRUECORP!F30/Prices!$C$163</f>
        <v>28322.498140695185</v>
      </c>
      <c r="G30" s="228">
        <f>ADVANCED!G30/Prices!$C$163+AXI!G30/Prices!$C$159+BHART!G30/Prices!$C$152+_CM!G30/Prices!$C$175*1000+DIGI!G30/Prices!$C$159+FAR!G30/Prices!$C$181+IDEA!G30/Prices!$C$152+INDO!G30/Prices!$C$172*1000+_LG!G30/Prices!$C$173*1000+MAXI!G30/Prices!$C$159+SKT!G30/Prices!$C$173*1000+TAIWAN!G30/Prices!$C$181+XLAX!G30/Prices!$C$172*1000+TRUECORP!G30/Prices!$C$163</f>
        <v>32338.03118783078</v>
      </c>
      <c r="H30" s="279">
        <f t="shared" si="1"/>
        <v>0.16079213451942098</v>
      </c>
      <c r="I30" s="254"/>
      <c r="J30" s="248"/>
      <c r="K30" s="248"/>
      <c r="L30" s="248"/>
      <c r="M30" s="248"/>
      <c r="N30" s="248"/>
      <c r="O30" s="5"/>
      <c r="Q30" s="5"/>
      <c r="S30" s="42"/>
      <c r="T30" s="42"/>
      <c r="U30" s="42"/>
      <c r="V30" s="147" t="s">
        <v>470</v>
      </c>
      <c r="W30" s="288">
        <f t="shared" si="0"/>
        <v>0.97169127037708503</v>
      </c>
      <c r="X30" s="288">
        <v>1</v>
      </c>
      <c r="Y30" s="42"/>
      <c r="Z30" s="42"/>
      <c r="AA30" s="42"/>
    </row>
    <row r="31" spans="2:27">
      <c r="B31" s="5" t="s">
        <v>585</v>
      </c>
      <c r="C31" s="365">
        <f>ADVANCED!C31/Prices!$C$163+AXI!C31/Prices!$C$159+BHART!C31/Prices!$C$152+_CM!C31/Prices!$C$175*1000+DIGI!C31/Prices!$C$159+FAR!C31/Prices!$C$181+IDEA!C31/Prices!$C$152+INDO!C31/Prices!$C$172*1000+_LG!C31/Prices!$C$173*1000+MAXI!C31/Prices!$C$159+SKT!C31/Prices!$C$173*1000+TAIWAN!C31/Prices!$C$181+XLAX!C31/Prices!$C$172*1000+TRUECORP!C31/Prices!$C$163</f>
        <v>15170.849376729868</v>
      </c>
      <c r="D31" s="228">
        <f>ADVANCED!D31/Prices!$C$163+AXI!D31/Prices!$C$159+BHART!D31/Prices!$C$152+_CM!D31/Prices!$C$175*1000+DIGI!D31/Prices!$C$159+FAR!D31/Prices!$C$181+IDEA!D31/Prices!$C$152+INDO!D31/Prices!$C$172*1000+_LG!D31/Prices!$C$173*1000+MAXI!D31/Prices!$C$159+SKT!D31/Prices!$C$173*1000+TAIWAN!D31/Prices!$C$181+XLAX!D31/Prices!$C$172*1000+TRUECORP!D31/Prices!$C$163</f>
        <v>17205.226710999559</v>
      </c>
      <c r="E31" s="228">
        <f>ADVANCED!E31/Prices!$C$163+AXI!E31/Prices!$C$159+BHART!E31/Prices!$C$152+_CM!E31/Prices!$C$175*1000+DIGI!E31/Prices!$C$159+FAR!E31/Prices!$C$181+IDEA!E31/Prices!$C$152+INDO!E31/Prices!$C$172*1000+_LG!E31/Prices!$C$173*1000+MAXI!E31/Prices!$C$159+SKT!E31/Prices!$C$173*1000+TAIWAN!E31/Prices!$C$181+XLAX!E31/Prices!$C$172*1000+TRUECORP!E31/Prices!$C$163</f>
        <v>19499.864284929372</v>
      </c>
      <c r="F31" s="228">
        <f>ADVANCED!F31/Prices!$C$163+AXI!F31/Prices!$C$159+BHART!F31/Prices!$C$152+_CM!F31/Prices!$C$175*1000+DIGI!F31/Prices!$C$159+FAR!F31/Prices!$C$181+IDEA!F31/Prices!$C$152+INDO!F31/Prices!$C$172*1000+_LG!F31/Prices!$C$173*1000+MAXI!F31/Prices!$C$159+SKT!F31/Prices!$C$173*1000+TAIWAN!F31/Prices!$C$181+XLAX!F31/Prices!$C$172*1000+TRUECORP!F31/Prices!$C$163</f>
        <v>21766.184580393376</v>
      </c>
      <c r="G31" s="228">
        <f>ADVANCED!G31/Prices!$C$163+AXI!G31/Prices!$C$159+BHART!G31/Prices!$C$152+_CM!G31/Prices!$C$175*1000+DIGI!G31/Prices!$C$159+FAR!G31/Prices!$C$181+IDEA!G31/Prices!$C$152+INDO!G31/Prices!$C$172*1000+_LG!G31/Prices!$C$173*1000+MAXI!G31/Prices!$C$159+SKT!G31/Prices!$C$173*1000+TAIWAN!G31/Prices!$C$181+XLAX!G31/Prices!$C$172*1000+TRUECORP!G31/Prices!$C$163</f>
        <v>25216.767119630484</v>
      </c>
      <c r="H31" s="279">
        <f t="shared" si="1"/>
        <v>0.13590759320735235</v>
      </c>
      <c r="I31" s="254"/>
      <c r="J31" s="252"/>
      <c r="K31" s="252"/>
      <c r="L31" s="252"/>
      <c r="M31" s="252"/>
      <c r="N31" s="252"/>
      <c r="O31" s="5"/>
      <c r="Q31" s="5"/>
      <c r="S31" s="42"/>
      <c r="T31" s="42"/>
      <c r="U31" s="42"/>
      <c r="V31" s="147" t="s">
        <v>528</v>
      </c>
      <c r="W31" s="288">
        <f t="shared" si="0"/>
        <v>0.9498695203365779</v>
      </c>
      <c r="X31" s="288">
        <v>1</v>
      </c>
      <c r="Y31" s="42"/>
      <c r="Z31" s="42"/>
      <c r="AA31" s="42"/>
    </row>
    <row r="32" spans="2:27">
      <c r="B32" s="5" t="s">
        <v>601</v>
      </c>
      <c r="C32" s="365" t="e">
        <f>ADVANCED!C32/Prices!$C$163+AXI!C32/Prices!$C$159+BHART!C32/Prices!$C$152+_CM!C32/Prices!$C$175*1000+DIGI!C32/Prices!$C$159+FAR!C32/Prices!$C$181+IDEA!C32/Prices!$C$152+INDO!C32/Prices!$C$172*1000+_LG!C32/Prices!$C$173*1000+MAXI!C32/Prices!$C$159+SKT!C32/Prices!$C$173*1000+TAIWAN!C32/Prices!$C$181+XLAX!C32/Prices!$C$172*1000+TRUECORP!C32/Prices!$C$163</f>
        <v>#VALUE!</v>
      </c>
      <c r="D32" s="228" t="e">
        <f>ADVANCED!D32/Prices!$C$163+AXI!D32/Prices!$C$159+BHART!D32/Prices!$C$152+_CM!D32/Prices!$C$175*1000+DIGI!D32/Prices!$C$159+FAR!D32/Prices!$C$181+IDEA!D32/Prices!$C$152+INDO!D32/Prices!$C$172*1000+_LG!D32/Prices!$C$173*1000+MAXI!D32/Prices!$C$159+SKT!D32/Prices!$C$173*1000+TAIWAN!D32/Prices!$C$181+XLAX!D32/Prices!$C$172*1000+TRUECORP!D32/Prices!$C$163</f>
        <v>#VALUE!</v>
      </c>
      <c r="E32" s="228" t="e">
        <f>ADVANCED!E32/Prices!$C$163+AXI!E32/Prices!$C$159+BHART!E32/Prices!$C$152+_CM!E32/Prices!$C$175*1000+DIGI!E32/Prices!$C$159+FAR!E32/Prices!$C$181+IDEA!E32/Prices!$C$152+INDO!E32/Prices!$C$172*1000+_LG!E32/Prices!$C$173*1000+MAXI!E32/Prices!$C$159+SKT!E32/Prices!$C$173*1000+TAIWAN!E32/Prices!$C$181+XLAX!E32/Prices!$C$172*1000+TRUECORP!E32/Prices!$C$163</f>
        <v>#VALUE!</v>
      </c>
      <c r="F32" s="228" t="e">
        <f>ADVANCED!F32/Prices!$C$163+AXI!F32/Prices!$C$159+BHART!F32/Prices!$C$152+_CM!F32/Prices!$C$175*1000+DIGI!F32/Prices!$C$159+FAR!F32/Prices!$C$181+IDEA!F32/Prices!$C$152+INDO!F32/Prices!$C$172*1000+_LG!F32/Prices!$C$173*1000+MAXI!F32/Prices!$C$159+SKT!F32/Prices!$C$173*1000+TAIWAN!F32/Prices!$C$181+XLAX!F32/Prices!$C$172*1000+TRUECORP!F32/Prices!$C$163</f>
        <v>#VALUE!</v>
      </c>
      <c r="G32" s="228" t="e">
        <f>ADVANCED!G32/Prices!$C$163+AXI!G32/Prices!$C$159+BHART!G32/Prices!$C$152+_CM!G32/Prices!$C$175*1000+DIGI!G32/Prices!$C$159+FAR!G32/Prices!$C$181+IDEA!G32/Prices!$C$152+INDO!G32/Prices!$C$172*1000+_LG!G32/Prices!$C$173*1000+MAXI!G32/Prices!$C$159+SKT!G32/Prices!$C$173*1000+TAIWAN!G32/Prices!$C$181+XLAX!G32/Prices!$C$172*1000+TRUECORP!G32/Prices!$C$163</f>
        <v>#VALUE!</v>
      </c>
      <c r="H32" s="279" t="e">
        <f t="shared" si="1"/>
        <v>#VALUE!</v>
      </c>
      <c r="I32" s="5"/>
      <c r="J32" s="254"/>
      <c r="K32" s="254"/>
      <c r="L32" s="254"/>
      <c r="M32" s="254"/>
      <c r="N32" s="254"/>
      <c r="O32" s="251"/>
      <c r="Q32" s="5"/>
      <c r="S32" s="42"/>
      <c r="T32" s="42"/>
      <c r="U32" s="42"/>
      <c r="V32" s="147" t="s">
        <v>575</v>
      </c>
      <c r="W32" s="288">
        <f>M17/E45</f>
        <v>0.90170497866087285</v>
      </c>
      <c r="X32" s="288">
        <v>1</v>
      </c>
      <c r="Y32" s="42"/>
      <c r="Z32" s="42"/>
      <c r="AA32" s="42"/>
    </row>
    <row r="33" spans="2:42">
      <c r="B33" s="5" t="s">
        <v>5</v>
      </c>
      <c r="C33" s="365">
        <f>ADVANCED!C33/Prices!$C$163+AXI!C33/Prices!$C$159+BHART!C33/Prices!$C$152+_CM!C33/Prices!$C$175*1000+DIGI!C33/Prices!$C$159+FAR!C33/Prices!$C$181+IDEA!C33/Prices!$C$152+INDO!C33/Prices!$C$172*1000+_LG!C33/Prices!$C$173*1000+MAXI!C33/Prices!$C$159+SKT!C33/Prices!$C$173*1000+TAIWAN!C33/Prices!$C$181+XLAX!C33/Prices!$C$172*1000+TRUECORP!C33/Prices!$C$163</f>
        <v>7749.8119970946045</v>
      </c>
      <c r="D33" s="228">
        <f>ADVANCED!D33/Prices!$C$163+AXI!D33/Prices!$C$159+BHART!D33/Prices!$C$152+_CM!D33/Prices!$C$175*1000+DIGI!D33/Prices!$C$159+FAR!D33/Prices!$C$181+IDEA!D33/Prices!$C$152+INDO!D33/Prices!$C$172*1000+_LG!D33/Prices!$C$173*1000+MAXI!D33/Prices!$C$159+SKT!D33/Prices!$C$173*1000+TAIWAN!D33/Prices!$C$181+XLAX!D33/Prices!$C$172*1000+TRUECORP!D33/Prices!$C$163</f>
        <v>9105.9449934764161</v>
      </c>
      <c r="E33" s="228">
        <f>ADVANCED!E33/Prices!$C$163+AXI!E33/Prices!$C$159+BHART!E33/Prices!$C$152+_CM!E33/Prices!$C$175*1000+DIGI!E33/Prices!$C$159+FAR!E33/Prices!$C$181+IDEA!E33/Prices!$C$152+INDO!E33/Prices!$C$172*1000+_LG!E33/Prices!$C$173*1000+MAXI!E33/Prices!$C$159+SKT!E33/Prices!$C$173*1000+TAIWAN!E33/Prices!$C$181+XLAX!E33/Prices!$C$172*1000+TRUECORP!E33/Prices!$C$163</f>
        <v>8273.9136416331294</v>
      </c>
      <c r="F33" s="228">
        <f>ADVANCED!F33/Prices!$C$163+AXI!F33/Prices!$C$159+BHART!F33/Prices!$C$152+_CM!F33/Prices!$C$175*1000+DIGI!F33/Prices!$C$159+FAR!F33/Prices!$C$181+IDEA!F33/Prices!$C$152+INDO!F33/Prices!$C$172*1000+_LG!F33/Prices!$C$173*1000+MAXI!F33/Prices!$C$159+SKT!F33/Prices!$C$173*1000+TAIWAN!F33/Prices!$C$181+XLAX!F33/Prices!$C$172*1000+TRUECORP!F33/Prices!$C$163</f>
        <v>7988.9896118446322</v>
      </c>
      <c r="G33" s="228">
        <f>ADVANCED!G33/Prices!$C$163+AXI!G33/Prices!$C$159+BHART!G33/Prices!$C$152+_CM!G33/Prices!$C$175*1000+DIGI!G33/Prices!$C$159+FAR!G33/Prices!$C$181+IDEA!G33/Prices!$C$152+INDO!G33/Prices!$C$172*1000+_LG!G33/Prices!$C$173*1000+MAXI!G33/Prices!$C$159+SKT!G33/Prices!$C$173*1000+TAIWAN!G33/Prices!$C$181+XLAX!G33/Prices!$C$172*1000+TRUECORP!G33/Prices!$C$163</f>
        <v>7851.4635538955299</v>
      </c>
      <c r="H33" s="279">
        <f t="shared" si="1"/>
        <v>-4.8208404647407277E-2</v>
      </c>
      <c r="I33" s="49"/>
      <c r="J33" s="254"/>
      <c r="K33" s="254"/>
      <c r="L33" s="254"/>
      <c r="M33" s="254"/>
      <c r="N33" s="254"/>
      <c r="O33" s="251"/>
      <c r="Q33" s="5"/>
      <c r="S33" s="42"/>
      <c r="T33" s="42"/>
      <c r="U33" s="42"/>
      <c r="V33" s="147" t="s">
        <v>261</v>
      </c>
      <c r="W33" s="288">
        <f>N19/F47</f>
        <v>0.97230443834974656</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274</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2.2344487860153421</v>
      </c>
      <c r="E37" s="64">
        <f t="shared" si="2"/>
        <v>2.1060731969907485</v>
      </c>
      <c r="F37" s="64">
        <f t="shared" si="2"/>
        <v>1.8779441408444131</v>
      </c>
      <c r="G37" s="64">
        <f t="shared" si="2"/>
        <v>1.652052156875208</v>
      </c>
      <c r="H37" s="17">
        <f t="shared" ref="H37:H45" si="3">H23</f>
        <v>4.6921489371530178E-2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6.1927540343996812</v>
      </c>
      <c r="E38" s="64">
        <f t="shared" si="2"/>
        <v>5.8202228024087796</v>
      </c>
      <c r="F38" s="64">
        <f t="shared" si="2"/>
        <v>5.1515450683440598</v>
      </c>
      <c r="G38" s="64">
        <f t="shared" si="2"/>
        <v>4.4926685668961923</v>
      </c>
      <c r="H38" s="17">
        <f t="shared" si="3"/>
        <v>5.3557833944543054E-2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11.947374777160258</v>
      </c>
      <c r="E39" s="64">
        <f t="shared" si="2"/>
        <v>10.826292548639838</v>
      </c>
      <c r="F39" s="64">
        <f t="shared" si="2"/>
        <v>9.1327223110045264</v>
      </c>
      <c r="G39" s="64">
        <f t="shared" si="2"/>
        <v>7.59398231709734</v>
      </c>
      <c r="H39" s="17">
        <f t="shared" si="3"/>
        <v>0.10103096398056932</v>
      </c>
      <c r="I39" s="5"/>
      <c r="J39" s="5"/>
      <c r="K39" s="5"/>
      <c r="L39" s="5"/>
      <c r="M39" s="5"/>
      <c r="N39" s="5"/>
      <c r="O39" s="5"/>
      <c r="Q39" s="5"/>
      <c r="R39" s="5"/>
      <c r="S39" s="42"/>
      <c r="T39" s="42"/>
      <c r="U39" s="42"/>
      <c r="V39" s="42"/>
      <c r="W39" s="288"/>
      <c r="X39" s="288"/>
      <c r="Y39" s="42"/>
      <c r="Z39" s="42"/>
      <c r="AA39" s="42"/>
    </row>
    <row r="40" spans="2:42">
      <c r="B40" s="5" t="s">
        <v>461</v>
      </c>
      <c r="C40" s="247"/>
      <c r="D40" s="64">
        <f t="shared" si="2"/>
        <v>15.290833278046275</v>
      </c>
      <c r="E40" s="64">
        <f t="shared" si="2"/>
        <v>13.992794598823913</v>
      </c>
      <c r="F40" s="64">
        <f t="shared" si="2"/>
        <v>11.824404725072666</v>
      </c>
      <c r="G40" s="64">
        <f t="shared" si="2"/>
        <v>9.8399138904885106</v>
      </c>
      <c r="H40" s="17">
        <f t="shared" si="3"/>
        <v>9.6508112488197906E-2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1.3556487552975875</v>
      </c>
      <c r="E41" s="64">
        <f t="shared" si="2"/>
        <v>1.3690185322811126</v>
      </c>
      <c r="F41" s="64">
        <f t="shared" si="2"/>
        <v>1.3057408580448826</v>
      </c>
      <c r="G41" s="64">
        <f t="shared" si="2"/>
        <v>1.2322416972419115</v>
      </c>
      <c r="H41" s="17">
        <f t="shared" si="3"/>
        <v>-2.2727547201761622E-2</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2.6372229726335932</v>
      </c>
      <c r="E42" s="64">
        <f>E18/E28</f>
        <v>2.5669592844922602</v>
      </c>
      <c r="F42" s="64">
        <f>F18/F28</f>
        <v>2.3568640321082914</v>
      </c>
      <c r="G42" s="64">
        <f>G18/G28</f>
        <v>2.1486020726478685</v>
      </c>
      <c r="H42" s="17">
        <f t="shared" si="3"/>
        <v>1.3589689287555551E-2</v>
      </c>
      <c r="I42" s="247"/>
      <c r="J42" s="5"/>
      <c r="K42" s="5"/>
      <c r="L42" s="5"/>
      <c r="M42" s="5"/>
      <c r="N42" s="5"/>
      <c r="O42" s="5"/>
      <c r="Q42" s="5"/>
      <c r="R42" s="5"/>
      <c r="S42" s="42"/>
      <c r="T42" s="42"/>
      <c r="U42" s="42"/>
      <c r="V42" s="42"/>
      <c r="W42" s="288"/>
      <c r="X42" s="288"/>
      <c r="Y42" s="288"/>
      <c r="Z42" s="288"/>
      <c r="AA42" s="42"/>
    </row>
    <row r="43" spans="2:42">
      <c r="B43" s="5" t="s">
        <v>470</v>
      </c>
      <c r="C43" s="247"/>
      <c r="D43" s="64">
        <f>L26/D29</f>
        <v>22.505697868541699</v>
      </c>
      <c r="E43" s="64">
        <f>M26/E29</f>
        <v>20.093407146344067</v>
      </c>
      <c r="F43" s="64">
        <f>N26/F29</f>
        <v>16.744149326664214</v>
      </c>
      <c r="G43" s="64">
        <f>O26/G29</f>
        <v>13.918642344137748</v>
      </c>
      <c r="H43" s="17">
        <f t="shared" si="3"/>
        <v>0.17648045170847126</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19.975738821579789</v>
      </c>
      <c r="E44" s="64">
        <f>E11/E30</f>
        <v>17.044972604205348</v>
      </c>
      <c r="F44" s="64">
        <f>F11/F30</f>
        <v>14.685205785313777</v>
      </c>
      <c r="G44" s="64">
        <f>G11/G30</f>
        <v>12.861689418705005</v>
      </c>
      <c r="H44" s="17">
        <f t="shared" si="3"/>
        <v>0.16079213451942098</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4.1658856335201368E-2</v>
      </c>
      <c r="E45" s="248">
        <f>E31/E11</f>
        <v>4.6883496700569051E-2</v>
      </c>
      <c r="F45" s="248">
        <f>F31/F11</f>
        <v>5.233240744898579E-2</v>
      </c>
      <c r="G45" s="248">
        <f>G31/G11</f>
        <v>6.0628638270366096E-2</v>
      </c>
      <c r="H45" s="17">
        <f t="shared" si="3"/>
        <v>0.13590759320735235</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4.4433192244964455E-2</v>
      </c>
      <c r="E47" s="248">
        <f>1/E43</f>
        <v>4.9767567676144306E-2</v>
      </c>
      <c r="F47" s="248">
        <f>1/F43</f>
        <v>5.972235319279854E-2</v>
      </c>
      <c r="G47" s="248">
        <f>1/G43</f>
        <v>7.1846087806198985E-2</v>
      </c>
      <c r="H47" s="17">
        <f>H29</f>
        <v>0.17648045170847126</v>
      </c>
      <c r="I47" s="247"/>
      <c r="J47" s="248"/>
      <c r="K47" s="248"/>
      <c r="L47" s="248"/>
      <c r="M47" s="248"/>
      <c r="N47" s="248"/>
      <c r="O47" s="248"/>
      <c r="Q47" s="5"/>
      <c r="R47" s="5"/>
      <c r="S47" s="5"/>
      <c r="T47" s="5"/>
      <c r="U47" s="5"/>
      <c r="AA47" s="303"/>
      <c r="AB47" s="303"/>
    </row>
    <row r="48" spans="2:42">
      <c r="B48" s="5" t="s">
        <v>613</v>
      </c>
      <c r="C48" s="5"/>
      <c r="D48" s="305">
        <f>D31/D29</f>
        <v>0.93756163422902616</v>
      </c>
      <c r="E48" s="305">
        <f>E31/E29</f>
        <v>0.94204918764881274</v>
      </c>
      <c r="F48" s="305">
        <f>F31/F29</f>
        <v>0.87626164494965275</v>
      </c>
      <c r="G48" s="305">
        <f>G31/G29</f>
        <v>0.84386833189732791</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72">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314</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545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EM'!D37</f>
        <v>1.7568504876692785</v>
      </c>
      <c r="M9" s="64">
        <f>'AGG EM'!E37</f>
        <v>1.6557505993722963</v>
      </c>
      <c r="N9" s="64">
        <f>'AGG EM'!F37</f>
        <v>1.4867932994499977</v>
      </c>
      <c r="O9" s="64">
        <f>'AGG EM'!G37</f>
        <v>1.3237610851186894</v>
      </c>
      <c r="P9" s="17">
        <f>'AGG EM'!H37</f>
        <v>4.2237881472639405E-2</v>
      </c>
    </row>
    <row r="10" spans="2:63">
      <c r="B10" s="5" t="s">
        <v>269</v>
      </c>
      <c r="C10" s="5"/>
      <c r="D10" s="332"/>
      <c r="E10" s="332"/>
      <c r="F10" s="332"/>
      <c r="G10" s="332"/>
      <c r="H10" s="247"/>
      <c r="I10" s="247"/>
      <c r="J10" s="5" t="s">
        <v>180</v>
      </c>
      <c r="L10" s="64">
        <f>'AGG EM'!D38</f>
        <v>5.1440316657520277</v>
      </c>
      <c r="M10" s="64">
        <f>'AGG EM'!E38</f>
        <v>4.8353866940625734</v>
      </c>
      <c r="N10" s="64">
        <f>'AGG EM'!F38</f>
        <v>4.3122989607565385</v>
      </c>
      <c r="O10" s="64">
        <f>'AGG EM'!G38</f>
        <v>3.8049801727031363</v>
      </c>
      <c r="P10" s="17">
        <f>'AGG EM'!H38</f>
        <v>4.8678106743502703E-2</v>
      </c>
      <c r="W10" s="10"/>
      <c r="X10" s="10"/>
      <c r="Y10" s="10"/>
      <c r="Z10" s="10"/>
    </row>
    <row r="11" spans="2:63">
      <c r="B11" s="41" t="s">
        <v>518</v>
      </c>
      <c r="C11" s="5"/>
      <c r="D11" s="271">
        <f>'EM ASIA INCUMB'!D11+'EM ASIA CELLULAR'!D11</f>
        <v>547796.31304106268</v>
      </c>
      <c r="E11" s="271">
        <f>'EM ASIA INCUMB'!E11+'EM ASIA CELLULAR'!E11</f>
        <v>550874.80133394699</v>
      </c>
      <c r="F11" s="271">
        <f>'EM ASIA INCUMB'!F11+'EM ASIA CELLULAR'!F11</f>
        <v>550874.80133394699</v>
      </c>
      <c r="G11" s="271">
        <f>'EM ASIA INCUMB'!G11+'EM ASIA CELLULAR'!G11</f>
        <v>550874.80133394699</v>
      </c>
      <c r="H11" s="249"/>
      <c r="I11" s="249"/>
      <c r="J11" s="5" t="s">
        <v>181</v>
      </c>
      <c r="L11" s="64">
        <f>'AGG EM'!D39</f>
        <v>10.995479606644533</v>
      </c>
      <c r="M11" s="64">
        <f>'AGG EM'!E39</f>
        <v>9.5892649604733364</v>
      </c>
      <c r="N11" s="64">
        <f>'AGG EM'!F39</f>
        <v>8.1142047815241369</v>
      </c>
      <c r="O11" s="64">
        <f>'AGG EM'!G39</f>
        <v>6.8473836589479324</v>
      </c>
      <c r="P11" s="17">
        <f>'AGG EM'!H39</f>
        <v>0.11059307549826269</v>
      </c>
      <c r="W11" s="10"/>
      <c r="X11" s="10"/>
      <c r="Y11" s="10"/>
      <c r="Z11" s="10"/>
    </row>
    <row r="12" spans="2:63">
      <c r="B12" s="5" t="s">
        <v>225</v>
      </c>
      <c r="C12" s="249"/>
      <c r="D12" s="228">
        <f>'EM ASIA INCUMB'!D12+'EM ASIA CELLULAR'!D12</f>
        <v>93242.844146561867</v>
      </c>
      <c r="E12" s="228">
        <f>'EM ASIA INCUMB'!E12+'EM ASIA CELLULAR'!E12</f>
        <v>75775.259934142421</v>
      </c>
      <c r="F12" s="228">
        <f>'EM ASIA INCUMB'!F12+'EM ASIA CELLULAR'!F12</f>
        <v>58383.025799896554</v>
      </c>
      <c r="G12" s="228">
        <f>'EM ASIA INCUMB'!G12+'EM ASIA CELLULAR'!G12</f>
        <v>38691.471587493019</v>
      </c>
      <c r="H12" s="247"/>
      <c r="I12" s="247"/>
      <c r="J12" s="5" t="s">
        <v>461</v>
      </c>
      <c r="L12" s="64">
        <f>'AGG EM'!D40</f>
        <v>14.520348963598265</v>
      </c>
      <c r="M12" s="64">
        <f>'AGG EM'!E40</f>
        <v>12.588336648928733</v>
      </c>
      <c r="N12" s="64">
        <f>'AGG EM'!F40</f>
        <v>10.782973360794294</v>
      </c>
      <c r="O12" s="64">
        <f>'AGG EM'!G40</f>
        <v>9.0993411007602809</v>
      </c>
      <c r="P12" s="17">
        <f>'AGG EM'!H40</f>
        <v>0.10827488676451624</v>
      </c>
      <c r="W12" s="10"/>
      <c r="X12" s="10"/>
      <c r="Y12" s="10"/>
      <c r="Z12" s="10"/>
    </row>
    <row r="13" spans="2:63">
      <c r="B13" s="5" t="s">
        <v>524</v>
      </c>
      <c r="C13" s="257"/>
      <c r="D13" s="228">
        <f>'EM ASIA INCUMB'!D13+'EM ASIA CELLULAR'!D13</f>
        <v>6739.8460496607404</v>
      </c>
      <c r="E13" s="228">
        <f>'EM ASIA INCUMB'!E13+'EM ASIA CELLULAR'!E13</f>
        <v>6305.6444537448569</v>
      </c>
      <c r="F13" s="228">
        <f>'EM ASIA INCUMB'!F13+'EM ASIA CELLULAR'!F13</f>
        <v>5841.4751814069459</v>
      </c>
      <c r="G13" s="228">
        <f>'EM ASIA INCUMB'!G13+'EM ASIA CELLULAR'!G13</f>
        <v>5344.7973606562055</v>
      </c>
      <c r="H13" s="247"/>
      <c r="I13" s="247"/>
      <c r="J13" s="5" t="s">
        <v>525</v>
      </c>
      <c r="L13" s="64">
        <f>'AGG EM'!D41</f>
        <v>1.3238253427535878</v>
      </c>
      <c r="M13" s="64">
        <f>'AGG EM'!E41</f>
        <v>1.3149929904097803</v>
      </c>
      <c r="N13" s="64">
        <f>'AGG EM'!F41</f>
        <v>1.2546648940766489</v>
      </c>
      <c r="O13" s="64">
        <f>'AGG EM'!G41</f>
        <v>1.1810433829047893</v>
      </c>
      <c r="P13" s="17">
        <f>'AGG EM'!H41</f>
        <v>-1.4824953823212472E-2</v>
      </c>
    </row>
    <row r="14" spans="2:63">
      <c r="B14" s="5" t="s">
        <v>527</v>
      </c>
      <c r="C14" s="274"/>
      <c r="D14" s="228">
        <f>'EM ASIA INCUMB'!D14+'EM ASIA CELLULAR'!D14</f>
        <v>37011.196378450652</v>
      </c>
      <c r="E14" s="228">
        <f>'EM ASIA INCUMB'!E14+'EM ASIA CELLULAR'!E14</f>
        <v>35228.606929443238</v>
      </c>
      <c r="F14" s="228">
        <f>'EM ASIA INCUMB'!F14+'EM ASIA CELLULAR'!F14</f>
        <v>35225.562947576895</v>
      </c>
      <c r="G14" s="228">
        <f>'EM ASIA INCUMB'!G14+'EM ASIA CELLULAR'!G14</f>
        <v>35224.040956643716</v>
      </c>
      <c r="H14" s="247"/>
      <c r="I14" s="247"/>
      <c r="J14" s="5" t="s">
        <v>588</v>
      </c>
      <c r="L14" s="64">
        <f>'AGG EM'!D42</f>
        <v>2.0711803682152934</v>
      </c>
      <c r="M14" s="64">
        <f>'AGG EM'!E42</f>
        <v>2.0248906449245871</v>
      </c>
      <c r="N14" s="64">
        <f>'AGG EM'!F42</f>
        <v>1.9071372802806041</v>
      </c>
      <c r="O14" s="64">
        <f>'AGG EM'!G42</f>
        <v>1.8113330320796608</v>
      </c>
      <c r="P14" s="17">
        <f>'AGG EM'!H42</f>
        <v>-8.2588640298681959E-3</v>
      </c>
    </row>
    <row r="15" spans="2:63">
      <c r="B15" s="5" t="s">
        <v>526</v>
      </c>
      <c r="C15" s="257"/>
      <c r="D15" s="228">
        <f>'EM ASIA INCUMB'!D15+'EM ASIA CELLULAR'!D15</f>
        <v>23866.783039887443</v>
      </c>
      <c r="E15" s="228">
        <f>'EM ASIA INCUMB'!E15+'EM ASIA CELLULAR'!E15</f>
        <v>23858.679379165573</v>
      </c>
      <c r="F15" s="228">
        <f>'EM ASIA INCUMB'!F15+'EM ASIA CELLULAR'!F15</f>
        <v>23875.696923309632</v>
      </c>
      <c r="G15" s="228">
        <f>'EM ASIA INCUMB'!G15+'EM ASIA CELLULAR'!G15</f>
        <v>23916.226292181404</v>
      </c>
      <c r="H15" s="247"/>
      <c r="I15" s="247"/>
      <c r="J15" s="5" t="s">
        <v>470</v>
      </c>
      <c r="L15" s="64">
        <f>'AGG EM'!D43</f>
        <v>19.941396485994044</v>
      </c>
      <c r="M15" s="64">
        <f>'AGG EM'!E43</f>
        <v>16.131685917921274</v>
      </c>
      <c r="N15" s="64">
        <f>'AGG EM'!F43</f>
        <v>13.571473710874955</v>
      </c>
      <c r="O15" s="64">
        <f>'AGG EM'!G43</f>
        <v>11.537221469167157</v>
      </c>
      <c r="P15" s="17">
        <f>'AGG EM'!H43</f>
        <v>0.19756422158027021</v>
      </c>
      <c r="S15" s="88"/>
      <c r="T15" s="88"/>
      <c r="U15" s="88"/>
      <c r="V15" s="42"/>
      <c r="W15" s="42"/>
      <c r="X15" s="42"/>
      <c r="Y15" s="42"/>
      <c r="Z15" s="42"/>
      <c r="AA15" s="42"/>
    </row>
    <row r="16" spans="2:63">
      <c r="B16" s="5" t="s">
        <v>529</v>
      </c>
      <c r="C16" s="257"/>
      <c r="D16" s="228">
        <f>'EM ASIA INCUMB'!D16+'EM ASIA CELLULAR'!D16</f>
        <v>15440.890884794304</v>
      </c>
      <c r="E16" s="228">
        <f>'EM ASIA INCUMB'!E16+'EM ASIA CELLULAR'!E16</f>
        <v>17348.235763061166</v>
      </c>
      <c r="F16" s="228">
        <f>'EM ASIA INCUMB'!F16+'EM ASIA CELLULAR'!F16</f>
        <v>40619.37670308433</v>
      </c>
      <c r="G16" s="228">
        <f>'EM ASIA INCUMB'!G16+'EM ASIA CELLULAR'!G16</f>
        <v>65978.0391642545</v>
      </c>
      <c r="H16" s="247"/>
      <c r="I16" s="247"/>
      <c r="J16" s="5" t="s">
        <v>528</v>
      </c>
      <c r="L16" s="64">
        <f>'AGG EM'!D44</f>
        <v>18.269093770217651</v>
      </c>
      <c r="M16" s="64">
        <f>'AGG EM'!E44</f>
        <v>15.568805131794383</v>
      </c>
      <c r="N16" s="64">
        <f>'AGG EM'!F44</f>
        <v>13.199234812647555</v>
      </c>
      <c r="O16" s="64">
        <f>'AGG EM'!G44</f>
        <v>11.401551775928532</v>
      </c>
      <c r="P16" s="17">
        <f>'AGG EM'!H44</f>
        <v>0.16848189780945066</v>
      </c>
      <c r="S16" s="88"/>
      <c r="T16" s="88"/>
      <c r="U16" s="88"/>
      <c r="V16" s="42"/>
      <c r="W16" s="42"/>
      <c r="X16" s="42"/>
      <c r="Y16" s="42"/>
      <c r="Z16" s="42"/>
      <c r="AA16" s="42"/>
    </row>
    <row r="17" spans="2:27">
      <c r="B17" s="5" t="s">
        <v>6</v>
      </c>
      <c r="C17" s="257"/>
      <c r="D17" s="228">
        <f>'EM ASIA INCUMB'!D17+'EM ASIA CELLULAR'!D17</f>
        <v>429.25200756493678</v>
      </c>
      <c r="E17" s="228">
        <f>'EM ASIA INCUMB'!E17+'EM ASIA CELLULAR'!E17</f>
        <v>429.25200756493678</v>
      </c>
      <c r="F17" s="228">
        <f>'EM ASIA INCUMB'!F17+'EM ASIA CELLULAR'!F17</f>
        <v>429.25200756493678</v>
      </c>
      <c r="G17" s="228">
        <f>'EM ASIA INCUMB'!G17+'EM ASIA CELLULAR'!G17</f>
        <v>429.25200756493678</v>
      </c>
      <c r="H17" s="247"/>
      <c r="I17" s="247"/>
      <c r="J17" s="5" t="s">
        <v>575</v>
      </c>
      <c r="L17" s="248">
        <f>'AGG EM'!D45</f>
        <v>3.9575725452429565E-2</v>
      </c>
      <c r="M17" s="248">
        <f>'AGG EM'!E45</f>
        <v>4.4599307126826686E-2</v>
      </c>
      <c r="N17" s="248">
        <f>'AGG EM'!F45</f>
        <v>5.062338744034766E-2</v>
      </c>
      <c r="O17" s="248">
        <f>'AGG EM'!G45</f>
        <v>5.8280255420076719E-2</v>
      </c>
      <c r="P17" s="17">
        <f>'AGG EM'!H45</f>
        <v>0.13606146505400307</v>
      </c>
      <c r="S17" s="88"/>
      <c r="T17" s="88"/>
      <c r="U17" s="88"/>
      <c r="V17" s="42"/>
      <c r="W17" s="42"/>
      <c r="X17" s="42"/>
      <c r="Y17" s="42"/>
      <c r="Z17" s="42"/>
      <c r="AA17" s="42"/>
    </row>
    <row r="18" spans="2:27" ht="12.6" thickBot="1">
      <c r="B18" s="41" t="s">
        <v>88</v>
      </c>
      <c r="C18" s="249"/>
      <c r="D18" s="275">
        <f>'EM ASIA INCUMB'!D18+'EM ASIA CELLULAR'!D18</f>
        <v>618764.44700636296</v>
      </c>
      <c r="E18" s="275">
        <f>'EM ASIA INCUMB'!E18+'EM ASIA CELLULAR'!E18</f>
        <v>603808.29040093045</v>
      </c>
      <c r="F18" s="275">
        <f>'EM ASIA INCUMB'!F18+'EM ASIA CELLULAR'!F18</f>
        <v>562700.80758033402</v>
      </c>
      <c r="G18" s="275">
        <f>'EM ASIA INCUMB'!G18+'EM ASIA CELLULAR'!G18</f>
        <v>517195.96444581443</v>
      </c>
      <c r="H18" s="276">
        <f>IF(D18=0,"nm",IF(G18=0,"nm",(G18/D18)^(1/3)-1))</f>
        <v>-5.8016580598496237E-2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'AGG EM'!D47</f>
        <v>5.0146939343107481E-2</v>
      </c>
      <c r="M19" s="248">
        <f>'AGG EM'!E47</f>
        <v>6.1989801009519022E-2</v>
      </c>
      <c r="N19" s="248">
        <f>'AGG EM'!F47</f>
        <v>7.3683965448696279E-2</v>
      </c>
      <c r="O19" s="248">
        <f>'AGG EM'!G47</f>
        <v>8.6675981966062354E-2</v>
      </c>
      <c r="P19" s="17">
        <f>'AGG EM'!H47</f>
        <v>0.19756422158027021</v>
      </c>
      <c r="S19" s="88"/>
      <c r="T19" s="88"/>
      <c r="U19" s="88"/>
      <c r="V19" s="42"/>
      <c r="W19" s="42"/>
      <c r="X19" s="42"/>
      <c r="Y19" s="42"/>
      <c r="Z19" s="42"/>
      <c r="AA19" s="42"/>
    </row>
    <row r="20" spans="2:27">
      <c r="H20" s="277"/>
      <c r="I20" s="49"/>
      <c r="J20" s="5" t="s">
        <v>599</v>
      </c>
      <c r="L20" s="248">
        <f>'AGG EM'!D48</f>
        <v>0.7811093796944828</v>
      </c>
      <c r="M20" s="248">
        <f>'AGG EM'!E48</f>
        <v>0.71190259032608272</v>
      </c>
      <c r="N20" s="248">
        <f>'AGG EM'!F48</f>
        <v>0.68014626513904075</v>
      </c>
      <c r="O20" s="248">
        <f>'AGG EM'!G48</f>
        <v>0.66683886253088454</v>
      </c>
      <c r="P20" s="17" t="str">
        <f>'AGG EM'!H48</f>
        <v>nm</v>
      </c>
      <c r="S20" s="42"/>
      <c r="T20" s="42"/>
      <c r="U20" s="42"/>
      <c r="V20" s="42"/>
      <c r="W20" s="42"/>
      <c r="X20" s="42"/>
      <c r="Y20" s="42"/>
      <c r="Z20" s="42"/>
      <c r="AA20" s="42"/>
    </row>
    <row r="21" spans="2:27" ht="12.6" thickBot="1">
      <c r="B21" s="306" t="s">
        <v>303</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'EM ASIA INCUMB'!C23+'EM ASIA CELLULAR'!C23</f>
        <v>362424.65306975757</v>
      </c>
      <c r="D23" s="228">
        <f>'EM ASIA INCUMB'!D23+'EM ASIA CELLULAR'!D23</f>
        <v>386012.04442961363</v>
      </c>
      <c r="E23" s="228">
        <f>'EM ASIA INCUMB'!E23+'EM ASIA CELLULAR'!E23</f>
        <v>401289.05198502843</v>
      </c>
      <c r="F23" s="228">
        <f>'EM ASIA INCUMB'!F23+'EM ASIA CELLULAR'!F23</f>
        <v>420817.17093048012</v>
      </c>
      <c r="G23" s="228">
        <f>'EM ASIA INCUMB'!G23+'EM ASIA CELLULAR'!G23</f>
        <v>439202.45091761765</v>
      </c>
      <c r="H23" s="279">
        <f t="shared" ref="H23:H33" si="0">IF(D23=0,"nm",IF(G23=0,"nm",(G23/D23)^(1/3)-1))</f>
        <v>4.3969874091504657E-2</v>
      </c>
      <c r="I23" s="249"/>
      <c r="J23" s="306" t="s">
        <v>9</v>
      </c>
      <c r="K23" s="306"/>
      <c r="L23" s="265" t="str">
        <f>L5</f>
        <v>2023E</v>
      </c>
      <c r="M23" s="265" t="str">
        <f>M5</f>
        <v>2024E</v>
      </c>
      <c r="N23" s="265" t="str">
        <f>N5</f>
        <v>2025E</v>
      </c>
      <c r="O23" s="265" t="str">
        <f>O5</f>
        <v>2026E</v>
      </c>
      <c r="P23" s="282" t="str">
        <f>P5</f>
        <v>23E-26E</v>
      </c>
      <c r="S23" s="42"/>
      <c r="T23" s="42"/>
      <c r="U23" s="42"/>
      <c r="V23" s="42"/>
      <c r="W23" s="42" t="s">
        <v>168</v>
      </c>
      <c r="X23" s="42" t="s">
        <v>26</v>
      </c>
      <c r="Y23" s="42"/>
      <c r="Z23" s="42"/>
      <c r="AA23" s="42"/>
    </row>
    <row r="24" spans="2:27" ht="12.6" thickTop="1">
      <c r="B24" s="5" t="s">
        <v>478</v>
      </c>
      <c r="C24" s="365">
        <f>'EM ASIA INCUMB'!C24+'EM ASIA CELLULAR'!C24</f>
        <v>120303.60717378109</v>
      </c>
      <c r="D24" s="228">
        <f>'EM ASIA INCUMB'!D24+'EM ASIA CELLULAR'!D24</f>
        <v>126140.37417849706</v>
      </c>
      <c r="E24" s="228">
        <f>'EM ASIA INCUMB'!E24+'EM ASIA CELLULAR'!E24</f>
        <v>131413.80635632254</v>
      </c>
      <c r="F24" s="228">
        <f>'EM ASIA INCUMB'!F24+'EM ASIA CELLULAR'!F24</f>
        <v>138171.44258131951</v>
      </c>
      <c r="G24" s="228">
        <f>'EM ASIA INCUMB'!G24+'EM ASIA CELLULAR'!G24</f>
        <v>145323.24965767737</v>
      </c>
      <c r="H24" s="279">
        <f t="shared" si="0"/>
        <v>4.831949442030492E-2</v>
      </c>
      <c r="I24" s="248"/>
      <c r="J24" s="17"/>
      <c r="K24" s="17"/>
      <c r="L24" s="17"/>
      <c r="M24" s="17"/>
      <c r="N24" s="17"/>
      <c r="O24" s="248"/>
      <c r="S24" s="42"/>
      <c r="T24" s="42"/>
      <c r="U24" s="42"/>
      <c r="V24" s="147" t="s">
        <v>268</v>
      </c>
      <c r="W24" s="288">
        <f t="shared" ref="W24:W31" si="1">E37/M9</f>
        <v>0.90875505428493308</v>
      </c>
      <c r="X24" s="288">
        <v>1</v>
      </c>
      <c r="Y24" s="42"/>
      <c r="Z24" s="42"/>
      <c r="AA24" s="42"/>
    </row>
    <row r="25" spans="2:27">
      <c r="B25" s="5" t="s">
        <v>179</v>
      </c>
      <c r="C25" s="365">
        <f>'EM ASIA INCUMB'!C25+'EM ASIA CELLULAR'!C25</f>
        <v>51427.310647237158</v>
      </c>
      <c r="D25" s="228">
        <f>'EM ASIA INCUMB'!D25+'EM ASIA CELLULAR'!D25</f>
        <v>57194.426318197395</v>
      </c>
      <c r="E25" s="228">
        <f>'EM ASIA INCUMB'!E25+'EM ASIA CELLULAR'!E25</f>
        <v>63725.593588266071</v>
      </c>
      <c r="F25" s="228">
        <f>'EM ASIA INCUMB'!F25+'EM ASIA CELLULAR'!F25</f>
        <v>70427.360974213618</v>
      </c>
      <c r="G25" s="228">
        <f>'EM ASIA INCUMB'!G25+'EM ASIA CELLULAR'!G25</f>
        <v>77689.625254069659</v>
      </c>
      <c r="H25" s="279">
        <f t="shared" si="0"/>
        <v>0.10748139595966522</v>
      </c>
      <c r="I25" s="249"/>
      <c r="J25" s="247" t="s">
        <v>10</v>
      </c>
      <c r="K25" s="247"/>
      <c r="L25" s="332">
        <f>'EM ASIA INCUMB'!L25+'EM ASIA CELLULAR'!L25</f>
        <v>-0.24142935954241926</v>
      </c>
      <c r="M25" s="332">
        <f>'EM ASIA INCUMB'!M25+'EM ASIA CELLULAR'!M25</f>
        <v>-0.13295491553329461</v>
      </c>
      <c r="N25" s="332">
        <f>'EM ASIA INCUMB'!N25+'EM ASIA CELLULAR'!N25</f>
        <v>-0.13295491553329461</v>
      </c>
      <c r="O25" s="332">
        <f>'EM ASIA INCUMB'!O25+'EM ASIA CELLULAR'!O25</f>
        <v>-0.13295491553329461</v>
      </c>
      <c r="P25" s="279">
        <f>IF(L25=0,"nm",IF(O25=0,"nm",(O25/L25)^(1/3)-1))</f>
        <v>-0.18033176425189545</v>
      </c>
      <c r="Q25" s="5"/>
      <c r="S25" s="42"/>
      <c r="T25" s="42"/>
      <c r="U25" s="42"/>
      <c r="V25" s="147" t="s">
        <v>180</v>
      </c>
      <c r="W25" s="288">
        <f t="shared" si="1"/>
        <v>0.95022590494417869</v>
      </c>
      <c r="X25" s="288">
        <v>1</v>
      </c>
      <c r="Y25" s="42"/>
      <c r="Z25" s="42"/>
      <c r="AA25" s="42"/>
    </row>
    <row r="26" spans="2:27">
      <c r="B26" s="5" t="s">
        <v>581</v>
      </c>
      <c r="C26" s="365">
        <f>'EM ASIA INCUMB'!C26+'EM ASIA CELLULAR'!C26</f>
        <v>40596.900883925526</v>
      </c>
      <c r="D26" s="228">
        <f>'EM ASIA INCUMB'!D26+'EM ASIA CELLULAR'!D26</f>
        <v>44795.842553589508</v>
      </c>
      <c r="E26" s="228">
        <f>'EM ASIA INCUMB'!E26+'EM ASIA CELLULAR'!E26</f>
        <v>49525.520381459515</v>
      </c>
      <c r="F26" s="228">
        <f>'EM ASIA INCUMB'!F26+'EM ASIA CELLULAR'!F26</f>
        <v>54638.29276214369</v>
      </c>
      <c r="G26" s="228">
        <f>'EM ASIA INCUMB'!G26+'EM ASIA CELLULAR'!G26</f>
        <v>60229.052605507401</v>
      </c>
      <c r="H26" s="279">
        <f t="shared" si="0"/>
        <v>0.10371287177719957</v>
      </c>
      <c r="I26" s="249"/>
      <c r="J26" s="249" t="s">
        <v>11</v>
      </c>
      <c r="K26" s="249"/>
      <c r="L26" s="281">
        <f>'EM ASIA INCUMB'!L26+'EM ASIA CELLULAR'!L26</f>
        <v>547796.07161170314</v>
      </c>
      <c r="M26" s="281">
        <f>'EM ASIA INCUMB'!M26+'EM ASIA CELLULAR'!M26</f>
        <v>550874.66837903147</v>
      </c>
      <c r="N26" s="281">
        <f>'EM ASIA INCUMB'!N26+'EM ASIA CELLULAR'!N26</f>
        <v>550874.66837903147</v>
      </c>
      <c r="O26" s="281">
        <f>'EM ASIA INCUMB'!O26+'EM ASIA CELLULAR'!O26</f>
        <v>550874.66837903147</v>
      </c>
      <c r="P26" s="279">
        <f>IF(L26=0,"nm",IF(O26=0,"nm",(O26/L26)^(1/3)-1))</f>
        <v>1.8698244717791912E-3</v>
      </c>
      <c r="Q26" s="41"/>
      <c r="S26" s="42"/>
      <c r="T26" s="42"/>
      <c r="U26" s="42"/>
      <c r="V26" s="147" t="s">
        <v>181</v>
      </c>
      <c r="W26" s="288">
        <f t="shared" si="1"/>
        <v>0.98809764316192472</v>
      </c>
      <c r="X26" s="288">
        <v>1</v>
      </c>
      <c r="Y26" s="42"/>
      <c r="Z26" s="42"/>
      <c r="AA26" s="42"/>
    </row>
    <row r="27" spans="2:27">
      <c r="B27" s="5" t="s">
        <v>582</v>
      </c>
      <c r="C27" s="365">
        <f>'EM ASIA INCUMB'!C27+'EM ASIA CELLULAR'!C27</f>
        <v>446562.94669886865</v>
      </c>
      <c r="D27" s="228">
        <f>'EM ASIA INCUMB'!D27+'EM ASIA CELLULAR'!D27</f>
        <v>522268.51174031832</v>
      </c>
      <c r="E27" s="228">
        <f>'EM ASIA INCUMB'!E27+'EM ASIA CELLULAR'!E27</f>
        <v>510955.40379938763</v>
      </c>
      <c r="F27" s="228">
        <f>'EM ASIA INCUMB'!F27+'EM ASIA CELLULAR'!F27</f>
        <v>502278.76607338566</v>
      </c>
      <c r="G27" s="228">
        <f>'EM ASIA INCUMB'!G27+'EM ASIA CELLULAR'!G27</f>
        <v>492933.94633934664</v>
      </c>
      <c r="H27" s="279">
        <f t="shared" si="0"/>
        <v>-1.9084429631928357E-2</v>
      </c>
      <c r="I27" s="248"/>
      <c r="J27" s="248"/>
      <c r="K27" s="248"/>
      <c r="L27" s="248"/>
      <c r="M27" s="248"/>
      <c r="N27" s="248"/>
      <c r="O27" s="248"/>
      <c r="Q27" s="5"/>
      <c r="S27" s="42"/>
      <c r="T27" s="42"/>
      <c r="U27" s="42"/>
      <c r="V27" s="147" t="s">
        <v>461</v>
      </c>
      <c r="W27" s="288">
        <f t="shared" si="1"/>
        <v>0.96850457251855193</v>
      </c>
      <c r="X27" s="288">
        <v>1</v>
      </c>
      <c r="Y27" s="42"/>
      <c r="Z27" s="42"/>
      <c r="AA27" s="42"/>
    </row>
    <row r="28" spans="2:27" ht="12.6" thickBot="1">
      <c r="B28" s="5" t="s">
        <v>587</v>
      </c>
      <c r="C28" s="365">
        <f>'EM ASIA INCUMB'!C28+'EM ASIA CELLULAR'!C28</f>
        <v>334828.89578277734</v>
      </c>
      <c r="D28" s="228">
        <f>'EM ASIA INCUMB'!D28+'EM ASIA CELLULAR'!D28</f>
        <v>329540.88076240447</v>
      </c>
      <c r="E28" s="228">
        <f>'EM ASIA INCUMB'!E28+'EM ASIA CELLULAR'!E28</f>
        <v>327349.96333718899</v>
      </c>
      <c r="F28" s="228">
        <f>'EM ASIA INCUMB'!F28+'EM ASIA CELLULAR'!F28</f>
        <v>327492.78092255816</v>
      </c>
      <c r="G28" s="228">
        <f>'EM ASIA INCUMB'!G28+'EM ASIA CELLULAR'!G28</f>
        <v>318101.20894718484</v>
      </c>
      <c r="H28" s="279">
        <f t="shared" si="0"/>
        <v>-1.1707861979180167E-2</v>
      </c>
      <c r="I28" s="252"/>
      <c r="J28" s="306" t="s">
        <v>747</v>
      </c>
      <c r="K28" s="306"/>
      <c r="L28" s="306"/>
      <c r="M28" s="306"/>
      <c r="N28" s="266"/>
      <c r="O28" s="266"/>
      <c r="P28" s="266"/>
      <c r="Q28" s="5"/>
      <c r="S28" s="42"/>
      <c r="T28" s="42"/>
      <c r="U28" s="42"/>
      <c r="V28" s="147" t="s">
        <v>525</v>
      </c>
      <c r="W28" s="288">
        <f t="shared" si="1"/>
        <v>0.89865425981126479</v>
      </c>
      <c r="X28" s="288">
        <v>1</v>
      </c>
      <c r="Y28" s="42"/>
      <c r="Z28" s="42"/>
      <c r="AA28" s="42"/>
    </row>
    <row r="29" spans="2:27" ht="12.6" thickTop="1">
      <c r="B29" s="5" t="s">
        <v>583</v>
      </c>
      <c r="C29" s="365">
        <f>'EM ASIA INCUMB'!C29+'EM ASIA CELLULAR'!C29</f>
        <v>27068.181876448631</v>
      </c>
      <c r="D29" s="228">
        <f>'EM ASIA INCUMB'!D29+'EM ASIA CELLULAR'!D29</f>
        <v>30786.116057779302</v>
      </c>
      <c r="E29" s="228">
        <f>'EM ASIA INCUMB'!E29+'EM ASIA CELLULAR'!E29</f>
        <v>35657.65011940102</v>
      </c>
      <c r="F29" s="228">
        <f>'EM ASIA INCUMB'!F29+'EM ASIA CELLULAR'!F29</f>
        <v>41533.063135829492</v>
      </c>
      <c r="G29" s="228">
        <f>'EM ASIA INCUMB'!G29+'EM ASIA CELLULAR'!G29</f>
        <v>48402.522959469861</v>
      </c>
      <c r="H29" s="279">
        <f t="shared" si="0"/>
        <v>0.16279824010895028</v>
      </c>
      <c r="I29" s="254"/>
      <c r="J29" s="249"/>
      <c r="K29" s="249"/>
      <c r="L29" s="249"/>
      <c r="M29" s="249"/>
      <c r="N29" s="249"/>
      <c r="O29" s="251"/>
      <c r="Q29" s="5"/>
      <c r="S29" s="42"/>
      <c r="T29" s="42"/>
      <c r="U29" s="42"/>
      <c r="V29" s="147" t="s">
        <v>588</v>
      </c>
      <c r="W29" s="288">
        <f t="shared" si="1"/>
        <v>0.91093041118056883</v>
      </c>
      <c r="X29" s="288">
        <v>1</v>
      </c>
      <c r="Y29" s="42"/>
      <c r="Z29" s="42"/>
      <c r="AA29" s="42"/>
    </row>
    <row r="30" spans="2:27">
      <c r="B30" s="5" t="s">
        <v>584</v>
      </c>
      <c r="C30" s="365">
        <f>'EM ASIA INCUMB'!C30+'EM ASIA CELLULAR'!C30</f>
        <v>30164.113191995762</v>
      </c>
      <c r="D30" s="228">
        <f>'EM ASIA INCUMB'!D30+'EM ASIA CELLULAR'!D30</f>
        <v>30874.386454994346</v>
      </c>
      <c r="E30" s="228">
        <f>'EM ASIA INCUMB'!E30+'EM ASIA CELLULAR'!E30</f>
        <v>35489.117142470044</v>
      </c>
      <c r="F30" s="228">
        <f>'EM ASIA INCUMB'!F30+'EM ASIA CELLULAR'!F30</f>
        <v>40301.539565556603</v>
      </c>
      <c r="G30" s="228">
        <f>'EM ASIA INCUMB'!G30+'EM ASIA CELLULAR'!G30</f>
        <v>45987.85327662019</v>
      </c>
      <c r="H30" s="279">
        <f t="shared" si="0"/>
        <v>0.14204074952010615</v>
      </c>
      <c r="I30" s="254"/>
      <c r="J30" s="248"/>
      <c r="K30" s="248"/>
      <c r="L30" s="248"/>
      <c r="M30" s="248"/>
      <c r="N30" s="248"/>
      <c r="O30" s="5"/>
      <c r="Q30" s="5"/>
      <c r="S30" s="42"/>
      <c r="T30" s="42"/>
      <c r="U30" s="42"/>
      <c r="V30" s="147" t="s">
        <v>470</v>
      </c>
      <c r="W30" s="288">
        <f t="shared" si="1"/>
        <v>0.95767979548997195</v>
      </c>
      <c r="X30" s="288">
        <v>1</v>
      </c>
      <c r="Y30" s="42"/>
      <c r="Z30" s="42"/>
      <c r="AA30" s="42"/>
    </row>
    <row r="31" spans="2:27">
      <c r="B31" s="5" t="s">
        <v>585</v>
      </c>
      <c r="C31" s="365">
        <f>'EM ASIA INCUMB'!C31+'EM ASIA CELLULAR'!C31</f>
        <v>21406.920638992007</v>
      </c>
      <c r="D31" s="228">
        <f>'EM ASIA INCUMB'!D31+'EM ASIA CELLULAR'!D31</f>
        <v>24293.157802679299</v>
      </c>
      <c r="E31" s="228">
        <f>'EM ASIA INCUMB'!E31+'EM ASIA CELLULAR'!E31</f>
        <v>27326.450575736293</v>
      </c>
      <c r="F31" s="228">
        <f>'EM ASIA INCUMB'!F31+'EM ASIA CELLULAR'!F31</f>
        <v>30731.48567016462</v>
      </c>
      <c r="G31" s="228">
        <f>'EM ASIA INCUMB'!G31+'EM ASIA CELLULAR'!G31</f>
        <v>35742.357075763633</v>
      </c>
      <c r="H31" s="279">
        <f t="shared" si="0"/>
        <v>0.13736468493430443</v>
      </c>
      <c r="I31" s="254"/>
      <c r="J31" s="252"/>
      <c r="K31" s="252"/>
      <c r="L31" s="252"/>
      <c r="M31" s="252"/>
      <c r="N31" s="252"/>
      <c r="O31" s="5"/>
      <c r="Q31" s="5"/>
      <c r="S31" s="42"/>
      <c r="T31" s="42"/>
      <c r="U31" s="42"/>
      <c r="V31" s="147" t="s">
        <v>528</v>
      </c>
      <c r="W31" s="288">
        <f t="shared" si="1"/>
        <v>0.99701669014356076</v>
      </c>
      <c r="X31" s="288">
        <v>1</v>
      </c>
      <c r="Y31" s="42"/>
      <c r="Z31" s="42"/>
      <c r="AA31" s="42"/>
    </row>
    <row r="32" spans="2:27">
      <c r="B32" s="5" t="s">
        <v>601</v>
      </c>
      <c r="C32" s="365" t="e">
        <f>'EM ASIA INCUMB'!C32+'EM ASIA CELLULAR'!C32</f>
        <v>#VALUE!</v>
      </c>
      <c r="D32" s="228" t="e">
        <f>'EM ASIA INCUMB'!D32+'EM ASIA CELLULAR'!D32</f>
        <v>#VALUE!</v>
      </c>
      <c r="E32" s="228" t="e">
        <f>'EM ASIA INCUMB'!E32+'EM ASIA CELLULAR'!E32</f>
        <v>#VALUE!</v>
      </c>
      <c r="F32" s="228" t="e">
        <f>'EM ASIA INCUMB'!F32+'EM ASIA CELLULAR'!F32</f>
        <v>#VALUE!</v>
      </c>
      <c r="G32" s="228" t="e">
        <f>'EM ASIA INCUMB'!G32+'EM ASIA CELLULAR'!G32</f>
        <v>#VALUE!</v>
      </c>
      <c r="H32" s="279" t="e">
        <f t="shared" si="0"/>
        <v>#VALUE!</v>
      </c>
      <c r="I32" s="5"/>
      <c r="J32" s="254"/>
      <c r="K32" s="254"/>
      <c r="L32" s="254"/>
      <c r="M32" s="254"/>
      <c r="N32" s="254"/>
      <c r="O32" s="251"/>
      <c r="Q32" s="5"/>
      <c r="S32" s="42"/>
      <c r="T32" s="42"/>
      <c r="U32" s="42"/>
      <c r="V32" s="147" t="s">
        <v>575</v>
      </c>
      <c r="W32" s="288">
        <f>M17/E45</f>
        <v>0.89907887542984899</v>
      </c>
      <c r="X32" s="288">
        <v>1</v>
      </c>
      <c r="Y32" s="42"/>
      <c r="Z32" s="42"/>
      <c r="AA32" s="42"/>
    </row>
    <row r="33" spans="2:42">
      <c r="B33" s="5" t="s">
        <v>5</v>
      </c>
      <c r="C33" s="365">
        <f>'EM ASIA INCUMB'!C33+'EM ASIA CELLULAR'!C33</f>
        <v>8090.6633574474554</v>
      </c>
      <c r="D33" s="228">
        <f>'EM ASIA INCUMB'!D33+'EM ASIA CELLULAR'!D33</f>
        <v>8965.2803783071104</v>
      </c>
      <c r="E33" s="228">
        <f>'EM ASIA INCUMB'!E33+'EM ASIA CELLULAR'!E33</f>
        <v>8042.3959830287422</v>
      </c>
      <c r="F33" s="228">
        <f>'EM ASIA INCUMB'!F33+'EM ASIA CELLULAR'!F33</f>
        <v>7791.5129716239771</v>
      </c>
      <c r="G33" s="228">
        <f>'EM ASIA INCUMB'!G33+'EM ASIA CELLULAR'!G33</f>
        <v>7684.9628061999247</v>
      </c>
      <c r="H33" s="279">
        <f t="shared" si="0"/>
        <v>-5.0067751896699653E-2</v>
      </c>
      <c r="I33" s="49"/>
      <c r="J33" s="254"/>
      <c r="K33" s="254"/>
      <c r="L33" s="254"/>
      <c r="M33" s="254"/>
      <c r="N33" s="254"/>
      <c r="O33" s="251"/>
      <c r="Q33" s="5"/>
      <c r="S33" s="42"/>
      <c r="T33" s="42"/>
      <c r="U33" s="42"/>
      <c r="V33" s="147" t="s">
        <v>576</v>
      </c>
      <c r="W33" s="288">
        <f>M19/E47</f>
        <v>0.95767979548997184</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296</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1.6029666844221748</v>
      </c>
      <c r="E37" s="553">
        <f t="shared" si="2"/>
        <v>1.5046717258148816</v>
      </c>
      <c r="F37" s="553">
        <f t="shared" si="2"/>
        <v>1.337162184556612</v>
      </c>
      <c r="G37" s="553">
        <f t="shared" si="2"/>
        <v>1.177579868612405</v>
      </c>
      <c r="H37" s="17">
        <f t="shared" ref="H37:H45" si="3">H23</f>
        <v>4.3969874091504657E-2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4.9053639727655307</v>
      </c>
      <c r="E38" s="553">
        <f t="shared" si="2"/>
        <v>4.5947096971206491</v>
      </c>
      <c r="F38" s="553">
        <f t="shared" si="2"/>
        <v>4.0724826857703373</v>
      </c>
      <c r="G38" s="553">
        <f t="shared" si="2"/>
        <v>3.5589347586440461</v>
      </c>
      <c r="H38" s="17">
        <f t="shared" si="3"/>
        <v>4.831949442030492E-2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10.818614449665217</v>
      </c>
      <c r="E39" s="553">
        <f t="shared" si="2"/>
        <v>9.4751301070989307</v>
      </c>
      <c r="F39" s="553">
        <f t="shared" si="2"/>
        <v>7.9898039596622423</v>
      </c>
      <c r="G39" s="553">
        <f t="shared" si="2"/>
        <v>6.6572076098246065</v>
      </c>
      <c r="H39" s="17">
        <f t="shared" si="3"/>
        <v>0.10748139595966522</v>
      </c>
      <c r="I39" s="5"/>
      <c r="J39" s="5"/>
      <c r="K39" s="5"/>
      <c r="L39" s="5"/>
      <c r="M39" s="5"/>
      <c r="N39" s="5"/>
      <c r="O39" s="5"/>
      <c r="Q39" s="5"/>
      <c r="R39" s="5"/>
      <c r="S39" s="42"/>
      <c r="T39" s="42"/>
      <c r="U39" s="42"/>
      <c r="V39" s="42"/>
      <c r="W39" s="288"/>
      <c r="X39" s="288"/>
      <c r="Y39" s="42"/>
      <c r="Z39" s="42"/>
      <c r="AA39" s="42"/>
    </row>
    <row r="40" spans="2:42">
      <c r="B40" s="5" t="s">
        <v>461</v>
      </c>
      <c r="C40" s="247"/>
      <c r="D40" s="553">
        <f t="shared" si="2"/>
        <v>13.81298825367849</v>
      </c>
      <c r="E40" s="553">
        <f t="shared" si="2"/>
        <v>12.191861604890343</v>
      </c>
      <c r="F40" s="553">
        <f t="shared" si="2"/>
        <v>10.298652815342045</v>
      </c>
      <c r="G40" s="553">
        <f t="shared" si="2"/>
        <v>8.5871509192313198</v>
      </c>
      <c r="H40" s="17">
        <f t="shared" si="3"/>
        <v>0.10371287177719957</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1.1847630732025143</v>
      </c>
      <c r="E41" s="553">
        <f t="shared" si="2"/>
        <v>1.1817240524537027</v>
      </c>
      <c r="F41" s="553">
        <f t="shared" si="2"/>
        <v>1.1202958308974589</v>
      </c>
      <c r="G41" s="553">
        <f t="shared" si="2"/>
        <v>1.0492196130671132</v>
      </c>
      <c r="H41" s="17">
        <f t="shared" si="3"/>
        <v>-1.9084429631928357E-2</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1.8776561062009349</v>
      </c>
      <c r="E42" s="553">
        <f>E18/E28</f>
        <v>1.8445344677768414</v>
      </c>
      <c r="F42" s="553">
        <f>F18/F28</f>
        <v>1.7182082792640099</v>
      </c>
      <c r="G42" s="553">
        <f>G18/G28</f>
        <v>1.6258849381854623</v>
      </c>
      <c r="H42" s="17">
        <f t="shared" si="3"/>
        <v>-1.1707861979180167E-2</v>
      </c>
      <c r="I42" s="247"/>
      <c r="J42" s="5"/>
      <c r="K42" s="5"/>
      <c r="L42" s="5"/>
      <c r="M42" s="5"/>
      <c r="N42" s="5"/>
      <c r="O42" s="5"/>
      <c r="Q42" s="5"/>
      <c r="R42" s="5"/>
      <c r="S42" s="42"/>
      <c r="T42" s="42"/>
      <c r="U42" s="42"/>
      <c r="V42" s="42"/>
      <c r="W42" s="288"/>
      <c r="X42" s="288"/>
      <c r="Y42" s="288"/>
      <c r="Z42" s="288"/>
      <c r="AA42" s="42"/>
    </row>
    <row r="43" spans="2:42">
      <c r="B43" s="5" t="s">
        <v>470</v>
      </c>
      <c r="C43" s="247"/>
      <c r="D43" s="553">
        <f>L26/D29</f>
        <v>17.793607695871767</v>
      </c>
      <c r="E43" s="553">
        <f>M26/E29</f>
        <v>15.448989670783305</v>
      </c>
      <c r="F43" s="553">
        <f>N26/F29</f>
        <v>13.263521319808609</v>
      </c>
      <c r="G43" s="553">
        <f>O26/G29</f>
        <v>11.381114758011883</v>
      </c>
      <c r="H43" s="17">
        <f t="shared" si="3"/>
        <v>0.16279824010895028</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17.74274328785728</v>
      </c>
      <c r="E44" s="553">
        <f>E11/E30</f>
        <v>15.522358561991719</v>
      </c>
      <c r="F44" s="553">
        <f>F11/F30</f>
        <v>13.668827724009528</v>
      </c>
      <c r="G44" s="553">
        <f>G11/G30</f>
        <v>11.978702246012574</v>
      </c>
      <c r="H44" s="17">
        <f t="shared" si="3"/>
        <v>0.14204074952010615</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4.4347063359767978E-2</v>
      </c>
      <c r="E45" s="248">
        <f>E31/E11</f>
        <v>4.9605555580987025E-2</v>
      </c>
      <c r="F45" s="248">
        <f>F31/F11</f>
        <v>5.5786697078443456E-2</v>
      </c>
      <c r="G45" s="248">
        <f>G31/G11</f>
        <v>6.488290440806746E-2</v>
      </c>
      <c r="H45" s="17">
        <f t="shared" si="3"/>
        <v>0.13736468493430443</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5.61999577090826E-2</v>
      </c>
      <c r="E47" s="248">
        <f>1/E43</f>
        <v>6.4729151958148559E-2</v>
      </c>
      <c r="F47" s="248">
        <f>1/F43</f>
        <v>7.5394759497731167E-2</v>
      </c>
      <c r="G47" s="248">
        <f>1/G43</f>
        <v>8.7864855180028567E-2</v>
      </c>
      <c r="H47" s="17">
        <f>H29</f>
        <v>0.16279824010895028</v>
      </c>
      <c r="I47" s="247"/>
      <c r="J47" s="248"/>
      <c r="K47" s="248"/>
      <c r="L47" s="248"/>
      <c r="M47" s="248"/>
      <c r="N47" s="248"/>
      <c r="O47" s="248"/>
      <c r="Q47" s="5"/>
      <c r="R47" s="5"/>
      <c r="S47" s="5"/>
      <c r="T47" s="5"/>
      <c r="U47" s="5"/>
      <c r="AA47" s="303"/>
      <c r="AB47" s="303"/>
    </row>
    <row r="48" spans="2:42">
      <c r="B48" s="5" t="s">
        <v>613</v>
      </c>
      <c r="C48" s="5"/>
      <c r="D48" s="305">
        <f>D31/D29</f>
        <v>0.78909459566403128</v>
      </c>
      <c r="E48" s="305">
        <f>E31/E29</f>
        <v>0.7663559007459162</v>
      </c>
      <c r="F48" s="305">
        <f>F31/F29</f>
        <v>0.73992822464503871</v>
      </c>
      <c r="G48" s="305">
        <f>G31/G29</f>
        <v>0.73843995912553373</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254"/>
      <c r="K54" s="254"/>
      <c r="L54" s="254"/>
      <c r="M54" s="254"/>
      <c r="N54" s="254"/>
      <c r="O54" s="251"/>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4">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569</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471</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365</v>
      </c>
      <c r="C9" s="287">
        <f>Prices!C123</f>
        <v>16.309999999999999</v>
      </c>
      <c r="D9" s="526">
        <v>0</v>
      </c>
      <c r="E9" s="526">
        <v>0</v>
      </c>
      <c r="F9" s="526">
        <v>0</v>
      </c>
      <c r="G9" s="526">
        <v>0</v>
      </c>
      <c r="H9" s="249"/>
      <c r="I9" s="249"/>
      <c r="J9" s="5" t="s">
        <v>268</v>
      </c>
      <c r="L9" s="525">
        <f>'LATAM INCUMB'!D37</f>
        <v>1.7981142291912398</v>
      </c>
      <c r="M9" s="525">
        <f>'LATAM INCUMB'!E37</f>
        <v>1.6573649184523203</v>
      </c>
      <c r="N9" s="525">
        <f>'LATAM INCUMB'!F37</f>
        <v>1.5166362516889134</v>
      </c>
      <c r="O9" s="525">
        <f>'LATAM INCUMB'!G37</f>
        <v>1.393473574712661</v>
      </c>
      <c r="P9" s="286">
        <f>'LATAM INCUMB'!H37</f>
        <v>3.2219017878071687E-2</v>
      </c>
      <c r="S9" s="88"/>
      <c r="T9" s="42"/>
      <c r="U9" s="42"/>
      <c r="V9" s="42"/>
      <c r="W9" s="42"/>
      <c r="X9" s="42"/>
      <c r="Y9" s="42"/>
      <c r="Z9" s="42"/>
      <c r="AA9" s="42"/>
    </row>
    <row r="10" spans="2:27">
      <c r="B10" s="5" t="s">
        <v>269</v>
      </c>
      <c r="C10" s="5"/>
      <c r="D10" s="527">
        <v>3117.6999000000001</v>
      </c>
      <c r="E10" s="527">
        <v>3017.6999000000001</v>
      </c>
      <c r="F10" s="527">
        <v>2892.6999000000001</v>
      </c>
      <c r="G10" s="527">
        <v>2767.6999000000001</v>
      </c>
      <c r="H10" s="249" t="s">
        <v>286</v>
      </c>
      <c r="I10" s="247"/>
      <c r="J10" s="5" t="s">
        <v>180</v>
      </c>
      <c r="L10" s="525">
        <f>'LATAM INCUMB'!D38</f>
        <v>4.7512746785783913</v>
      </c>
      <c r="M10" s="525">
        <f>'LATAM INCUMB'!E38</f>
        <v>4.280865063792997</v>
      </c>
      <c r="N10" s="525">
        <f>'LATAM INCUMB'!F38</f>
        <v>3.8384069733071251</v>
      </c>
      <c r="O10" s="525">
        <f>'LATAM INCUMB'!G38</f>
        <v>3.473863325911124</v>
      </c>
      <c r="P10" s="286">
        <f>'LATAM INCUMB'!H38</f>
        <v>5.2441939874377175E-2</v>
      </c>
      <c r="S10" s="88"/>
      <c r="T10" s="42"/>
      <c r="U10" s="42"/>
      <c r="V10" s="42"/>
      <c r="W10" s="288"/>
      <c r="X10" s="288"/>
      <c r="Y10" s="288"/>
      <c r="Z10" s="288"/>
      <c r="AA10" s="42"/>
    </row>
    <row r="11" spans="2:27">
      <c r="B11" s="41" t="s">
        <v>309</v>
      </c>
      <c r="C11" s="5"/>
      <c r="D11" s="528">
        <f>($C$9*D10)</f>
        <v>50849.685368999999</v>
      </c>
      <c r="E11" s="528">
        <f>($C$9*E10)</f>
        <v>49218.685368999999</v>
      </c>
      <c r="F11" s="528">
        <f>($C$9*F10)</f>
        <v>47179.935368999999</v>
      </c>
      <c r="G11" s="528">
        <f>($C$9*G10)</f>
        <v>45141.185368999999</v>
      </c>
      <c r="H11" s="249"/>
      <c r="I11" s="249"/>
      <c r="J11" s="5" t="s">
        <v>181</v>
      </c>
      <c r="L11" s="525">
        <f>'LATAM INCUMB'!D39</f>
        <v>9.3432661340600287</v>
      </c>
      <c r="M11" s="525">
        <f>'LATAM INCUMB'!E39</f>
        <v>7.5472128390826727</v>
      </c>
      <c r="N11" s="525">
        <f>'LATAM INCUMB'!F39</f>
        <v>6.3647667031009485</v>
      </c>
      <c r="O11" s="525">
        <f>'LATAM INCUMB'!G39</f>
        <v>5.4763649870724755</v>
      </c>
      <c r="P11" s="286">
        <f>'LATAM INCUMB'!H39</f>
        <v>0.13292489725074952</v>
      </c>
      <c r="S11" s="88"/>
      <c r="T11" s="42"/>
      <c r="U11" s="42"/>
      <c r="V11" s="42"/>
      <c r="W11" s="288"/>
      <c r="X11" s="288"/>
      <c r="Y11" s="288"/>
      <c r="Z11" s="288"/>
      <c r="AA11" s="42"/>
    </row>
    <row r="12" spans="2:27">
      <c r="B12" s="5" t="s">
        <v>24</v>
      </c>
      <c r="C12" s="249"/>
      <c r="D12" s="529">
        <v>28013.412580953827</v>
      </c>
      <c r="E12" s="529">
        <v>27344.065161451126</v>
      </c>
      <c r="F12" s="529">
        <v>25545.358322966753</v>
      </c>
      <c r="G12" s="529">
        <v>24365.718080729672</v>
      </c>
      <c r="H12" s="247"/>
      <c r="I12" s="247"/>
      <c r="J12" s="5" t="s">
        <v>461</v>
      </c>
      <c r="L12" s="525">
        <f>'LATAM INCUMB'!D40</f>
        <v>15.212560266492316</v>
      </c>
      <c r="M12" s="525">
        <f>'LATAM INCUMB'!E40</f>
        <v>11.124381688326695</v>
      </c>
      <c r="N12" s="525">
        <f>'LATAM INCUMB'!F40</f>
        <v>9.2813342134669856</v>
      </c>
      <c r="O12" s="525">
        <f>'LATAM INCUMB'!G40</f>
        <v>7.8992460056032359</v>
      </c>
      <c r="P12" s="286">
        <f>'LATAM INCUMB'!H40</f>
        <v>0.17960851918674359</v>
      </c>
      <c r="S12" s="88"/>
      <c r="T12" s="42"/>
      <c r="U12" s="42"/>
      <c r="V12" s="42"/>
      <c r="W12" s="288"/>
      <c r="X12" s="288"/>
      <c r="Y12" s="288"/>
      <c r="Z12" s="288"/>
      <c r="AA12" s="42"/>
    </row>
    <row r="13" spans="2:27">
      <c r="B13" s="5" t="s">
        <v>524</v>
      </c>
      <c r="C13" s="257"/>
      <c r="D13" s="529">
        <v>7149.220489977728</v>
      </c>
      <c r="E13" s="529">
        <v>7149.220489977728</v>
      </c>
      <c r="F13" s="529">
        <v>7149.220489977728</v>
      </c>
      <c r="G13" s="529">
        <v>7149.220489977728</v>
      </c>
      <c r="H13" s="247"/>
      <c r="I13" s="247"/>
      <c r="J13" s="5" t="s">
        <v>525</v>
      </c>
      <c r="L13" s="525">
        <f>'LATAM INCUMB'!D41</f>
        <v>1.3500734909901855</v>
      </c>
      <c r="M13" s="525">
        <f>'LATAM INCUMB'!E41</f>
        <v>1.2958114371123857</v>
      </c>
      <c r="N13" s="525">
        <f>'LATAM INCUMB'!F41</f>
        <v>1.2298151663256318</v>
      </c>
      <c r="O13" s="525">
        <f>'LATAM INCUMB'!G41</f>
        <v>1.1569201821496407</v>
      </c>
      <c r="P13" s="286">
        <f>'LATAM INCUMB'!H41</f>
        <v>-1.8012682500362365E-3</v>
      </c>
      <c r="S13" s="88"/>
      <c r="T13" s="42"/>
      <c r="U13" s="42"/>
      <c r="V13" s="42"/>
      <c r="W13" s="42"/>
      <c r="X13" s="42"/>
      <c r="Y13" s="42"/>
      <c r="Z13" s="42"/>
      <c r="AA13" s="42"/>
    </row>
    <row r="14" spans="2:27">
      <c r="B14" s="5" t="s">
        <v>527</v>
      </c>
      <c r="C14" s="257"/>
      <c r="D14" s="534">
        <v>0</v>
      </c>
      <c r="E14" s="526">
        <f t="shared" ref="E14:G15" si="2">D14</f>
        <v>0</v>
      </c>
      <c r="F14" s="526">
        <f t="shared" si="2"/>
        <v>0</v>
      </c>
      <c r="G14" s="526">
        <f t="shared" si="2"/>
        <v>0</v>
      </c>
      <c r="H14" s="247"/>
      <c r="I14" s="247"/>
      <c r="J14" s="5" t="s">
        <v>588</v>
      </c>
      <c r="L14" s="525">
        <f>'LATAM INCUMB'!D42</f>
        <v>2.3016970940645507</v>
      </c>
      <c r="M14" s="525">
        <f>'LATAM INCUMB'!E42</f>
        <v>2.2701196711338612</v>
      </c>
      <c r="N14" s="525">
        <f>'LATAM INCUMB'!F42</f>
        <v>2.2018047168545012</v>
      </c>
      <c r="O14" s="525">
        <f>'LATAM INCUMB'!G42</f>
        <v>2.1318659888961053</v>
      </c>
      <c r="P14" s="286">
        <f>'LATAM INCUMB'!H42</f>
        <v>-2.7338410987633122E-2</v>
      </c>
      <c r="S14" s="88"/>
      <c r="T14" s="42"/>
      <c r="U14" s="42"/>
      <c r="V14" s="42"/>
      <c r="W14" s="42"/>
      <c r="X14" s="42"/>
      <c r="Y14" s="42"/>
      <c r="Z14" s="42"/>
      <c r="AA14" s="42"/>
    </row>
    <row r="15" spans="2:27">
      <c r="B15" s="5" t="s">
        <v>526</v>
      </c>
      <c r="C15" s="274"/>
      <c r="D15" s="534">
        <v>2487.316098280839</v>
      </c>
      <c r="E15" s="526">
        <f t="shared" si="2"/>
        <v>2487.316098280839</v>
      </c>
      <c r="F15" s="526">
        <f t="shared" si="2"/>
        <v>2487.316098280839</v>
      </c>
      <c r="G15" s="526">
        <f t="shared" si="2"/>
        <v>2487.316098280839</v>
      </c>
      <c r="H15" s="247"/>
      <c r="I15" s="247"/>
      <c r="J15" s="5" t="s">
        <v>470</v>
      </c>
      <c r="L15" s="525">
        <f>'LATAM INCUMB'!D43</f>
        <v>31.920933591934315</v>
      </c>
      <c r="M15" s="525">
        <f>'LATAM INCUMB'!E43</f>
        <v>16.465156182385741</v>
      </c>
      <c r="N15" s="525">
        <f>'LATAM INCUMB'!F43</f>
        <v>12.417200013045317</v>
      </c>
      <c r="O15" s="525">
        <f>'LATAM INCUMB'!G43</f>
        <v>9.867174953724458</v>
      </c>
      <c r="P15" s="286">
        <f>'LATAM INCUMB'!H43</f>
        <v>0.44386238616406404</v>
      </c>
      <c r="S15" s="88"/>
      <c r="T15" s="42"/>
      <c r="U15" s="42"/>
      <c r="V15" s="42"/>
      <c r="W15" s="42"/>
      <c r="X15" s="42"/>
      <c r="Y15" s="42"/>
      <c r="Z15" s="42"/>
      <c r="AA15" s="42"/>
    </row>
    <row r="16" spans="2:27">
      <c r="B16" s="5" t="s">
        <v>529</v>
      </c>
      <c r="C16" s="257"/>
      <c r="D16" s="529">
        <v>816.91921144139098</v>
      </c>
      <c r="E16" s="529">
        <v>2552.8322960739074</v>
      </c>
      <c r="F16" s="529">
        <v>4331.9033755970304</v>
      </c>
      <c r="G16" s="529">
        <v>6127.6898407136678</v>
      </c>
      <c r="H16" s="247"/>
      <c r="I16" s="247"/>
      <c r="J16" s="5" t="s">
        <v>528</v>
      </c>
      <c r="L16" s="525">
        <f>'LATAM INCUMB'!D44</f>
        <v>16.651538951838202</v>
      </c>
      <c r="M16" s="525">
        <f>'LATAM INCUMB'!E44</f>
        <v>12.18073372584948</v>
      </c>
      <c r="N16" s="525">
        <f>'LATAM INCUMB'!F44</f>
        <v>9.1775904647564932</v>
      </c>
      <c r="O16" s="525">
        <f>'LATAM INCUMB'!G44</f>
        <v>7.3507020212907745</v>
      </c>
      <c r="P16" s="286">
        <f>'LATAM INCUMB'!H44</f>
        <v>0.27622076039307863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'LATAM INCUMB'!D45</f>
        <v>3.2025799004615774E-2</v>
      </c>
      <c r="M17" s="248">
        <f>'LATAM INCUMB'!E45</f>
        <v>3.5431489634530598E-2</v>
      </c>
      <c r="N17" s="248">
        <f>'LATAM INCUMB'!F45</f>
        <v>4.0832121196613419E-2</v>
      </c>
      <c r="O17" s="248">
        <f>'LATAM INCUMB'!G45</f>
        <v>4.5473553846557851E-2</v>
      </c>
      <c r="P17" s="286">
        <f>'LATAM INCUMB'!H45</f>
        <v>9.2203572531136757E-2</v>
      </c>
      <c r="S17" s="88"/>
      <c r="T17" s="42"/>
      <c r="U17" s="42"/>
      <c r="V17" s="42"/>
      <c r="W17" s="42"/>
      <c r="X17" s="42"/>
      <c r="Y17" s="42"/>
      <c r="Z17" s="42"/>
      <c r="AA17" s="42"/>
    </row>
    <row r="18" spans="2:27" ht="12.6" thickBot="1">
      <c r="B18" s="41" t="s">
        <v>513</v>
      </c>
      <c r="C18" s="249"/>
      <c r="D18" s="530">
        <f>D11+D12+D13-D14+D15-D16-D17</f>
        <v>87682.715326770995</v>
      </c>
      <c r="E18" s="530">
        <f>E11+E12+E13-E14+E15-E16-E17</f>
        <v>83646.454822635787</v>
      </c>
      <c r="F18" s="530">
        <f>F11+F12+F13-F14+F15-F16-F17</f>
        <v>78029.926904628286</v>
      </c>
      <c r="G18" s="530">
        <f>G11+G12+G13-G14+G15-G16-G17</f>
        <v>73015.750197274567</v>
      </c>
      <c r="H18" s="276">
        <f>IF(D18=0,"nm",IF(G18=0,"nm",(G18/D18)^(1/3)-1))</f>
        <v>-5.9192320469937387E-2</v>
      </c>
      <c r="I18" s="254"/>
      <c r="J18" s="5" t="s">
        <v>36</v>
      </c>
      <c r="L18" s="248">
        <f>'LATAM INCUMB'!D46</f>
        <v>3.2386280718173587E-2</v>
      </c>
      <c r="M18" s="248">
        <f>'LATAM INCUMB'!E46</f>
        <v>3.5702377387231532E-2</v>
      </c>
      <c r="N18" s="248">
        <f>'LATAM INCUMB'!F46</f>
        <v>3.2802914073150051E-2</v>
      </c>
      <c r="O18" s="248">
        <f>'LATAM INCUMB'!G46</f>
        <v>7.2247104617748276E-2</v>
      </c>
      <c r="P18" s="286">
        <f>'LATAM INCUMB'!H46</f>
        <v>0.269707667316055</v>
      </c>
      <c r="S18" s="88"/>
      <c r="T18" s="42"/>
      <c r="U18" s="42"/>
      <c r="V18" s="42"/>
      <c r="W18" s="42"/>
      <c r="X18" s="42"/>
      <c r="Y18" s="42"/>
      <c r="Z18" s="42"/>
      <c r="AA18" s="42"/>
    </row>
    <row r="19" spans="2:27" ht="12.6" thickTop="1">
      <c r="B19" s="41"/>
      <c r="C19" s="249"/>
      <c r="D19" s="229"/>
      <c r="E19" s="229"/>
      <c r="F19" s="229"/>
      <c r="G19" s="229"/>
      <c r="H19" s="276"/>
      <c r="I19" s="254"/>
      <c r="J19" s="5" t="s">
        <v>576</v>
      </c>
      <c r="L19" s="248">
        <f>'LATAM INCUMB'!D47</f>
        <v>3.1327404542224199E-2</v>
      </c>
      <c r="M19" s="248">
        <f>'LATAM INCUMB'!E47</f>
        <v>6.0734316086827646E-2</v>
      </c>
      <c r="N19" s="248">
        <f>'LATAM INCUMB'!F47</f>
        <v>8.053345351201685E-2</v>
      </c>
      <c r="O19" s="248">
        <f>'LATAM INCUMB'!G47</f>
        <v>0.10134613044664224</v>
      </c>
      <c r="P19" s="286">
        <f>'LATAM INCUMB'!H47</f>
        <v>0.44386238616406404</v>
      </c>
      <c r="S19" s="88"/>
      <c r="T19" s="42"/>
      <c r="U19" s="42"/>
      <c r="V19" s="42"/>
      <c r="W19" s="42"/>
      <c r="X19" s="42"/>
      <c r="Y19" s="42"/>
      <c r="Z19" s="42"/>
      <c r="AA19" s="42"/>
    </row>
    <row r="20" spans="2:27">
      <c r="H20" s="277"/>
      <c r="I20" s="17"/>
      <c r="J20" s="5" t="s">
        <v>599</v>
      </c>
      <c r="L20" s="305">
        <f>'LATAM INCUMB'!D48</f>
        <v>0.8627930890635962</v>
      </c>
      <c r="M20" s="305">
        <f>'LATAM INCUMB'!E48</f>
        <v>0.49052492114089552</v>
      </c>
      <c r="N20" s="305">
        <f>'LATAM INCUMB'!F48</f>
        <v>0.42422949128548088</v>
      </c>
      <c r="O20" s="305">
        <f>'LATAM INCUMB'!G48</f>
        <v>0.3734565041962376</v>
      </c>
      <c r="P20" s="286" t="str">
        <f>'LATAM INCUMB'!H48</f>
        <v>nm</v>
      </c>
      <c r="S20" s="88"/>
      <c r="T20" s="42"/>
      <c r="U20" s="42"/>
      <c r="V20" s="42"/>
      <c r="W20" s="42"/>
      <c r="X20" s="42"/>
      <c r="Y20" s="42"/>
      <c r="Z20" s="42"/>
      <c r="AA20" s="42"/>
    </row>
    <row r="21" spans="2:27" ht="12.6" thickBot="1">
      <c r="B21" s="306" t="s">
        <v>917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41994.082545997015</v>
      </c>
      <c r="D23" s="536">
        <v>46530.425983114947</v>
      </c>
      <c r="E23" s="536">
        <v>48607.290598760286</v>
      </c>
      <c r="F23" s="536">
        <v>49743.619294002012</v>
      </c>
      <c r="G23" s="536">
        <v>50832.495025347271</v>
      </c>
      <c r="H23" s="279">
        <f t="shared" ref="H23:H32" si="4">IF(D23=0,"nm",IF(G23=0,"nm",(G23/D23)^(1/3)-1))</f>
        <v>2.9915196167993097E-2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16128.692192938837</v>
      </c>
      <c r="D24" s="536">
        <v>18099.646943663844</v>
      </c>
      <c r="E24" s="536">
        <v>19261.148370347899</v>
      </c>
      <c r="F24" s="536">
        <v>20099.615076232243</v>
      </c>
      <c r="G24" s="536">
        <v>20890.225595674929</v>
      </c>
      <c r="H24" s="279">
        <f t="shared" si="4"/>
        <v>4.8956975895425581E-2</v>
      </c>
      <c r="I24" s="249"/>
      <c r="J24" s="17"/>
      <c r="K24" s="17"/>
      <c r="L24" s="17"/>
      <c r="M24" s="17"/>
      <c r="N24" s="17"/>
      <c r="O24" s="248"/>
      <c r="S24" s="88"/>
      <c r="T24" s="42"/>
      <c r="U24" s="42"/>
      <c r="V24" s="42"/>
      <c r="W24" s="42" t="s">
        <v>566</v>
      </c>
      <c r="X24" s="42" t="s">
        <v>507</v>
      </c>
      <c r="Y24" s="42"/>
      <c r="Z24" s="42"/>
      <c r="AA24" s="42"/>
    </row>
    <row r="25" spans="2:27">
      <c r="B25" s="5" t="s">
        <v>179</v>
      </c>
      <c r="C25" s="544">
        <v>8283.4887618100456</v>
      </c>
      <c r="D25" s="536">
        <v>9986.6346804488476</v>
      </c>
      <c r="E25" s="536">
        <v>11769.521982919216</v>
      </c>
      <c r="F25" s="536">
        <v>12811.417958532074</v>
      </c>
      <c r="G25" s="536">
        <v>13915.986613447323</v>
      </c>
      <c r="H25" s="279">
        <f t="shared" si="4"/>
        <v>0.11694454902488172</v>
      </c>
      <c r="I25" s="248"/>
      <c r="J25" s="247" t="s">
        <v>10</v>
      </c>
      <c r="K25" s="247"/>
      <c r="L25" s="321">
        <v>14298.440979955456</v>
      </c>
      <c r="M25" s="321">
        <v>14298.440979955456</v>
      </c>
      <c r="N25" s="321">
        <v>14298.440979955456</v>
      </c>
      <c r="O25" s="321">
        <v>14298.440979955456</v>
      </c>
      <c r="P25" s="279">
        <f>IF(L25=0,"nm",IF(O25=0,"nm",(O25/L25)^(1/3)-1))</f>
        <v>0</v>
      </c>
      <c r="S25" s="88"/>
      <c r="T25" s="42"/>
      <c r="U25" s="42"/>
      <c r="V25" s="147" t="s">
        <v>268</v>
      </c>
      <c r="W25" s="288">
        <f t="shared" ref="W25:W33" si="6">D37/L9</f>
        <v>1.0479961426351623</v>
      </c>
      <c r="X25" s="288">
        <v>1</v>
      </c>
      <c r="Y25" s="42"/>
      <c r="Z25" s="42"/>
      <c r="AA25" s="42"/>
    </row>
    <row r="26" spans="2:27">
      <c r="B26" s="5" t="s">
        <v>581</v>
      </c>
      <c r="C26" s="544">
        <v>4887.2583694679279</v>
      </c>
      <c r="D26" s="536">
        <v>5991.980808269308</v>
      </c>
      <c r="E26" s="536">
        <v>8003.2749483850657</v>
      </c>
      <c r="F26" s="536">
        <v>8839.8783913871303</v>
      </c>
      <c r="G26" s="536">
        <v>9741.1906294131259</v>
      </c>
      <c r="H26" s="279">
        <f t="shared" si="4"/>
        <v>0.17583723704721455</v>
      </c>
      <c r="I26" s="249"/>
      <c r="J26" s="249" t="s">
        <v>11</v>
      </c>
      <c r="K26" s="249"/>
      <c r="L26" s="281">
        <f>D11+L25</f>
        <v>65148.126348955455</v>
      </c>
      <c r="M26" s="281">
        <f>E11+M25</f>
        <v>63517.126348955455</v>
      </c>
      <c r="N26" s="281">
        <f>F11+N25</f>
        <v>61478.376348955455</v>
      </c>
      <c r="O26" s="281">
        <f>G11+O25</f>
        <v>59439.626348955455</v>
      </c>
      <c r="P26" s="279">
        <f>IF(L26=0,"nm",IF(O26=0,"nm",(O26/L26)^(1/3)-1))</f>
        <v>-3.0105015396334478E-2</v>
      </c>
      <c r="Q26" s="5"/>
      <c r="S26" s="88"/>
      <c r="T26" s="42"/>
      <c r="U26" s="42"/>
      <c r="V26" s="147" t="s">
        <v>180</v>
      </c>
      <c r="W26" s="288">
        <f t="shared" si="6"/>
        <v>1.0196092071944702</v>
      </c>
      <c r="X26" s="288">
        <v>1</v>
      </c>
      <c r="Y26" s="42"/>
      <c r="Z26" s="42"/>
      <c r="AA26" s="42"/>
    </row>
    <row r="27" spans="2:27">
      <c r="B27" s="5" t="s">
        <v>582</v>
      </c>
      <c r="C27" s="545">
        <v>47759.22426653406</v>
      </c>
      <c r="D27" s="536">
        <v>54921.567937211876</v>
      </c>
      <c r="E27" s="536">
        <v>54744.241311742502</v>
      </c>
      <c r="F27" s="536">
        <v>53943.013232190744</v>
      </c>
      <c r="G27" s="536">
        <v>53665.648851524544</v>
      </c>
      <c r="H27" s="279">
        <f t="shared" si="4"/>
        <v>-7.6813529020137716E-3</v>
      </c>
      <c r="I27" s="249"/>
      <c r="J27" s="248"/>
      <c r="K27" s="248"/>
      <c r="L27" s="248"/>
      <c r="M27" s="248"/>
      <c r="N27" s="248"/>
      <c r="O27" s="248"/>
      <c r="Q27" s="41"/>
      <c r="S27" s="88"/>
      <c r="T27" s="42"/>
      <c r="U27" s="42"/>
      <c r="V27" s="147" t="s">
        <v>181</v>
      </c>
      <c r="W27" s="288">
        <f t="shared" si="6"/>
        <v>0.93971488831355132</v>
      </c>
      <c r="X27" s="288">
        <v>1</v>
      </c>
      <c r="Y27" s="42"/>
      <c r="Z27" s="42"/>
      <c r="AA27" s="42"/>
    </row>
    <row r="28" spans="2:27" ht="12.6" thickBot="1">
      <c r="B28" s="5" t="s">
        <v>587</v>
      </c>
      <c r="C28" s="544">
        <v>32681.551466931876</v>
      </c>
      <c r="D28" s="536">
        <v>36587.698746669856</v>
      </c>
      <c r="E28" s="536">
        <v>35065.118695509052</v>
      </c>
      <c r="F28" s="536">
        <v>33317.833981828662</v>
      </c>
      <c r="G28" s="536">
        <v>31674.583844511042</v>
      </c>
      <c r="H28" s="279">
        <f t="shared" si="4"/>
        <v>-4.6928957646193981E-2</v>
      </c>
      <c r="I28" s="248"/>
      <c r="J28" s="306" t="s">
        <v>1352</v>
      </c>
      <c r="K28" s="306"/>
      <c r="L28" s="306"/>
      <c r="M28" s="306"/>
      <c r="N28" s="266"/>
      <c r="O28" s="266"/>
      <c r="P28" s="266"/>
      <c r="Q28" s="5"/>
      <c r="S28" s="88"/>
      <c r="T28" s="42"/>
      <c r="U28" s="42"/>
      <c r="V28" s="147" t="s">
        <v>461</v>
      </c>
      <c r="W28" s="288">
        <f t="shared" si="6"/>
        <v>0.96192511734214092</v>
      </c>
      <c r="X28" s="288">
        <v>1</v>
      </c>
      <c r="Y28" s="42"/>
      <c r="Z28" s="42"/>
      <c r="AA28" s="42"/>
    </row>
    <row r="29" spans="2:27" ht="12.6" thickTop="1">
      <c r="B29" s="5" t="s">
        <v>583</v>
      </c>
      <c r="C29" s="544">
        <v>2502.6318147008687</v>
      </c>
      <c r="D29" s="536">
        <v>2706.5298782836771</v>
      </c>
      <c r="E29" s="536">
        <v>4428.2408948741231</v>
      </c>
      <c r="F29" s="536">
        <v>5428.2552738662125</v>
      </c>
      <c r="G29" s="536">
        <v>6571.2073337376642</v>
      </c>
      <c r="H29" s="279">
        <f t="shared" si="4"/>
        <v>0.34403562870736648</v>
      </c>
      <c r="I29" s="252"/>
      <c r="J29" s="249"/>
      <c r="K29" s="249"/>
      <c r="L29" s="249"/>
      <c r="M29" s="249"/>
      <c r="N29" s="249"/>
      <c r="O29" s="251"/>
      <c r="Q29" s="5"/>
      <c r="S29" s="88"/>
      <c r="T29" s="42"/>
      <c r="U29" s="42"/>
      <c r="V29" s="147" t="s">
        <v>525</v>
      </c>
      <c r="W29" s="288">
        <f t="shared" si="6"/>
        <v>1.182534046117383</v>
      </c>
      <c r="X29" s="288">
        <v>1</v>
      </c>
      <c r="Y29" s="42"/>
      <c r="Z29" s="42"/>
      <c r="AA29" s="42"/>
    </row>
    <row r="30" spans="2:27">
      <c r="B30" s="5" t="s">
        <v>584</v>
      </c>
      <c r="C30" s="545">
        <v>4139.9784581618342</v>
      </c>
      <c r="D30" s="536">
        <v>4161.082242452122</v>
      </c>
      <c r="E30" s="536">
        <v>5223.6118925477958</v>
      </c>
      <c r="F30" s="536">
        <v>6421.6399472456715</v>
      </c>
      <c r="G30" s="536">
        <v>7634.3660988979309</v>
      </c>
      <c r="H30" s="279">
        <f>IF(D30=0,"nm",IF(G30=0,"nm",(G30/D30)^(1/3)-1))</f>
        <v>0.22420898009497869</v>
      </c>
      <c r="I30" s="254"/>
      <c r="J30" s="248"/>
      <c r="K30" s="248"/>
      <c r="L30" s="248"/>
      <c r="M30" s="248"/>
      <c r="N30" s="248"/>
      <c r="O30" s="5"/>
      <c r="Q30" s="5"/>
      <c r="S30" s="88"/>
      <c r="T30" s="42"/>
      <c r="U30" s="42"/>
      <c r="V30" s="147" t="s">
        <v>588</v>
      </c>
      <c r="W30" s="288">
        <f t="shared" si="6"/>
        <v>1.0411917696130752</v>
      </c>
      <c r="X30" s="288">
        <v>1</v>
      </c>
      <c r="Y30" s="42"/>
      <c r="Z30" s="42"/>
      <c r="AA30" s="42"/>
    </row>
    <row r="31" spans="2:27">
      <c r="B31" s="5" t="s">
        <v>585</v>
      </c>
      <c r="C31" s="545">
        <v>1388.7661918448537</v>
      </c>
      <c r="D31" s="536">
        <v>1608.6841884464388</v>
      </c>
      <c r="E31" s="536">
        <v>1680.2337973273943</v>
      </c>
      <c r="F31" s="536">
        <v>1705.3779051486963</v>
      </c>
      <c r="G31" s="536">
        <v>1718.1865356737044</v>
      </c>
      <c r="H31" s="279">
        <f t="shared" si="4"/>
        <v>2.2193635887354013E-2</v>
      </c>
      <c r="I31" s="254"/>
      <c r="J31" s="252"/>
      <c r="K31" s="252"/>
      <c r="L31" s="252"/>
      <c r="M31" s="252"/>
      <c r="N31" s="252"/>
      <c r="O31" s="5"/>
      <c r="Q31" s="5"/>
      <c r="S31" s="88"/>
      <c r="T31" s="42"/>
      <c r="U31" s="42"/>
      <c r="V31" s="147" t="s">
        <v>470</v>
      </c>
      <c r="W31" s="288">
        <f t="shared" si="6"/>
        <v>0.75407322330980364</v>
      </c>
      <c r="X31" s="288">
        <v>1</v>
      </c>
      <c r="Y31" s="42"/>
      <c r="Z31" s="42"/>
      <c r="AA31" s="42"/>
    </row>
    <row r="32" spans="2:27">
      <c r="B32" s="5" t="s">
        <v>601</v>
      </c>
      <c r="C32" s="546">
        <v>65.795090715048033</v>
      </c>
      <c r="D32" s="536">
        <v>26.5730629225169</v>
      </c>
      <c r="E32" s="536">
        <v>19.5</v>
      </c>
      <c r="F32" s="536">
        <v>-560.66442185000415</v>
      </c>
      <c r="G32" s="536">
        <v>1810.9906357811744</v>
      </c>
      <c r="H32" s="279">
        <f t="shared" si="4"/>
        <v>3.0846814798953694</v>
      </c>
      <c r="I32" s="254"/>
      <c r="J32" s="254"/>
      <c r="K32" s="254"/>
      <c r="L32" s="254"/>
      <c r="M32" s="254"/>
      <c r="N32" s="254"/>
      <c r="O32" s="251"/>
      <c r="Q32" s="5"/>
      <c r="S32" s="88"/>
      <c r="T32" s="42"/>
      <c r="U32" s="42"/>
      <c r="V32" s="147" t="s">
        <v>528</v>
      </c>
      <c r="W32" s="288">
        <f t="shared" si="6"/>
        <v>0.73388429316945825</v>
      </c>
      <c r="X32" s="288">
        <v>1</v>
      </c>
      <c r="Y32" s="42"/>
      <c r="Z32" s="42"/>
      <c r="AA32" s="42"/>
    </row>
    <row r="33" spans="2:27">
      <c r="B33" s="5" t="s">
        <v>5</v>
      </c>
      <c r="C33" s="545">
        <v>-1811.7851815017405</v>
      </c>
      <c r="D33" s="536">
        <v>-2051.7459338194058</v>
      </c>
      <c r="E33" s="536">
        <v>-1991.9156593701821</v>
      </c>
      <c r="F33" s="536">
        <v>-1646.7097153794778</v>
      </c>
      <c r="G33" s="536">
        <v>-1309.2643529356703</v>
      </c>
      <c r="H33" s="279">
        <f>IF(D33=0,"nm",IF(G33=0,"nm",(G33/D33)^(1/3)-1))</f>
        <v>-0.13906984298474612</v>
      </c>
      <c r="I33" s="5"/>
      <c r="J33" s="254"/>
      <c r="K33" s="254"/>
      <c r="L33" s="254"/>
      <c r="M33" s="254"/>
      <c r="N33" s="254"/>
      <c r="O33" s="251"/>
      <c r="Q33" s="5"/>
      <c r="S33" s="88"/>
      <c r="T33" s="42"/>
      <c r="U33" s="42"/>
      <c r="V33" s="147" t="s">
        <v>575</v>
      </c>
      <c r="W33" s="288">
        <f t="shared" si="6"/>
        <v>0.98783076899781175</v>
      </c>
      <c r="X33" s="288">
        <v>1</v>
      </c>
      <c r="Y33" s="42"/>
      <c r="Z33" s="42"/>
      <c r="AA33" s="42"/>
    </row>
    <row r="34" spans="2:27">
      <c r="H34" s="277"/>
      <c r="I34" s="49"/>
      <c r="J34" s="254"/>
      <c r="K34" s="254"/>
      <c r="L34" s="254"/>
      <c r="M34" s="254"/>
      <c r="N34" s="254"/>
      <c r="O34" s="251"/>
      <c r="Q34" s="5"/>
      <c r="S34" s="88"/>
      <c r="T34" s="42"/>
      <c r="U34" s="42"/>
      <c r="V34" s="147" t="s">
        <v>576</v>
      </c>
      <c r="W34" s="288">
        <f>D47/L19</f>
        <v>1.3261311621844443</v>
      </c>
      <c r="X34" s="288">
        <v>1</v>
      </c>
      <c r="Y34" s="288"/>
      <c r="Z34" s="288"/>
      <c r="AA34" s="42"/>
    </row>
    <row r="35" spans="2:27" ht="12.6" thickBot="1">
      <c r="B35" s="306" t="s">
        <v>71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1.8844167762098174</v>
      </c>
      <c r="E37" s="525">
        <f t="shared" ref="E37:G41" si="8">E$18/E23</f>
        <v>1.7208623190523844</v>
      </c>
      <c r="F37" s="525">
        <f t="shared" si="8"/>
        <v>1.5686419285947892</v>
      </c>
      <c r="G37" s="525">
        <f t="shared" si="8"/>
        <v>1.4363991018120548</v>
      </c>
      <c r="H37" s="17">
        <f t="shared" ref="H37:H45" si="9">H23</f>
        <v>2.9915196167993097E-2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4.8444434081884751</v>
      </c>
      <c r="E38" s="525">
        <f t="shared" si="8"/>
        <v>4.3427553339139218</v>
      </c>
      <c r="F38" s="525">
        <f t="shared" si="8"/>
        <v>3.8821602607155659</v>
      </c>
      <c r="G38" s="525">
        <f t="shared" si="8"/>
        <v>3.4952111868237368</v>
      </c>
      <c r="H38" s="17">
        <f t="shared" si="9"/>
        <v>4.8956975895425581E-2</v>
      </c>
      <c r="I38" s="259"/>
      <c r="J38" s="17"/>
      <c r="K38" s="17"/>
      <c r="L38" s="17"/>
      <c r="M38" s="17"/>
      <c r="N38" s="17"/>
      <c r="O38" s="5"/>
      <c r="Q38" s="5"/>
      <c r="R38" s="5"/>
      <c r="S38" s="42"/>
      <c r="T38" s="42"/>
      <c r="U38" s="42"/>
      <c r="V38" s="42"/>
      <c r="W38" s="42"/>
      <c r="X38" s="42"/>
      <c r="Y38" s="42"/>
      <c r="Z38" s="42"/>
      <c r="AA38" s="42"/>
    </row>
    <row r="39" spans="2:27">
      <c r="B39" s="5" t="s">
        <v>181</v>
      </c>
      <c r="C39" s="247"/>
      <c r="D39" s="525">
        <f>D$18/D25</f>
        <v>8.7800062916520059</v>
      </c>
      <c r="E39" s="525">
        <f t="shared" si="8"/>
        <v>7.1070392615800024</v>
      </c>
      <c r="F39" s="525">
        <f t="shared" si="8"/>
        <v>6.0906550045588332</v>
      </c>
      <c r="G39" s="525">
        <f t="shared" si="8"/>
        <v>5.2468971281359131</v>
      </c>
      <c r="H39" s="17">
        <f t="shared" si="9"/>
        <v>0.11694454902488172</v>
      </c>
      <c r="I39" s="17"/>
      <c r="J39" s="5"/>
      <c r="K39" s="5"/>
      <c r="L39" s="5"/>
      <c r="M39" s="5"/>
      <c r="N39" s="5"/>
      <c r="O39" s="5"/>
      <c r="Q39" s="5"/>
      <c r="R39" s="5"/>
      <c r="S39" s="42"/>
      <c r="T39" s="42"/>
      <c r="U39" s="42"/>
      <c r="V39" s="42"/>
      <c r="W39" s="42"/>
      <c r="X39" s="42"/>
      <c r="Y39" s="42"/>
      <c r="Z39" s="42"/>
      <c r="AA39" s="42"/>
    </row>
    <row r="40" spans="2:27">
      <c r="B40" s="5" t="s">
        <v>461</v>
      </c>
      <c r="C40" s="247"/>
      <c r="D40" s="525">
        <f>D$18/D26</f>
        <v>14.633343819420011</v>
      </c>
      <c r="E40" s="525">
        <f t="shared" si="8"/>
        <v>10.451528325852946</v>
      </c>
      <c r="F40" s="525">
        <f t="shared" si="8"/>
        <v>8.827036238491063</v>
      </c>
      <c r="G40" s="525">
        <f t="shared" si="8"/>
        <v>7.4955673259084472</v>
      </c>
      <c r="H40" s="17">
        <f t="shared" si="9"/>
        <v>0.17583723704721455</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1.5965078678564444</v>
      </c>
      <c r="E41" s="525">
        <f t="shared" si="8"/>
        <v>1.5279498412683972</v>
      </c>
      <c r="F41" s="525">
        <f t="shared" si="8"/>
        <v>1.4465251796142446</v>
      </c>
      <c r="G41" s="525">
        <f t="shared" si="8"/>
        <v>1.3605677329884798</v>
      </c>
      <c r="H41" s="17">
        <f t="shared" si="9"/>
        <v>-7.6813529020137716E-3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2.3965080704823425</v>
      </c>
      <c r="E42" s="525">
        <f>E18/E28</f>
        <v>2.3854604785167535</v>
      </c>
      <c r="F42" s="525">
        <f>F18/F28</f>
        <v>2.3419867854310494</v>
      </c>
      <c r="G42" s="525">
        <f>G18/G28</f>
        <v>2.3051841992843616</v>
      </c>
      <c r="H42" s="17">
        <f t="shared" si="9"/>
        <v>-4.6928957646193981E-2</v>
      </c>
      <c r="I42" s="248"/>
      <c r="J42" s="5"/>
      <c r="K42" s="5"/>
      <c r="L42" s="5"/>
      <c r="M42" s="5"/>
      <c r="N42" s="5"/>
      <c r="O42" s="5"/>
      <c r="Q42" s="5"/>
      <c r="R42" s="5"/>
      <c r="S42" s="42"/>
      <c r="T42" s="42"/>
      <c r="U42" s="42"/>
      <c r="V42" s="42"/>
      <c r="W42" s="288"/>
      <c r="X42" s="288"/>
      <c r="Y42" s="288"/>
      <c r="Z42" s="288"/>
      <c r="AA42" s="42"/>
    </row>
    <row r="43" spans="2:27">
      <c r="B43" s="5" t="s">
        <v>470</v>
      </c>
      <c r="C43" s="247"/>
      <c r="D43" s="525">
        <f>L26/D29</f>
        <v>24.070721284728098</v>
      </c>
      <c r="E43" s="525">
        <f>M26/E29</f>
        <v>14.343647479178296</v>
      </c>
      <c r="F43" s="525">
        <f>N26/F29</f>
        <v>11.325623657556582</v>
      </c>
      <c r="G43" s="525">
        <f>O26/G29</f>
        <v>9.0454650614633003</v>
      </c>
      <c r="H43" s="17">
        <f t="shared" si="9"/>
        <v>0.34403562870736648</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12.22030289385348</v>
      </c>
      <c r="E44" s="525">
        <f>E11/E30</f>
        <v>9.4223472917689879</v>
      </c>
      <c r="F44" s="525">
        <f>F11/F30</f>
        <v>7.3470228409856757</v>
      </c>
      <c r="G44" s="525">
        <f>G11/G30</f>
        <v>5.9128924110040275</v>
      </c>
      <c r="H44" s="17">
        <f t="shared" si="9"/>
        <v>0.22420898009497869</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3.1636069658498953E-2</v>
      </c>
      <c r="E45" s="248">
        <f>E31/E11</f>
        <v>3.413812832932097E-2</v>
      </c>
      <c r="F45" s="248">
        <f>F31/F11</f>
        <v>3.6146253525163374E-2</v>
      </c>
      <c r="G45" s="248">
        <f>G31/G11</f>
        <v>3.8062503712045677E-2</v>
      </c>
      <c r="H45" s="17">
        <f t="shared" si="9"/>
        <v>2.2193635887354013E-2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3.2158650333869596E-2</v>
      </c>
      <c r="E46" s="248">
        <f>(E31+E32)/E11</f>
        <v>3.4534319325764812E-2</v>
      </c>
      <c r="F46" s="248">
        <f>(F31+F32)/F11</f>
        <v>2.4262718342993671E-2</v>
      </c>
      <c r="G46" s="248">
        <f>(G31+G32)/G11</f>
        <v>7.8180870586497392E-2</v>
      </c>
      <c r="H46" s="279">
        <f>((G31+G32)/(D31+D32))^(1/3)-1</f>
        <v>0.29229736627918079</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4.1544247393802018E-2</v>
      </c>
      <c r="E47" s="248">
        <f>1/E43</f>
        <v>6.9717273897844489E-2</v>
      </c>
      <c r="F47" s="248">
        <f>1/F43</f>
        <v>8.8295358404637508E-2</v>
      </c>
      <c r="G47" s="248">
        <f>1/G43</f>
        <v>0.1105526352934946</v>
      </c>
      <c r="H47" s="17">
        <f>H29</f>
        <v>0.34403562870736648</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0.59437148702994269</v>
      </c>
      <c r="E48" s="305">
        <f>E31/E29</f>
        <v>0.37943595147959008</v>
      </c>
      <c r="F48" s="305">
        <f>F31/F29</f>
        <v>0.31416685824615992</v>
      </c>
      <c r="G48" s="305">
        <f>G31/G29</f>
        <v>0.26147197134569944</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AMXSOP!A1" display="Jump to AMXSop" xr:uid="{00000000-0004-0000-0900-000001000000}"/>
  </hyperlinks>
  <pageMargins left="0.75" right="0.75" top="1" bottom="1" header="0.5" footer="0.5"/>
  <pageSetup scale="71" orientation="landscape"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29">
    <tabColor theme="3" tint="0.59999389629810485"/>
    <pageSetUpPr fitToPage="1"/>
  </sheetPr>
  <dimension ref="B1:BK164"/>
  <sheetViews>
    <sheetView showGridLines="0" zoomScale="80" zoomScaleNormal="80" workbookViewId="0">
      <selection activeCell="D23" sqref="D23"/>
    </sheetView>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345</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505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'EM INCUMB'!D37</f>
        <v>1.0176300731136698</v>
      </c>
      <c r="M9" s="64">
        <f>'EM INCUMB'!E37</f>
        <v>0.93429038677213927</v>
      </c>
      <c r="N9" s="64">
        <f>'EM INCUMB'!F37</f>
        <v>0.8317426572747123</v>
      </c>
      <c r="O9" s="64">
        <f>'EM INCUMB'!G37</f>
        <v>0.74303420915690233</v>
      </c>
      <c r="P9" s="17">
        <f>'EM INCUMB'!H37</f>
        <v>3.7474232769618476E-2</v>
      </c>
    </row>
    <row r="10" spans="2:63">
      <c r="B10" s="5" t="s">
        <v>269</v>
      </c>
      <c r="C10" s="5"/>
      <c r="D10" s="332"/>
      <c r="E10" s="332"/>
      <c r="F10" s="332"/>
      <c r="G10" s="332"/>
      <c r="H10" s="247"/>
      <c r="I10" s="247"/>
      <c r="J10" s="5" t="s">
        <v>180</v>
      </c>
      <c r="L10" s="64">
        <f>'EM INCUMB'!D38</f>
        <v>3.3175350374258823</v>
      </c>
      <c r="M10" s="64">
        <f>'EM INCUMB'!E38</f>
        <v>3.0223783223658711</v>
      </c>
      <c r="N10" s="64">
        <f>'EM INCUMB'!F38</f>
        <v>2.6862546809972083</v>
      </c>
      <c r="O10" s="64">
        <f>'EM INCUMB'!G38</f>
        <v>2.3829836713571781</v>
      </c>
      <c r="P10" s="17">
        <f>'EM INCUMB'!H38</f>
        <v>4.3154001905154393E-2</v>
      </c>
      <c r="W10" s="10"/>
      <c r="X10" s="10"/>
      <c r="Y10" s="10"/>
      <c r="Z10" s="10"/>
    </row>
    <row r="11" spans="2:63">
      <c r="B11" s="41" t="s">
        <v>354</v>
      </c>
      <c r="C11" s="5"/>
      <c r="D11" s="271">
        <f>'DM ASIA INCUMB'!D11+'EM ASIA INCUMB'!D11</f>
        <v>308188.70337478234</v>
      </c>
      <c r="E11" s="271">
        <f>'DM ASIA INCUMB'!E11+'EM ASIA INCUMB'!E11</f>
        <v>306694.28988745157</v>
      </c>
      <c r="F11" s="271">
        <f>'DM ASIA INCUMB'!F11+'EM ASIA INCUMB'!F11</f>
        <v>305040.9503035763</v>
      </c>
      <c r="G11" s="271">
        <f>'DM ASIA INCUMB'!G11+'EM ASIA INCUMB'!G11</f>
        <v>303388.31697089074</v>
      </c>
      <c r="H11" s="249"/>
      <c r="I11" s="249"/>
      <c r="J11" s="5" t="s">
        <v>181</v>
      </c>
      <c r="L11" s="64">
        <f>'EM INCUMB'!D39</f>
        <v>8.3626832656520378</v>
      </c>
      <c r="M11" s="64">
        <f>'EM INCUMB'!E39</f>
        <v>6.6862965464471191</v>
      </c>
      <c r="N11" s="64">
        <f>'EM INCUMB'!F39</f>
        <v>5.6223434210064793</v>
      </c>
      <c r="O11" s="64">
        <f>'EM INCUMB'!G39</f>
        <v>4.7608020965038236</v>
      </c>
      <c r="P11" s="17">
        <f>'EM INCUMB'!H39</f>
        <v>0.12721160462737946</v>
      </c>
      <c r="W11" s="10"/>
      <c r="X11" s="10"/>
      <c r="Y11" s="10"/>
      <c r="Z11" s="10"/>
    </row>
    <row r="12" spans="2:63">
      <c r="B12" s="5" t="s">
        <v>225</v>
      </c>
      <c r="C12" s="249"/>
      <c r="D12" s="228">
        <f>'DM ASIA INCUMB'!D12+'EM ASIA INCUMB'!D12</f>
        <v>62690.46938488802</v>
      </c>
      <c r="E12" s="228">
        <f>'DM ASIA INCUMB'!E12+'EM ASIA INCUMB'!E12</f>
        <v>58070.38879239135</v>
      </c>
      <c r="F12" s="228">
        <f>'DM ASIA INCUMB'!F12+'EM ASIA INCUMB'!F12</f>
        <v>50954.920324701365</v>
      </c>
      <c r="G12" s="228">
        <f>'DM ASIA INCUMB'!G12+'EM ASIA INCUMB'!G12</f>
        <v>43947.872284147685</v>
      </c>
      <c r="H12" s="247"/>
      <c r="I12" s="247"/>
      <c r="J12" s="5" t="s">
        <v>461</v>
      </c>
      <c r="L12" s="64">
        <f>'EM INCUMB'!D40</f>
        <v>11.762846823892597</v>
      </c>
      <c r="M12" s="64">
        <f>'EM INCUMB'!E40</f>
        <v>9.0599421174657948</v>
      </c>
      <c r="N12" s="64">
        <f>'EM INCUMB'!F40</f>
        <v>7.5970645551793998</v>
      </c>
      <c r="O12" s="64">
        <f>'EM INCUMB'!G40</f>
        <v>6.4065033921566776</v>
      </c>
      <c r="P12" s="17">
        <f>'EM INCUMB'!H40</f>
        <v>0.14396851486850371</v>
      </c>
      <c r="W12" s="10"/>
      <c r="X12" s="10"/>
      <c r="Y12" s="10"/>
      <c r="Z12" s="10"/>
    </row>
    <row r="13" spans="2:63">
      <c r="B13" s="5" t="s">
        <v>524</v>
      </c>
      <c r="C13" s="257"/>
      <c r="D13" s="228">
        <f>'DM ASIA INCUMB'!D13+'EM ASIA INCUMB'!D13</f>
        <v>9159.9945097143354</v>
      </c>
      <c r="E13" s="228">
        <f>'DM ASIA INCUMB'!E13+'EM ASIA INCUMB'!E13</f>
        <v>9095.8515947161632</v>
      </c>
      <c r="F13" s="228">
        <f>'DM ASIA INCUMB'!F13+'EM ASIA INCUMB'!F13</f>
        <v>9026.2565319431451</v>
      </c>
      <c r="G13" s="228">
        <f>'DM ASIA INCUMB'!G13+'EM ASIA INCUMB'!G13</f>
        <v>8950.7458888344208</v>
      </c>
      <c r="H13" s="247"/>
      <c r="I13" s="247"/>
      <c r="J13" s="5" t="s">
        <v>525</v>
      </c>
      <c r="L13" s="64">
        <f>'EM INCUMB'!D41</f>
        <v>0.96958016481008746</v>
      </c>
      <c r="M13" s="64">
        <f>'EM INCUMB'!E41</f>
        <v>0.92844115605028033</v>
      </c>
      <c r="N13" s="64">
        <f>'EM INCUMB'!F41</f>
        <v>0.87061101840353483</v>
      </c>
      <c r="O13" s="64">
        <f>'EM INCUMB'!G41</f>
        <v>0.80791081215813854</v>
      </c>
      <c r="P13" s="17">
        <f>'EM INCUMB'!H41</f>
        <v>-7.2107972668689069E-3</v>
      </c>
    </row>
    <row r="14" spans="2:63">
      <c r="B14" s="5" t="s">
        <v>527</v>
      </c>
      <c r="C14" s="274"/>
      <c r="D14" s="228">
        <f>'DM ASIA INCUMB'!D14+'EM ASIA INCUMB'!D14</f>
        <v>26747.694424988018</v>
      </c>
      <c r="E14" s="228">
        <f>'DM ASIA INCUMB'!E14+'EM ASIA INCUMB'!E14</f>
        <v>26850.099523793815</v>
      </c>
      <c r="F14" s="228">
        <f>'DM ASIA INCUMB'!F14+'EM ASIA INCUMB'!F14</f>
        <v>26957.6248775399</v>
      </c>
      <c r="G14" s="228">
        <f>'DM ASIA INCUMB'!G14+'EM ASIA INCUMB'!G14</f>
        <v>27070.52649897329</v>
      </c>
      <c r="H14" s="247"/>
      <c r="I14" s="247"/>
      <c r="J14" s="5" t="s">
        <v>588</v>
      </c>
      <c r="L14" s="64">
        <f>'EM INCUMB'!D42</f>
        <v>1.2111681352410864</v>
      </c>
      <c r="M14" s="64">
        <f>'EM INCUMB'!E42</f>
        <v>1.185956965244517</v>
      </c>
      <c r="N14" s="64">
        <f>'EM INCUMB'!F42</f>
        <v>1.1302029797289712</v>
      </c>
      <c r="O14" s="64">
        <f>'EM INCUMB'!G42</f>
        <v>1.1238793277898012</v>
      </c>
      <c r="P14" s="17">
        <f>'EM INCUMB'!H42</f>
        <v>-4.2191848028902523E-2</v>
      </c>
    </row>
    <row r="15" spans="2:63">
      <c r="B15" s="5" t="s">
        <v>526</v>
      </c>
      <c r="C15" s="257"/>
      <c r="D15" s="228">
        <f>'DM ASIA INCUMB'!D15+'EM ASIA INCUMB'!D15</f>
        <v>35487.393410489443</v>
      </c>
      <c r="E15" s="228">
        <f>'DM ASIA INCUMB'!E15+'EM ASIA INCUMB'!E15</f>
        <v>35487.393410489443</v>
      </c>
      <c r="F15" s="228">
        <f>'DM ASIA INCUMB'!F15+'EM ASIA INCUMB'!F15</f>
        <v>35487.393410489443</v>
      </c>
      <c r="G15" s="228">
        <f>'DM ASIA INCUMB'!G15+'EM ASIA INCUMB'!G15</f>
        <v>35487.393410489443</v>
      </c>
      <c r="H15" s="247"/>
      <c r="I15" s="247"/>
      <c r="J15" s="5" t="s">
        <v>470</v>
      </c>
      <c r="L15" s="64">
        <f>'EM INCUMB'!D43</f>
        <v>14.53285700244998</v>
      </c>
      <c r="M15" s="64">
        <f>'EM INCUMB'!E43</f>
        <v>10.889620035203077</v>
      </c>
      <c r="N15" s="64">
        <f>'EM INCUMB'!F43</f>
        <v>9.2948871090281386</v>
      </c>
      <c r="O15" s="64">
        <f>'EM INCUMB'!G43</f>
        <v>8.0587293031146245</v>
      </c>
      <c r="P15" s="17">
        <f>'EM INCUMB'!H43</f>
        <v>0.20633617097870616</v>
      </c>
      <c r="S15" s="88"/>
      <c r="T15" s="88"/>
      <c r="U15" s="88"/>
      <c r="V15" s="42"/>
      <c r="W15" s="42"/>
      <c r="X15" s="42"/>
      <c r="Y15" s="42"/>
      <c r="Z15" s="42"/>
      <c r="AA15" s="42"/>
    </row>
    <row r="16" spans="2:63">
      <c r="B16" s="5" t="s">
        <v>529</v>
      </c>
      <c r="C16" s="257"/>
      <c r="D16" s="228">
        <f>'DM ASIA INCUMB'!D16+'EM ASIA INCUMB'!D16</f>
        <v>19399.329123943444</v>
      </c>
      <c r="E16" s="228">
        <f>'DM ASIA INCUMB'!E16+'EM ASIA INCUMB'!E16</f>
        <v>22531.37552565493</v>
      </c>
      <c r="F16" s="228">
        <f>'DM ASIA INCUMB'!F16+'EM ASIA INCUMB'!F16</f>
        <v>33857.546238718765</v>
      </c>
      <c r="G16" s="228">
        <f>'DM ASIA INCUMB'!G16+'EM ASIA INCUMB'!G16</f>
        <v>46176.593241419221</v>
      </c>
      <c r="H16" s="247"/>
      <c r="I16" s="247"/>
      <c r="J16" s="5" t="s">
        <v>528</v>
      </c>
      <c r="L16" s="64">
        <f>'EM INCUMB'!D44</f>
        <v>14.104957257301441</v>
      </c>
      <c r="M16" s="64">
        <f>'EM INCUMB'!E44</f>
        <v>12.075601575663633</v>
      </c>
      <c r="N16" s="64">
        <f>'EM INCUMB'!F44</f>
        <v>10.385279656189478</v>
      </c>
      <c r="O16" s="64">
        <f>'EM INCUMB'!G44</f>
        <v>8.8185004542193948</v>
      </c>
      <c r="P16" s="17">
        <f>'EM INCUMB'!H44</f>
        <v>0.15835578063954037</v>
      </c>
      <c r="S16" s="88"/>
      <c r="T16" s="88"/>
      <c r="U16" s="88"/>
      <c r="V16" s="42"/>
      <c r="W16" s="42"/>
      <c r="X16" s="42"/>
      <c r="Y16" s="42"/>
      <c r="Z16" s="42"/>
      <c r="AA16" s="42"/>
    </row>
    <row r="17" spans="2:27">
      <c r="B17" s="5" t="s">
        <v>6</v>
      </c>
      <c r="C17" s="257"/>
      <c r="D17" s="228">
        <f>'DM ASIA INCUMB'!D17+'EM ASIA INCUMB'!D17</f>
        <v>429.25200756493678</v>
      </c>
      <c r="E17" s="228">
        <f>'DM ASIA INCUMB'!E17+'EM ASIA INCUMB'!E17</f>
        <v>429.25200756493678</v>
      </c>
      <c r="F17" s="228">
        <f>'DM ASIA INCUMB'!F17+'EM ASIA INCUMB'!F17</f>
        <v>429.25200756493678</v>
      </c>
      <c r="G17" s="228">
        <f>'DM ASIA INCUMB'!G17+'EM ASIA INCUMB'!G17</f>
        <v>429.25200756493678</v>
      </c>
      <c r="H17" s="247"/>
      <c r="I17" s="247"/>
      <c r="J17" s="5" t="s">
        <v>575</v>
      </c>
      <c r="L17" s="248">
        <f>'EM INCUMB'!D45</f>
        <v>4.5731312159230778E-2</v>
      </c>
      <c r="M17" s="248">
        <f>'EM INCUMB'!E45</f>
        <v>5.0549419067414558E-2</v>
      </c>
      <c r="N17" s="248">
        <f>'EM INCUMB'!F45</f>
        <v>5.8078354371831294E-2</v>
      </c>
      <c r="O17" s="248">
        <f>'EM INCUMB'!G45</f>
        <v>6.7484331182154994E-2</v>
      </c>
      <c r="P17" s="17">
        <f>'EM INCUMB'!H45</f>
        <v>0.12766314772350529</v>
      </c>
      <c r="S17" s="88"/>
      <c r="T17" s="88"/>
      <c r="U17" s="88"/>
      <c r="V17" s="42"/>
      <c r="W17" s="42"/>
      <c r="X17" s="42"/>
      <c r="Y17" s="42"/>
      <c r="Z17" s="42"/>
      <c r="AA17" s="42"/>
    </row>
    <row r="18" spans="2:27" ht="12.6" thickBot="1">
      <c r="B18" s="41" t="s">
        <v>355</v>
      </c>
      <c r="C18" s="249"/>
      <c r="D18" s="275">
        <f>'DM ASIA INCUMB'!D18+'EM ASIA INCUMB'!D18</f>
        <v>368950.28512337781</v>
      </c>
      <c r="E18" s="275">
        <f>'DM ASIA INCUMB'!E18+'EM ASIA INCUMB'!E18</f>
        <v>359537.19662803493</v>
      </c>
      <c r="F18" s="275">
        <f>'DM ASIA INCUMB'!F18+'EM ASIA INCUMB'!F18</f>
        <v>339265.09744688671</v>
      </c>
      <c r="G18" s="275">
        <f>'DM ASIA INCUMB'!G18+'EM ASIA INCUMB'!G18</f>
        <v>318097.95680640487</v>
      </c>
      <c r="H18" s="276">
        <f>IF(D18=0,"nm",IF(G18=0,"nm",(G18/D18)^(1/3)-1))</f>
        <v>-4.8232195612792461E-2</v>
      </c>
      <c r="I18" s="254"/>
      <c r="J18" s="5" t="s">
        <v>36</v>
      </c>
      <c r="L18" s="248">
        <f>'EM INCUMB'!D46</f>
        <v>4.5858287086324064E-2</v>
      </c>
      <c r="M18" s="248">
        <f>'EM INCUMB'!E46</f>
        <v>5.0643300964691801E-2</v>
      </c>
      <c r="N18" s="248">
        <f>'EM INCUMB'!F46</f>
        <v>5.5771031888533044E-2</v>
      </c>
      <c r="O18" s="248">
        <f>'EM INCUMB'!G46</f>
        <v>7.710678529056475E-2</v>
      </c>
      <c r="P18" s="17">
        <f>'EM INCUMB'!H46</f>
        <v>0.17780813272638851</v>
      </c>
      <c r="S18" s="88"/>
      <c r="T18" s="88"/>
      <c r="U18" s="88"/>
      <c r="V18" s="42"/>
      <c r="W18" s="42"/>
      <c r="X18" s="42"/>
      <c r="Y18" s="42"/>
      <c r="Z18" s="42"/>
      <c r="AA18" s="42"/>
    </row>
    <row r="19" spans="2:27" ht="12.6" thickTop="1">
      <c r="B19" s="41"/>
      <c r="C19" s="249"/>
      <c r="D19" s="229"/>
      <c r="E19" s="229"/>
      <c r="F19" s="229"/>
      <c r="G19" s="229"/>
      <c r="H19" s="276"/>
      <c r="I19" s="17"/>
      <c r="J19" s="5" t="s">
        <v>576</v>
      </c>
      <c r="L19" s="248">
        <f>'EM INCUMB'!D47</f>
        <v>6.8809594688189521E-2</v>
      </c>
      <c r="M19" s="248">
        <f>'EM INCUMB'!E47</f>
        <v>9.1830568630244344E-2</v>
      </c>
      <c r="N19" s="248">
        <f>'EM INCUMB'!F47</f>
        <v>0.10758602963867075</v>
      </c>
      <c r="O19" s="248">
        <f>'EM INCUMB'!G47</f>
        <v>0.12408904212895068</v>
      </c>
      <c r="P19" s="17">
        <f>'EM INCUMB'!H47</f>
        <v>0.20633617097870616</v>
      </c>
      <c r="S19" s="88"/>
      <c r="T19" s="88"/>
      <c r="U19" s="88"/>
      <c r="V19" s="42"/>
      <c r="W19" s="42"/>
      <c r="X19" s="42"/>
      <c r="Y19" s="42"/>
      <c r="Z19" s="42"/>
      <c r="AA19" s="42"/>
    </row>
    <row r="20" spans="2:27">
      <c r="H20" s="277"/>
      <c r="I20" s="49"/>
      <c r="J20" s="5" t="s">
        <v>599</v>
      </c>
      <c r="L20" s="248">
        <f>'EM INCUMB'!D48</f>
        <v>0.62397631981468382</v>
      </c>
      <c r="M20" s="248">
        <f>'EM INCUMB'!E48</f>
        <v>0.51657270572966973</v>
      </c>
      <c r="N20" s="248">
        <f>'EM INCUMB'!F48</f>
        <v>0.50626794033787703</v>
      </c>
      <c r="O20" s="248">
        <f>'EM INCUMB'!G48</f>
        <v>0.50968425989474775</v>
      </c>
      <c r="P20" s="17" t="str">
        <f>'EM INCUMB'!H48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'DM ASIA INCUMB'!C23+'EM ASIA INCUMB'!C23</f>
        <v>281061.11826260202</v>
      </c>
      <c r="D23" s="228">
        <f>'DM ASIA INCUMB'!D23+'EM ASIA INCUMB'!D23</f>
        <v>290067.98454101715</v>
      </c>
      <c r="E23" s="228">
        <f>'DM ASIA INCUMB'!E23+'EM ASIA INCUMB'!E23</f>
        <v>297237.07641912316</v>
      </c>
      <c r="F23" s="228">
        <f>'DM ASIA INCUMB'!F23+'EM ASIA INCUMB'!F23</f>
        <v>308511.93887382164</v>
      </c>
      <c r="G23" s="228">
        <f>'DM ASIA INCUMB'!G23+'EM ASIA INCUMB'!G23</f>
        <v>319263.02367593092</v>
      </c>
      <c r="H23" s="279">
        <f t="shared" ref="H23:H33" si="0">IF(D23=0,"nm",IF(G23=0,"nm",(G23/D23)^(1/3)-1))</f>
        <v>3.2483076143146272E-2</v>
      </c>
      <c r="I23" s="249"/>
      <c r="J23" s="306" t="s">
        <v>9</v>
      </c>
      <c r="K23" s="306"/>
      <c r="L23" s="265" t="str">
        <f>L5</f>
        <v>2023E</v>
      </c>
      <c r="M23" s="265" t="str">
        <f>M5</f>
        <v>2024E</v>
      </c>
      <c r="N23" s="265" t="str">
        <f>N5</f>
        <v>2025E</v>
      </c>
      <c r="O23" s="265" t="str">
        <f>O5</f>
        <v>2026E</v>
      </c>
      <c r="P23" s="282" t="str">
        <f>P5</f>
        <v>23E-26E</v>
      </c>
      <c r="S23" s="42"/>
      <c r="T23" s="42"/>
      <c r="U23" s="42"/>
      <c r="V23" s="42"/>
      <c r="W23" s="42" t="s">
        <v>329</v>
      </c>
      <c r="X23" s="42" t="s">
        <v>556</v>
      </c>
      <c r="Y23" s="42"/>
      <c r="Z23" s="42"/>
      <c r="AA23" s="42"/>
    </row>
    <row r="24" spans="2:27" ht="12.6" thickTop="1">
      <c r="B24" s="5" t="s">
        <v>478</v>
      </c>
      <c r="C24" s="365">
        <f>'DM ASIA INCUMB'!C24+'EM ASIA INCUMB'!C24</f>
        <v>76947.648097299854</v>
      </c>
      <c r="D24" s="228">
        <f>'DM ASIA INCUMB'!D24+'EM ASIA INCUMB'!D24</f>
        <v>79799.329515518562</v>
      </c>
      <c r="E24" s="228">
        <f>'DM ASIA INCUMB'!E24+'EM ASIA INCUMB'!E24</f>
        <v>81291.110084604734</v>
      </c>
      <c r="F24" s="228">
        <f>'DM ASIA INCUMB'!F24+'EM ASIA INCUMB'!F24</f>
        <v>86223.637569231767</v>
      </c>
      <c r="G24" s="228">
        <f>'DM ASIA INCUMB'!G24+'EM ASIA INCUMB'!G24</f>
        <v>89593.88810260591</v>
      </c>
      <c r="H24" s="279">
        <f t="shared" si="0"/>
        <v>3.9344958775427097E-2</v>
      </c>
      <c r="I24" s="248"/>
      <c r="J24" s="17"/>
      <c r="K24" s="17"/>
      <c r="L24" s="17"/>
      <c r="M24" s="17"/>
      <c r="N24" s="17"/>
      <c r="O24" s="248"/>
      <c r="S24" s="42"/>
      <c r="T24" s="42"/>
      <c r="U24" s="42"/>
      <c r="V24" s="147" t="s">
        <v>268</v>
      </c>
      <c r="W24" s="288">
        <f t="shared" ref="W24:W31" si="1">E37/M9</f>
        <v>1.2946696479038349</v>
      </c>
      <c r="X24" s="288">
        <v>1</v>
      </c>
      <c r="Y24" s="42"/>
      <c r="Z24" s="42"/>
      <c r="AA24" s="42"/>
    </row>
    <row r="25" spans="2:27">
      <c r="B25" s="5" t="s">
        <v>179</v>
      </c>
      <c r="C25" s="365">
        <f>'DM ASIA INCUMB'!C25+'EM ASIA INCUMB'!C25</f>
        <v>29259.294429319318</v>
      </c>
      <c r="D25" s="228">
        <f>'DM ASIA INCUMB'!D25+'EM ASIA INCUMB'!D25</f>
        <v>31281.098800054562</v>
      </c>
      <c r="E25" s="228">
        <f>'DM ASIA INCUMB'!E25+'EM ASIA INCUMB'!E25</f>
        <v>33698.073814194518</v>
      </c>
      <c r="F25" s="228">
        <f>'DM ASIA INCUMB'!F25+'EM ASIA INCUMB'!F25</f>
        <v>39100.259610410605</v>
      </c>
      <c r="G25" s="228">
        <f>'DM ASIA INCUMB'!G25+'EM ASIA INCUMB'!G25</f>
        <v>41914.93794882868</v>
      </c>
      <c r="H25" s="279">
        <f t="shared" si="0"/>
        <v>0.10245856505371931</v>
      </c>
      <c r="I25" s="249"/>
      <c r="J25" s="247" t="s">
        <v>10</v>
      </c>
      <c r="K25" s="247"/>
      <c r="L25" s="332">
        <f>'DM ASIA INCUMB'!L25+'EM ASIA INCUMB'!L25</f>
        <v>52734.848141848874</v>
      </c>
      <c r="M25" s="332">
        <f>'DM ASIA INCUMB'!M25+'EM ASIA INCUMB'!M25</f>
        <v>54012.79442892276</v>
      </c>
      <c r="N25" s="332">
        <f>'DM ASIA INCUMB'!N25+'EM ASIA INCUMB'!N25</f>
        <v>50477.6565283042</v>
      </c>
      <c r="O25" s="332">
        <f>'DM ASIA INCUMB'!O25+'EM ASIA INCUMB'!O25</f>
        <v>46407.33112101366</v>
      </c>
      <c r="P25" s="279">
        <f>IF(L25=0,"nm",IF(O25=0,"nm",(O25/L25)^(1/3)-1))</f>
        <v>-4.1711452936236237E-2</v>
      </c>
      <c r="Q25" s="5"/>
      <c r="S25" s="42"/>
      <c r="T25" s="42"/>
      <c r="U25" s="42"/>
      <c r="V25" s="147" t="s">
        <v>180</v>
      </c>
      <c r="W25" s="288">
        <f t="shared" si="1"/>
        <v>1.4633625887683588</v>
      </c>
      <c r="X25" s="288">
        <v>1</v>
      </c>
      <c r="Y25" s="42"/>
      <c r="Z25" s="42"/>
      <c r="AA25" s="42"/>
    </row>
    <row r="26" spans="2:27">
      <c r="B26" s="5" t="s">
        <v>581</v>
      </c>
      <c r="C26" s="365">
        <f>'DM ASIA INCUMB'!C26+'EM ASIA INCUMB'!C26</f>
        <v>21716.924531579949</v>
      </c>
      <c r="D26" s="228">
        <f>'DM ASIA INCUMB'!D26+'EM ASIA INCUMB'!D26</f>
        <v>23271.596348428269</v>
      </c>
      <c r="E26" s="228">
        <f>'DM ASIA INCUMB'!E26+'EM ASIA INCUMB'!E26</f>
        <v>25127.966976106178</v>
      </c>
      <c r="F26" s="228">
        <f>'DM ASIA INCUMB'!F26+'EM ASIA INCUMB'!F26</f>
        <v>29087.561563665535</v>
      </c>
      <c r="G26" s="228">
        <f>'DM ASIA INCUMB'!G26+'EM ASIA INCUMB'!G26</f>
        <v>31197.671496144256</v>
      </c>
      <c r="H26" s="279">
        <f t="shared" si="0"/>
        <v>0.10263557885889418</v>
      </c>
      <c r="I26" s="249"/>
      <c r="J26" s="249" t="s">
        <v>11</v>
      </c>
      <c r="K26" s="249"/>
      <c r="L26" s="281">
        <f>'DM ASIA INCUMB'!L26+'EM ASIA INCUMB'!L26</f>
        <v>360923.55151663127</v>
      </c>
      <c r="M26" s="281">
        <f>'DM ASIA INCUMB'!M26+'EM ASIA INCUMB'!M26</f>
        <v>360707.08431637438</v>
      </c>
      <c r="N26" s="281">
        <f>'DM ASIA INCUMB'!N26+'EM ASIA INCUMB'!N26</f>
        <v>355518.60683188052</v>
      </c>
      <c r="O26" s="281">
        <f>'DM ASIA INCUMB'!O26+'EM ASIA INCUMB'!O26</f>
        <v>349795.64809190441</v>
      </c>
      <c r="P26" s="279">
        <f>IF(L26=0,"nm",IF(O26=0,"nm",(O26/L26)^(1/3)-1))</f>
        <v>-1.0384717874620142E-2</v>
      </c>
      <c r="Q26" s="41"/>
      <c r="S26" s="42"/>
      <c r="T26" s="42"/>
      <c r="U26" s="42"/>
      <c r="V26" s="147" t="s">
        <v>181</v>
      </c>
      <c r="W26" s="288">
        <f t="shared" si="1"/>
        <v>1.5957068755887298</v>
      </c>
      <c r="X26" s="288">
        <v>1</v>
      </c>
      <c r="Y26" s="42"/>
      <c r="Z26" s="42"/>
      <c r="AA26" s="42"/>
    </row>
    <row r="27" spans="2:27">
      <c r="B27" s="5" t="s">
        <v>582</v>
      </c>
      <c r="C27" s="365">
        <f>'DM ASIA INCUMB'!C27+'EM ASIA INCUMB'!C27</f>
        <v>329871.00579568744</v>
      </c>
      <c r="D27" s="228">
        <f>'DM ASIA INCUMB'!D27+'EM ASIA INCUMB'!D27</f>
        <v>321931.58751020138</v>
      </c>
      <c r="E27" s="228">
        <f>'DM ASIA INCUMB'!E27+'EM ASIA INCUMB'!E27</f>
        <v>330862.57449991792</v>
      </c>
      <c r="F27" s="228">
        <f>'DM ASIA INCUMB'!F27+'EM ASIA INCUMB'!F27</f>
        <v>339825.8924789679</v>
      </c>
      <c r="G27" s="228">
        <f>'DM ASIA INCUMB'!G27+'EM ASIA INCUMB'!G27</f>
        <v>349948.75291567331</v>
      </c>
      <c r="H27" s="279">
        <f t="shared" si="0"/>
        <v>2.8206361075399977E-2</v>
      </c>
      <c r="I27" s="248"/>
      <c r="J27" s="248"/>
      <c r="K27" s="248"/>
      <c r="L27" s="248"/>
      <c r="M27" s="248"/>
      <c r="N27" s="248"/>
      <c r="O27" s="248"/>
      <c r="Q27" s="5"/>
      <c r="S27" s="42"/>
      <c r="T27" s="42"/>
      <c r="U27" s="42"/>
      <c r="V27" s="147" t="s">
        <v>461</v>
      </c>
      <c r="W27" s="288">
        <f t="shared" si="1"/>
        <v>1.5792869697932344</v>
      </c>
      <c r="X27" s="288">
        <v>1</v>
      </c>
      <c r="Y27" s="42"/>
      <c r="Z27" s="42"/>
      <c r="AA27" s="42"/>
    </row>
    <row r="28" spans="2:27" ht="12.6" thickBot="1">
      <c r="B28" s="5" t="s">
        <v>587</v>
      </c>
      <c r="C28" s="365">
        <f>'DM ASIA INCUMB'!C28+'EM ASIA INCUMB'!C28</f>
        <v>238033.588872088</v>
      </c>
      <c r="D28" s="228">
        <f>'DM ASIA INCUMB'!D28+'EM ASIA INCUMB'!D28</f>
        <v>241512.79857159892</v>
      </c>
      <c r="E28" s="228">
        <f>'DM ASIA INCUMB'!E28+'EM ASIA INCUMB'!E28</f>
        <v>241182.24530425068</v>
      </c>
      <c r="F28" s="228">
        <f>'DM ASIA INCUMB'!F28+'EM ASIA INCUMB'!F28</f>
        <v>238120.33559952702</v>
      </c>
      <c r="G28" s="228">
        <f>'DM ASIA INCUMB'!G28+'EM ASIA INCUMB'!G28</f>
        <v>227660.92099261045</v>
      </c>
      <c r="H28" s="279">
        <f t="shared" si="0"/>
        <v>-1.9495827781895958E-2</v>
      </c>
      <c r="I28" s="252"/>
      <c r="J28" s="306" t="s">
        <v>747</v>
      </c>
      <c r="K28" s="306"/>
      <c r="L28" s="306"/>
      <c r="M28" s="306"/>
      <c r="N28" s="266"/>
      <c r="O28" s="266"/>
      <c r="P28" s="266"/>
      <c r="Q28" s="5"/>
      <c r="S28" s="42"/>
      <c r="T28" s="42"/>
      <c r="U28" s="42"/>
      <c r="V28" s="147" t="s">
        <v>525</v>
      </c>
      <c r="W28" s="288">
        <f t="shared" si="1"/>
        <v>1.1704201753555645</v>
      </c>
      <c r="X28" s="288">
        <v>1</v>
      </c>
      <c r="Y28" s="42"/>
      <c r="Z28" s="42"/>
      <c r="AA28" s="42"/>
    </row>
    <row r="29" spans="2:27" ht="12.6" thickTop="1">
      <c r="B29" s="5" t="s">
        <v>583</v>
      </c>
      <c r="C29" s="365">
        <f>'DM ASIA INCUMB'!C29+'EM ASIA INCUMB'!C29</f>
        <v>22476.877649248912</v>
      </c>
      <c r="D29" s="228">
        <f>'DM ASIA INCUMB'!D29+'EM ASIA INCUMB'!D29</f>
        <v>23630.993862501393</v>
      </c>
      <c r="E29" s="228">
        <f>'DM ASIA INCUMB'!E29+'EM ASIA INCUMB'!E29</f>
        <v>26218.930365866603</v>
      </c>
      <c r="F29" s="228">
        <f>'DM ASIA INCUMB'!F29+'EM ASIA INCUMB'!F29</f>
        <v>30582.950783558023</v>
      </c>
      <c r="G29" s="228">
        <f>'DM ASIA INCUMB'!G29+'EM ASIA INCUMB'!G29</f>
        <v>33296.23066983094</v>
      </c>
      <c r="H29" s="279">
        <f t="shared" si="0"/>
        <v>0.12108281340051441</v>
      </c>
      <c r="I29" s="254"/>
      <c r="J29" s="249"/>
      <c r="K29" s="249"/>
      <c r="L29" s="249"/>
      <c r="M29" s="249"/>
      <c r="N29" s="249"/>
      <c r="O29" s="251"/>
      <c r="Q29" s="5"/>
      <c r="S29" s="42"/>
      <c r="T29" s="42"/>
      <c r="U29" s="42"/>
      <c r="V29" s="147" t="s">
        <v>588</v>
      </c>
      <c r="W29" s="288">
        <f t="shared" si="1"/>
        <v>1.2569834621241129</v>
      </c>
      <c r="X29" s="288">
        <v>1</v>
      </c>
      <c r="Y29" s="42"/>
      <c r="Z29" s="42"/>
      <c r="AA29" s="42"/>
    </row>
    <row r="30" spans="2:27">
      <c r="B30" s="5" t="s">
        <v>584</v>
      </c>
      <c r="C30" s="365">
        <f>'DM ASIA INCUMB'!C30+'EM ASIA INCUMB'!C30</f>
        <v>22403.640985858034</v>
      </c>
      <c r="D30" s="228">
        <f>'DM ASIA INCUMB'!D30+'EM ASIA INCUMB'!D30</f>
        <v>22531.666722124013</v>
      </c>
      <c r="E30" s="228">
        <f>'DM ASIA INCUMB'!E30+'EM ASIA INCUMB'!E30</f>
        <v>24502.153667321036</v>
      </c>
      <c r="F30" s="228">
        <f>'DM ASIA INCUMB'!F30+'EM ASIA INCUMB'!F30</f>
        <v>27426.734326563932</v>
      </c>
      <c r="G30" s="228">
        <f>'DM ASIA INCUMB'!G30+'EM ASIA INCUMB'!G30</f>
        <v>29982.69211640436</v>
      </c>
      <c r="H30" s="279">
        <f t="shared" si="0"/>
        <v>9.9914942744836699E-2</v>
      </c>
      <c r="I30" s="254"/>
      <c r="J30" s="248"/>
      <c r="K30" s="248"/>
      <c r="L30" s="248"/>
      <c r="M30" s="248"/>
      <c r="N30" s="248"/>
      <c r="O30" s="5"/>
      <c r="Q30" s="5"/>
      <c r="S30" s="42"/>
      <c r="T30" s="42"/>
      <c r="U30" s="42"/>
      <c r="V30" s="147" t="s">
        <v>470</v>
      </c>
      <c r="W30" s="288">
        <f t="shared" si="1"/>
        <v>1.2633595726259261</v>
      </c>
      <c r="X30" s="288">
        <v>1</v>
      </c>
      <c r="Y30" s="42"/>
      <c r="Z30" s="42"/>
      <c r="AA30" s="42"/>
    </row>
    <row r="31" spans="2:27">
      <c r="B31" s="5" t="s">
        <v>585</v>
      </c>
      <c r="C31" s="365">
        <f>'DM ASIA INCUMB'!C31+'EM ASIA INCUMB'!C31</f>
        <v>13021.468608796344</v>
      </c>
      <c r="D31" s="228">
        <f>'DM ASIA INCUMB'!D31+'EM ASIA INCUMB'!D31</f>
        <v>14025.442035276672</v>
      </c>
      <c r="E31" s="228">
        <f>'DM ASIA INCUMB'!E31+'EM ASIA INCUMB'!E31</f>
        <v>15886.804046818492</v>
      </c>
      <c r="F31" s="228">
        <f>'DM ASIA INCUMB'!F31+'EM ASIA INCUMB'!F31</f>
        <v>17657.276822018284</v>
      </c>
      <c r="G31" s="228">
        <f>'DM ASIA INCUMB'!G31+'EM ASIA INCUMB'!G31</f>
        <v>19926.657305733817</v>
      </c>
      <c r="H31" s="279">
        <f t="shared" si="0"/>
        <v>0.12418891359974715</v>
      </c>
      <c r="I31" s="254"/>
      <c r="J31" s="252"/>
      <c r="K31" s="252"/>
      <c r="L31" s="252"/>
      <c r="M31" s="252"/>
      <c r="N31" s="252"/>
      <c r="O31" s="5"/>
      <c r="Q31" s="5"/>
      <c r="S31" s="42"/>
      <c r="T31" s="42"/>
      <c r="U31" s="42"/>
      <c r="V31" s="147" t="s">
        <v>528</v>
      </c>
      <c r="W31" s="288">
        <f t="shared" si="1"/>
        <v>1.0365557273039654</v>
      </c>
      <c r="X31" s="288">
        <v>1</v>
      </c>
      <c r="Y31" s="42"/>
      <c r="Z31" s="42"/>
      <c r="AA31" s="42"/>
    </row>
    <row r="32" spans="2:27">
      <c r="B32" s="5" t="s">
        <v>601</v>
      </c>
      <c r="C32" s="365">
        <f>'DM ASIA INCUMB'!C32+'EM ASIA INCUMB'!C32</f>
        <v>1655.6926384428546</v>
      </c>
      <c r="D32" s="228">
        <f>'DM ASIA INCUMB'!D32+'EM ASIA INCUMB'!D32</f>
        <v>9.630698042624827</v>
      </c>
      <c r="E32" s="228">
        <f>'DM ASIA INCUMB'!E32+'EM ASIA INCUMB'!E32</f>
        <v>9.630698042624827</v>
      </c>
      <c r="F32" s="228">
        <f>'DM ASIA INCUMB'!F32+'EM ASIA INCUMB'!F32</f>
        <v>96.024159189937336</v>
      </c>
      <c r="G32" s="228">
        <f>'DM ASIA INCUMB'!G32+'EM ASIA INCUMB'!G32</f>
        <v>155.49381906413223</v>
      </c>
      <c r="H32" s="279">
        <f t="shared" si="0"/>
        <v>1.5274648316586528</v>
      </c>
      <c r="I32" s="5"/>
      <c r="J32" s="254"/>
      <c r="K32" s="254"/>
      <c r="L32" s="254"/>
      <c r="M32" s="254"/>
      <c r="N32" s="254"/>
      <c r="O32" s="251"/>
      <c r="Q32" s="5"/>
      <c r="S32" s="42"/>
      <c r="T32" s="42"/>
      <c r="U32" s="42"/>
      <c r="V32" s="147" t="s">
        <v>575</v>
      </c>
      <c r="W32" s="288">
        <f>M17/E45</f>
        <v>0.97585506432985836</v>
      </c>
      <c r="X32" s="288">
        <v>1</v>
      </c>
      <c r="Y32" s="42"/>
      <c r="Z32" s="42"/>
      <c r="AA32" s="42"/>
    </row>
    <row r="33" spans="2:42">
      <c r="B33" s="5" t="s">
        <v>5</v>
      </c>
      <c r="C33" s="365">
        <f>'DM ASIA INCUMB'!C33+'EM ASIA INCUMB'!C33</f>
        <v>354.87948493278395</v>
      </c>
      <c r="D33" s="228">
        <f>'DM ASIA INCUMB'!D33+'EM ASIA INCUMB'!D33</f>
        <v>111.16760121003819</v>
      </c>
      <c r="E33" s="228">
        <f>'DM ASIA INCUMB'!E33+'EM ASIA INCUMB'!E33</f>
        <v>32.881566351824944</v>
      </c>
      <c r="F33" s="228">
        <f>'DM ASIA INCUMB'!F33+'EM ASIA INCUMB'!F33</f>
        <v>13.4331012384377</v>
      </c>
      <c r="G33" s="228">
        <f>'DM ASIA INCUMB'!G33+'EM ASIA INCUMB'!G33</f>
        <v>51.785732400826703</v>
      </c>
      <c r="H33" s="279">
        <f t="shared" si="0"/>
        <v>-0.22480559513414733</v>
      </c>
      <c r="I33" s="49"/>
      <c r="J33" s="254"/>
      <c r="K33" s="254"/>
      <c r="L33" s="254"/>
      <c r="M33" s="254"/>
      <c r="N33" s="254"/>
      <c r="O33" s="251"/>
      <c r="Q33" s="5"/>
      <c r="S33" s="42"/>
      <c r="T33" s="42"/>
      <c r="U33" s="42"/>
      <c r="V33" s="147" t="s">
        <v>576</v>
      </c>
      <c r="W33" s="288">
        <f>M19/E47</f>
        <v>1.2633595726259261</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330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1.2719441813172812</v>
      </c>
      <c r="E37" s="553">
        <f t="shared" si="2"/>
        <v>1.2095974060822232</v>
      </c>
      <c r="F37" s="553">
        <f t="shared" si="2"/>
        <v>1.0996822317000925</v>
      </c>
      <c r="G37" s="553">
        <f t="shared" si="2"/>
        <v>0.99635076165065495</v>
      </c>
      <c r="H37" s="17">
        <f t="shared" ref="H37:H45" si="3">H23</f>
        <v>3.2483076143146272E-2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4.6234760036627636</v>
      </c>
      <c r="E38" s="553">
        <f t="shared" si="2"/>
        <v>4.4228353660546906</v>
      </c>
      <c r="F38" s="553">
        <f t="shared" si="2"/>
        <v>3.9347110260162674</v>
      </c>
      <c r="G38" s="553">
        <f t="shared" si="2"/>
        <v>3.5504425976257274</v>
      </c>
      <c r="H38" s="17">
        <f t="shared" si="3"/>
        <v>3.9344958775427097E-2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11.794671519746432</v>
      </c>
      <c r="E39" s="553">
        <f t="shared" si="2"/>
        <v>10.669369371390847</v>
      </c>
      <c r="F39" s="553">
        <f t="shared" si="2"/>
        <v>8.6767991012662229</v>
      </c>
      <c r="G39" s="553">
        <f t="shared" si="2"/>
        <v>7.5891310442771198</v>
      </c>
      <c r="H39" s="17">
        <f t="shared" si="3"/>
        <v>0.10245856505371931</v>
      </c>
      <c r="I39" s="5"/>
      <c r="J39" s="5"/>
      <c r="K39" s="5"/>
      <c r="L39" s="5"/>
      <c r="M39" s="5"/>
      <c r="N39" s="5"/>
      <c r="O39" s="5"/>
      <c r="Q39" s="5"/>
      <c r="R39" s="5"/>
      <c r="S39" s="42"/>
      <c r="T39" s="42"/>
      <c r="U39" s="42"/>
      <c r="V39" s="42"/>
      <c r="W39" s="288"/>
      <c r="X39" s="288"/>
      <c r="Y39" s="42"/>
      <c r="Z39" s="42"/>
      <c r="AA39" s="42"/>
    </row>
    <row r="40" spans="2:42">
      <c r="B40" s="5" t="s">
        <v>461</v>
      </c>
      <c r="C40" s="247"/>
      <c r="D40" s="553">
        <f t="shared" si="2"/>
        <v>15.854102984572272</v>
      </c>
      <c r="E40" s="553">
        <f t="shared" si="2"/>
        <v>14.308248533194654</v>
      </c>
      <c r="F40" s="553">
        <f t="shared" si="2"/>
        <v>11.663579867439855</v>
      </c>
      <c r="G40" s="553">
        <f t="shared" si="2"/>
        <v>10.196208292202796</v>
      </c>
      <c r="H40" s="17">
        <f t="shared" si="3"/>
        <v>0.10263557885889418</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1.1460518303805354</v>
      </c>
      <c r="E41" s="553">
        <f t="shared" si="2"/>
        <v>1.0866662606716921</v>
      </c>
      <c r="F41" s="553">
        <f t="shared" si="2"/>
        <v>0.99834975778923052</v>
      </c>
      <c r="G41" s="553">
        <f t="shared" si="2"/>
        <v>0.90898439887584492</v>
      </c>
      <c r="H41" s="17">
        <f t="shared" si="3"/>
        <v>2.8206361075399977E-2</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1.5276634915643974</v>
      </c>
      <c r="E42" s="553">
        <f>E18/E28</f>
        <v>1.4907282921032592</v>
      </c>
      <c r="F42" s="553">
        <f>F18/F28</f>
        <v>1.4247632256720226</v>
      </c>
      <c r="G42" s="553">
        <f>G18/G28</f>
        <v>1.3972444432688993</v>
      </c>
      <c r="H42" s="17">
        <f t="shared" si="3"/>
        <v>-1.9495827781895958E-2</v>
      </c>
      <c r="I42" s="247"/>
      <c r="J42" s="5"/>
      <c r="K42" s="5"/>
      <c r="L42" s="5"/>
      <c r="M42" s="5"/>
      <c r="N42" s="5"/>
      <c r="O42" s="5"/>
      <c r="Q42" s="5"/>
      <c r="R42" s="5"/>
      <c r="S42" s="42"/>
      <c r="T42" s="42"/>
      <c r="U42" s="42"/>
      <c r="V42" s="42"/>
      <c r="W42" s="288"/>
      <c r="X42" s="288"/>
      <c r="Y42" s="288"/>
      <c r="Z42" s="288"/>
      <c r="AA42" s="42"/>
    </row>
    <row r="43" spans="2:42">
      <c r="B43" s="5" t="s">
        <v>470</v>
      </c>
      <c r="C43" s="247"/>
      <c r="D43" s="553">
        <f>L26/D29</f>
        <v>15.273312397129398</v>
      </c>
      <c r="E43" s="553">
        <f>M26/E29</f>
        <v>13.757505713732883</v>
      </c>
      <c r="F43" s="553">
        <f>N26/F29</f>
        <v>11.624732006664775</v>
      </c>
      <c r="G43" s="553">
        <f>O26/G29</f>
        <v>10.50556297379473</v>
      </c>
      <c r="H43" s="17">
        <f t="shared" si="3"/>
        <v>0.12108281340051441</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13.678025117962957</v>
      </c>
      <c r="E44" s="553">
        <f>E11/E30</f>
        <v>12.517033973894927</v>
      </c>
      <c r="F44" s="553">
        <f>F11/F30</f>
        <v>11.122029574192924</v>
      </c>
      <c r="G44" s="553">
        <f>G11/G30</f>
        <v>10.11878172223563</v>
      </c>
      <c r="H44" s="17">
        <f t="shared" si="3"/>
        <v>9.9914942744836699E-2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4.5509267152536094E-2</v>
      </c>
      <c r="E45" s="248">
        <f>E31/E11</f>
        <v>5.1800129870851246E-2</v>
      </c>
      <c r="F45" s="248">
        <f>F31/F11</f>
        <v>5.7884939069478336E-2</v>
      </c>
      <c r="G45" s="248">
        <f>G31/G11</f>
        <v>6.5680371296715834E-2</v>
      </c>
      <c r="H45" s="17">
        <f t="shared" si="3"/>
        <v>0.12418891359974715</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4.5540516507029512E-2</v>
      </c>
      <c r="E46" s="248">
        <f>(E31+E32)/E11</f>
        <v>5.1831531492466568E-2</v>
      </c>
      <c r="F46" s="248">
        <f>(F31+F32)/F11</f>
        <v>5.8199730113416448E-2</v>
      </c>
      <c r="G46" s="248">
        <f>(G31+G32)/G11</f>
        <v>6.6192895380097247E-2</v>
      </c>
      <c r="H46" s="279">
        <f>((G31+G32)/(D31+D32))^(1/3)-1</f>
        <v>0.12684760968524134</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6.5473682067024891E-2</v>
      </c>
      <c r="E47" s="248">
        <f>1/E43</f>
        <v>7.2687594743412673E-2</v>
      </c>
      <c r="F47" s="248">
        <f>1/F43</f>
        <v>8.6023488492179667E-2</v>
      </c>
      <c r="G47" s="248">
        <f>1/G43</f>
        <v>9.5187664144645884E-2</v>
      </c>
      <c r="H47" s="17">
        <f>H29</f>
        <v>0.12108281340051441</v>
      </c>
      <c r="I47" s="247"/>
      <c r="J47" s="248"/>
      <c r="K47" s="248"/>
      <c r="L47" s="248"/>
      <c r="M47" s="248"/>
      <c r="N47" s="248"/>
      <c r="O47" s="248"/>
      <c r="Q47" s="5"/>
      <c r="R47" s="5"/>
      <c r="S47" s="5"/>
      <c r="T47" s="5"/>
      <c r="U47" s="5"/>
      <c r="AA47" s="303"/>
      <c r="AB47" s="303"/>
    </row>
    <row r="48" spans="2:42">
      <c r="B48" s="5" t="s">
        <v>613</v>
      </c>
      <c r="C48" s="5"/>
      <c r="D48" s="305">
        <f>D31/D29</f>
        <v>0.59351892336330403</v>
      </c>
      <c r="E48" s="305">
        <f>E31/E29</f>
        <v>0.60592876311616806</v>
      </c>
      <c r="F48" s="305">
        <f>F31/F29</f>
        <v>0.57735687268970703</v>
      </c>
      <c r="G48" s="305">
        <f>G31/G29</f>
        <v>0.59846585949408893</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92">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295</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29</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'EM CELLULAR'!D37</f>
        <v>2.3633605749224893</v>
      </c>
      <c r="M9" s="64">
        <f>'EM CELLULAR'!E37</f>
        <v>2.2492348089852174</v>
      </c>
      <c r="N9" s="64">
        <f>'EM CELLULAR'!F37</f>
        <v>2.0126947496551715</v>
      </c>
      <c r="O9" s="64">
        <f>'EM CELLULAR'!G37</f>
        <v>1.7794170168899046</v>
      </c>
      <c r="P9" s="17">
        <f>'EM CELLULAR'!H37</f>
        <v>4.6449022636606552E-2</v>
      </c>
    </row>
    <row r="10" spans="2:63">
      <c r="B10" s="5" t="s">
        <v>269</v>
      </c>
      <c r="C10" s="5"/>
      <c r="D10" s="332"/>
      <c r="E10" s="332"/>
      <c r="F10" s="332"/>
      <c r="G10" s="332"/>
      <c r="H10" s="247"/>
      <c r="I10" s="247"/>
      <c r="J10" s="5" t="s">
        <v>180</v>
      </c>
      <c r="L10" s="64">
        <f>'EM CELLULAR'!D38</f>
        <v>6.3987600118023149</v>
      </c>
      <c r="M10" s="64">
        <f>'EM CELLULAR'!E38</f>
        <v>6.0988539640971684</v>
      </c>
      <c r="N10" s="64">
        <f>'EM CELLULAR'!F38</f>
        <v>5.4062212910944272</v>
      </c>
      <c r="O10" s="64">
        <f>'EM CELLULAR'!G38</f>
        <v>4.7363909360102729</v>
      </c>
      <c r="P10" s="17">
        <f>'EM CELLULAR'!H38</f>
        <v>5.2406256537620211E-2</v>
      </c>
      <c r="W10" s="10"/>
      <c r="X10" s="10"/>
      <c r="Y10" s="10"/>
      <c r="Z10" s="10"/>
    </row>
    <row r="11" spans="2:63">
      <c r="B11" s="41" t="s">
        <v>354</v>
      </c>
      <c r="C11" s="5"/>
      <c r="D11" s="271">
        <f>'DM ASIA OTHER'!D11+'EM ASIA CELLULAR'!D11</f>
        <v>568829.59608095442</v>
      </c>
      <c r="E11" s="271">
        <f>'DM ASIA OTHER'!E11+'EM ASIA CELLULAR'!E11</f>
        <v>569492.19535102788</v>
      </c>
      <c r="F11" s="271">
        <f>'DM ASIA OTHER'!F11+'EM ASIA CELLULAR'!F11</f>
        <v>567226.9778140774</v>
      </c>
      <c r="G11" s="271">
        <f>'DM ASIA OTHER'!G11+'EM ASIA CELLULAR'!G11</f>
        <v>565306.26069579192</v>
      </c>
      <c r="H11" s="249"/>
      <c r="I11" s="249"/>
      <c r="J11" s="5" t="s">
        <v>181</v>
      </c>
      <c r="L11" s="64">
        <f>'EM CELLULAR'!D39</f>
        <v>12.354841094717424</v>
      </c>
      <c r="M11" s="64">
        <f>'EM CELLULAR'!E39</f>
        <v>11.255278834896844</v>
      </c>
      <c r="N11" s="64">
        <f>'EM CELLULAR'!F39</f>
        <v>9.5104933094138762</v>
      </c>
      <c r="O11" s="64">
        <f>'EM CELLULAR'!G39</f>
        <v>7.9868347347493183</v>
      </c>
      <c r="P11" s="17">
        <f>'EM CELLULAR'!H39</f>
        <v>0.10100210602425808</v>
      </c>
      <c r="W11" s="10"/>
      <c r="X11" s="10"/>
      <c r="Y11" s="10"/>
      <c r="Z11" s="10"/>
    </row>
    <row r="12" spans="2:63">
      <c r="B12" s="5" t="s">
        <v>225</v>
      </c>
      <c r="C12" s="249"/>
      <c r="D12" s="228">
        <f>'DM ASIA OTHER'!D12+'EM ASIA CELLULAR'!D12</f>
        <v>137911.93427656501</v>
      </c>
      <c r="E12" s="228">
        <f>'DM ASIA OTHER'!E12+'EM ASIA CELLULAR'!E12</f>
        <v>121731.93517603629</v>
      </c>
      <c r="F12" s="228">
        <f>'DM ASIA OTHER'!F12+'EM ASIA CELLULAR'!F12</f>
        <v>106582.08888804345</v>
      </c>
      <c r="G12" s="228">
        <f>'DM ASIA OTHER'!G12+'EM ASIA CELLULAR'!G12</f>
        <v>87987.5208970901</v>
      </c>
      <c r="H12" s="247"/>
      <c r="I12" s="247"/>
      <c r="J12" s="5" t="s">
        <v>461</v>
      </c>
      <c r="L12" s="64">
        <f>'EM CELLULAR'!D40</f>
        <v>15.793747180179601</v>
      </c>
      <c r="M12" s="64">
        <f>'EM CELLULAR'!E40</f>
        <v>14.497838545954387</v>
      </c>
      <c r="N12" s="64">
        <f>'EM CELLULAR'!F40</f>
        <v>12.508534104316029</v>
      </c>
      <c r="O12" s="64">
        <f>'EM CELLULAR'!G40</f>
        <v>10.530054441456244</v>
      </c>
      <c r="P12" s="17">
        <f>'EM CELLULAR'!H40</f>
        <v>8.9729855374904854E-2</v>
      </c>
      <c r="W12" s="10"/>
      <c r="X12" s="10"/>
      <c r="Y12" s="10"/>
      <c r="Z12" s="10"/>
    </row>
    <row r="13" spans="2:63">
      <c r="B13" s="5" t="s">
        <v>524</v>
      </c>
      <c r="C13" s="257"/>
      <c r="D13" s="228">
        <f>'DM ASIA OTHER'!D13+'EM ASIA CELLULAR'!D13</f>
        <v>7121.8773921135198</v>
      </c>
      <c r="E13" s="228">
        <f>'DM ASIA OTHER'!E13+'EM ASIA CELLULAR'!E13</f>
        <v>6751.8187111958086</v>
      </c>
      <c r="F13" s="228">
        <f>'DM ASIA OTHER'!F13+'EM ASIA CELLULAR'!F13</f>
        <v>6357.2445016309157</v>
      </c>
      <c r="G13" s="228">
        <f>'DM ASIA OTHER'!G13+'EM ASIA CELLULAR'!G13</f>
        <v>5936.0773239888986</v>
      </c>
      <c r="H13" s="247"/>
      <c r="I13" s="247"/>
      <c r="J13" s="5" t="s">
        <v>525</v>
      </c>
      <c r="L13" s="64">
        <f>'EM CELLULAR'!D41</f>
        <v>1.5248467904271694</v>
      </c>
      <c r="M13" s="64">
        <f>'EM CELLULAR'!E41</f>
        <v>1.5383461925366451</v>
      </c>
      <c r="N13" s="64">
        <f>'EM CELLULAR'!F41</f>
        <v>1.4721220686093988</v>
      </c>
      <c r="O13" s="64">
        <f>'EM CELLULAR'!G41</f>
        <v>1.3935425458382409</v>
      </c>
      <c r="P13" s="17">
        <f>'EM CELLULAR'!H41</f>
        <v>-1.8999293431604336E-2</v>
      </c>
    </row>
    <row r="14" spans="2:63">
      <c r="B14" s="5" t="s">
        <v>527</v>
      </c>
      <c r="C14" s="274"/>
      <c r="D14" s="228">
        <f>'DM ASIA OTHER'!D14+'EM ASIA CELLULAR'!D14</f>
        <v>16550.148023104102</v>
      </c>
      <c r="E14" s="228">
        <f>'DM ASIA OTHER'!E14+'EM ASIA CELLULAR'!E14</f>
        <v>14767.558574096687</v>
      </c>
      <c r="F14" s="228">
        <f>'DM ASIA OTHER'!F14+'EM ASIA CELLULAR'!F14</f>
        <v>14764.51459223034</v>
      </c>
      <c r="G14" s="228">
        <f>'DM ASIA OTHER'!G14+'EM ASIA CELLULAR'!G14</f>
        <v>14762.992601297166</v>
      </c>
      <c r="H14" s="247"/>
      <c r="I14" s="247"/>
      <c r="J14" s="5" t="s">
        <v>588</v>
      </c>
      <c r="L14" s="64">
        <f>'EM CELLULAR'!D42</f>
        <v>2.7624241253170956</v>
      </c>
      <c r="M14" s="64">
        <f>'EM CELLULAR'!E42</f>
        <v>2.6732057804679736</v>
      </c>
      <c r="N14" s="64">
        <f>'EM CELLULAR'!F42</f>
        <v>2.4753011765074051</v>
      </c>
      <c r="O14" s="64">
        <f>'EM CELLULAR'!G42</f>
        <v>2.2720312772237086</v>
      </c>
      <c r="P14" s="17">
        <f>'EM CELLULAR'!H42</f>
        <v>1.6075575533494924E-2</v>
      </c>
    </row>
    <row r="15" spans="2:63">
      <c r="B15" s="5" t="s">
        <v>526</v>
      </c>
      <c r="C15" s="257"/>
      <c r="D15" s="228">
        <f>'DM ASIA OTHER'!D15+'EM ASIA CELLULAR'!D15</f>
        <v>11996.694237814079</v>
      </c>
      <c r="E15" s="228">
        <f>'DM ASIA OTHER'!E15+'EM ASIA CELLULAR'!E15</f>
        <v>11988.590577092205</v>
      </c>
      <c r="F15" s="228">
        <f>'DM ASIA OTHER'!F15+'EM ASIA CELLULAR'!F15</f>
        <v>12005.608121236268</v>
      </c>
      <c r="G15" s="228">
        <f>'DM ASIA OTHER'!G15+'EM ASIA CELLULAR'!G15</f>
        <v>12046.137490108038</v>
      </c>
      <c r="H15" s="247"/>
      <c r="I15" s="247"/>
      <c r="J15" s="5" t="s">
        <v>470</v>
      </c>
      <c r="L15" s="64">
        <f>'EM CELLULAR'!D43</f>
        <v>24.107062077664011</v>
      </c>
      <c r="M15" s="64">
        <f>'EM CELLULAR'!E43</f>
        <v>20.678797637593679</v>
      </c>
      <c r="N15" s="64">
        <f>'EM CELLULAR'!F43</f>
        <v>17.221097288297262</v>
      </c>
      <c r="O15" s="64">
        <f>'EM CELLULAR'!G43</f>
        <v>14.37930180381365</v>
      </c>
      <c r="P15" s="17">
        <f>'EM CELLULAR'!H43</f>
        <v>0.18889227648007534</v>
      </c>
      <c r="S15" s="88"/>
      <c r="T15" s="88"/>
      <c r="U15" s="88"/>
      <c r="V15" s="42"/>
      <c r="W15" s="42"/>
      <c r="X15" s="42"/>
      <c r="Y15" s="42"/>
      <c r="Z15" s="42"/>
      <c r="AA15" s="42"/>
    </row>
    <row r="16" spans="2:63">
      <c r="B16" s="5" t="s">
        <v>529</v>
      </c>
      <c r="C16" s="257"/>
      <c r="D16" s="228">
        <f>'DM ASIA OTHER'!D16+'EM ASIA CELLULAR'!D16</f>
        <v>3693.0251202939157</v>
      </c>
      <c r="E16" s="228">
        <f>'DM ASIA OTHER'!E16+'EM ASIA CELLULAR'!E16</f>
        <v>4726.6089308959417</v>
      </c>
      <c r="F16" s="228">
        <f>'DM ASIA OTHER'!F16+'EM ASIA CELLULAR'!F16</f>
        <v>30363.853201263708</v>
      </c>
      <c r="G16" s="228">
        <f>'DM ASIA OTHER'!G16+'EM ASIA CELLULAR'!G16</f>
        <v>58298.130711859601</v>
      </c>
      <c r="H16" s="247"/>
      <c r="I16" s="247"/>
      <c r="J16" s="5" t="s">
        <v>528</v>
      </c>
      <c r="L16" s="64">
        <f>'EM CELLULAR'!D44</f>
        <v>20.954288205249199</v>
      </c>
      <c r="M16" s="64">
        <f>'EM CELLULAR'!E44</f>
        <v>17.944541054613072</v>
      </c>
      <c r="N16" s="64">
        <f>'EM CELLULAR'!F44</f>
        <v>15.012709911805581</v>
      </c>
      <c r="O16" s="64">
        <f>'EM CELLULAR'!G44</f>
        <v>13.042817542084691</v>
      </c>
      <c r="P16" s="17">
        <f>'EM CELLULAR'!H44</f>
        <v>0.17290611502365838</v>
      </c>
      <c r="S16" s="88"/>
      <c r="T16" s="88"/>
      <c r="U16" s="88"/>
      <c r="V16" s="42"/>
      <c r="W16" s="42"/>
      <c r="X16" s="42"/>
      <c r="Y16" s="42"/>
      <c r="Z16" s="42"/>
      <c r="AA16" s="42"/>
    </row>
    <row r="17" spans="2:27">
      <c r="B17" s="5" t="s">
        <v>6</v>
      </c>
      <c r="C17" s="257"/>
      <c r="D17" s="228">
        <f>'DM ASIA OTHER'!D17+'EM ASIA CELLULAR'!D17</f>
        <v>0</v>
      </c>
      <c r="E17" s="228">
        <f>'DM ASIA OTHER'!E17+'EM ASIA CELLULAR'!E17</f>
        <v>0</v>
      </c>
      <c r="F17" s="228">
        <f>'DM ASIA OTHER'!F17+'EM ASIA CELLULAR'!F17</f>
        <v>0</v>
      </c>
      <c r="G17" s="228">
        <f>'DM ASIA OTHER'!G17+'EM ASIA CELLULAR'!G17</f>
        <v>0</v>
      </c>
      <c r="H17" s="247"/>
      <c r="I17" s="247"/>
      <c r="J17" s="5" t="s">
        <v>575</v>
      </c>
      <c r="L17" s="248">
        <f>'EM CELLULAR'!D45</f>
        <v>3.7116361304412031E-2</v>
      </c>
      <c r="M17" s="248">
        <f>'EM CELLULAR'!E45</f>
        <v>4.227508239193372E-2</v>
      </c>
      <c r="N17" s="248">
        <f>'EM CELLULAR'!F45</f>
        <v>4.7791817313081346E-2</v>
      </c>
      <c r="O17" s="248">
        <f>'EM CELLULAR'!G45</f>
        <v>5.4825835656098436E-2</v>
      </c>
      <c r="P17" s="17">
        <f>'EM CELLULAR'!H45</f>
        <v>0.14051948142171655</v>
      </c>
      <c r="S17" s="88"/>
      <c r="T17" s="88"/>
      <c r="U17" s="88"/>
      <c r="V17" s="42"/>
      <c r="W17" s="42"/>
      <c r="X17" s="42"/>
      <c r="Y17" s="42"/>
      <c r="Z17" s="42"/>
      <c r="AA17" s="42"/>
    </row>
    <row r="18" spans="2:27" ht="12.6" thickBot="1">
      <c r="B18" s="41" t="s">
        <v>355</v>
      </c>
      <c r="C18" s="249"/>
      <c r="D18" s="275">
        <f>'DM ASIA OTHER'!D18+'EM ASIA CELLULAR'!D18</f>
        <v>705616.92884404899</v>
      </c>
      <c r="E18" s="275">
        <f>'DM ASIA OTHER'!E18+'EM ASIA CELLULAR'!E18</f>
        <v>690470.3723103595</v>
      </c>
      <c r="F18" s="275">
        <f>'DM ASIA OTHER'!F18+'EM ASIA CELLULAR'!F18</f>
        <v>647043.5515314939</v>
      </c>
      <c r="G18" s="275">
        <f>'DM ASIA OTHER'!G18+'EM ASIA CELLULAR'!G18</f>
        <v>598214.87309382216</v>
      </c>
      <c r="H18" s="276">
        <f>IF(D18=0,"nm",IF(G18=0,"nm",(G18/D18)^(1/3)-1))</f>
        <v>-5.3553495477977497E-2</v>
      </c>
      <c r="I18" s="254"/>
      <c r="J18" s="5" t="s">
        <v>36</v>
      </c>
      <c r="L18" s="248" t="e">
        <f>'EM CELLULAR'!D46</f>
        <v>#VALUE!</v>
      </c>
      <c r="M18" s="248" t="e">
        <f>'EM CELLULAR'!E46</f>
        <v>#VALUE!</v>
      </c>
      <c r="N18" s="248" t="e">
        <f>'EM CELLULAR'!F46</f>
        <v>#VALUE!</v>
      </c>
      <c r="O18" s="248" t="e">
        <f>'EM CELLULAR'!G46</f>
        <v>#VALUE!</v>
      </c>
      <c r="P18" s="17" t="e">
        <f>'EM CELLULAR'!H46</f>
        <v>#VALUE!</v>
      </c>
      <c r="S18" s="88"/>
      <c r="T18" s="42"/>
      <c r="U18" s="42"/>
      <c r="V18" s="42"/>
      <c r="W18" s="42"/>
      <c r="X18" s="42"/>
      <c r="Y18" s="42"/>
      <c r="Z18" s="42"/>
      <c r="AA18" s="42"/>
    </row>
    <row r="19" spans="2:27" ht="12.6" thickTop="1">
      <c r="B19" s="41"/>
      <c r="C19" s="249"/>
      <c r="D19" s="229"/>
      <c r="E19" s="229"/>
      <c r="F19" s="229"/>
      <c r="G19" s="229"/>
      <c r="H19" s="276"/>
      <c r="I19" s="17"/>
      <c r="J19" s="5" t="s">
        <v>576</v>
      </c>
      <c r="L19" s="248">
        <f>'EM CELLULAR'!D47</f>
        <v>4.148162048027134E-2</v>
      </c>
      <c r="M19" s="248">
        <f>'EM CELLULAR'!E47</f>
        <v>4.8358711058810219E-2</v>
      </c>
      <c r="N19" s="248">
        <f>'EM CELLULAR'!F47</f>
        <v>5.8068309078049177E-2</v>
      </c>
      <c r="O19" s="248">
        <f>'EM CELLULAR'!G47</f>
        <v>6.954440581633678E-2</v>
      </c>
      <c r="P19" s="17">
        <f>'EM CELLULAR'!H47</f>
        <v>0.18889227648007534</v>
      </c>
      <c r="S19" s="88"/>
      <c r="T19" s="42"/>
      <c r="U19" s="42"/>
      <c r="V19" s="42"/>
      <c r="W19" s="42"/>
      <c r="X19" s="42"/>
      <c r="Y19" s="42"/>
      <c r="Z19" s="42"/>
      <c r="AA19" s="42"/>
    </row>
    <row r="20" spans="2:27">
      <c r="H20" s="277"/>
      <c r="I20" s="49"/>
      <c r="J20" s="5" t="s">
        <v>599</v>
      </c>
      <c r="L20" s="248">
        <f>'EM CELLULAR'!D48</f>
        <v>0.89903425552652083</v>
      </c>
      <c r="M20" s="248">
        <f>'EM CELLULAR'!E48</f>
        <v>0.87797834322746737</v>
      </c>
      <c r="N20" s="248">
        <f>'EM CELLULAR'!F48</f>
        <v>0.8264400051459927</v>
      </c>
      <c r="O20" s="248">
        <f>'EM CELLULAR'!G48</f>
        <v>0.79370085194664652</v>
      </c>
      <c r="P20" s="17" t="str">
        <f>'EM CELLULAR'!H48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'DM ASIA OTHER'!C23+'EM ASIA CELLULAR'!C23</f>
        <v>308795.54170541128</v>
      </c>
      <c r="D23" s="228">
        <f>'DM ASIA OTHER'!D23+'EM ASIA CELLULAR'!D23</f>
        <v>327763.52819220914</v>
      </c>
      <c r="E23" s="228">
        <f>'DM ASIA OTHER'!E23+'EM ASIA CELLULAR'!E23</f>
        <v>340816.7450587746</v>
      </c>
      <c r="F23" s="228">
        <f>'DM ASIA OTHER'!F23+'EM ASIA CELLULAR'!F23</f>
        <v>359995.00537188095</v>
      </c>
      <c r="G23" s="228">
        <f>'DM ASIA OTHER'!G23+'EM ASIA CELLULAR'!G23</f>
        <v>377739.53418513696</v>
      </c>
      <c r="H23" s="279">
        <f t="shared" ref="H23:H33" si="0">IF(D23=0,"nm",IF(G23=0,"nm",(G23/D23)^(1/3)-1))</f>
        <v>4.8440860425680521E-2</v>
      </c>
      <c r="I23" s="249"/>
      <c r="J23" s="306" t="s">
        <v>9</v>
      </c>
      <c r="K23" s="306"/>
      <c r="L23" s="265" t="str">
        <f>L5</f>
        <v>2023E</v>
      </c>
      <c r="M23" s="265" t="str">
        <f>M5</f>
        <v>2024E</v>
      </c>
      <c r="N23" s="265" t="str">
        <f>N5</f>
        <v>2025E</v>
      </c>
      <c r="O23" s="265" t="str">
        <f>O5</f>
        <v>2026E</v>
      </c>
      <c r="P23" s="282" t="str">
        <f>P5</f>
        <v>23E-26E</v>
      </c>
      <c r="S23" s="42"/>
      <c r="T23" s="42"/>
      <c r="U23" s="42"/>
      <c r="V23" s="42"/>
      <c r="W23" s="42" t="s">
        <v>559</v>
      </c>
      <c r="X23" s="42" t="s">
        <v>558</v>
      </c>
      <c r="Y23" s="42"/>
      <c r="Z23" s="42"/>
      <c r="AA23" s="42"/>
    </row>
    <row r="24" spans="2:27" ht="12.6" thickTop="1">
      <c r="B24" s="5" t="s">
        <v>478</v>
      </c>
      <c r="C24" s="365">
        <f>'DM ASIA OTHER'!C24+'EM ASIA CELLULAR'!C24</f>
        <v>100787.45211978664</v>
      </c>
      <c r="D24" s="228">
        <f>'DM ASIA OTHER'!D24+'EM ASIA CELLULAR'!D24</f>
        <v>106957.62906538628</v>
      </c>
      <c r="E24" s="228">
        <f>'DM ASIA OTHER'!E24+'EM ASIA CELLULAR'!E24</f>
        <v>111959.63016043487</v>
      </c>
      <c r="F24" s="228">
        <f>'DM ASIA OTHER'!F24+'EM ASIA CELLULAR'!F24</f>
        <v>119243.42241264324</v>
      </c>
      <c r="G24" s="228">
        <f>'DM ASIA OTHER'!G24+'EM ASIA CELLULAR'!G24</f>
        <v>126357.86474997463</v>
      </c>
      <c r="H24" s="279">
        <f t="shared" si="0"/>
        <v>5.7134314823267696E-2</v>
      </c>
      <c r="I24" s="248"/>
      <c r="J24" s="17"/>
      <c r="K24" s="17"/>
      <c r="L24" s="17"/>
      <c r="M24" s="17"/>
      <c r="N24" s="17"/>
      <c r="O24" s="248"/>
      <c r="S24" s="42"/>
      <c r="T24" s="42"/>
      <c r="U24" s="42"/>
      <c r="V24" s="147" t="s">
        <v>268</v>
      </c>
      <c r="W24" s="288">
        <f t="shared" ref="W24:W31" si="1">E37/M9</f>
        <v>0.90071900744201128</v>
      </c>
      <c r="X24" s="288">
        <v>1</v>
      </c>
      <c r="Y24" s="42"/>
      <c r="Z24" s="42"/>
      <c r="AA24" s="42"/>
    </row>
    <row r="25" spans="2:27">
      <c r="B25" s="5" t="s">
        <v>179</v>
      </c>
      <c r="C25" s="365">
        <f>'DM ASIA OTHER'!C25+'EM ASIA CELLULAR'!C25</f>
        <v>47799.826460750788</v>
      </c>
      <c r="D25" s="228">
        <f>'DM ASIA OTHER'!D25+'EM ASIA CELLULAR'!D25</f>
        <v>55497.153257720202</v>
      </c>
      <c r="E25" s="228">
        <f>'DM ASIA OTHER'!E25+'EM ASIA CELLULAR'!E25</f>
        <v>62242.85839171469</v>
      </c>
      <c r="F25" s="228">
        <f>'DM ASIA OTHER'!F25+'EM ASIA CELLULAR'!F25</f>
        <v>69473.133313839033</v>
      </c>
      <c r="G25" s="228">
        <f>'DM ASIA OTHER'!G25+'EM ASIA CELLULAR'!G25</f>
        <v>76244.892241064052</v>
      </c>
      <c r="H25" s="279">
        <f t="shared" si="0"/>
        <v>0.11168057272527809</v>
      </c>
      <c r="I25" s="249"/>
      <c r="J25" s="247" t="s">
        <v>10</v>
      </c>
      <c r="K25" s="247"/>
      <c r="L25" s="332">
        <f>'DM ASIA OTHER'!L25+'EM ASIA CELLULAR'!L25</f>
        <v>0</v>
      </c>
      <c r="M25" s="332">
        <f>'DM ASIA OTHER'!M25+'EM ASIA CELLULAR'!M25</f>
        <v>0</v>
      </c>
      <c r="N25" s="332">
        <f>'DM ASIA OTHER'!N25+'EM ASIA CELLULAR'!N25</f>
        <v>0</v>
      </c>
      <c r="O25" s="332">
        <f>'DM ASIA OTHER'!O25+'EM ASIA CELLULAR'!O25</f>
        <v>0</v>
      </c>
      <c r="P25" s="279" t="str">
        <f>IF(L25=0,"nm",IF(O25=0,"nm",(O25/L25)^(1/3)-1))</f>
        <v>nm</v>
      </c>
      <c r="Q25" s="5"/>
      <c r="S25" s="42"/>
      <c r="T25" s="42"/>
      <c r="U25" s="42"/>
      <c r="V25" s="147" t="s">
        <v>180</v>
      </c>
      <c r="W25" s="288">
        <f t="shared" si="1"/>
        <v>1.0111960359183747</v>
      </c>
      <c r="X25" s="288">
        <v>1</v>
      </c>
      <c r="Y25" s="42"/>
      <c r="Z25" s="42"/>
      <c r="AA25" s="42"/>
    </row>
    <row r="26" spans="2:27">
      <c r="B26" s="5" t="s">
        <v>581</v>
      </c>
      <c r="C26" s="365">
        <f>'DM ASIA OTHER'!C26+'EM ASIA CELLULAR'!C26</f>
        <v>36562.251754544028</v>
      </c>
      <c r="D26" s="228">
        <f>'DM ASIA OTHER'!D26+'EM ASIA CELLULAR'!D26</f>
        <v>42624.026480644527</v>
      </c>
      <c r="E26" s="228">
        <f>'DM ASIA OTHER'!E26+'EM ASIA CELLULAR'!E26</f>
        <v>47159.67732300637</v>
      </c>
      <c r="F26" s="228">
        <f>'DM ASIA OTHER'!F26+'EM ASIA CELLULAR'!F26</f>
        <v>52469.731831469813</v>
      </c>
      <c r="G26" s="228">
        <f>'DM ASIA OTHER'!G26+'EM ASIA CELLULAR'!G26</f>
        <v>57453.510331664424</v>
      </c>
      <c r="H26" s="279">
        <f t="shared" si="0"/>
        <v>0.10463983008037903</v>
      </c>
      <c r="I26" s="249"/>
      <c r="J26" s="249" t="s">
        <v>11</v>
      </c>
      <c r="K26" s="249"/>
      <c r="L26" s="281">
        <f>'DM ASIA OTHER'!L26+'EM ASIA CELLULAR'!L26</f>
        <v>491024.45229978638</v>
      </c>
      <c r="M26" s="281">
        <f>'DM ASIA OTHER'!M26+'EM ASIA CELLULAR'!M26</f>
        <v>491677.17767635285</v>
      </c>
      <c r="N26" s="281">
        <f>'DM ASIA OTHER'!N26+'EM ASIA CELLULAR'!N26</f>
        <v>489410.05966855155</v>
      </c>
      <c r="O26" s="281">
        <f>'DM ASIA OTHER'!O26+'EM ASIA CELLULAR'!O26</f>
        <v>487516.84983190161</v>
      </c>
      <c r="P26" s="279">
        <f>IF(L26=0,"nm",IF(O26=0,"nm",(O26/L26)^(1/3)-1))</f>
        <v>-2.3868382854499437E-3</v>
      </c>
      <c r="Q26" s="41"/>
      <c r="S26" s="42"/>
      <c r="T26" s="42"/>
      <c r="U26" s="42"/>
      <c r="V26" s="147" t="s">
        <v>181</v>
      </c>
      <c r="W26" s="288">
        <f t="shared" si="1"/>
        <v>0.98559674559947053</v>
      </c>
      <c r="X26" s="288">
        <v>1</v>
      </c>
      <c r="Y26" s="42"/>
      <c r="Z26" s="42"/>
      <c r="AA26" s="42"/>
    </row>
    <row r="27" spans="2:27">
      <c r="B27" s="5" t="s">
        <v>582</v>
      </c>
      <c r="C27" s="365">
        <f>'DM ASIA OTHER'!C27+'EM ASIA CELLULAR'!C27</f>
        <v>399375.84306923358</v>
      </c>
      <c r="D27" s="228">
        <f>'DM ASIA OTHER'!D27+'EM ASIA CELLULAR'!D27</f>
        <v>475844.35271317558</v>
      </c>
      <c r="E27" s="228">
        <f>'DM ASIA OTHER'!E27+'EM ASIA CELLULAR'!E27</f>
        <v>465625.16633724089</v>
      </c>
      <c r="F27" s="228">
        <f>'DM ASIA OTHER'!F27+'EM ASIA CELLULAR'!F27</f>
        <v>458467.63134424452</v>
      </c>
      <c r="G27" s="228">
        <f>'DM ASIA OTHER'!G27+'EM ASIA CELLULAR'!G27</f>
        <v>449880.99950949801</v>
      </c>
      <c r="H27" s="279">
        <f t="shared" si="0"/>
        <v>-1.8528761652592207E-2</v>
      </c>
      <c r="I27" s="248"/>
      <c r="J27" s="248"/>
      <c r="K27" s="248"/>
      <c r="L27" s="248"/>
      <c r="M27" s="248"/>
      <c r="N27" s="248"/>
      <c r="O27" s="248"/>
      <c r="Q27" s="5"/>
      <c r="S27" s="42"/>
      <c r="T27" s="42"/>
      <c r="U27" s="42"/>
      <c r="V27" s="147" t="s">
        <v>461</v>
      </c>
      <c r="W27" s="288">
        <f t="shared" si="1"/>
        <v>1.0098827735767404</v>
      </c>
      <c r="X27" s="288">
        <v>1</v>
      </c>
      <c r="Y27" s="42"/>
      <c r="Z27" s="42"/>
      <c r="AA27" s="42"/>
    </row>
    <row r="28" spans="2:27" ht="12.6" thickBot="1">
      <c r="B28" s="5" t="s">
        <v>587</v>
      </c>
      <c r="C28" s="365">
        <f>'DM ASIA OTHER'!C28+'EM ASIA CELLULAR'!C28</f>
        <v>236996.36020453018</v>
      </c>
      <c r="D28" s="228">
        <f>'DM ASIA OTHER'!D28+'EM ASIA CELLULAR'!D28</f>
        <v>231915.79538682115</v>
      </c>
      <c r="E28" s="228">
        <f>'DM ASIA OTHER'!E28+'EM ASIA CELLULAR'!E28</f>
        <v>232610.80212340507</v>
      </c>
      <c r="F28" s="228">
        <f>'DM ASIA OTHER'!F28+'EM ASIA CELLULAR'!F28</f>
        <v>235142.5187873051</v>
      </c>
      <c r="G28" s="228">
        <f>'DM ASIA OTHER'!G28+'EM ASIA CELLULAR'!G28</f>
        <v>236402.16483212617</v>
      </c>
      <c r="H28" s="279">
        <f t="shared" si="0"/>
        <v>6.4071344718414913E-3</v>
      </c>
      <c r="I28" s="252"/>
      <c r="J28" s="306" t="s">
        <v>747</v>
      </c>
      <c r="K28" s="306"/>
      <c r="L28" s="306"/>
      <c r="M28" s="306"/>
      <c r="N28" s="266"/>
      <c r="O28" s="266"/>
      <c r="P28" s="266"/>
      <c r="Q28" s="5"/>
      <c r="S28" s="42"/>
      <c r="T28" s="42"/>
      <c r="U28" s="42"/>
      <c r="V28" s="147" t="s">
        <v>525</v>
      </c>
      <c r="W28" s="288">
        <f t="shared" si="1"/>
        <v>0.96395003130778933</v>
      </c>
      <c r="X28" s="288">
        <v>1</v>
      </c>
      <c r="Y28" s="42"/>
      <c r="Z28" s="42"/>
      <c r="AA28" s="42"/>
    </row>
    <row r="29" spans="2:27" ht="12.6" thickTop="1">
      <c r="B29" s="5" t="s">
        <v>583</v>
      </c>
      <c r="C29" s="365">
        <f>'DM ASIA OTHER'!C29+'EM ASIA CELLULAR'!C29</f>
        <v>20682.692350226258</v>
      </c>
      <c r="D29" s="228">
        <f>'DM ASIA OTHER'!D29+'EM ASIA CELLULAR'!D29</f>
        <v>24942.544490869965</v>
      </c>
      <c r="E29" s="228">
        <f>'DM ASIA OTHER'!E29+'EM ASIA CELLULAR'!E29</f>
        <v>30702.830061076027</v>
      </c>
      <c r="F29" s="228">
        <f>'DM ASIA OTHER'!F29+'EM ASIA CELLULAR'!F29</f>
        <v>36296.796203239515</v>
      </c>
      <c r="G29" s="228">
        <f>'DM ASIA OTHER'!G29+'EM ASIA CELLULAR'!G29</f>
        <v>41743.070511362952</v>
      </c>
      <c r="H29" s="279">
        <f t="shared" si="0"/>
        <v>0.18726558349580835</v>
      </c>
      <c r="I29" s="254"/>
      <c r="J29" s="249"/>
      <c r="K29" s="249"/>
      <c r="L29" s="249"/>
      <c r="M29" s="249"/>
      <c r="N29" s="249"/>
      <c r="O29" s="251"/>
      <c r="Q29" s="5"/>
      <c r="S29" s="42"/>
      <c r="T29" s="42"/>
      <c r="U29" s="42"/>
      <c r="V29" s="147" t="s">
        <v>588</v>
      </c>
      <c r="W29" s="288">
        <f t="shared" si="1"/>
        <v>1.1104084998808912</v>
      </c>
      <c r="X29" s="288">
        <v>1</v>
      </c>
      <c r="Y29" s="42"/>
      <c r="Z29" s="42"/>
      <c r="AA29" s="42"/>
    </row>
    <row r="30" spans="2:27">
      <c r="B30" s="5" t="s">
        <v>584</v>
      </c>
      <c r="C30" s="365">
        <f>'DM ASIA OTHER'!C30+'EM ASIA CELLULAR'!C30</f>
        <v>26695.017279768243</v>
      </c>
      <c r="D30" s="228">
        <f>'DM ASIA OTHER'!D30+'EM ASIA CELLULAR'!D30</f>
        <v>26584.018819821817</v>
      </c>
      <c r="E30" s="228">
        <f>'DM ASIA OTHER'!E30+'EM ASIA CELLULAR'!E30</f>
        <v>32218.217757709834</v>
      </c>
      <c r="F30" s="228">
        <f>'DM ASIA OTHER'!F30+'EM ASIA CELLULAR'!F30</f>
        <v>37218.221400940667</v>
      </c>
      <c r="G30" s="228">
        <f>'DM ASIA OTHER'!G30+'EM ASIA CELLULAR'!G30</f>
        <v>41935.915802321761</v>
      </c>
      <c r="H30" s="279">
        <f t="shared" si="0"/>
        <v>0.16409520042823833</v>
      </c>
      <c r="I30" s="254"/>
      <c r="J30" s="248"/>
      <c r="K30" s="248"/>
      <c r="L30" s="248"/>
      <c r="M30" s="248"/>
      <c r="N30" s="248"/>
      <c r="O30" s="5"/>
      <c r="Q30" s="5"/>
      <c r="S30" s="42"/>
      <c r="T30" s="42"/>
      <c r="U30" s="42"/>
      <c r="V30" s="147" t="s">
        <v>470</v>
      </c>
      <c r="W30" s="288">
        <f t="shared" si="1"/>
        <v>0.77441963891157795</v>
      </c>
      <c r="X30" s="288">
        <v>1</v>
      </c>
      <c r="Y30" s="42"/>
      <c r="Z30" s="42"/>
      <c r="AA30" s="42"/>
    </row>
    <row r="31" spans="2:27">
      <c r="B31" s="5" t="s">
        <v>585</v>
      </c>
      <c r="C31" s="365">
        <f>'DM ASIA OTHER'!C31+'EM ASIA CELLULAR'!C31</f>
        <v>20487.617506487404</v>
      </c>
      <c r="D31" s="228">
        <f>'DM ASIA OTHER'!D31+'EM ASIA CELLULAR'!D31</f>
        <v>22432.364873695784</v>
      </c>
      <c r="E31" s="228">
        <f>'DM ASIA OTHER'!E31+'EM ASIA CELLULAR'!E31</f>
        <v>24826.097115888082</v>
      </c>
      <c r="F31" s="228">
        <f>'DM ASIA OTHER'!F31+'EM ASIA CELLULAR'!F31</f>
        <v>27573.598794731319</v>
      </c>
      <c r="G31" s="228">
        <f>'DM ASIA OTHER'!G31+'EM ASIA CELLULAR'!G31</f>
        <v>31253.716454102967</v>
      </c>
      <c r="H31" s="279">
        <f t="shared" si="0"/>
        <v>0.11688605650684725</v>
      </c>
      <c r="I31" s="254"/>
      <c r="J31" s="252"/>
      <c r="K31" s="252"/>
      <c r="L31" s="252"/>
      <c r="M31" s="252"/>
      <c r="N31" s="252"/>
      <c r="O31" s="5"/>
      <c r="Q31" s="5"/>
      <c r="S31" s="42"/>
      <c r="T31" s="42"/>
      <c r="U31" s="42"/>
      <c r="V31" s="147" t="s">
        <v>528</v>
      </c>
      <c r="W31" s="288">
        <f t="shared" si="1"/>
        <v>0.98504009585027219</v>
      </c>
      <c r="X31" s="288">
        <v>1</v>
      </c>
      <c r="Y31" s="42"/>
      <c r="Z31" s="42"/>
      <c r="AA31" s="42"/>
    </row>
    <row r="32" spans="2:27">
      <c r="B32" s="5" t="s">
        <v>601</v>
      </c>
      <c r="C32" s="365" t="e">
        <f>'DM ASIA OTHER'!C32+'EM ASIA CELLULAR'!C32</f>
        <v>#VALUE!</v>
      </c>
      <c r="D32" s="228" t="e">
        <f>'DM ASIA OTHER'!D32+'EM ASIA CELLULAR'!D32</f>
        <v>#VALUE!</v>
      </c>
      <c r="E32" s="228" t="e">
        <f>'DM ASIA OTHER'!E32+'EM ASIA CELLULAR'!E32</f>
        <v>#VALUE!</v>
      </c>
      <c r="F32" s="228" t="e">
        <f>'DM ASIA OTHER'!F32+'EM ASIA CELLULAR'!F32</f>
        <v>#VALUE!</v>
      </c>
      <c r="G32" s="228" t="e">
        <f>'DM ASIA OTHER'!G32+'EM ASIA CELLULAR'!G32</f>
        <v>#VALUE!</v>
      </c>
      <c r="H32" s="279" t="e">
        <f t="shared" si="0"/>
        <v>#VALUE!</v>
      </c>
      <c r="I32" s="5"/>
      <c r="J32" s="254"/>
      <c r="K32" s="254"/>
      <c r="L32" s="254"/>
      <c r="M32" s="254"/>
      <c r="N32" s="254"/>
      <c r="O32" s="251"/>
      <c r="Q32" s="5"/>
      <c r="S32" s="42"/>
      <c r="T32" s="42"/>
      <c r="U32" s="42"/>
      <c r="V32" s="147" t="s">
        <v>575</v>
      </c>
      <c r="W32" s="288">
        <f>M17/E45</f>
        <v>0.96975893422330595</v>
      </c>
      <c r="X32" s="288">
        <v>1</v>
      </c>
      <c r="Y32" s="42"/>
      <c r="Z32" s="42"/>
      <c r="AA32" s="42"/>
    </row>
    <row r="33" spans="2:42">
      <c r="B33" s="5" t="s">
        <v>5</v>
      </c>
      <c r="C33" s="365">
        <f>'DM ASIA OTHER'!C33+'EM ASIA CELLULAR'!C33</f>
        <v>7481.3603220804662</v>
      </c>
      <c r="D33" s="228">
        <f>'DM ASIA OTHER'!D33+'EM ASIA CELLULAR'!D33</f>
        <v>8919.9115674124641</v>
      </c>
      <c r="E33" s="228">
        <f>'DM ASIA OTHER'!E33+'EM ASIA CELLULAR'!E33</f>
        <v>9027.8916866810432</v>
      </c>
      <c r="F33" s="228">
        <f>'DM ASIA OTHER'!F33+'EM ASIA CELLULAR'!F33</f>
        <v>8966.7647139867786</v>
      </c>
      <c r="G33" s="228">
        <f>'DM ASIA OTHER'!G33+'EM ASIA CELLULAR'!G33</f>
        <v>9028.3925037345271</v>
      </c>
      <c r="H33" s="279">
        <f t="shared" si="0"/>
        <v>4.0375629840547766E-3</v>
      </c>
      <c r="I33" s="49"/>
      <c r="J33" s="254"/>
      <c r="K33" s="254"/>
      <c r="L33" s="254"/>
      <c r="M33" s="254"/>
      <c r="N33" s="254"/>
      <c r="O33" s="251"/>
      <c r="Q33" s="5"/>
      <c r="S33" s="42"/>
      <c r="T33" s="42"/>
      <c r="U33" s="42"/>
      <c r="V33" s="147" t="s">
        <v>261</v>
      </c>
      <c r="W33" s="288">
        <f>N19/F47</f>
        <v>0.78296757795398775</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274</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2.1528232037771349</v>
      </c>
      <c r="E37" s="64">
        <f t="shared" si="2"/>
        <v>2.0259285446531869</v>
      </c>
      <c r="F37" s="64">
        <f t="shared" si="2"/>
        <v>1.7973681353247857</v>
      </c>
      <c r="G37" s="64">
        <f t="shared" si="2"/>
        <v>1.5836702779450833</v>
      </c>
      <c r="H37" s="17">
        <f t="shared" ref="H37:H45" si="3">H23</f>
        <v>4.8440860425680521E-2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6.5971631477796224</v>
      </c>
      <c r="E38" s="64">
        <f t="shared" si="2"/>
        <v>6.1671369521401216</v>
      </c>
      <c r="F38" s="64">
        <f t="shared" si="2"/>
        <v>5.426241032334616</v>
      </c>
      <c r="G38" s="64">
        <f t="shared" si="2"/>
        <v>4.7342907723038445</v>
      </c>
      <c r="H38" s="17">
        <f t="shared" si="3"/>
        <v>5.7134314823267696E-2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12.71447069667291</v>
      </c>
      <c r="E39" s="64">
        <f t="shared" si="2"/>
        <v>11.09316619048893</v>
      </c>
      <c r="F39" s="64">
        <f t="shared" si="2"/>
        <v>9.313579518697237</v>
      </c>
      <c r="G39" s="64">
        <f t="shared" si="2"/>
        <v>7.8459665363870101</v>
      </c>
      <c r="H39" s="17">
        <f t="shared" si="3"/>
        <v>0.11168057272527809</v>
      </c>
      <c r="I39" s="5"/>
      <c r="J39" s="5"/>
      <c r="K39" s="5"/>
      <c r="L39" s="5"/>
      <c r="M39" s="5"/>
      <c r="N39" s="5"/>
      <c r="O39" s="5"/>
      <c r="Q39" s="5"/>
      <c r="R39" s="5"/>
      <c r="S39" s="42"/>
      <c r="T39" s="42"/>
      <c r="U39" s="42"/>
      <c r="V39" s="42"/>
      <c r="W39" s="288"/>
      <c r="X39" s="288"/>
      <c r="Y39" s="42"/>
      <c r="Z39" s="42"/>
      <c r="AA39" s="42"/>
    </row>
    <row r="40" spans="2:42">
      <c r="B40" s="5" t="s">
        <v>461</v>
      </c>
      <c r="C40" s="247"/>
      <c r="D40" s="64">
        <f t="shared" si="2"/>
        <v>16.554440936368788</v>
      </c>
      <c r="E40" s="64">
        <f t="shared" si="2"/>
        <v>14.641117401656192</v>
      </c>
      <c r="F40" s="64">
        <f t="shared" si="2"/>
        <v>12.331748780606805</v>
      </c>
      <c r="G40" s="64">
        <f t="shared" si="2"/>
        <v>10.412155317237897</v>
      </c>
      <c r="H40" s="17">
        <f t="shared" si="3"/>
        <v>0.10463983008037903</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1.4828733908908514</v>
      </c>
      <c r="E41" s="64">
        <f t="shared" si="2"/>
        <v>1.4828888604579176</v>
      </c>
      <c r="F41" s="64">
        <f t="shared" si="2"/>
        <v>1.4113178494942764</v>
      </c>
      <c r="G41" s="64">
        <f t="shared" si="2"/>
        <v>1.3297180226461032</v>
      </c>
      <c r="H41" s="17">
        <f t="shared" si="3"/>
        <v>-1.8528761652592207E-2</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3.0425565782059985</v>
      </c>
      <c r="E42" s="64">
        <f>E18/E28</f>
        <v>2.9683504205623694</v>
      </c>
      <c r="F42" s="64">
        <f>F18/F28</f>
        <v>2.7517080061423012</v>
      </c>
      <c r="G42" s="64">
        <f>G18/G28</f>
        <v>2.5304965947271518</v>
      </c>
      <c r="H42" s="17">
        <f t="shared" si="3"/>
        <v>6.4071344718414913E-3</v>
      </c>
      <c r="I42" s="247"/>
      <c r="J42" s="5"/>
      <c r="K42" s="5"/>
      <c r="L42" s="5"/>
      <c r="M42" s="5"/>
      <c r="N42" s="5"/>
      <c r="O42" s="5"/>
      <c r="Q42" s="5"/>
      <c r="R42" s="5"/>
      <c r="S42" s="42"/>
      <c r="T42" s="42"/>
      <c r="U42" s="42"/>
      <c r="V42" s="42"/>
      <c r="W42" s="288"/>
      <c r="X42" s="288"/>
      <c r="Y42" s="288"/>
      <c r="Z42" s="288"/>
      <c r="AA42" s="42"/>
    </row>
    <row r="43" spans="2:42">
      <c r="B43" s="5" t="s">
        <v>470</v>
      </c>
      <c r="C43" s="247"/>
      <c r="D43" s="64">
        <f>L26/D29</f>
        <v>19.686221366850614</v>
      </c>
      <c r="E43" s="64">
        <f>M26/E29</f>
        <v>16.014066999630888</v>
      </c>
      <c r="F43" s="64">
        <f>N26/F29</f>
        <v>13.483560833528093</v>
      </c>
      <c r="G43" s="64">
        <f>O26/G29</f>
        <v>11.678988724588283</v>
      </c>
      <c r="H43" s="17">
        <f t="shared" si="3"/>
        <v>0.18726558349580835</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21.397426774947157</v>
      </c>
      <c r="E44" s="64">
        <f>E11/E30</f>
        <v>17.676092440425204</v>
      </c>
      <c r="F44" s="64">
        <f>F11/F30</f>
        <v>15.240571861387796</v>
      </c>
      <c r="G44" s="64">
        <f>G11/G30</f>
        <v>13.480241217588816</v>
      </c>
      <c r="H44" s="17">
        <f t="shared" si="3"/>
        <v>0.16409520042823833</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3.9436001622009949E-2</v>
      </c>
      <c r="E45" s="248">
        <f>E31/E11</f>
        <v>4.3593393058855859E-2</v>
      </c>
      <c r="F45" s="248">
        <f>F31/F11</f>
        <v>4.8611225969878401E-2</v>
      </c>
      <c r="G45" s="248">
        <f>G31/G11</f>
        <v>5.5286344105998711E-2</v>
      </c>
      <c r="H45" s="17">
        <f t="shared" si="3"/>
        <v>0.11688605650684725</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5.0796949874996715E-2</v>
      </c>
      <c r="E47" s="248">
        <f>1/E43</f>
        <v>6.2445099050918745E-2</v>
      </c>
      <c r="F47" s="248">
        <f>1/F43</f>
        <v>7.4164385235197625E-2</v>
      </c>
      <c r="G47" s="248">
        <f>1/G43</f>
        <v>8.5623851823288133E-2</v>
      </c>
      <c r="H47" s="17">
        <f>H29</f>
        <v>0.18726558349580835</v>
      </c>
      <c r="I47" s="247"/>
      <c r="J47" s="248"/>
      <c r="K47" s="248"/>
      <c r="L47" s="248"/>
      <c r="M47" s="248"/>
      <c r="N47" s="248"/>
      <c r="O47" s="248"/>
      <c r="Q47" s="5"/>
      <c r="R47" s="5"/>
      <c r="S47" s="5"/>
      <c r="T47" s="5"/>
      <c r="U47" s="5"/>
      <c r="AA47" s="303"/>
      <c r="AB47" s="303"/>
    </row>
    <row r="48" spans="2:42">
      <c r="B48" s="5" t="s">
        <v>613</v>
      </c>
      <c r="C48" s="5"/>
      <c r="D48" s="305">
        <f>D31/D29</f>
        <v>0.89936152592238483</v>
      </c>
      <c r="E48" s="305">
        <f>E31/E29</f>
        <v>0.80859311882658458</v>
      </c>
      <c r="F48" s="305">
        <f>F31/F29</f>
        <v>0.75967032022155045</v>
      </c>
      <c r="G48" s="305">
        <f>G31/G29</f>
        <v>0.7487162796420388</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31">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333</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545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EM'!D37</f>
        <v>1.7568504876692785</v>
      </c>
      <c r="M9" s="64">
        <f>'AGG EM'!E37</f>
        <v>1.6557505993722963</v>
      </c>
      <c r="N9" s="64">
        <f>'AGG EM'!F37</f>
        <v>1.4867932994499977</v>
      </c>
      <c r="O9" s="64">
        <f>'AGG EM'!G37</f>
        <v>1.3237610851186894</v>
      </c>
      <c r="P9" s="17">
        <f>'AGG EM'!H37</f>
        <v>4.2237881472639405E-2</v>
      </c>
    </row>
    <row r="10" spans="2:63">
      <c r="B10" s="5" t="s">
        <v>269</v>
      </c>
      <c r="C10" s="5"/>
      <c r="D10" s="332"/>
      <c r="E10" s="332"/>
      <c r="F10" s="332"/>
      <c r="G10" s="332"/>
      <c r="H10" s="247"/>
      <c r="I10" s="247"/>
      <c r="J10" s="5" t="s">
        <v>180</v>
      </c>
      <c r="L10" s="64">
        <f>'AGG EM'!D38</f>
        <v>5.1440316657520277</v>
      </c>
      <c r="M10" s="64">
        <f>'AGG EM'!E38</f>
        <v>4.8353866940625734</v>
      </c>
      <c r="N10" s="64">
        <f>'AGG EM'!F38</f>
        <v>4.3122989607565385</v>
      </c>
      <c r="O10" s="64">
        <f>'AGG EM'!G38</f>
        <v>3.8049801727031363</v>
      </c>
      <c r="P10" s="17">
        <f>'AGG EM'!H38</f>
        <v>4.8678106743502703E-2</v>
      </c>
      <c r="W10" s="10"/>
      <c r="X10" s="10"/>
      <c r="Y10" s="10"/>
      <c r="Z10" s="10"/>
    </row>
    <row r="11" spans="2:63">
      <c r="B11" s="41" t="s">
        <v>518</v>
      </c>
      <c r="C11" s="5"/>
      <c r="D11" s="271">
        <f>'AGG ASIA INCUMB'!D11+'AGG ASIA CELLULAR'!D11</f>
        <v>877018.29945573676</v>
      </c>
      <c r="E11" s="271">
        <f>'AGG ASIA INCUMB'!E11+'AGG ASIA CELLULAR'!E11</f>
        <v>876186.48523847945</v>
      </c>
      <c r="F11" s="271">
        <f>'AGG ASIA INCUMB'!F11+'AGG ASIA CELLULAR'!F11</f>
        <v>872267.9281176537</v>
      </c>
      <c r="G11" s="271">
        <f>'AGG ASIA INCUMB'!G11+'AGG ASIA CELLULAR'!G11</f>
        <v>868694.57766668266</v>
      </c>
      <c r="H11" s="249"/>
      <c r="I11" s="249"/>
      <c r="J11" s="5" t="s">
        <v>181</v>
      </c>
      <c r="L11" s="64">
        <f>'AGG EM'!D39</f>
        <v>10.995479606644533</v>
      </c>
      <c r="M11" s="64">
        <f>'AGG EM'!E39</f>
        <v>9.5892649604733364</v>
      </c>
      <c r="N11" s="64">
        <f>'AGG EM'!F39</f>
        <v>8.1142047815241369</v>
      </c>
      <c r="O11" s="64">
        <f>'AGG EM'!G39</f>
        <v>6.8473836589479324</v>
      </c>
      <c r="P11" s="17">
        <f>'AGG EM'!H39</f>
        <v>0.11059307549826269</v>
      </c>
      <c r="W11" s="10"/>
      <c r="X11" s="10"/>
      <c r="Y11" s="10"/>
      <c r="Z11" s="10"/>
    </row>
    <row r="12" spans="2:63">
      <c r="B12" s="5" t="s">
        <v>225</v>
      </c>
      <c r="C12" s="249"/>
      <c r="D12" s="228">
        <f>'AGG ASIA INCUMB'!D12+'AGG ASIA CELLULAR'!D12</f>
        <v>200602.40366145302</v>
      </c>
      <c r="E12" s="228">
        <f>'AGG ASIA INCUMB'!E12+'AGG ASIA CELLULAR'!E12</f>
        <v>179802.32396842763</v>
      </c>
      <c r="F12" s="228">
        <f>'AGG ASIA INCUMB'!F12+'AGG ASIA CELLULAR'!F12</f>
        <v>157537.00921274483</v>
      </c>
      <c r="G12" s="228">
        <f>'AGG ASIA INCUMB'!G12+'AGG ASIA CELLULAR'!G12</f>
        <v>131935.3931812378</v>
      </c>
      <c r="H12" s="247"/>
      <c r="I12" s="247"/>
      <c r="J12" s="5" t="s">
        <v>461</v>
      </c>
      <c r="L12" s="64">
        <f>'AGG EM'!D40</f>
        <v>14.520348963598265</v>
      </c>
      <c r="M12" s="64">
        <f>'AGG EM'!E40</f>
        <v>12.588336648928733</v>
      </c>
      <c r="N12" s="64">
        <f>'AGG EM'!F40</f>
        <v>10.782973360794294</v>
      </c>
      <c r="O12" s="64">
        <f>'AGG EM'!G40</f>
        <v>9.0993411007602809</v>
      </c>
      <c r="P12" s="17">
        <f>'AGG EM'!H40</f>
        <v>0.10827488676451624</v>
      </c>
      <c r="W12" s="10"/>
      <c r="X12" s="10"/>
      <c r="Y12" s="10"/>
      <c r="Z12" s="10"/>
    </row>
    <row r="13" spans="2:63">
      <c r="B13" s="5" t="s">
        <v>524</v>
      </c>
      <c r="C13" s="257"/>
      <c r="D13" s="228">
        <f>'AGG ASIA INCUMB'!D13+'AGG ASIA CELLULAR'!D13</f>
        <v>16281.871901827855</v>
      </c>
      <c r="E13" s="228">
        <f>'AGG ASIA INCUMB'!E13+'AGG ASIA CELLULAR'!E13</f>
        <v>15847.670305911972</v>
      </c>
      <c r="F13" s="228">
        <f>'AGG ASIA INCUMB'!F13+'AGG ASIA CELLULAR'!F13</f>
        <v>15383.501033574061</v>
      </c>
      <c r="G13" s="228">
        <f>'AGG ASIA INCUMB'!G13+'AGG ASIA CELLULAR'!G13</f>
        <v>14886.823212823319</v>
      </c>
      <c r="H13" s="247"/>
      <c r="I13" s="247"/>
      <c r="J13" s="5" t="s">
        <v>525</v>
      </c>
      <c r="L13" s="64">
        <f>'AGG EM'!D41</f>
        <v>1.3238253427535878</v>
      </c>
      <c r="M13" s="64">
        <f>'AGG EM'!E41</f>
        <v>1.3149929904097803</v>
      </c>
      <c r="N13" s="64">
        <f>'AGG EM'!F41</f>
        <v>1.2546648940766489</v>
      </c>
      <c r="O13" s="64">
        <f>'AGG EM'!G41</f>
        <v>1.1810433829047893</v>
      </c>
      <c r="P13" s="17">
        <f>'AGG EM'!H41</f>
        <v>-1.4824953823212472E-2</v>
      </c>
    </row>
    <row r="14" spans="2:63">
      <c r="B14" s="5" t="s">
        <v>527</v>
      </c>
      <c r="C14" s="274"/>
      <c r="D14" s="228">
        <f>'AGG ASIA INCUMB'!D14+'AGG ASIA CELLULAR'!D14</f>
        <v>43297.842448092124</v>
      </c>
      <c r="E14" s="228">
        <f>'AGG ASIA INCUMB'!E14+'AGG ASIA CELLULAR'!E14</f>
        <v>41617.658097890504</v>
      </c>
      <c r="F14" s="228">
        <f>'AGG ASIA INCUMB'!F14+'AGG ASIA CELLULAR'!F14</f>
        <v>41722.139469770242</v>
      </c>
      <c r="G14" s="228">
        <f>'AGG ASIA INCUMB'!G14+'AGG ASIA CELLULAR'!G14</f>
        <v>41833.519100270452</v>
      </c>
      <c r="H14" s="247"/>
      <c r="I14" s="247"/>
      <c r="J14" s="5" t="s">
        <v>588</v>
      </c>
      <c r="L14" s="64">
        <f>'AGG EM'!D42</f>
        <v>2.0711803682152934</v>
      </c>
      <c r="M14" s="64">
        <f>'AGG EM'!E42</f>
        <v>2.0248906449245871</v>
      </c>
      <c r="N14" s="64">
        <f>'AGG EM'!F42</f>
        <v>1.9071372802806041</v>
      </c>
      <c r="O14" s="64">
        <f>'AGG EM'!G42</f>
        <v>1.8113330320796608</v>
      </c>
      <c r="P14" s="17">
        <f>'AGG EM'!H42</f>
        <v>-8.2588640298681959E-3</v>
      </c>
    </row>
    <row r="15" spans="2:63">
      <c r="B15" s="5" t="s">
        <v>526</v>
      </c>
      <c r="C15" s="257"/>
      <c r="D15" s="228">
        <f>'AGG ASIA INCUMB'!D15+'AGG ASIA CELLULAR'!D15</f>
        <v>47484.087648303524</v>
      </c>
      <c r="E15" s="228">
        <f>'AGG ASIA INCUMB'!E15+'AGG ASIA CELLULAR'!E15</f>
        <v>47475.983987581647</v>
      </c>
      <c r="F15" s="228">
        <f>'AGG ASIA INCUMB'!F15+'AGG ASIA CELLULAR'!F15</f>
        <v>47493.001531725713</v>
      </c>
      <c r="G15" s="228">
        <f>'AGG ASIA INCUMB'!G15+'AGG ASIA CELLULAR'!G15</f>
        <v>47533.530900597485</v>
      </c>
      <c r="H15" s="247"/>
      <c r="I15" s="247"/>
      <c r="J15" s="5" t="s">
        <v>470</v>
      </c>
      <c r="L15" s="64">
        <f>'AGG EM'!D43</f>
        <v>19.941396485994044</v>
      </c>
      <c r="M15" s="64">
        <f>'AGG EM'!E43</f>
        <v>16.131685917921274</v>
      </c>
      <c r="N15" s="64">
        <f>'AGG EM'!F43</f>
        <v>13.571473710874955</v>
      </c>
      <c r="O15" s="64">
        <f>'AGG EM'!G43</f>
        <v>11.537221469167157</v>
      </c>
      <c r="P15" s="17">
        <f>'AGG EM'!H43</f>
        <v>0.19756422158027021</v>
      </c>
      <c r="S15" s="88"/>
      <c r="T15" s="88"/>
      <c r="U15" s="88"/>
      <c r="V15" s="42"/>
      <c r="W15" s="42"/>
      <c r="X15" s="42"/>
      <c r="Y15" s="42"/>
      <c r="Z15" s="42"/>
      <c r="AA15" s="42"/>
    </row>
    <row r="16" spans="2:63">
      <c r="B16" s="5" t="s">
        <v>529</v>
      </c>
      <c r="C16" s="257"/>
      <c r="D16" s="228">
        <f>'AGG ASIA INCUMB'!D16+'AGG ASIA CELLULAR'!D16</f>
        <v>23092.354244237358</v>
      </c>
      <c r="E16" s="228">
        <f>'AGG ASIA INCUMB'!E16+'AGG ASIA CELLULAR'!E16</f>
        <v>27257.984456550872</v>
      </c>
      <c r="F16" s="228">
        <f>'AGG ASIA INCUMB'!F16+'AGG ASIA CELLULAR'!F16</f>
        <v>64221.399439982473</v>
      </c>
      <c r="G16" s="228">
        <f>'AGG ASIA INCUMB'!G16+'AGG ASIA CELLULAR'!G16</f>
        <v>104474.72395327882</v>
      </c>
      <c r="H16" s="247"/>
      <c r="I16" s="247"/>
      <c r="J16" s="5" t="s">
        <v>528</v>
      </c>
      <c r="L16" s="64">
        <f>'AGG EM'!D44</f>
        <v>18.269093770217651</v>
      </c>
      <c r="M16" s="64">
        <f>'AGG EM'!E44</f>
        <v>15.568805131794383</v>
      </c>
      <c r="N16" s="64">
        <f>'AGG EM'!F44</f>
        <v>13.199234812647555</v>
      </c>
      <c r="O16" s="64">
        <f>'AGG EM'!G44</f>
        <v>11.401551775928532</v>
      </c>
      <c r="P16" s="17">
        <f>'AGG EM'!H44</f>
        <v>0.16848189780945066</v>
      </c>
      <c r="S16" s="88"/>
      <c r="T16" s="88"/>
      <c r="U16" s="88"/>
      <c r="V16" s="42"/>
      <c r="W16" s="42"/>
      <c r="X16" s="42"/>
      <c r="Y16" s="42"/>
      <c r="Z16" s="42"/>
      <c r="AA16" s="42"/>
    </row>
    <row r="17" spans="2:27">
      <c r="B17" s="5" t="s">
        <v>6</v>
      </c>
      <c r="C17" s="257"/>
      <c r="D17" s="228">
        <f>'AGG ASIA INCUMB'!D17+'AGG ASIA CELLULAR'!D17</f>
        <v>429.25200756493678</v>
      </c>
      <c r="E17" s="228">
        <f>'AGG ASIA INCUMB'!E17+'AGG ASIA CELLULAR'!E17</f>
        <v>429.25200756493678</v>
      </c>
      <c r="F17" s="228">
        <f>'AGG ASIA INCUMB'!F17+'AGG ASIA CELLULAR'!F17</f>
        <v>429.25200756493678</v>
      </c>
      <c r="G17" s="228">
        <f>'AGG ASIA INCUMB'!G17+'AGG ASIA CELLULAR'!G17</f>
        <v>429.25200756493678</v>
      </c>
      <c r="H17" s="247"/>
      <c r="I17" s="247"/>
      <c r="J17" s="5" t="s">
        <v>575</v>
      </c>
      <c r="L17" s="248">
        <f>'AGG EM'!D45</f>
        <v>3.9575725452429565E-2</v>
      </c>
      <c r="M17" s="248">
        <f>'AGG EM'!E45</f>
        <v>4.4599307126826686E-2</v>
      </c>
      <c r="N17" s="248">
        <f>'AGG EM'!F45</f>
        <v>5.062338744034766E-2</v>
      </c>
      <c r="O17" s="248">
        <f>'AGG EM'!G45</f>
        <v>5.8280255420076719E-2</v>
      </c>
      <c r="P17" s="17">
        <f>'AGG EM'!H45</f>
        <v>0.13606146505400307</v>
      </c>
      <c r="S17" s="88"/>
      <c r="T17" s="88"/>
      <c r="U17" s="88"/>
      <c r="V17" s="42"/>
      <c r="W17" s="42"/>
      <c r="X17" s="42"/>
      <c r="Y17" s="42"/>
      <c r="Z17" s="42"/>
      <c r="AA17" s="42"/>
    </row>
    <row r="18" spans="2:27" ht="12.6" thickBot="1">
      <c r="B18" s="41" t="s">
        <v>88</v>
      </c>
      <c r="C18" s="249"/>
      <c r="D18" s="275">
        <f>'AGG ASIA INCUMB'!D18+'AGG ASIA CELLULAR'!D18</f>
        <v>1074567.2139674267</v>
      </c>
      <c r="E18" s="275">
        <f>'AGG ASIA INCUMB'!E18+'AGG ASIA CELLULAR'!E18</f>
        <v>1050007.5689383945</v>
      </c>
      <c r="F18" s="275">
        <f>'AGG ASIA INCUMB'!F18+'AGG ASIA CELLULAR'!F18</f>
        <v>986308.6489783806</v>
      </c>
      <c r="G18" s="275">
        <f>'AGG ASIA INCUMB'!G18+'AGG ASIA CELLULAR'!G18</f>
        <v>916312.82990022702</v>
      </c>
      <c r="H18" s="276">
        <f>IF(D18=0,"nm",IF(G18=0,"nm",(G18/D18)^(1/3)-1))</f>
        <v>-5.1719702572494808E-2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'AGG EM'!D47</f>
        <v>5.0146939343107481E-2</v>
      </c>
      <c r="M19" s="248">
        <f>'AGG EM'!E47</f>
        <v>6.1989801009519022E-2</v>
      </c>
      <c r="N19" s="248">
        <f>'AGG EM'!F47</f>
        <v>7.3683965448696279E-2</v>
      </c>
      <c r="O19" s="248">
        <f>'AGG EM'!G47</f>
        <v>8.6675981966062354E-2</v>
      </c>
      <c r="P19" s="17">
        <f>'AGG EM'!H47</f>
        <v>0.19756422158027021</v>
      </c>
      <c r="S19" s="88"/>
      <c r="T19" s="88"/>
      <c r="U19" s="88"/>
      <c r="V19" s="42"/>
      <c r="W19" s="42"/>
      <c r="X19" s="42"/>
      <c r="Y19" s="42"/>
      <c r="Z19" s="42"/>
      <c r="AA19" s="42"/>
    </row>
    <row r="20" spans="2:27">
      <c r="H20" s="277"/>
      <c r="I20" s="49"/>
      <c r="J20" s="5" t="s">
        <v>599</v>
      </c>
      <c r="L20" s="248">
        <f>'AGG EM'!D48</f>
        <v>0.7811093796944828</v>
      </c>
      <c r="M20" s="248">
        <f>'AGG EM'!E48</f>
        <v>0.71190259032608272</v>
      </c>
      <c r="N20" s="248">
        <f>'AGG EM'!F48</f>
        <v>0.68014626513904075</v>
      </c>
      <c r="O20" s="248">
        <f>'AGG EM'!G48</f>
        <v>0.66683886253088454</v>
      </c>
      <c r="P20" s="17" t="str">
        <f>'AGG EM'!H48</f>
        <v>nm</v>
      </c>
      <c r="S20" s="42"/>
      <c r="T20" s="42"/>
      <c r="U20" s="42"/>
      <c r="V20" s="42"/>
      <c r="W20" s="42"/>
      <c r="X20" s="42"/>
      <c r="Y20" s="42"/>
      <c r="Z20" s="42"/>
      <c r="AA20" s="42"/>
    </row>
    <row r="21" spans="2:27" ht="12.6" thickBot="1">
      <c r="B21" s="306" t="s">
        <v>303</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'AGG ASIA INCUMB'!C23+'AGG ASIA CELLULAR'!C23</f>
        <v>589856.65996801329</v>
      </c>
      <c r="D23" s="228">
        <f>'AGG ASIA INCUMB'!D23+'AGG ASIA CELLULAR'!D23</f>
        <v>617831.51273322629</v>
      </c>
      <c r="E23" s="228">
        <f>'AGG ASIA INCUMB'!E23+'AGG ASIA CELLULAR'!E23</f>
        <v>638053.8214778977</v>
      </c>
      <c r="F23" s="228">
        <f>'AGG ASIA INCUMB'!F23+'AGG ASIA CELLULAR'!F23</f>
        <v>668506.94424570259</v>
      </c>
      <c r="G23" s="228">
        <f>'AGG ASIA INCUMB'!G23+'AGG ASIA CELLULAR'!G23</f>
        <v>697002.55786106782</v>
      </c>
      <c r="H23" s="279">
        <f t="shared" ref="H23:H33" si="0">IF(D23=0,"nm",IF(G23=0,"nm",(G23/D23)^(1/3)-1))</f>
        <v>4.1009689847133046E-2</v>
      </c>
      <c r="I23" s="249"/>
      <c r="J23" s="306" t="s">
        <v>9</v>
      </c>
      <c r="K23" s="306"/>
      <c r="L23" s="265" t="str">
        <f>L5</f>
        <v>2023E</v>
      </c>
      <c r="M23" s="265" t="str">
        <f>M5</f>
        <v>2024E</v>
      </c>
      <c r="N23" s="265" t="str">
        <f>N5</f>
        <v>2025E</v>
      </c>
      <c r="O23" s="265" t="str">
        <f>O5</f>
        <v>2026E</v>
      </c>
      <c r="P23" s="282" t="str">
        <f>P5</f>
        <v>23E-26E</v>
      </c>
      <c r="S23" s="42"/>
      <c r="T23" s="42"/>
      <c r="U23" s="42"/>
      <c r="V23" s="42"/>
      <c r="W23" s="42" t="s">
        <v>334</v>
      </c>
      <c r="X23" s="42" t="s">
        <v>26</v>
      </c>
      <c r="Y23" s="42"/>
      <c r="Z23" s="42"/>
      <c r="AA23" s="42"/>
    </row>
    <row r="24" spans="2:27" ht="12.6" thickTop="1">
      <c r="B24" s="5" t="s">
        <v>478</v>
      </c>
      <c r="C24" s="365">
        <f>'AGG ASIA INCUMB'!C24+'AGG ASIA CELLULAR'!C24</f>
        <v>177735.1002170865</v>
      </c>
      <c r="D24" s="228">
        <f>'AGG ASIA INCUMB'!D24+'AGG ASIA CELLULAR'!D24</f>
        <v>186756.95858090484</v>
      </c>
      <c r="E24" s="228">
        <f>'AGG ASIA INCUMB'!E24+'AGG ASIA CELLULAR'!E24</f>
        <v>193250.7402450396</v>
      </c>
      <c r="F24" s="228">
        <f>'AGG ASIA INCUMB'!F24+'AGG ASIA CELLULAR'!F24</f>
        <v>205467.05998187501</v>
      </c>
      <c r="G24" s="228">
        <f>'AGG ASIA INCUMB'!G24+'AGG ASIA CELLULAR'!G24</f>
        <v>215951.75285258054</v>
      </c>
      <c r="H24" s="279">
        <f t="shared" si="0"/>
        <v>4.9606827282458354E-2</v>
      </c>
      <c r="I24" s="248"/>
      <c r="J24" s="17"/>
      <c r="K24" s="17"/>
      <c r="L24" s="17"/>
      <c r="M24" s="17"/>
      <c r="N24" s="17"/>
      <c r="O24" s="248"/>
      <c r="S24" s="42"/>
      <c r="T24" s="42"/>
      <c r="U24" s="42"/>
      <c r="V24" s="147" t="s">
        <v>268</v>
      </c>
      <c r="W24" s="288">
        <f t="shared" ref="W24:W31" si="1">E37/M9</f>
        <v>0.99389428787359591</v>
      </c>
      <c r="X24" s="288">
        <v>1</v>
      </c>
      <c r="Y24" s="42"/>
      <c r="Z24" s="42"/>
      <c r="AA24" s="42"/>
    </row>
    <row r="25" spans="2:27">
      <c r="B25" s="5" t="s">
        <v>179</v>
      </c>
      <c r="C25" s="365">
        <f>'AGG ASIA INCUMB'!C25+'AGG ASIA CELLULAR'!C25</f>
        <v>77059.120890070102</v>
      </c>
      <c r="D25" s="228">
        <f>'AGG ASIA INCUMB'!D25+'AGG ASIA CELLULAR'!D25</f>
        <v>86778.252057774764</v>
      </c>
      <c r="E25" s="228">
        <f>'AGG ASIA INCUMB'!E25+'AGG ASIA CELLULAR'!E25</f>
        <v>95940.932205909208</v>
      </c>
      <c r="F25" s="228">
        <f>'AGG ASIA INCUMB'!F25+'AGG ASIA CELLULAR'!F25</f>
        <v>108573.39292424964</v>
      </c>
      <c r="G25" s="228">
        <f>'AGG ASIA INCUMB'!G25+'AGG ASIA CELLULAR'!G25</f>
        <v>118159.83018989273</v>
      </c>
      <c r="H25" s="279">
        <f t="shared" si="0"/>
        <v>0.10837397549431804</v>
      </c>
      <c r="I25" s="249"/>
      <c r="J25" s="247" t="s">
        <v>10</v>
      </c>
      <c r="K25" s="247"/>
      <c r="L25" s="332">
        <f>'AGG ASIA INCUMB'!L25+'AGG ASIA CELLULAR'!L25</f>
        <v>52734.848141848874</v>
      </c>
      <c r="M25" s="332">
        <f>'AGG ASIA INCUMB'!M25+'AGG ASIA CELLULAR'!M25</f>
        <v>54012.79442892276</v>
      </c>
      <c r="N25" s="332">
        <f>'AGG ASIA INCUMB'!N25+'AGG ASIA CELLULAR'!N25</f>
        <v>50477.6565283042</v>
      </c>
      <c r="O25" s="332">
        <f>'AGG ASIA INCUMB'!O25+'AGG ASIA CELLULAR'!O25</f>
        <v>46407.33112101366</v>
      </c>
      <c r="P25" s="279">
        <f>IF(L25=0,"nm",IF(O25=0,"nm",(O25/L25)^(1/3)-1))</f>
        <v>-4.1711452936236237E-2</v>
      </c>
      <c r="Q25" s="5"/>
      <c r="S25" s="42"/>
      <c r="T25" s="42"/>
      <c r="U25" s="42"/>
      <c r="V25" s="147" t="s">
        <v>180</v>
      </c>
      <c r="W25" s="288">
        <f t="shared" si="1"/>
        <v>1.123673276422624</v>
      </c>
      <c r="X25" s="288">
        <v>1</v>
      </c>
      <c r="Y25" s="42"/>
      <c r="Z25" s="42"/>
      <c r="AA25" s="42"/>
    </row>
    <row r="26" spans="2:27">
      <c r="B26" s="5" t="s">
        <v>581</v>
      </c>
      <c r="C26" s="365">
        <f>'AGG ASIA INCUMB'!C26+'AGG ASIA CELLULAR'!C26</f>
        <v>58279.176286123977</v>
      </c>
      <c r="D26" s="228">
        <f>'AGG ASIA INCUMB'!D26+'AGG ASIA CELLULAR'!D26</f>
        <v>65895.622829072789</v>
      </c>
      <c r="E26" s="228">
        <f>'AGG ASIA INCUMB'!E26+'AGG ASIA CELLULAR'!E26</f>
        <v>72287.644299112551</v>
      </c>
      <c r="F26" s="228">
        <f>'AGG ASIA INCUMB'!F26+'AGG ASIA CELLULAR'!F26</f>
        <v>81557.293395135348</v>
      </c>
      <c r="G26" s="228">
        <f>'AGG ASIA INCUMB'!G26+'AGG ASIA CELLULAR'!G26</f>
        <v>88651.181827808672</v>
      </c>
      <c r="H26" s="279">
        <f t="shared" si="0"/>
        <v>0.10393284291310723</v>
      </c>
      <c r="I26" s="249"/>
      <c r="J26" s="249" t="s">
        <v>11</v>
      </c>
      <c r="K26" s="249"/>
      <c r="L26" s="281">
        <f>'AGG ASIA INCUMB'!L26+'AGG ASIA CELLULAR'!L26</f>
        <v>851948.00381641765</v>
      </c>
      <c r="M26" s="281">
        <f>'AGG ASIA INCUMB'!M26+'AGG ASIA CELLULAR'!M26</f>
        <v>852384.26199272717</v>
      </c>
      <c r="N26" s="281">
        <f>'AGG ASIA INCUMB'!N26+'AGG ASIA CELLULAR'!N26</f>
        <v>844928.66650043207</v>
      </c>
      <c r="O26" s="281">
        <f>'AGG ASIA INCUMB'!O26+'AGG ASIA CELLULAR'!O26</f>
        <v>837312.49792380608</v>
      </c>
      <c r="P26" s="279">
        <f>IF(L26=0,"nm",IF(O26=0,"nm",(O26/L26)^(1/3)-1))</f>
        <v>-5.7593977198966417E-3</v>
      </c>
      <c r="Q26" s="41"/>
      <c r="S26" s="42"/>
      <c r="T26" s="42"/>
      <c r="U26" s="42"/>
      <c r="V26" s="147" t="s">
        <v>181</v>
      </c>
      <c r="W26" s="288">
        <f t="shared" si="1"/>
        <v>1.1413088291112212</v>
      </c>
      <c r="X26" s="288">
        <v>1</v>
      </c>
      <c r="Y26" s="42"/>
      <c r="Z26" s="42"/>
      <c r="AA26" s="42"/>
    </row>
    <row r="27" spans="2:27">
      <c r="B27" s="5" t="s">
        <v>582</v>
      </c>
      <c r="C27" s="365">
        <f>'AGG ASIA INCUMB'!C27+'AGG ASIA CELLULAR'!C27</f>
        <v>729246.84886492102</v>
      </c>
      <c r="D27" s="228">
        <f>'AGG ASIA INCUMB'!D27+'AGG ASIA CELLULAR'!D27</f>
        <v>797775.94022337697</v>
      </c>
      <c r="E27" s="228">
        <f>'AGG ASIA INCUMB'!E27+'AGG ASIA CELLULAR'!E27</f>
        <v>796487.74083715887</v>
      </c>
      <c r="F27" s="228">
        <f>'AGG ASIA INCUMB'!F27+'AGG ASIA CELLULAR'!F27</f>
        <v>798293.52382321237</v>
      </c>
      <c r="G27" s="228">
        <f>'AGG ASIA INCUMB'!G27+'AGG ASIA CELLULAR'!G27</f>
        <v>799829.75242517132</v>
      </c>
      <c r="H27" s="279">
        <f t="shared" si="0"/>
        <v>8.5740542540002629E-4</v>
      </c>
      <c r="I27" s="248"/>
      <c r="J27" s="248"/>
      <c r="K27" s="248"/>
      <c r="L27" s="248"/>
      <c r="M27" s="248"/>
      <c r="N27" s="248"/>
      <c r="O27" s="248"/>
      <c r="Q27" s="5"/>
      <c r="S27" s="42"/>
      <c r="T27" s="42"/>
      <c r="U27" s="42"/>
      <c r="V27" s="147" t="s">
        <v>461</v>
      </c>
      <c r="W27" s="288">
        <f t="shared" si="1"/>
        <v>1.1538783071959369</v>
      </c>
      <c r="X27" s="288">
        <v>1</v>
      </c>
      <c r="Y27" s="42"/>
      <c r="Z27" s="42"/>
      <c r="AA27" s="42"/>
    </row>
    <row r="28" spans="2:27" ht="12.6" thickBot="1">
      <c r="B28" s="5" t="s">
        <v>587</v>
      </c>
      <c r="C28" s="365">
        <f>'AGG ASIA INCUMB'!C28+'AGG ASIA CELLULAR'!C28</f>
        <v>475029.94907661818</v>
      </c>
      <c r="D28" s="228">
        <f>'AGG ASIA INCUMB'!D28+'AGG ASIA CELLULAR'!D28</f>
        <v>473428.5939584201</v>
      </c>
      <c r="E28" s="228">
        <f>'AGG ASIA INCUMB'!E28+'AGG ASIA CELLULAR'!E28</f>
        <v>473793.04742765578</v>
      </c>
      <c r="F28" s="228">
        <f>'AGG ASIA INCUMB'!F28+'AGG ASIA CELLULAR'!F28</f>
        <v>473262.8543868321</v>
      </c>
      <c r="G28" s="228">
        <f>'AGG ASIA INCUMB'!G28+'AGG ASIA CELLULAR'!G28</f>
        <v>464063.08582473663</v>
      </c>
      <c r="H28" s="279">
        <f t="shared" si="0"/>
        <v>-6.6380676101596148E-3</v>
      </c>
      <c r="I28" s="252"/>
      <c r="J28" s="306" t="s">
        <v>747</v>
      </c>
      <c r="K28" s="306"/>
      <c r="L28" s="306"/>
      <c r="M28" s="306"/>
      <c r="N28" s="266"/>
      <c r="O28" s="266"/>
      <c r="P28" s="266"/>
      <c r="Q28" s="5"/>
      <c r="S28" s="42"/>
      <c r="T28" s="42"/>
      <c r="U28" s="42"/>
      <c r="V28" s="147" t="s">
        <v>525</v>
      </c>
      <c r="W28" s="288">
        <f t="shared" si="1"/>
        <v>1.0025127301966377</v>
      </c>
      <c r="X28" s="288">
        <v>1</v>
      </c>
      <c r="Y28" s="42"/>
      <c r="Z28" s="42"/>
      <c r="AA28" s="42"/>
    </row>
    <row r="29" spans="2:27" ht="12.6" thickTop="1">
      <c r="B29" s="5" t="s">
        <v>583</v>
      </c>
      <c r="C29" s="365">
        <f>'AGG ASIA INCUMB'!C29+'AGG ASIA CELLULAR'!C29</f>
        <v>43159.56999947517</v>
      </c>
      <c r="D29" s="228">
        <f>'AGG ASIA INCUMB'!D29+'AGG ASIA CELLULAR'!D29</f>
        <v>48573.538353371361</v>
      </c>
      <c r="E29" s="228">
        <f>'AGG ASIA INCUMB'!E29+'AGG ASIA CELLULAR'!E29</f>
        <v>56921.76042694263</v>
      </c>
      <c r="F29" s="228">
        <f>'AGG ASIA INCUMB'!F29+'AGG ASIA CELLULAR'!F29</f>
        <v>66879.746986797545</v>
      </c>
      <c r="G29" s="228">
        <f>'AGG ASIA INCUMB'!G29+'AGG ASIA CELLULAR'!G29</f>
        <v>75039.301181193892</v>
      </c>
      <c r="H29" s="279">
        <f t="shared" si="0"/>
        <v>0.15601378614828221</v>
      </c>
      <c r="I29" s="254"/>
      <c r="J29" s="249"/>
      <c r="K29" s="249"/>
      <c r="L29" s="249"/>
      <c r="M29" s="249"/>
      <c r="N29" s="249"/>
      <c r="O29" s="251"/>
      <c r="Q29" s="5"/>
      <c r="S29" s="42"/>
      <c r="T29" s="42"/>
      <c r="U29" s="42"/>
      <c r="V29" s="147" t="s">
        <v>588</v>
      </c>
      <c r="W29" s="288">
        <f t="shared" si="1"/>
        <v>1.0944657421524016</v>
      </c>
      <c r="X29" s="288">
        <v>1</v>
      </c>
      <c r="Y29" s="42"/>
      <c r="Z29" s="42"/>
      <c r="AA29" s="42"/>
    </row>
    <row r="30" spans="2:27">
      <c r="B30" s="5" t="s">
        <v>584</v>
      </c>
      <c r="C30" s="365">
        <f>'AGG ASIA INCUMB'!C30+'AGG ASIA CELLULAR'!C30</f>
        <v>49098.658265626276</v>
      </c>
      <c r="D30" s="228">
        <f>'AGG ASIA INCUMB'!D30+'AGG ASIA CELLULAR'!D30</f>
        <v>49115.68554194583</v>
      </c>
      <c r="E30" s="228">
        <f>'AGG ASIA INCUMB'!E30+'AGG ASIA CELLULAR'!E30</f>
        <v>56720.371425030869</v>
      </c>
      <c r="F30" s="228">
        <f>'AGG ASIA INCUMB'!F30+'AGG ASIA CELLULAR'!F30</f>
        <v>64644.955727504595</v>
      </c>
      <c r="G30" s="228">
        <f>'AGG ASIA INCUMB'!G30+'AGG ASIA CELLULAR'!G30</f>
        <v>71918.60791872612</v>
      </c>
      <c r="H30" s="279">
        <f t="shared" si="0"/>
        <v>0.13555198490748399</v>
      </c>
      <c r="I30" s="254"/>
      <c r="J30" s="248"/>
      <c r="K30" s="248"/>
      <c r="L30" s="248"/>
      <c r="M30" s="248"/>
      <c r="N30" s="248"/>
      <c r="O30" s="5"/>
      <c r="Q30" s="5"/>
      <c r="S30" s="42"/>
      <c r="T30" s="42"/>
      <c r="U30" s="42"/>
      <c r="V30" s="147" t="s">
        <v>470</v>
      </c>
      <c r="W30" s="288">
        <f t="shared" si="1"/>
        <v>0.92827646910872208</v>
      </c>
      <c r="X30" s="288">
        <v>1</v>
      </c>
      <c r="Y30" s="42"/>
      <c r="Z30" s="42"/>
      <c r="AA30" s="42"/>
    </row>
    <row r="31" spans="2:27">
      <c r="B31" s="5" t="s">
        <v>585</v>
      </c>
      <c r="C31" s="365">
        <f>'AGG ASIA INCUMB'!C31+'AGG ASIA CELLULAR'!C31</f>
        <v>33509.086115283746</v>
      </c>
      <c r="D31" s="228">
        <f>'AGG ASIA INCUMB'!D31+'AGG ASIA CELLULAR'!D31</f>
        <v>36457.806908972459</v>
      </c>
      <c r="E31" s="228">
        <f>'AGG ASIA INCUMB'!E31+'AGG ASIA CELLULAR'!E31</f>
        <v>40712.901162706577</v>
      </c>
      <c r="F31" s="228">
        <f>'AGG ASIA INCUMB'!F31+'AGG ASIA CELLULAR'!F31</f>
        <v>45230.875616749603</v>
      </c>
      <c r="G31" s="228">
        <f>'AGG ASIA INCUMB'!G31+'AGG ASIA CELLULAR'!G31</f>
        <v>51180.373759836788</v>
      </c>
      <c r="H31" s="279">
        <f t="shared" si="0"/>
        <v>0.11970677042281697</v>
      </c>
      <c r="I31" s="254"/>
      <c r="J31" s="252"/>
      <c r="K31" s="252"/>
      <c r="L31" s="252"/>
      <c r="M31" s="252"/>
      <c r="N31" s="252"/>
      <c r="O31" s="5"/>
      <c r="Q31" s="5"/>
      <c r="S31" s="42"/>
      <c r="T31" s="42"/>
      <c r="U31" s="42"/>
      <c r="V31" s="147" t="s">
        <v>528</v>
      </c>
      <c r="W31" s="288">
        <f t="shared" si="1"/>
        <v>0.99220680481253754</v>
      </c>
      <c r="X31" s="288">
        <v>1</v>
      </c>
      <c r="Y31" s="42"/>
      <c r="Z31" s="42"/>
      <c r="AA31" s="42"/>
    </row>
    <row r="32" spans="2:27">
      <c r="B32" s="5" t="s">
        <v>601</v>
      </c>
      <c r="C32" s="365" t="e">
        <f>'AGG ASIA INCUMB'!C32+'AGG ASIA CELLULAR'!C32</f>
        <v>#VALUE!</v>
      </c>
      <c r="D32" s="228" t="e">
        <f>'AGG ASIA INCUMB'!D32+'AGG ASIA CELLULAR'!D32</f>
        <v>#VALUE!</v>
      </c>
      <c r="E32" s="228" t="e">
        <f>'AGG ASIA INCUMB'!E32+'AGG ASIA CELLULAR'!E32</f>
        <v>#VALUE!</v>
      </c>
      <c r="F32" s="228" t="e">
        <f>'AGG ASIA INCUMB'!F32+'AGG ASIA CELLULAR'!F32</f>
        <v>#VALUE!</v>
      </c>
      <c r="G32" s="228" t="e">
        <f>'AGG ASIA INCUMB'!G32+'AGG ASIA CELLULAR'!G32</f>
        <v>#VALUE!</v>
      </c>
      <c r="H32" s="279" t="e">
        <f t="shared" si="0"/>
        <v>#VALUE!</v>
      </c>
      <c r="I32" s="5"/>
      <c r="J32" s="254"/>
      <c r="K32" s="254"/>
      <c r="L32" s="254"/>
      <c r="M32" s="254"/>
      <c r="N32" s="254"/>
      <c r="O32" s="251"/>
      <c r="Q32" s="5"/>
      <c r="S32" s="42"/>
      <c r="T32" s="42"/>
      <c r="U32" s="42"/>
      <c r="V32" s="147" t="s">
        <v>575</v>
      </c>
      <c r="W32" s="288">
        <f>M17/E45</f>
        <v>0.95982622312656374</v>
      </c>
      <c r="X32" s="288">
        <v>1</v>
      </c>
      <c r="Y32" s="42"/>
      <c r="Z32" s="42"/>
      <c r="AA32" s="42"/>
    </row>
    <row r="33" spans="2:42">
      <c r="B33" s="5" t="s">
        <v>5</v>
      </c>
      <c r="C33" s="365">
        <f>'AGG ASIA INCUMB'!C33+'AGG ASIA CELLULAR'!C33</f>
        <v>7836.2398070132504</v>
      </c>
      <c r="D33" s="228">
        <f>'AGG ASIA INCUMB'!D33+'AGG ASIA CELLULAR'!D33</f>
        <v>9031.079168622502</v>
      </c>
      <c r="E33" s="228">
        <f>'AGG ASIA INCUMB'!E33+'AGG ASIA CELLULAR'!E33</f>
        <v>9060.7732530328685</v>
      </c>
      <c r="F33" s="228">
        <f>'AGG ASIA INCUMB'!F33+'AGG ASIA CELLULAR'!F33</f>
        <v>8980.1978152252159</v>
      </c>
      <c r="G33" s="228">
        <f>'AGG ASIA INCUMB'!G33+'AGG ASIA CELLULAR'!G33</f>
        <v>9080.1782361353544</v>
      </c>
      <c r="H33" s="279">
        <f t="shared" si="0"/>
        <v>1.8089516499339986E-3</v>
      </c>
      <c r="I33" s="49"/>
      <c r="J33" s="254"/>
      <c r="K33" s="254"/>
      <c r="L33" s="254"/>
      <c r="M33" s="254"/>
      <c r="N33" s="254"/>
      <c r="O33" s="251"/>
      <c r="Q33" s="5"/>
      <c r="S33" s="42"/>
      <c r="T33" s="42"/>
      <c r="U33" s="42"/>
      <c r="V33" s="147" t="s">
        <v>576</v>
      </c>
      <c r="W33" s="288">
        <f>M19/E47</f>
        <v>0.92827646910872208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1.7392560784309079</v>
      </c>
      <c r="E37" s="553">
        <f t="shared" si="2"/>
        <v>1.645641062859408</v>
      </c>
      <c r="F37" s="553">
        <f t="shared" si="2"/>
        <v>1.4753902819831792</v>
      </c>
      <c r="G37" s="553">
        <f t="shared" si="2"/>
        <v>1.3146477291448819</v>
      </c>
      <c r="H37" s="17">
        <f t="shared" ref="H37:H45" si="3">H23</f>
        <v>4.1009689847133046E-2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5.753826910293756</v>
      </c>
      <c r="E38" s="553">
        <f t="shared" si="2"/>
        <v>5.4333948092876518</v>
      </c>
      <c r="F38" s="553">
        <f t="shared" si="2"/>
        <v>4.8003249234470307</v>
      </c>
      <c r="G38" s="553">
        <f t="shared" si="2"/>
        <v>4.2431368016065516</v>
      </c>
      <c r="H38" s="17">
        <f t="shared" si="3"/>
        <v>4.9606827282458354E-2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12.382909179272325</v>
      </c>
      <c r="E39" s="553">
        <f t="shared" si="2"/>
        <v>10.944312764075084</v>
      </c>
      <c r="F39" s="553">
        <f t="shared" si="2"/>
        <v>9.0842574079499983</v>
      </c>
      <c r="G39" s="553">
        <f t="shared" si="2"/>
        <v>7.7548590618963793</v>
      </c>
      <c r="H39" s="17">
        <f t="shared" si="3"/>
        <v>0.10837397549431804</v>
      </c>
      <c r="I39" s="5"/>
      <c r="J39" s="5"/>
      <c r="K39" s="5"/>
      <c r="L39" s="5"/>
      <c r="M39" s="5"/>
      <c r="N39" s="5"/>
      <c r="O39" s="5"/>
      <c r="Q39" s="5"/>
      <c r="R39" s="5"/>
      <c r="S39" s="42"/>
      <c r="T39" s="42"/>
      <c r="U39" s="42"/>
      <c r="V39" s="42"/>
      <c r="W39" s="288"/>
      <c r="X39" s="288"/>
      <c r="Y39" s="42"/>
      <c r="Z39" s="42"/>
      <c r="AA39" s="42"/>
    </row>
    <row r="40" spans="2:42">
      <c r="B40" s="5" t="s">
        <v>461</v>
      </c>
      <c r="C40" s="247"/>
      <c r="D40" s="553">
        <f t="shared" si="2"/>
        <v>16.307110667346684</v>
      </c>
      <c r="E40" s="553">
        <f t="shared" si="2"/>
        <v>14.525408582878459</v>
      </c>
      <c r="F40" s="553">
        <f t="shared" si="2"/>
        <v>12.093445085282967</v>
      </c>
      <c r="G40" s="553">
        <f t="shared" si="2"/>
        <v>10.336160342227858</v>
      </c>
      <c r="H40" s="17">
        <f t="shared" si="3"/>
        <v>0.10393284291310723</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1.346953649249623</v>
      </c>
      <c r="E41" s="553">
        <f t="shared" si="2"/>
        <v>1.3182972130051498</v>
      </c>
      <c r="F41" s="553">
        <f t="shared" si="2"/>
        <v>1.2355212957944595</v>
      </c>
      <c r="G41" s="553">
        <f t="shared" si="2"/>
        <v>1.1456348393165749</v>
      </c>
      <c r="H41" s="17">
        <f t="shared" si="3"/>
        <v>8.5740542540002629E-4</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2.2697556245658514</v>
      </c>
      <c r="E42" s="553">
        <f>E18/E28</f>
        <v>2.2161734424748434</v>
      </c>
      <c r="F42" s="553">
        <f>F18/F28</f>
        <v>2.084060981832728</v>
      </c>
      <c r="G42" s="553">
        <f>G18/G28</f>
        <v>1.9745436728106665</v>
      </c>
      <c r="H42" s="17">
        <f t="shared" si="3"/>
        <v>-6.6380676101596148E-3</v>
      </c>
      <c r="I42" s="247"/>
      <c r="J42" s="5"/>
      <c r="K42" s="5"/>
      <c r="L42" s="5"/>
      <c r="M42" s="5"/>
      <c r="N42" s="5"/>
      <c r="O42" s="5"/>
      <c r="Q42" s="5"/>
      <c r="R42" s="5"/>
      <c r="S42" s="42"/>
      <c r="T42" s="42"/>
      <c r="U42" s="42"/>
      <c r="V42" s="42"/>
      <c r="W42" s="288"/>
      <c r="X42" s="288"/>
      <c r="Y42" s="288"/>
      <c r="Z42" s="288"/>
      <c r="AA42" s="42"/>
    </row>
    <row r="43" spans="2:42">
      <c r="B43" s="5" t="s">
        <v>470</v>
      </c>
      <c r="C43" s="247"/>
      <c r="D43" s="553">
        <f>L26/D29</f>
        <v>17.539344109924951</v>
      </c>
      <c r="E43" s="553">
        <f>M26/E29</f>
        <v>14.974664444658854</v>
      </c>
      <c r="F43" s="553">
        <f>N26/F29</f>
        <v>12.633550582468949</v>
      </c>
      <c r="G43" s="553">
        <f>O26/G29</f>
        <v>11.15831950382889</v>
      </c>
      <c r="H43" s="17">
        <f t="shared" si="3"/>
        <v>0.15601378614828221</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17.856175471820396</v>
      </c>
      <c r="E44" s="553">
        <f>E11/E30</f>
        <v>15.447474394566742</v>
      </c>
      <c r="F44" s="553">
        <f>F11/F30</f>
        <v>13.493209459288536</v>
      </c>
      <c r="G44" s="553">
        <f>G11/G30</f>
        <v>12.078856957970853</v>
      </c>
      <c r="H44" s="17">
        <f t="shared" si="3"/>
        <v>0.13555198490748399</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4.1570178104148543E-2</v>
      </c>
      <c r="E45" s="248">
        <f>E31/E11</f>
        <v>4.6466022757273399E-2</v>
      </c>
      <c r="F45" s="248">
        <f>F31/F11</f>
        <v>5.1854337593676546E-2</v>
      </c>
      <c r="G45" s="248">
        <f>G31/G11</f>
        <v>5.8916419044893191E-2</v>
      </c>
      <c r="H45" s="17">
        <f t="shared" si="3"/>
        <v>0.11970677042281697</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5.7014674763928727E-2</v>
      </c>
      <c r="E47" s="248">
        <f>1/E43</f>
        <v>6.6779459646368153E-2</v>
      </c>
      <c r="F47" s="248">
        <f>1/F43</f>
        <v>7.9154311645980052E-2</v>
      </c>
      <c r="G47" s="248">
        <f>1/G43</f>
        <v>8.9619229818330426E-2</v>
      </c>
      <c r="H47" s="17">
        <f>H29</f>
        <v>0.15601378614828221</v>
      </c>
      <c r="I47" s="247"/>
      <c r="J47" s="248"/>
      <c r="K47" s="248"/>
      <c r="L47" s="248"/>
      <c r="M47" s="248"/>
      <c r="N47" s="248"/>
      <c r="O47" s="248"/>
      <c r="Q47" s="5"/>
      <c r="R47" s="5"/>
      <c r="S47" s="5"/>
      <c r="T47" s="5"/>
      <c r="U47" s="5"/>
      <c r="AA47" s="303"/>
      <c r="AB47" s="303"/>
    </row>
    <row r="48" spans="2:42">
      <c r="B48" s="5" t="s">
        <v>613</v>
      </c>
      <c r="C48" s="5"/>
      <c r="D48" s="305">
        <f>D31/D29</f>
        <v>0.7505693047054296</v>
      </c>
      <c r="E48" s="305">
        <f>E31/E29</f>
        <v>0.71524318393069308</v>
      </c>
      <c r="F48" s="305">
        <f>F31/F29</f>
        <v>0.67630153603419652</v>
      </c>
      <c r="G48" s="305">
        <f>G31/G29</f>
        <v>0.68204757979094088</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16">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856</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858</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553">
        <f>'AGG DM'!D37</f>
        <v>2.5038932049878952</v>
      </c>
      <c r="M9" s="553">
        <f>'AGG DM'!E37</f>
        <v>2.3751373534835727</v>
      </c>
      <c r="N9" s="553">
        <f>'AGG DM'!F37</f>
        <v>2.224221292978434</v>
      </c>
      <c r="O9" s="553">
        <f>'AGG DM'!G37</f>
        <v>2.0739026532457836</v>
      </c>
      <c r="P9" s="18">
        <f>'AGG DM'!H37</f>
        <v>2.0555376527773284E-2</v>
      </c>
    </row>
    <row r="10" spans="2:63">
      <c r="B10" s="5" t="s">
        <v>269</v>
      </c>
      <c r="C10" s="5"/>
      <c r="D10" s="332"/>
      <c r="E10" s="332"/>
      <c r="F10" s="332"/>
      <c r="G10" s="332"/>
      <c r="H10" s="247"/>
      <c r="I10" s="247"/>
      <c r="J10" s="5" t="s">
        <v>180</v>
      </c>
      <c r="L10" s="553">
        <f>'AGG DM'!D38</f>
        <v>7.500236481428364</v>
      </c>
      <c r="M10" s="553">
        <f>'AGG DM'!E38</f>
        <v>7.0633470857266838</v>
      </c>
      <c r="N10" s="553">
        <f>'AGG DM'!F38</f>
        <v>6.4875866017102481</v>
      </c>
      <c r="O10" s="553">
        <f>'AGG DM'!G38</f>
        <v>5.9712167743849367</v>
      </c>
      <c r="P10" s="18">
        <f>'AGG DM'!H38</f>
        <v>3.4105393529800354E-2</v>
      </c>
      <c r="W10" s="10"/>
      <c r="X10" s="10"/>
      <c r="Y10" s="10"/>
      <c r="Z10" s="10"/>
    </row>
    <row r="11" spans="2:63">
      <c r="B11" s="41" t="s">
        <v>518</v>
      </c>
      <c r="C11" s="5"/>
      <c r="D11" s="271">
        <f>'W.EUR INCUMB'!D11/Prices!$F$155 +'US TELCO'!D11+'DM ASIA INCUMB'!D11</f>
        <v>1082009.4272402844</v>
      </c>
      <c r="E11" s="271">
        <f>'W.EUR INCUMB'!E11/Prices!$F$155 +'US TELCO'!E11+'DM ASIA INCUMB'!E11</f>
        <v>1060965.7199398098</v>
      </c>
      <c r="F11" s="271">
        <f>'W.EUR INCUMB'!F11/Prices!$F$155 +'US TELCO'!F11+'DM ASIA INCUMB'!F11</f>
        <v>1036908.8171878671</v>
      </c>
      <c r="G11" s="271">
        <f>'W.EUR INCUMB'!G11/Prices!$F$155 +'US TELCO'!G11+'DM ASIA INCUMB'!G11</f>
        <v>1014544.6114999061</v>
      </c>
      <c r="H11" s="249"/>
      <c r="I11" s="249"/>
      <c r="J11" s="5" t="s">
        <v>181</v>
      </c>
      <c r="L11" s="553">
        <f>'AGG DM'!D39</f>
        <v>14.453886920086703</v>
      </c>
      <c r="M11" s="553">
        <f>'AGG DM'!E39</f>
        <v>12.632400476073508</v>
      </c>
      <c r="N11" s="553">
        <f>'AGG DM'!F39</f>
        <v>11.148641561230297</v>
      </c>
      <c r="O11" s="553">
        <f>'AGG DM'!G39</f>
        <v>9.8551520159775166</v>
      </c>
      <c r="P11" s="18">
        <f>'AGG DM'!H39</f>
        <v>8.8933115291126796E-2</v>
      </c>
      <c r="W11" s="10"/>
      <c r="X11" s="10"/>
      <c r="Y11" s="10"/>
      <c r="Z11" s="10"/>
    </row>
    <row r="12" spans="2:63">
      <c r="B12" s="5" t="s">
        <v>225</v>
      </c>
      <c r="C12" s="249"/>
      <c r="D12" s="228">
        <f>'W.EUR INCUMB'!D12/Prices!$F$155 +'US TELCO'!D12+'DM ASIA INCUMB'!D12</f>
        <v>622388.66164958314</v>
      </c>
      <c r="E12" s="228">
        <f>'W.EUR INCUMB'!E12/Prices!$F$155 +'US TELCO'!E12+'DM ASIA INCUMB'!E12</f>
        <v>616231.6189674827</v>
      </c>
      <c r="F12" s="228">
        <f>'W.EUR INCUMB'!F12/Prices!$F$155 +'US TELCO'!F12+'DM ASIA INCUMB'!F12</f>
        <v>605088.82063737814</v>
      </c>
      <c r="G12" s="228">
        <f>'W.EUR INCUMB'!G12/Prices!$F$155 +'US TELCO'!G12+'DM ASIA INCUMB'!G12</f>
        <v>595775.3700148646</v>
      </c>
      <c r="H12" s="247"/>
      <c r="I12" s="247"/>
      <c r="J12" s="5" t="s">
        <v>461</v>
      </c>
      <c r="L12" s="553">
        <f>'AGG DM'!D40</f>
        <v>20.489606542550682</v>
      </c>
      <c r="M12" s="553">
        <f>'AGG DM'!E40</f>
        <v>17.970115833093388</v>
      </c>
      <c r="N12" s="553">
        <f>'AGG DM'!F40</f>
        <v>15.895235275753445</v>
      </c>
      <c r="O12" s="553">
        <f>'AGG DM'!G40</f>
        <v>13.994564037458879</v>
      </c>
      <c r="P12" s="18">
        <f>'AGG DM'!H40</f>
        <v>8.8308894519717684E-2</v>
      </c>
      <c r="W12" s="10"/>
      <c r="X12" s="10"/>
      <c r="Y12" s="10"/>
      <c r="Z12" s="10"/>
    </row>
    <row r="13" spans="2:63">
      <c r="B13" s="5" t="s">
        <v>524</v>
      </c>
      <c r="C13" s="257"/>
      <c r="D13" s="228">
        <f>'W.EUR INCUMB'!D13/Prices!$F$155 +'US TELCO'!D13+'DM ASIA INCUMB'!D13</f>
        <v>78055.897201186468</v>
      </c>
      <c r="E13" s="228">
        <f>'W.EUR INCUMB'!E13/Prices!$F$155 +'US TELCO'!E13+'DM ASIA INCUMB'!E13</f>
        <v>76379.055362875704</v>
      </c>
      <c r="F13" s="228">
        <f>'W.EUR INCUMB'!F13/Prices!$F$155 +'US TELCO'!F13+'DM ASIA INCUMB'!F13</f>
        <v>74474.346110384242</v>
      </c>
      <c r="G13" s="228">
        <f>'W.EUR INCUMB'!G13/Prices!$F$155 +'US TELCO'!G13+'DM ASIA INCUMB'!G13</f>
        <v>72726.974651690296</v>
      </c>
      <c r="H13" s="247"/>
      <c r="I13" s="247"/>
      <c r="J13" s="5" t="s">
        <v>525</v>
      </c>
      <c r="L13" s="553">
        <f>'AGG DM'!D41</f>
        <v>1.4470918356278057</v>
      </c>
      <c r="M13" s="553">
        <f>'AGG DM'!E41</f>
        <v>1.522056669150271</v>
      </c>
      <c r="N13" s="553">
        <f>'AGG DM'!F41</f>
        <v>1.4505018131011718</v>
      </c>
      <c r="O13" s="553">
        <f>'AGG DM'!G41</f>
        <v>1.3783663643110371</v>
      </c>
      <c r="P13" s="18">
        <f>'AGG DM'!H41</f>
        <v>-2.5897691811048396E-2</v>
      </c>
    </row>
    <row r="14" spans="2:63">
      <c r="B14" s="5" t="s">
        <v>527</v>
      </c>
      <c r="C14" s="274"/>
      <c r="D14" s="228">
        <f>'W.EUR INCUMB'!D14/Prices!$F$155 +'US TELCO'!D14+'DM ASIA INCUMB'!D14</f>
        <v>41478.410822903686</v>
      </c>
      <c r="E14" s="228">
        <f>'W.EUR INCUMB'!E14/Prices!$F$155 +'US TELCO'!E14+'DM ASIA INCUMB'!E14</f>
        <v>41580.81592170948</v>
      </c>
      <c r="F14" s="228">
        <f>'W.EUR INCUMB'!F14/Prices!$F$155 +'US TELCO'!F14+'DM ASIA INCUMB'!F14</f>
        <v>41688.341275455568</v>
      </c>
      <c r="G14" s="228">
        <f>'W.EUR INCUMB'!G14/Prices!$F$155 +'US TELCO'!G14+'DM ASIA INCUMB'!G14</f>
        <v>41801.242896888958</v>
      </c>
      <c r="H14" s="247"/>
      <c r="I14" s="247"/>
      <c r="J14" s="5" t="s">
        <v>588</v>
      </c>
      <c r="L14" s="553">
        <f>'AGG DM'!D42</f>
        <v>3.5695190289450349</v>
      </c>
      <c r="M14" s="553">
        <f>'AGG DM'!E42</f>
        <v>3.5134357287577695</v>
      </c>
      <c r="N14" s="553">
        <f>'AGG DM'!F42</f>
        <v>3.3883975097562629</v>
      </c>
      <c r="O14" s="553">
        <f>'AGG DM'!G42</f>
        <v>3.2746189474746648</v>
      </c>
      <c r="P14" s="18">
        <f>'AGG DM'!H42</f>
        <v>-1.3621174796897284E-2</v>
      </c>
    </row>
    <row r="15" spans="2:63">
      <c r="B15" s="5" t="s">
        <v>526</v>
      </c>
      <c r="C15" s="257"/>
      <c r="D15" s="228">
        <f>'W.EUR INCUMB'!D15/Prices!$F$155 +'US TELCO'!D15+'DM ASIA INCUMB'!D15</f>
        <v>169312.46498536092</v>
      </c>
      <c r="E15" s="228">
        <f>'W.EUR INCUMB'!E15/Prices!$F$155 +'US TELCO'!E15+'DM ASIA INCUMB'!E15</f>
        <v>165907.99408963197</v>
      </c>
      <c r="F15" s="228">
        <f>'W.EUR INCUMB'!F15/Prices!$F$155 +'US TELCO'!F15+'DM ASIA INCUMB'!F15</f>
        <v>163412.04366342435</v>
      </c>
      <c r="G15" s="228">
        <f>'W.EUR INCUMB'!G15/Prices!$F$155 +'US TELCO'!G15+'DM ASIA INCUMB'!G15</f>
        <v>160532.23259955595</v>
      </c>
      <c r="H15" s="247"/>
      <c r="I15" s="247"/>
      <c r="J15" s="5" t="s">
        <v>470</v>
      </c>
      <c r="L15" s="553">
        <f>'AGG DM'!D43</f>
        <v>13.472849274436808</v>
      </c>
      <c r="M15" s="553">
        <f>'AGG DM'!E43</f>
        <v>12.67598371603005</v>
      </c>
      <c r="N15" s="553">
        <f>'AGG DM'!F43</f>
        <v>11.33507564594939</v>
      </c>
      <c r="O15" s="553">
        <f>'AGG DM'!G43</f>
        <v>10.145214955002531</v>
      </c>
      <c r="P15" s="18">
        <f>'AGG DM'!H43</f>
        <v>6.900159277298723E-2</v>
      </c>
      <c r="S15" s="88"/>
      <c r="T15" s="88"/>
      <c r="U15" s="88"/>
      <c r="V15" s="42"/>
      <c r="W15" s="42"/>
      <c r="X15" s="42"/>
      <c r="Y15" s="42"/>
      <c r="Z15" s="42"/>
      <c r="AA15" s="42"/>
    </row>
    <row r="16" spans="2:63">
      <c r="B16" s="5" t="s">
        <v>529</v>
      </c>
      <c r="C16" s="257"/>
      <c r="D16" s="228">
        <f>'W.EUR INCUMB'!D16/Prices!$F$155 +'US TELCO'!D16+'DM ASIA INCUMB'!D16</f>
        <v>27007.760860686863</v>
      </c>
      <c r="E16" s="228">
        <f>'W.EUR INCUMB'!E16/Prices!$F$155 +'US TELCO'!E16+'DM ASIA INCUMB'!E16</f>
        <v>60448.540177728413</v>
      </c>
      <c r="F16" s="228">
        <f>'W.EUR INCUMB'!F16/Prices!$F$155 +'US TELCO'!F16+'DM ASIA INCUMB'!F16</f>
        <v>106286.872945638</v>
      </c>
      <c r="G16" s="228">
        <f>'W.EUR INCUMB'!G16/Prices!$F$155 +'US TELCO'!G16+'DM ASIA INCUMB'!G16</f>
        <v>154182.75769372276</v>
      </c>
      <c r="H16" s="247"/>
      <c r="I16" s="247"/>
      <c r="J16" s="5" t="s">
        <v>528</v>
      </c>
      <c r="L16" s="553">
        <f>'AGG DM'!D44</f>
        <v>15.638044643718967</v>
      </c>
      <c r="M16" s="553">
        <f>'AGG DM'!E44</f>
        <v>14.220962153693332</v>
      </c>
      <c r="N16" s="553">
        <f>'AGG DM'!F44</f>
        <v>12.502249176356969</v>
      </c>
      <c r="O16" s="553">
        <f>'AGG DM'!G44</f>
        <v>11.233113481631298</v>
      </c>
      <c r="P16" s="18">
        <f>'AGG DM'!H44</f>
        <v>8.8584802895584236E-2</v>
      </c>
      <c r="S16" s="88"/>
      <c r="T16" s="88"/>
      <c r="U16" s="88"/>
      <c r="V16" s="42"/>
      <c r="W16" s="42"/>
      <c r="X16" s="42"/>
      <c r="Y16" s="42"/>
      <c r="Z16" s="42"/>
      <c r="AA16" s="42"/>
    </row>
    <row r="17" spans="2:27">
      <c r="B17" s="5" t="s">
        <v>6</v>
      </c>
      <c r="C17" s="257"/>
      <c r="D17" s="228">
        <f>'W.EUR INCUMB'!D17/Prices!$F$155 +'US TELCO'!D17+'DM ASIA INCUMB'!D17</f>
        <v>5490.4265193877554</v>
      </c>
      <c r="E17" s="228">
        <f>'W.EUR INCUMB'!E17/Prices!$F$155 +'US TELCO'!E17+'DM ASIA INCUMB'!E17</f>
        <v>5411.8863124731715</v>
      </c>
      <c r="F17" s="228">
        <f>'W.EUR INCUMB'!F17/Prices!$F$155 +'US TELCO'!F17+'DM ASIA INCUMB'!F17</f>
        <v>5315.667262170612</v>
      </c>
      <c r="G17" s="228">
        <f>'W.EUR INCUMB'!G17/Prices!$F$155 +'US TELCO'!G17+'DM ASIA INCUMB'!G17</f>
        <v>5245.8625900897568</v>
      </c>
      <c r="H17" s="247"/>
      <c r="I17" s="247"/>
      <c r="J17" s="5" t="s">
        <v>575</v>
      </c>
      <c r="L17" s="248">
        <f>'AGG DM'!D45</f>
        <v>3.4882136259379262E-2</v>
      </c>
      <c r="M17" s="248">
        <f>'AGG DM'!E45</f>
        <v>3.9102516199963799E-2</v>
      </c>
      <c r="N17" s="248">
        <f>'AGG DM'!F45</f>
        <v>4.1707724632137386E-2</v>
      </c>
      <c r="O17" s="248">
        <f>'AGG DM'!G45</f>
        <v>4.4771308784022613E-2</v>
      </c>
      <c r="P17" s="18">
        <f>'AGG DM'!H45</f>
        <v>5.9498643383417704E-2</v>
      </c>
      <c r="S17" s="88"/>
      <c r="T17" s="88"/>
      <c r="U17" s="88"/>
      <c r="V17" s="42"/>
      <c r="W17" s="42"/>
      <c r="X17" s="42"/>
      <c r="Y17" s="42"/>
      <c r="Z17" s="42"/>
      <c r="AA17" s="42"/>
    </row>
    <row r="18" spans="2:27" ht="12.6" thickBot="1">
      <c r="B18" s="41" t="s">
        <v>88</v>
      </c>
      <c r="C18" s="249"/>
      <c r="D18" s="275">
        <f>'W.EUR INCUMB'!D18/Prices!$F$155 +'US TELCO'!D18+'DM ASIA INCUMB'!D18</f>
        <v>1877789.8528734366</v>
      </c>
      <c r="E18" s="275">
        <f>'W.EUR INCUMB'!E18/Prices!$F$155 +'US TELCO'!E18+'DM ASIA INCUMB'!E18</f>
        <v>1812043.1459478894</v>
      </c>
      <c r="F18" s="275">
        <f>'W.EUR INCUMB'!F18/Prices!$F$155 +'US TELCO'!F18+'DM ASIA INCUMB'!F18</f>
        <v>1726593.1461157897</v>
      </c>
      <c r="G18" s="275">
        <f>'W.EUR INCUMB'!G18/Prices!$F$155 +'US TELCO'!G18+'DM ASIA INCUMB'!G18</f>
        <v>1642349.3255853152</v>
      </c>
      <c r="H18" s="276">
        <f>IF(D18=0,"nm",IF(G18=0,"nm",(G18/D18)^(1/3)-1))</f>
        <v>-4.3673516451210426E-2</v>
      </c>
      <c r="I18" s="254"/>
      <c r="J18" s="5" t="s">
        <v>36</v>
      </c>
      <c r="L18" s="248">
        <f>'AGG DM'!D46</f>
        <v>4.9537113673955142E-2</v>
      </c>
      <c r="M18" s="248">
        <f>'AGG DM'!E46</f>
        <v>6.8248269218785032E-2</v>
      </c>
      <c r="N18" s="248">
        <f>'AGG DM'!F46</f>
        <v>7.1823615864644294E-2</v>
      </c>
      <c r="O18" s="248">
        <f>'AGG DM'!G46</f>
        <v>8.2018272205497789E-2</v>
      </c>
      <c r="P18" s="18">
        <f>'AGG DM'!H46</f>
        <v>0.1533509355908349</v>
      </c>
      <c r="S18" s="88"/>
      <c r="T18" s="88"/>
      <c r="U18" s="88"/>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8">
        <f>'AGG DM'!H47</f>
        <v>6.900159277298723E-2</v>
      </c>
      <c r="S19" s="88"/>
      <c r="T19" s="88"/>
      <c r="U19" s="88"/>
      <c r="V19" s="42"/>
      <c r="W19" s="42"/>
      <c r="X19" s="42"/>
      <c r="Y19" s="42"/>
      <c r="Z19" s="42"/>
      <c r="AA19" s="42"/>
    </row>
    <row r="20" spans="2:27">
      <c r="H20" s="277"/>
      <c r="I20" s="49"/>
      <c r="J20" s="5" t="s">
        <v>599</v>
      </c>
      <c r="L20" s="305">
        <f>'AGG DM'!D48</f>
        <v>0.47186757365831361</v>
      </c>
      <c r="M20" s="305">
        <f>'AGG DM'!E48</f>
        <v>0.49732621098063601</v>
      </c>
      <c r="N20" s="305">
        <f>'AGG DM'!F48</f>
        <v>0.47548344156280636</v>
      </c>
      <c r="O20" s="305">
        <f>'AGG DM'!G48</f>
        <v>0.45939502956863965</v>
      </c>
      <c r="P20" s="18" t="str">
        <f>'AGG DM'!H48</f>
        <v>nm</v>
      </c>
      <c r="S20" s="42"/>
      <c r="T20" s="42"/>
      <c r="U20" s="42"/>
      <c r="V20" s="42"/>
      <c r="W20" s="42"/>
      <c r="X20" s="42"/>
      <c r="Y20" s="42"/>
      <c r="Z20" s="42"/>
      <c r="AA20" s="42"/>
    </row>
    <row r="21" spans="2:27" ht="12.6" thickBot="1">
      <c r="B21" s="306" t="s">
        <v>303</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'W.EUR INCUMB'!C23/Prices!$F$155 +'US TELCO'!C23+'DM ASIA INCUMB'!C23</f>
        <v>775239.439368558</v>
      </c>
      <c r="D23" s="228">
        <f>'W.EUR INCUMB'!D23/Prices!$F$155 +'US TELCO'!D23+'DM ASIA INCUMB'!D23</f>
        <v>774749.22472172568</v>
      </c>
      <c r="E23" s="228">
        <f>'W.EUR INCUMB'!E23/Prices!$F$155 +'US TELCO'!E23+'DM ASIA INCUMB'!E23</f>
        <v>790366.32418874581</v>
      </c>
      <c r="F23" s="228">
        <f>'W.EUR INCUMB'!F23/Prices!$F$155 +'US TELCO'!F23+'DM ASIA INCUMB'!F23</f>
        <v>805670.07114655024</v>
      </c>
      <c r="G23" s="228">
        <f>'W.EUR INCUMB'!G23/Prices!$F$155 +'US TELCO'!G23+'DM ASIA INCUMB'!G23</f>
        <v>821720.72957016644</v>
      </c>
      <c r="H23" s="279">
        <f>IF(D23=0,"nm",IF(G23=0,"nm",(G23/D23)^(1/3)-1))</f>
        <v>1.9814143833132514E-2</v>
      </c>
      <c r="I23" s="249"/>
      <c r="J23" s="306" t="s">
        <v>9</v>
      </c>
      <c r="K23" s="306"/>
      <c r="L23" s="265" t="str">
        <f>L5</f>
        <v>2023E</v>
      </c>
      <c r="M23" s="265" t="str">
        <f>M5</f>
        <v>2024E</v>
      </c>
      <c r="N23" s="265" t="str">
        <f>N5</f>
        <v>2025E</v>
      </c>
      <c r="O23" s="265" t="str">
        <f>O5</f>
        <v>2026E</v>
      </c>
      <c r="P23" s="282" t="str">
        <f>P5</f>
        <v>23E-26E</v>
      </c>
      <c r="S23" s="42"/>
      <c r="T23" s="42"/>
      <c r="U23" s="42"/>
      <c r="V23" s="42"/>
      <c r="W23" s="42" t="s">
        <v>603</v>
      </c>
      <c r="X23" s="42" t="s">
        <v>859</v>
      </c>
      <c r="Y23" s="42"/>
      <c r="Z23" s="42"/>
      <c r="AA23" s="42"/>
    </row>
    <row r="24" spans="2:27" ht="12.6" thickTop="1">
      <c r="B24" s="5" t="s">
        <v>478</v>
      </c>
      <c r="C24" s="365">
        <f>'W.EUR INCUMB'!C24/Prices!$F$155 +'US TELCO'!C24+'DM ASIA INCUMB'!C24</f>
        <v>250819.87692358019</v>
      </c>
      <c r="D24" s="228">
        <f>'W.EUR INCUMB'!D24/Prices!$F$155 +'US TELCO'!D24+'DM ASIA INCUMB'!D24</f>
        <v>258284.858024024</v>
      </c>
      <c r="E24" s="228">
        <f>'W.EUR INCUMB'!E24/Prices!$F$155 +'US TELCO'!E24+'DM ASIA INCUMB'!E24</f>
        <v>265018.47500379436</v>
      </c>
      <c r="F24" s="228">
        <f>'W.EUR INCUMB'!F24/Prices!$F$155 +'US TELCO'!F24+'DM ASIA INCUMB'!F24</f>
        <v>275866.17684942926</v>
      </c>
      <c r="G24" s="228">
        <f>'W.EUR INCUMB'!G24/Prices!$F$155 +'US TELCO'!G24+'DM ASIA INCUMB'!G24</f>
        <v>284053.74153180706</v>
      </c>
      <c r="H24" s="279">
        <f t="shared" ref="H24:H33" si="0">IF(D24=0,"nm",IF(G24=0,"nm",(G24/D24)^(1/3)-1))</f>
        <v>3.2207925292584427E-2</v>
      </c>
      <c r="I24" s="248"/>
      <c r="J24" s="17"/>
      <c r="K24" s="17"/>
      <c r="L24" s="17"/>
      <c r="M24" s="17"/>
      <c r="N24" s="17"/>
      <c r="O24" s="248"/>
      <c r="S24" s="42"/>
      <c r="T24" s="42"/>
      <c r="U24" s="42"/>
      <c r="V24" s="147" t="s">
        <v>268</v>
      </c>
      <c r="W24" s="364">
        <f t="shared" ref="W24:W31" si="1">E37/M9</f>
        <v>0.96527570788150507</v>
      </c>
      <c r="X24" s="288">
        <v>1</v>
      </c>
      <c r="Y24" s="42"/>
      <c r="Z24" s="42"/>
      <c r="AA24" s="42"/>
    </row>
    <row r="25" spans="2:27">
      <c r="B25" s="5" t="s">
        <v>179</v>
      </c>
      <c r="C25" s="365">
        <f>'W.EUR INCUMB'!C25/Prices!$F$155 +'US TELCO'!C25+'DM ASIA INCUMB'!C25</f>
        <v>111391.13964972465</v>
      </c>
      <c r="D25" s="228">
        <f>'W.EUR INCUMB'!D25/Prices!$F$155 +'US TELCO'!D25+'DM ASIA INCUMB'!D25</f>
        <v>134316.87149210909</v>
      </c>
      <c r="E25" s="228">
        <f>'W.EUR INCUMB'!E25/Prices!$F$155 +'US TELCO'!E25+'DM ASIA INCUMB'!E25</f>
        <v>147722.31999484752</v>
      </c>
      <c r="F25" s="228">
        <f>'W.EUR INCUMB'!F25/Prices!$F$155 +'US TELCO'!F25+'DM ASIA INCUMB'!F25</f>
        <v>159820.97234970884</v>
      </c>
      <c r="G25" s="228">
        <f>'W.EUR INCUMB'!G25/Prices!$F$155 +'US TELCO'!G25+'DM ASIA INCUMB'!G25</f>
        <v>169035.46092181385</v>
      </c>
      <c r="H25" s="279">
        <f t="shared" si="0"/>
        <v>7.9648580689546611E-2</v>
      </c>
      <c r="I25" s="249"/>
      <c r="J25" s="247" t="s">
        <v>10</v>
      </c>
      <c r="K25" s="247"/>
      <c r="L25" s="332">
        <f>'W.EUR INCUMB'!L25/Prices!$F$155 +'US TELCO'!L25+'DM ASIA INCUMB'!L25</f>
        <v>80767.712581124375</v>
      </c>
      <c r="M25" s="332">
        <f>'W.EUR INCUMB'!M25/Prices!$F$155 +'US TELCO'!M25+'DM ASIA INCUMB'!M25</f>
        <v>82236.452748110562</v>
      </c>
      <c r="N25" s="332">
        <f>'W.EUR INCUMB'!N25/Prices!$F$155 +'US TELCO'!N25+'DM ASIA INCUMB'!N25</f>
        <v>78627.29119337209</v>
      </c>
      <c r="O25" s="332">
        <f>'W.EUR INCUMB'!O25/Prices!$F$155 +'US TELCO'!O25+'DM ASIA INCUMB'!O25</f>
        <v>71444.568210527214</v>
      </c>
      <c r="P25" s="279">
        <f>IF(L25=0,"nm",IF(O25=0,"nm",(O25/L25)^(1/3)-1))</f>
        <v>-4.0060614437636977E-2</v>
      </c>
      <c r="Q25" s="5"/>
      <c r="S25" s="42"/>
      <c r="T25" s="42"/>
      <c r="U25" s="42"/>
      <c r="V25" s="147" t="s">
        <v>180</v>
      </c>
      <c r="W25" s="364">
        <f t="shared" si="1"/>
        <v>0.96801444081008603</v>
      </c>
      <c r="X25" s="288">
        <v>1</v>
      </c>
      <c r="Y25" s="42"/>
      <c r="Z25" s="42"/>
      <c r="AA25" s="42"/>
    </row>
    <row r="26" spans="2:27">
      <c r="B26" s="5" t="s">
        <v>581</v>
      </c>
      <c r="C26" s="365">
        <f>'W.EUR INCUMB'!C26/Prices!$F$155 +'US TELCO'!C26+'DM ASIA INCUMB'!C26</f>
        <v>75604.506240634626</v>
      </c>
      <c r="D26" s="228">
        <f>'W.EUR INCUMB'!D26/Prices!$F$155 +'US TELCO'!D26+'DM ASIA INCUMB'!D26</f>
        <v>95670.637951116238</v>
      </c>
      <c r="E26" s="228">
        <f>'W.EUR INCUMB'!E26/Prices!$F$155 +'US TELCO'!E26+'DM ASIA INCUMB'!E26</f>
        <v>102998.7290100503</v>
      </c>
      <c r="F26" s="228">
        <f>'W.EUR INCUMB'!F26/Prices!$F$155 +'US TELCO'!F26+'DM ASIA INCUMB'!F26</f>
        <v>111476.39684777547</v>
      </c>
      <c r="G26" s="228">
        <f>'W.EUR INCUMB'!G26/Prices!$F$155 +'US TELCO'!G26+'DM ASIA INCUMB'!G26</f>
        <v>118627.53729389403</v>
      </c>
      <c r="H26" s="279">
        <f t="shared" si="0"/>
        <v>7.4324833775951449E-2</v>
      </c>
      <c r="I26" s="249"/>
      <c r="J26" s="249" t="s">
        <v>11</v>
      </c>
      <c r="K26" s="249"/>
      <c r="L26" s="281">
        <f>'W.EUR INCUMB'!L26/Prices!$F$155 +'US TELCO'!L26+'DM ASIA INCUMB'!L26</f>
        <v>1162777.1398214088</v>
      </c>
      <c r="M26" s="281">
        <f>'W.EUR INCUMB'!M26/Prices!$F$155 +'US TELCO'!M26+'DM ASIA INCUMB'!M26</f>
        <v>1143202.1726879203</v>
      </c>
      <c r="N26" s="281">
        <f>'W.EUR INCUMB'!N26/Prices!$F$155 +'US TELCO'!N26+'DM ASIA INCUMB'!N26</f>
        <v>1115536.1083812392</v>
      </c>
      <c r="O26" s="281">
        <f>'W.EUR INCUMB'!O26/Prices!$F$155 +'US TELCO'!O26+'DM ASIA INCUMB'!O26</f>
        <v>1085989.1797104334</v>
      </c>
      <c r="P26" s="279">
        <f>IF(L26=0,"nm",IF(O26=0,"nm",(O26/L26)^(1/3)-1))</f>
        <v>-2.2515969129772828E-2</v>
      </c>
      <c r="Q26" s="41"/>
      <c r="S26" s="42"/>
      <c r="T26" s="42"/>
      <c r="U26" s="42"/>
      <c r="V26" s="147" t="s">
        <v>181</v>
      </c>
      <c r="W26" s="364">
        <f t="shared" si="1"/>
        <v>0.97103867888056838</v>
      </c>
      <c r="X26" s="288">
        <v>1</v>
      </c>
      <c r="Y26" s="42"/>
      <c r="Z26" s="42"/>
      <c r="AA26" s="42"/>
    </row>
    <row r="27" spans="2:27">
      <c r="B27" s="5" t="s">
        <v>582</v>
      </c>
      <c r="C27" s="365">
        <f>'W.EUR INCUMB'!C27/Prices!$F$155 +'US TELCO'!C27+'DM ASIA INCUMB'!C27</f>
        <v>1044973.0906857661</v>
      </c>
      <c r="D27" s="228">
        <f>'W.EUR INCUMB'!D27/Prices!$F$155 +'US TELCO'!D27+'DM ASIA INCUMB'!D27</f>
        <v>1304876.5832844628</v>
      </c>
      <c r="E27" s="228">
        <f>'W.EUR INCUMB'!E27/Prices!$F$155 +'US TELCO'!E27+'DM ASIA INCUMB'!E27</f>
        <v>1160892.093179733</v>
      </c>
      <c r="F27" s="228">
        <f>'W.EUR INCUMB'!F27/Prices!$F$155 +'US TELCO'!F27+'DM ASIA INCUMB'!F27</f>
        <v>1177291.0292482779</v>
      </c>
      <c r="G27" s="228">
        <f>'W.EUR INCUMB'!G27/Prices!$F$155 +'US TELCO'!G27+'DM ASIA INCUMB'!G27</f>
        <v>1197430.0026154446</v>
      </c>
      <c r="H27" s="279">
        <f t="shared" si="0"/>
        <v>-2.8237283173074057E-2</v>
      </c>
      <c r="I27" s="248"/>
      <c r="J27" s="248"/>
      <c r="K27" s="248"/>
      <c r="L27" s="248"/>
      <c r="M27" s="248"/>
      <c r="N27" s="248"/>
      <c r="O27" s="248"/>
      <c r="Q27" s="5"/>
      <c r="S27" s="42"/>
      <c r="T27" s="42"/>
      <c r="U27" s="42"/>
      <c r="V27" s="147" t="s">
        <v>461</v>
      </c>
      <c r="W27" s="364">
        <f t="shared" si="1"/>
        <v>0.97900698897436622</v>
      </c>
      <c r="X27" s="288">
        <v>1</v>
      </c>
      <c r="Y27" s="42"/>
      <c r="Z27" s="42"/>
      <c r="AA27" s="42"/>
    </row>
    <row r="28" spans="2:27" ht="12.6" thickBot="1">
      <c r="B28" s="5" t="s">
        <v>587</v>
      </c>
      <c r="C28" s="365">
        <f>'W.EUR INCUMB'!C28/Prices!$F$155 +'US TELCO'!C28+'DM ASIA INCUMB'!C28</f>
        <v>485259.6560578763</v>
      </c>
      <c r="D28" s="228">
        <f>'W.EUR INCUMB'!D28/Prices!$F$155 +'US TELCO'!D28+'DM ASIA INCUMB'!D28</f>
        <v>581936.87952598126</v>
      </c>
      <c r="E28" s="228">
        <f>'W.EUR INCUMB'!E28/Prices!$F$155 +'US TELCO'!E28+'DM ASIA INCUMB'!E28</f>
        <v>566552.59195320599</v>
      </c>
      <c r="F28" s="228">
        <f>'W.EUR INCUMB'!F28/Prices!$F$155 +'US TELCO'!F28+'DM ASIA INCUMB'!F28</f>
        <v>561824.40859448246</v>
      </c>
      <c r="G28" s="228">
        <f>'W.EUR INCUMB'!G28/Prices!$F$155 +'US TELCO'!G28+'DM ASIA INCUMB'!G28</f>
        <v>557854.24199892511</v>
      </c>
      <c r="H28" s="279">
        <f t="shared" si="0"/>
        <v>-1.3989318632274483E-2</v>
      </c>
      <c r="I28" s="252"/>
      <c r="J28" s="306" t="s">
        <v>851</v>
      </c>
      <c r="K28" s="306"/>
      <c r="L28" s="306"/>
      <c r="M28" s="306"/>
      <c r="N28" s="266"/>
      <c r="O28" s="266"/>
      <c r="P28" s="266"/>
      <c r="Q28" s="5"/>
      <c r="S28" s="42"/>
      <c r="T28" s="42"/>
      <c r="U28" s="42"/>
      <c r="V28" s="147" t="s">
        <v>525</v>
      </c>
      <c r="W28" s="364">
        <f t="shared" si="1"/>
        <v>1.0255240713795311</v>
      </c>
      <c r="X28" s="288">
        <v>1</v>
      </c>
      <c r="Y28" s="42"/>
      <c r="Z28" s="42"/>
      <c r="AA28" s="42"/>
    </row>
    <row r="29" spans="2:27" ht="12.6" thickTop="1">
      <c r="B29" s="5" t="s">
        <v>583</v>
      </c>
      <c r="C29" s="365">
        <f>'W.EUR INCUMB'!C29/Prices!$F$155 +'US TELCO'!C29+'DM ASIA INCUMB'!C29</f>
        <v>70068.734328089282</v>
      </c>
      <c r="D29" s="228">
        <f>'W.EUR INCUMB'!D29/Prices!$F$155 +'US TELCO'!D29+'DM ASIA INCUMB'!D29</f>
        <v>75248.646473323548</v>
      </c>
      <c r="E29" s="228">
        <f>'W.EUR INCUMB'!E29/Prices!$F$155 +'US TELCO'!E29+'DM ASIA INCUMB'!E29</f>
        <v>71216.31931073853</v>
      </c>
      <c r="F29" s="228">
        <f>'W.EUR INCUMB'!F29/Prices!$F$155 +'US TELCO'!F29+'DM ASIA INCUMB'!F29</f>
        <v>78006.002583335401</v>
      </c>
      <c r="G29" s="228">
        <f>'W.EUR INCUMB'!G29/Prices!$F$155 +'US TELCO'!G29+'DM ASIA INCUMB'!G29</f>
        <v>83696.328149347406</v>
      </c>
      <c r="H29" s="279">
        <f t="shared" si="0"/>
        <v>3.6102140626693702E-2</v>
      </c>
      <c r="I29" s="254"/>
      <c r="J29" s="249"/>
      <c r="K29" s="249"/>
      <c r="L29" s="249"/>
      <c r="M29" s="249"/>
      <c r="N29" s="249"/>
      <c r="O29" s="251"/>
      <c r="Q29" s="5"/>
      <c r="S29" s="42"/>
      <c r="T29" s="42"/>
      <c r="U29" s="42"/>
      <c r="V29" s="147" t="s">
        <v>588</v>
      </c>
      <c r="W29" s="364">
        <f t="shared" si="1"/>
        <v>0.91032462340061304</v>
      </c>
      <c r="X29" s="288">
        <v>1</v>
      </c>
      <c r="Y29" s="42"/>
      <c r="Z29" s="42"/>
      <c r="AA29" s="42"/>
    </row>
    <row r="30" spans="2:27">
      <c r="B30" s="5" t="s">
        <v>584</v>
      </c>
      <c r="C30" s="365">
        <f>'W.EUR INCUMB'!C30/Prices!$F$155 +'US TELCO'!C30+'DM ASIA INCUMB'!C30</f>
        <v>79539.349108282593</v>
      </c>
      <c r="D30" s="228">
        <f>'W.EUR INCUMB'!D30/Prices!$F$155 +'US TELCO'!D30+'DM ASIA INCUMB'!D30</f>
        <v>77897.473356157803</v>
      </c>
      <c r="E30" s="228">
        <f>'W.EUR INCUMB'!E30/Prices!$F$155 +'US TELCO'!E30+'DM ASIA INCUMB'!E30</f>
        <v>80671.905211164529</v>
      </c>
      <c r="F30" s="228">
        <f>'W.EUR INCUMB'!F30/Prices!$F$155 +'US TELCO'!F30+'DM ASIA INCUMB'!F30</f>
        <v>89163.350437356072</v>
      </c>
      <c r="G30" s="228">
        <f>'W.EUR INCUMB'!G30/Prices!$F$155 +'US TELCO'!G30+'DM ASIA INCUMB'!G30</f>
        <v>95190.463741283602</v>
      </c>
      <c r="H30" s="279">
        <f t="shared" si="0"/>
        <v>6.9112376324190539E-2</v>
      </c>
      <c r="I30" s="254"/>
      <c r="J30" s="248"/>
      <c r="K30" s="248"/>
      <c r="L30" s="248"/>
      <c r="M30" s="248"/>
      <c r="N30" s="248"/>
      <c r="O30" s="5"/>
      <c r="Q30" s="5"/>
      <c r="S30" s="42"/>
      <c r="T30" s="42"/>
      <c r="U30" s="42"/>
      <c r="V30" s="147" t="s">
        <v>470</v>
      </c>
      <c r="W30" s="364">
        <f t="shared" si="1"/>
        <v>1.2663735887509862</v>
      </c>
      <c r="X30" s="288">
        <v>1</v>
      </c>
      <c r="Y30" s="42"/>
      <c r="Z30" s="42"/>
      <c r="AA30" s="42"/>
    </row>
    <row r="31" spans="2:27">
      <c r="B31" s="5" t="s">
        <v>585</v>
      </c>
      <c r="C31" s="365">
        <f>'W.EUR INCUMB'!C31/Prices!$F$155 +'US TELCO'!C31+'DM ASIA INCUMB'!C31</f>
        <v>41003.085377115611</v>
      </c>
      <c r="D31" s="228">
        <f>'W.EUR INCUMB'!D31/Prices!$F$155 +'US TELCO'!D31+'DM ASIA INCUMB'!D31</f>
        <v>40915.182603657959</v>
      </c>
      <c r="E31" s="228">
        <f>'W.EUR INCUMB'!E31/Prices!$F$155 +'US TELCO'!E31+'DM ASIA INCUMB'!E31</f>
        <v>45218.538072337185</v>
      </c>
      <c r="F31" s="228">
        <f>'W.EUR INCUMB'!F31/Prices!$F$155 +'US TELCO'!F31+'DM ASIA INCUMB'!F31</f>
        <v>46947.360055573154</v>
      </c>
      <c r="G31" s="228">
        <f>'W.EUR INCUMB'!G31/Prices!$F$155 +'US TELCO'!G31+'DM ASIA INCUMB'!G31</f>
        <v>49020.712316680525</v>
      </c>
      <c r="H31" s="279">
        <f t="shared" si="0"/>
        <v>6.2099101156709802E-2</v>
      </c>
      <c r="I31" s="254"/>
      <c r="J31" s="252"/>
      <c r="K31" s="252"/>
      <c r="L31" s="252"/>
      <c r="M31" s="252"/>
      <c r="N31" s="252"/>
      <c r="O31" s="5"/>
      <c r="Q31" s="5"/>
      <c r="S31" s="42"/>
      <c r="T31" s="42"/>
      <c r="U31" s="42"/>
      <c r="V31" s="147" t="s">
        <v>528</v>
      </c>
      <c r="W31" s="364">
        <f t="shared" si="1"/>
        <v>0.92480476259616451</v>
      </c>
      <c r="X31" s="288">
        <v>1</v>
      </c>
      <c r="Y31" s="42"/>
      <c r="Z31" s="42"/>
      <c r="AA31" s="42"/>
    </row>
    <row r="32" spans="2:27">
      <c r="B32" s="5" t="s">
        <v>601</v>
      </c>
      <c r="C32" s="365">
        <f>'W.EUR INCUMB'!C32/Prices!$F$155 +'US TELCO'!C32+'DM ASIA INCUMB'!C32</f>
        <v>4655.6926384428543</v>
      </c>
      <c r="D32" s="228">
        <f>'W.EUR INCUMB'!D32/Prices!$F$155 +'US TELCO'!D32+'DM ASIA INCUMB'!D32</f>
        <v>13083.630698042625</v>
      </c>
      <c r="E32" s="228">
        <f>'W.EUR INCUMB'!E32/Prices!$F$155 +'US TELCO'!E32+'DM ASIA INCUMB'!E32</f>
        <v>17456.17205835236</v>
      </c>
      <c r="F32" s="228">
        <f>'W.EUR INCUMB'!F32/Prices!$F$155 +'US TELCO'!F32+'DM ASIA INCUMB'!F32</f>
        <v>18905.961402483372</v>
      </c>
      <c r="G32" s="228">
        <f>'W.EUR INCUMB'!G32/Prices!$F$155 +'US TELCO'!G32+'DM ASIA INCUMB'!G32</f>
        <v>21054.42297367796</v>
      </c>
      <c r="H32" s="279">
        <f t="shared" si="0"/>
        <v>0.17184909451541697</v>
      </c>
      <c r="I32" s="5"/>
      <c r="J32" s="254"/>
      <c r="K32" s="254"/>
      <c r="L32" s="254"/>
      <c r="M32" s="254"/>
      <c r="N32" s="254"/>
      <c r="O32" s="251"/>
      <c r="Q32" s="5"/>
      <c r="S32" s="42"/>
      <c r="T32" s="42"/>
      <c r="U32" s="42"/>
      <c r="V32" s="147" t="s">
        <v>575</v>
      </c>
      <c r="W32" s="288">
        <f>M17/E45</f>
        <v>0.91746507118796772</v>
      </c>
      <c r="X32" s="288">
        <v>1</v>
      </c>
      <c r="Y32" s="42"/>
      <c r="Z32" s="42"/>
      <c r="AA32" s="42"/>
    </row>
    <row r="33" spans="2:42">
      <c r="B33" s="5" t="s">
        <v>5</v>
      </c>
      <c r="C33" s="365">
        <f>'W.EUR INCUMB'!C33/Prices!$F$155 +'US TELCO'!C33+'DM ASIA INCUMB'!C33</f>
        <v>23593.202887413696</v>
      </c>
      <c r="D33" s="228">
        <f>'W.EUR INCUMB'!D33/Prices!$F$155 +'US TELCO'!D33+'DM ASIA INCUMB'!D33</f>
        <v>29744.681428593074</v>
      </c>
      <c r="E33" s="228">
        <f>'W.EUR INCUMB'!E33/Prices!$F$155 +'US TELCO'!E33+'DM ASIA INCUMB'!E33</f>
        <v>30820.951715854568</v>
      </c>
      <c r="F33" s="228">
        <f>'W.EUR INCUMB'!F33/Prices!$F$155 +'US TELCO'!F33+'DM ASIA INCUMB'!F33</f>
        <v>29770.544037217704</v>
      </c>
      <c r="G33" s="228">
        <f>'W.EUR INCUMB'!G33/Prices!$F$155 +'US TELCO'!G33+'DM ASIA INCUMB'!G33</f>
        <v>28815.928795597494</v>
      </c>
      <c r="H33" s="279">
        <f t="shared" si="0"/>
        <v>-1.0518299397443531E-2</v>
      </c>
      <c r="I33" s="49"/>
      <c r="J33" s="254"/>
      <c r="K33" s="254"/>
      <c r="L33" s="254"/>
      <c r="M33" s="254"/>
      <c r="N33" s="254"/>
      <c r="O33" s="251"/>
      <c r="Q33" s="5"/>
      <c r="S33" s="42"/>
      <c r="T33" s="42"/>
      <c r="U33" s="42"/>
      <c r="V33" s="147" t="s">
        <v>576</v>
      </c>
      <c r="W33" s="288">
        <f>M19/E47</f>
        <v>1.2663735887509862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855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D$18/D23</f>
        <v>2.4237389247441983</v>
      </c>
      <c r="E37" s="553">
        <f t="shared" ref="D37:G41" si="2">E$18/E23</f>
        <v>2.2926623901996601</v>
      </c>
      <c r="F37" s="553">
        <f t="shared" si="2"/>
        <v>2.143052358465634</v>
      </c>
      <c r="G37" s="553">
        <f t="shared" si="2"/>
        <v>1.9986709188222755</v>
      </c>
      <c r="H37" s="17">
        <f t="shared" ref="H37:H45" si="3">H23</f>
        <v>1.9814143833132514E-2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7.2702281784508509</v>
      </c>
      <c r="E38" s="553">
        <f>E$18/E24</f>
        <v>6.8374219794372664</v>
      </c>
      <c r="F38" s="553">
        <f t="shared" si="2"/>
        <v>6.2588069542798026</v>
      </c>
      <c r="G38" s="553">
        <f t="shared" si="2"/>
        <v>5.7818260612540193</v>
      </c>
      <c r="H38" s="17">
        <f t="shared" si="3"/>
        <v>3.2207925292584427E-2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13.980297724428118</v>
      </c>
      <c r="E39" s="553">
        <f t="shared" si="2"/>
        <v>12.266549469376683</v>
      </c>
      <c r="F39" s="553">
        <f t="shared" si="2"/>
        <v>10.803295216711495</v>
      </c>
      <c r="G39" s="553">
        <f t="shared" si="2"/>
        <v>9.7160046574190257</v>
      </c>
      <c r="H39" s="17">
        <f t="shared" si="3"/>
        <v>7.9648580689546611E-2</v>
      </c>
      <c r="I39" s="5"/>
      <c r="J39" s="5"/>
      <c r="K39" s="5"/>
      <c r="L39" s="5"/>
      <c r="M39" s="5"/>
      <c r="N39" s="5"/>
      <c r="O39" s="5"/>
      <c r="Q39" s="5"/>
      <c r="R39" s="5"/>
      <c r="S39" s="42"/>
      <c r="T39" s="42"/>
      <c r="U39" s="42"/>
      <c r="V39" s="42"/>
      <c r="W39" s="288"/>
      <c r="X39" s="288"/>
      <c r="Y39" s="42"/>
      <c r="Z39" s="42"/>
      <c r="AA39" s="42"/>
    </row>
    <row r="40" spans="2:42">
      <c r="B40" s="5" t="s">
        <v>461</v>
      </c>
      <c r="C40" s="247"/>
      <c r="D40" s="553">
        <f t="shared" si="2"/>
        <v>19.627650584214877</v>
      </c>
      <c r="E40" s="553">
        <f t="shared" si="2"/>
        <v>17.592868993277342</v>
      </c>
      <c r="F40" s="553">
        <f t="shared" si="2"/>
        <v>15.488419028052252</v>
      </c>
      <c r="G40" s="553">
        <f t="shared" si="2"/>
        <v>13.844587547294973</v>
      </c>
      <c r="H40" s="17">
        <f t="shared" si="3"/>
        <v>7.4324833775951449E-2</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1.4390555221298496</v>
      </c>
      <c r="E41" s="553">
        <f t="shared" si="2"/>
        <v>1.5609057522173537</v>
      </c>
      <c r="F41" s="553">
        <f t="shared" si="2"/>
        <v>1.4665814171864127</v>
      </c>
      <c r="G41" s="553">
        <f t="shared" si="2"/>
        <v>1.3715618633223414</v>
      </c>
      <c r="H41" s="17">
        <f t="shared" si="3"/>
        <v>-2.8237283173074057E-2</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3.2267930061469845</v>
      </c>
      <c r="E42" s="553">
        <f>E18/E28</f>
        <v>3.1983670566236748</v>
      </c>
      <c r="F42" s="553">
        <f>F18/F28</f>
        <v>3.0731899855245022</v>
      </c>
      <c r="G42" s="553">
        <f>G18/G28</f>
        <v>2.9440473907671385</v>
      </c>
      <c r="H42" s="17">
        <f t="shared" si="3"/>
        <v>-1.3989318632274483E-2</v>
      </c>
      <c r="I42" s="247"/>
      <c r="J42" s="5"/>
      <c r="K42" s="5"/>
      <c r="L42" s="5"/>
      <c r="M42" s="5"/>
      <c r="N42" s="5"/>
      <c r="O42" s="5"/>
      <c r="Q42" s="5"/>
      <c r="R42" s="5"/>
      <c r="S42" s="42"/>
      <c r="T42" s="42"/>
      <c r="U42" s="42"/>
      <c r="V42" s="42"/>
      <c r="W42" s="288"/>
      <c r="X42" s="288"/>
      <c r="Y42" s="288"/>
      <c r="Z42" s="288"/>
      <c r="AA42" s="42"/>
    </row>
    <row r="43" spans="2:42">
      <c r="B43" s="5" t="s">
        <v>470</v>
      </c>
      <c r="C43" s="247"/>
      <c r="D43" s="553">
        <f>L26/D29</f>
        <v>15.452465849118306</v>
      </c>
      <c r="E43" s="553">
        <f>M26/E29</f>
        <v>16.052530989418035</v>
      </c>
      <c r="F43" s="553">
        <f>N26/F29</f>
        <v>14.300644456040281</v>
      </c>
      <c r="G43" s="553">
        <f>O26/G29</f>
        <v>12.975350337622917</v>
      </c>
      <c r="H43" s="17">
        <f t="shared" si="3"/>
        <v>3.6102140626693702E-2</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13.890173591294683</v>
      </c>
      <c r="E44" s="553">
        <f>E11/E30</f>
        <v>13.151613528435401</v>
      </c>
      <c r="F44" s="553">
        <f>F11/F30</f>
        <v>11.629316441135455</v>
      </c>
      <c r="G44" s="553">
        <f>G11/G30</f>
        <v>10.658048838351267</v>
      </c>
      <c r="H44" s="17">
        <f t="shared" si="3"/>
        <v>6.9112376324190539E-2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3.7814072200843984E-2</v>
      </c>
      <c r="E45" s="248">
        <f>E31/E11</f>
        <v>4.2620168797633258E-2</v>
      </c>
      <c r="F45" s="248">
        <f>F31/F11</f>
        <v>4.5276266608375491E-2</v>
      </c>
      <c r="G45" s="248">
        <f>G31/G11</f>
        <v>4.8317946555556726E-2</v>
      </c>
      <c r="H45" s="17">
        <f t="shared" si="3"/>
        <v>6.2099101156709802E-2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4.9906046973571275E-2</v>
      </c>
      <c r="E46" s="248">
        <f>(E31+E32)/E11</f>
        <v>5.9073265943262697E-2</v>
      </c>
      <c r="F46" s="248">
        <f>(F31+F32)/F11</f>
        <v>6.3509269442469429E-2</v>
      </c>
      <c r="G46" s="248">
        <f>(G31+G32)/G11</f>
        <v>6.9070531247274747E-2</v>
      </c>
      <c r="H46" s="279">
        <f>((G31+G32)/(D31+D32))^(1/3)-1</f>
        <v>9.0753402493302993E-2</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6.4714590523237331E-2</v>
      </c>
      <c r="E47" s="248">
        <f>1/E43</f>
        <v>6.2295472325155983E-2</v>
      </c>
      <c r="F47" s="248">
        <f>1/F43</f>
        <v>6.9926918543703934E-2</v>
      </c>
      <c r="G47" s="248">
        <f>1/G43</f>
        <v>7.7069210000475397E-2</v>
      </c>
      <c r="H47" s="17">
        <f>H29</f>
        <v>3.6102140626693702E-2</v>
      </c>
      <c r="I47" s="247"/>
      <c r="J47" s="248"/>
      <c r="K47" s="248"/>
      <c r="L47" s="248"/>
      <c r="M47" s="248"/>
      <c r="N47" s="248"/>
      <c r="O47" s="248"/>
      <c r="Q47" s="5"/>
      <c r="R47" s="5"/>
      <c r="S47" s="5"/>
      <c r="T47" s="5"/>
      <c r="U47" s="5"/>
      <c r="AA47" s="303"/>
      <c r="AB47" s="303"/>
    </row>
    <row r="48" spans="2:42">
      <c r="B48" s="5" t="s">
        <v>613</v>
      </c>
      <c r="C48" s="5"/>
      <c r="D48" s="305">
        <f>D31/D29</f>
        <v>0.54373313702277459</v>
      </c>
      <c r="E48" s="305">
        <f>E31/E29</f>
        <v>0.63494629475352282</v>
      </c>
      <c r="F48" s="305">
        <f>F31/F29</f>
        <v>0.6018429159399411</v>
      </c>
      <c r="G48" s="305">
        <f>G31/G29</f>
        <v>0.58569728685359002</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70" orientation="landscape"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217">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860</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858</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553">
        <f>'AGG DM'!D37</f>
        <v>2.5038932049878952</v>
      </c>
      <c r="M9" s="553">
        <f>'AGG DM'!E37</f>
        <v>2.3751373534835727</v>
      </c>
      <c r="N9" s="553">
        <f>'AGG DM'!F37</f>
        <v>2.224221292978434</v>
      </c>
      <c r="O9" s="553">
        <f>'AGG DM'!G37</f>
        <v>2.0739026532457836</v>
      </c>
      <c r="P9" s="18">
        <f>'AGG DM'!H37</f>
        <v>2.0555376527773284E-2</v>
      </c>
    </row>
    <row r="10" spans="2:63">
      <c r="B10" s="5" t="s">
        <v>269</v>
      </c>
      <c r="C10" s="5"/>
      <c r="D10" s="332"/>
      <c r="E10" s="332"/>
      <c r="F10" s="332"/>
      <c r="G10" s="332"/>
      <c r="H10" s="247"/>
      <c r="I10" s="247"/>
      <c r="J10" s="5" t="s">
        <v>180</v>
      </c>
      <c r="L10" s="553">
        <f>'AGG DM'!D38</f>
        <v>7.500236481428364</v>
      </c>
      <c r="M10" s="553">
        <f>'AGG DM'!E38</f>
        <v>7.0633470857266838</v>
      </c>
      <c r="N10" s="553">
        <f>'AGG DM'!F38</f>
        <v>6.4875866017102481</v>
      </c>
      <c r="O10" s="553">
        <f>'AGG DM'!G38</f>
        <v>5.9712167743849367</v>
      </c>
      <c r="P10" s="18">
        <f>'AGG DM'!H38</f>
        <v>3.4105393529800354E-2</v>
      </c>
      <c r="W10" s="10"/>
      <c r="X10" s="10"/>
      <c r="Y10" s="10"/>
      <c r="Z10" s="10"/>
    </row>
    <row r="11" spans="2:63">
      <c r="B11" s="41" t="s">
        <v>518</v>
      </c>
      <c r="C11" s="5"/>
      <c r="D11" s="271">
        <f>'W.EUR OTHER'!D11/Prices!$F$155+'DM ASIA OTHER'!D11</f>
        <v>214241.02727309422</v>
      </c>
      <c r="E11" s="271">
        <f>'W.EUR OTHER'!E11/Prices!$F$155+'DM ASIA OTHER'!E11</f>
        <v>208856.32244927192</v>
      </c>
      <c r="F11" s="271">
        <f>'W.EUR OTHER'!F11/Prices!$F$155+'DM ASIA OTHER'!F11</f>
        <v>203734.51815071641</v>
      </c>
      <c r="G11" s="271">
        <f>'W.EUR OTHER'!G11/Prices!$F$155+'DM ASIA OTHER'!G11</f>
        <v>201231.62234506739</v>
      </c>
      <c r="H11" s="249"/>
      <c r="I11" s="249"/>
      <c r="J11" s="5" t="s">
        <v>181</v>
      </c>
      <c r="L11" s="553">
        <f>'AGG DM'!D39</f>
        <v>14.453886920086703</v>
      </c>
      <c r="M11" s="553">
        <f>'AGG DM'!E39</f>
        <v>12.632400476073508</v>
      </c>
      <c r="N11" s="553">
        <f>'AGG DM'!F39</f>
        <v>11.148641561230297</v>
      </c>
      <c r="O11" s="553">
        <f>'AGG DM'!G39</f>
        <v>9.8551520159775166</v>
      </c>
      <c r="P11" s="18">
        <f>'AGG DM'!H39</f>
        <v>8.8933115291126796E-2</v>
      </c>
      <c r="W11" s="10"/>
      <c r="X11" s="10"/>
      <c r="Y11" s="10"/>
      <c r="Z11" s="10"/>
    </row>
    <row r="12" spans="2:63">
      <c r="B12" s="5" t="s">
        <v>225</v>
      </c>
      <c r="C12" s="249"/>
      <c r="D12" s="228">
        <f>'W.EUR OTHER'!D12/Prices!$F$155+'DM ASIA OTHER'!D12</f>
        <v>105288.90042681026</v>
      </c>
      <c r="E12" s="228">
        <f>'W.EUR OTHER'!E12/Prices!$F$155+'DM ASIA OTHER'!E12</f>
        <v>87783.796266573161</v>
      </c>
      <c r="F12" s="228">
        <f>'W.EUR OTHER'!F12/Prices!$F$155+'DM ASIA OTHER'!F12</f>
        <v>84658.473739571622</v>
      </c>
      <c r="G12" s="228">
        <f>'W.EUR OTHER'!G12/Prices!$F$155+'DM ASIA OTHER'!G12</f>
        <v>77553.391925663585</v>
      </c>
      <c r="H12" s="247"/>
      <c r="I12" s="247"/>
      <c r="J12" s="5" t="s">
        <v>461</v>
      </c>
      <c r="L12" s="553">
        <f>'AGG DM'!D40</f>
        <v>20.489606542550682</v>
      </c>
      <c r="M12" s="553">
        <f>'AGG DM'!E40</f>
        <v>17.970115833093388</v>
      </c>
      <c r="N12" s="553">
        <f>'AGG DM'!F40</f>
        <v>15.895235275753445</v>
      </c>
      <c r="O12" s="553">
        <f>'AGG DM'!G40</f>
        <v>13.994564037458879</v>
      </c>
      <c r="P12" s="18">
        <f>'AGG DM'!H40</f>
        <v>8.8308894519717684E-2</v>
      </c>
      <c r="W12" s="10"/>
      <c r="X12" s="10"/>
      <c r="Y12" s="10"/>
      <c r="Z12" s="10"/>
    </row>
    <row r="13" spans="2:63">
      <c r="B13" s="5" t="s">
        <v>524</v>
      </c>
      <c r="C13" s="257"/>
      <c r="D13" s="228">
        <f>'W.EUR OTHER'!D13/Prices!$F$155+'DM ASIA OTHER'!D13</f>
        <v>14306.978191446553</v>
      </c>
      <c r="E13" s="228">
        <f>'W.EUR OTHER'!E13/Prices!$F$155+'DM ASIA OTHER'!E13</f>
        <v>14503.58068115431</v>
      </c>
      <c r="F13" s="228">
        <f>'W.EUR OTHER'!F13/Prices!$F$155+'DM ASIA OTHER'!F13</f>
        <v>14396.144836294248</v>
      </c>
      <c r="G13" s="228">
        <f>'W.EUR OTHER'!G13/Prices!$F$155+'DM ASIA OTHER'!G13</f>
        <v>14453.45700923559</v>
      </c>
      <c r="H13" s="247"/>
      <c r="I13" s="247"/>
      <c r="J13" s="5" t="s">
        <v>525</v>
      </c>
      <c r="L13" s="553">
        <f>'AGG DM'!D41</f>
        <v>1.4470918356278057</v>
      </c>
      <c r="M13" s="553">
        <f>'AGG DM'!E41</f>
        <v>1.522056669150271</v>
      </c>
      <c r="N13" s="553">
        <f>'AGG DM'!F41</f>
        <v>1.4505018131011718</v>
      </c>
      <c r="O13" s="553">
        <f>'AGG DM'!G41</f>
        <v>1.3783663643110371</v>
      </c>
      <c r="P13" s="18">
        <f>'AGG DM'!H41</f>
        <v>-2.5897691811048396E-2</v>
      </c>
    </row>
    <row r="14" spans="2:63">
      <c r="B14" s="5" t="s">
        <v>527</v>
      </c>
      <c r="C14" s="274"/>
      <c r="D14" s="228">
        <f>'W.EUR OTHER'!D14/Prices!$F$155+'DM ASIA OTHER'!D14</f>
        <v>15705.759345742785</v>
      </c>
      <c r="E14" s="228">
        <f>'W.EUR OTHER'!E14/Prices!$F$155+'DM ASIA OTHER'!E14</f>
        <v>15705.759345742785</v>
      </c>
      <c r="F14" s="228">
        <f>'W.EUR OTHER'!F14/Prices!$F$155+'DM ASIA OTHER'!F14</f>
        <v>15705.759345742785</v>
      </c>
      <c r="G14" s="228">
        <f>'W.EUR OTHER'!G14/Prices!$F$155+'DM ASIA OTHER'!G14</f>
        <v>15705.759345742785</v>
      </c>
      <c r="H14" s="247"/>
      <c r="I14" s="247"/>
      <c r="J14" s="5" t="s">
        <v>588</v>
      </c>
      <c r="L14" s="553">
        <f>'AGG DM'!D42</f>
        <v>3.5695190289450349</v>
      </c>
      <c r="M14" s="553">
        <f>'AGG DM'!E42</f>
        <v>3.5134357287577695</v>
      </c>
      <c r="N14" s="553">
        <f>'AGG DM'!F42</f>
        <v>3.3883975097562629</v>
      </c>
      <c r="O14" s="553">
        <f>'AGG DM'!G42</f>
        <v>3.2746189474746648</v>
      </c>
      <c r="P14" s="18">
        <f>'AGG DM'!H42</f>
        <v>-1.3621174796897284E-2</v>
      </c>
    </row>
    <row r="15" spans="2:63">
      <c r="B15" s="5" t="s">
        <v>526</v>
      </c>
      <c r="C15" s="257"/>
      <c r="D15" s="228">
        <f>'W.EUR OTHER'!D15/Prices!$F$155+'DM ASIA OTHER'!D15</f>
        <v>6518.3343513752188</v>
      </c>
      <c r="E15" s="228">
        <f>'W.EUR OTHER'!E15/Prices!$F$155+'DM ASIA OTHER'!E15</f>
        <v>6518.3343513752188</v>
      </c>
      <c r="F15" s="228">
        <f>'W.EUR OTHER'!F15/Prices!$F$155+'DM ASIA OTHER'!F15</f>
        <v>6518.3343513752188</v>
      </c>
      <c r="G15" s="228">
        <f>'W.EUR OTHER'!G15/Prices!$F$155+'DM ASIA OTHER'!G15</f>
        <v>6518.3343513752188</v>
      </c>
      <c r="H15" s="247"/>
      <c r="I15" s="247"/>
      <c r="J15" s="5" t="s">
        <v>470</v>
      </c>
      <c r="L15" s="553">
        <f>'AGG DM'!D43</f>
        <v>13.472849274436808</v>
      </c>
      <c r="M15" s="553">
        <f>'AGG DM'!E43</f>
        <v>12.67598371603005</v>
      </c>
      <c r="N15" s="553">
        <f>'AGG DM'!F43</f>
        <v>11.33507564594939</v>
      </c>
      <c r="O15" s="553">
        <f>'AGG DM'!G43</f>
        <v>10.145214955002531</v>
      </c>
      <c r="P15" s="18">
        <f>'AGG DM'!H43</f>
        <v>6.900159277298723E-2</v>
      </c>
      <c r="S15" s="88"/>
      <c r="T15" s="88"/>
      <c r="U15" s="88"/>
      <c r="V15" s="42"/>
      <c r="W15" s="42"/>
      <c r="X15" s="42"/>
      <c r="Y15" s="42"/>
      <c r="Z15" s="42"/>
      <c r="AA15" s="42"/>
    </row>
    <row r="16" spans="2:63">
      <c r="B16" s="5" t="s">
        <v>529</v>
      </c>
      <c r="C16" s="257"/>
      <c r="D16" s="228">
        <f>'W.EUR OTHER'!D16/Prices!$F$155+'DM ASIA OTHER'!D16</f>
        <v>585.04988598610089</v>
      </c>
      <c r="E16" s="228">
        <f>'W.EUR OTHER'!E16/Prices!$F$155+'DM ASIA OTHER'!E16</f>
        <v>1903.5461208312411</v>
      </c>
      <c r="F16" s="228">
        <f>'W.EUR OTHER'!F16/Prices!$F$155+'DM ASIA OTHER'!F16</f>
        <v>9596.5577742363275</v>
      </c>
      <c r="G16" s="228">
        <f>'W.EUR OTHER'!G16/Prices!$F$155+'DM ASIA OTHER'!G16</f>
        <v>17795.909285706031</v>
      </c>
      <c r="H16" s="247"/>
      <c r="I16" s="247"/>
      <c r="J16" s="5" t="s">
        <v>528</v>
      </c>
      <c r="L16" s="553">
        <f>'AGG DM'!D44</f>
        <v>15.638044643718967</v>
      </c>
      <c r="M16" s="553">
        <f>'AGG DM'!E44</f>
        <v>14.220962153693332</v>
      </c>
      <c r="N16" s="553">
        <f>'AGG DM'!F44</f>
        <v>12.502249176356969</v>
      </c>
      <c r="O16" s="553">
        <f>'AGG DM'!G44</f>
        <v>11.233113481631298</v>
      </c>
      <c r="P16" s="18">
        <f>'AGG DM'!H44</f>
        <v>8.8584802895584236E-2</v>
      </c>
      <c r="S16" s="88"/>
      <c r="T16" s="88"/>
      <c r="U16" s="88"/>
      <c r="V16" s="42"/>
      <c r="W16" s="42"/>
      <c r="X16" s="42"/>
      <c r="Y16" s="42"/>
      <c r="Z16" s="42"/>
      <c r="AA16" s="42"/>
    </row>
    <row r="17" spans="2:27">
      <c r="B17" s="5" t="s">
        <v>6</v>
      </c>
      <c r="C17" s="257"/>
      <c r="D17" s="228">
        <f>'W.EUR OTHER'!D17/Prices!$F$155+'DM ASIA OTHER'!D17</f>
        <v>1547.7862939820916</v>
      </c>
      <c r="E17" s="228">
        <f>'W.EUR OTHER'!E17/Prices!$F$155+'DM ASIA OTHER'!E17</f>
        <v>1532.6371984134619</v>
      </c>
      <c r="F17" s="228">
        <f>'W.EUR OTHER'!F17/Prices!$F$155+'DM ASIA OTHER'!F17</f>
        <v>1532.5384907190428</v>
      </c>
      <c r="G17" s="228">
        <f>'W.EUR OTHER'!G17/Prices!$F$155+'DM ASIA OTHER'!G17</f>
        <v>1532.5384907190428</v>
      </c>
      <c r="H17" s="247"/>
      <c r="I17" s="247"/>
      <c r="J17" s="5" t="s">
        <v>575</v>
      </c>
      <c r="L17" s="248">
        <f>'AGG DM'!D45</f>
        <v>3.4882136259379262E-2</v>
      </c>
      <c r="M17" s="248">
        <f>'AGG DM'!E45</f>
        <v>3.9102516199963799E-2</v>
      </c>
      <c r="N17" s="248">
        <f>'AGG DM'!F45</f>
        <v>4.1707724632137386E-2</v>
      </c>
      <c r="O17" s="248">
        <f>'AGG DM'!G45</f>
        <v>4.4771308784022613E-2</v>
      </c>
      <c r="P17" s="18">
        <f>'AGG DM'!H45</f>
        <v>5.9498643383417704E-2</v>
      </c>
      <c r="S17" s="88"/>
      <c r="T17" s="88"/>
      <c r="U17" s="88"/>
      <c r="V17" s="42"/>
      <c r="W17" s="42"/>
      <c r="X17" s="42"/>
      <c r="Y17" s="42"/>
      <c r="Z17" s="42"/>
      <c r="AA17" s="42"/>
    </row>
    <row r="18" spans="2:27" ht="12.6" thickBot="1">
      <c r="B18" s="41" t="s">
        <v>88</v>
      </c>
      <c r="C18" s="249"/>
      <c r="D18" s="275">
        <f>'W.EUR OTHER'!D18/Prices!$F$155+'DM ASIA OTHER'!D18</f>
        <v>322516.64471701527</v>
      </c>
      <c r="E18" s="275">
        <f>'W.EUR OTHER'!E18/Prices!$F$155+'DM ASIA OTHER'!E18</f>
        <v>298520.09108338709</v>
      </c>
      <c r="F18" s="275">
        <f>'W.EUR OTHER'!F18/Prices!$F$155+'DM ASIA OTHER'!F18</f>
        <v>282472.61546725925</v>
      </c>
      <c r="G18" s="275">
        <f>'W.EUR OTHER'!G18/Prices!$F$155+'DM ASIA OTHER'!G18</f>
        <v>264722.5985091739</v>
      </c>
      <c r="H18" s="276">
        <f>IF(D18=0,"nm",IF(G18=0,"nm",(G18/D18)^(1/3)-1))</f>
        <v>-6.3704445443809155E-2</v>
      </c>
      <c r="I18" s="254"/>
      <c r="J18" s="5" t="s">
        <v>36</v>
      </c>
      <c r="L18" s="248">
        <f>'AGG DM'!D46</f>
        <v>4.9537113673955142E-2</v>
      </c>
      <c r="M18" s="248">
        <f>'AGG DM'!E46</f>
        <v>6.8248269218785032E-2</v>
      </c>
      <c r="N18" s="248">
        <f>'AGG DM'!F46</f>
        <v>7.1823615864644294E-2</v>
      </c>
      <c r="O18" s="248">
        <f>'AGG DM'!G46</f>
        <v>8.2018272205497789E-2</v>
      </c>
      <c r="P18" s="18">
        <f>'AGG DM'!H46</f>
        <v>0.1533509355908349</v>
      </c>
      <c r="S18" s="88"/>
      <c r="T18" s="88"/>
      <c r="U18" s="88"/>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8">
        <f>'AGG DM'!H47</f>
        <v>6.900159277298723E-2</v>
      </c>
      <c r="S19" s="88"/>
      <c r="T19" s="88"/>
      <c r="U19" s="88"/>
      <c r="V19" s="42"/>
      <c r="W19" s="42"/>
      <c r="X19" s="42"/>
      <c r="Y19" s="42"/>
      <c r="Z19" s="42"/>
      <c r="AA19" s="42"/>
    </row>
    <row r="20" spans="2:27">
      <c r="H20" s="277"/>
      <c r="I20" s="49"/>
      <c r="J20" s="5" t="s">
        <v>599</v>
      </c>
      <c r="L20" s="305">
        <f>'AGG DM'!D48</f>
        <v>0.47186757365831361</v>
      </c>
      <c r="M20" s="305">
        <f>'AGG DM'!E48</f>
        <v>0.49732621098063601</v>
      </c>
      <c r="N20" s="305">
        <f>'AGG DM'!F48</f>
        <v>0.47548344156280636</v>
      </c>
      <c r="O20" s="305">
        <f>'AGG DM'!G48</f>
        <v>0.45939502956863965</v>
      </c>
      <c r="P20" s="18" t="str">
        <f>'AGG DM'!H48</f>
        <v>nm</v>
      </c>
      <c r="S20" s="42"/>
      <c r="T20" s="42"/>
      <c r="U20" s="42"/>
      <c r="V20" s="42"/>
      <c r="W20" s="42"/>
      <c r="X20" s="42"/>
      <c r="Y20" s="42"/>
      <c r="Z20" s="42"/>
      <c r="AA20" s="42"/>
    </row>
    <row r="21" spans="2:27" ht="12.6" thickBot="1">
      <c r="B21" s="306" t="s">
        <v>303</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'W.EUR OTHER'!C23/Prices!$F$155+'DM ASIA OTHER'!C23</f>
        <v>159376.40110392289</v>
      </c>
      <c r="D23" s="228">
        <f>'W.EUR OTHER'!D23/Prices!$F$155+'DM ASIA OTHER'!D23</f>
        <v>163824.54860366587</v>
      </c>
      <c r="E23" s="228">
        <f>'W.EUR OTHER'!E23/Prices!$F$155+'DM ASIA OTHER'!E23</f>
        <v>168543.23979276445</v>
      </c>
      <c r="F23" s="228">
        <f>'W.EUR OTHER'!F23/Prices!$F$155+'DM ASIA OTHER'!F23</f>
        <v>177226.93323635281</v>
      </c>
      <c r="G23" s="228">
        <f>'W.EUR OTHER'!G23/Prices!$F$155+'DM ASIA OTHER'!G23</f>
        <v>183989.5416873284</v>
      </c>
      <c r="H23" s="279">
        <f>IF(D23=0,"nm",IF(G23=0,"nm",(G23/D23)^(1/3)-1))</f>
        <v>3.9452670156414182E-2</v>
      </c>
      <c r="I23" s="249"/>
      <c r="J23" s="306" t="s">
        <v>9</v>
      </c>
      <c r="K23" s="306"/>
      <c r="L23" s="265" t="str">
        <f>L5</f>
        <v>2023E</v>
      </c>
      <c r="M23" s="265" t="str">
        <f>M5</f>
        <v>2024E</v>
      </c>
      <c r="N23" s="265" t="str">
        <f>N5</f>
        <v>2025E</v>
      </c>
      <c r="O23" s="265" t="str">
        <f>O5</f>
        <v>2026E</v>
      </c>
      <c r="P23" s="282" t="str">
        <f>P5</f>
        <v>23E-26E</v>
      </c>
      <c r="S23" s="42"/>
      <c r="T23" s="42"/>
      <c r="U23" s="42"/>
      <c r="V23" s="42"/>
      <c r="W23" s="42" t="s">
        <v>603</v>
      </c>
      <c r="X23" s="42" t="s">
        <v>859</v>
      </c>
      <c r="Y23" s="42"/>
      <c r="Z23" s="42"/>
      <c r="AA23" s="42"/>
    </row>
    <row r="24" spans="2:27" ht="12.6" thickTop="1">
      <c r="B24" s="5" t="s">
        <v>478</v>
      </c>
      <c r="C24" s="365">
        <f>'W.EUR OTHER'!C24/Prices!$F$155+'DM ASIA OTHER'!C24</f>
        <v>52544.907644737599</v>
      </c>
      <c r="D24" s="228">
        <f>'W.EUR OTHER'!D24/Prices!$F$155+'DM ASIA OTHER'!D24</f>
        <v>50272.95439274465</v>
      </c>
      <c r="E24" s="228">
        <f>'W.EUR OTHER'!E24/Prices!$F$155+'DM ASIA OTHER'!E24</f>
        <v>51697.736105730131</v>
      </c>
      <c r="F24" s="228">
        <f>'W.EUR OTHER'!F24/Prices!$F$155+'DM ASIA OTHER'!F24</f>
        <v>55035.342358423673</v>
      </c>
      <c r="G24" s="228">
        <f>'W.EUR OTHER'!G24/Prices!$F$155+'DM ASIA OTHER'!G24</f>
        <v>57790.399450745485</v>
      </c>
      <c r="H24" s="279">
        <f t="shared" ref="H24:H28" si="0">IF(D24=0,"nm",IF(G24=0,"nm",(G24/D24)^(1/3)-1))</f>
        <v>4.7547591624830687E-2</v>
      </c>
      <c r="I24" s="248"/>
      <c r="J24" s="17"/>
      <c r="K24" s="17"/>
      <c r="L24" s="17"/>
      <c r="M24" s="17"/>
      <c r="N24" s="17"/>
      <c r="O24" s="248"/>
      <c r="S24" s="42"/>
      <c r="T24" s="42"/>
      <c r="U24" s="42"/>
      <c r="V24" s="147" t="s">
        <v>268</v>
      </c>
      <c r="W24" s="364">
        <f t="shared" ref="W24:W31" si="1">E37/M9</f>
        <v>0.7457160626248498</v>
      </c>
      <c r="X24" s="288">
        <v>1</v>
      </c>
      <c r="Y24" s="42"/>
      <c r="Z24" s="42"/>
      <c r="AA24" s="42"/>
    </row>
    <row r="25" spans="2:27">
      <c r="B25" s="5" t="s">
        <v>179</v>
      </c>
      <c r="C25" s="365">
        <f>'W.EUR OTHER'!C25/Prices!$F$155+'DM ASIA OTHER'!C25</f>
        <v>21773.342160652439</v>
      </c>
      <c r="D25" s="228">
        <f>'W.EUR OTHER'!D25/Prices!$F$155+'DM ASIA OTHER'!D25</f>
        <v>22509.935959765186</v>
      </c>
      <c r="E25" s="228">
        <f>'W.EUR OTHER'!E25/Prices!$F$155+'DM ASIA OTHER'!E25</f>
        <v>25545.13900517991</v>
      </c>
      <c r="F25" s="228">
        <f>'W.EUR OTHER'!F25/Prices!$F$155+'DM ASIA OTHER'!F25</f>
        <v>28782.119817454295</v>
      </c>
      <c r="G25" s="228">
        <f>'W.EUR OTHER'!G25/Prices!$F$155+'DM ASIA OTHER'!G25</f>
        <v>30841.36297126134</v>
      </c>
      <c r="H25" s="279">
        <f t="shared" si="0"/>
        <v>0.11067356236589054</v>
      </c>
      <c r="I25" s="249"/>
      <c r="J25" s="247" t="s">
        <v>10</v>
      </c>
      <c r="K25" s="247"/>
      <c r="L25" s="332">
        <f>'W.EUR OTHER'!L25/Prices!$F$155+'DM ASIA OTHER'!L25</f>
        <v>5545.836022142139</v>
      </c>
      <c r="M25" s="332">
        <f>'W.EUR OTHER'!M25/Prices!$F$155+'DM ASIA OTHER'!M25</f>
        <v>5423.8505286205818</v>
      </c>
      <c r="N25" s="332">
        <f>'W.EUR OTHER'!N25/Prices!$F$155+'DM ASIA OTHER'!N25</f>
        <v>5193.0572284492137</v>
      </c>
      <c r="O25" s="332">
        <f>'W.EUR OTHER'!O25/Prices!$F$155+'DM ASIA OTHER'!O25</f>
        <v>3546.1500307123597</v>
      </c>
      <c r="P25" s="279">
        <f>IF(L25=0,"nm",IF(O25=0,"nm",(O25/L25)^(1/3)-1))</f>
        <v>-0.13848397429745418</v>
      </c>
      <c r="Q25" s="5"/>
      <c r="S25" s="42"/>
      <c r="T25" s="42"/>
      <c r="U25" s="42"/>
      <c r="V25" s="147" t="s">
        <v>180</v>
      </c>
      <c r="W25" s="364">
        <f t="shared" si="1"/>
        <v>0.81750702355708194</v>
      </c>
      <c r="X25" s="288">
        <v>1</v>
      </c>
      <c r="Y25" s="42"/>
      <c r="Z25" s="42"/>
      <c r="AA25" s="42"/>
    </row>
    <row r="26" spans="2:27">
      <c r="B26" s="5" t="s">
        <v>581</v>
      </c>
      <c r="C26" s="365">
        <f>'W.EUR OTHER'!C26/Prices!$F$155+'DM ASIA OTHER'!C26</f>
        <v>15241.609756123593</v>
      </c>
      <c r="D26" s="228">
        <f>'W.EUR OTHER'!D26/Prices!$F$155+'DM ASIA OTHER'!D26</f>
        <v>16118.646174993304</v>
      </c>
      <c r="E26" s="228">
        <f>'W.EUR OTHER'!E26/Prices!$F$155+'DM ASIA OTHER'!E26</f>
        <v>18099.403281163264</v>
      </c>
      <c r="F26" s="228">
        <f>'W.EUR OTHER'!F26/Prices!$F$155+'DM ASIA OTHER'!F26</f>
        <v>20228.108759206287</v>
      </c>
      <c r="G26" s="228">
        <f>'W.EUR OTHER'!G26/Prices!$F$155+'DM ASIA OTHER'!G26</f>
        <v>21660.193211583159</v>
      </c>
      <c r="H26" s="279">
        <f t="shared" si="0"/>
        <v>0.10351418823998459</v>
      </c>
      <c r="I26" s="249"/>
      <c r="J26" s="249" t="s">
        <v>11</v>
      </c>
      <c r="K26" s="249"/>
      <c r="L26" s="281">
        <f>'W.EUR OTHER'!L26/Prices!$F$155+'DM ASIA OTHER'!L26</f>
        <v>141981.71951406833</v>
      </c>
      <c r="M26" s="281">
        <f>'W.EUR OTHER'!M26/Prices!$F$155+'DM ASIA OTHER'!M26</f>
        <v>136465.15530321753</v>
      </c>
      <c r="N26" s="281">
        <f>'W.EUR OTHER'!N26/Prices!$F$155+'DM ASIA OTHER'!N26</f>
        <v>131110.65723363971</v>
      </c>
      <c r="O26" s="281">
        <f>'W.EUR OTHER'!O26/Prices!$F$155+'DM ASIA OTHER'!O26</f>
        <v>126988.36151188938</v>
      </c>
      <c r="P26" s="279">
        <f>IF(L26=0,"nm",IF(O26=0,"nm",(O26/L26)^(1/3)-1))</f>
        <v>-3.6517503261820905E-2</v>
      </c>
      <c r="Q26" s="41"/>
      <c r="S26" s="42"/>
      <c r="T26" s="42"/>
      <c r="U26" s="42"/>
      <c r="V26" s="147" t="s">
        <v>181</v>
      </c>
      <c r="W26" s="364">
        <f t="shared" si="1"/>
        <v>0.92508025162558782</v>
      </c>
      <c r="X26" s="288">
        <v>1</v>
      </c>
      <c r="Y26" s="42"/>
      <c r="Z26" s="42"/>
      <c r="AA26" s="42"/>
    </row>
    <row r="27" spans="2:27">
      <c r="B27" s="5" t="s">
        <v>582</v>
      </c>
      <c r="C27" s="365">
        <f>'W.EUR OTHER'!C27/Prices!$F$155+'DM ASIA OTHER'!C27</f>
        <v>246724.96829109659</v>
      </c>
      <c r="D27" s="228">
        <f>'W.EUR OTHER'!D27/Prices!$F$155+'DM ASIA OTHER'!D27</f>
        <v>246548.79606298555</v>
      </c>
      <c r="E27" s="228">
        <f>'W.EUR OTHER'!E27/Prices!$F$155+'DM ASIA OTHER'!E27</f>
        <v>229996.00186835148</v>
      </c>
      <c r="F27" s="228">
        <f>'W.EUR OTHER'!F27/Prices!$F$155+'DM ASIA OTHER'!F27</f>
        <v>230489.88365498753</v>
      </c>
      <c r="G27" s="228">
        <f>'W.EUR OTHER'!G27/Prices!$F$155+'DM ASIA OTHER'!G27</f>
        <v>230556.862323257</v>
      </c>
      <c r="H27" s="279">
        <f t="shared" si="0"/>
        <v>-2.2106133144827789E-2</v>
      </c>
      <c r="I27" s="248"/>
      <c r="J27" s="248"/>
      <c r="K27" s="248"/>
      <c r="L27" s="248"/>
      <c r="M27" s="248"/>
      <c r="N27" s="248"/>
      <c r="O27" s="248"/>
      <c r="Q27" s="5"/>
      <c r="S27" s="42"/>
      <c r="T27" s="42"/>
      <c r="U27" s="42"/>
      <c r="V27" s="147" t="s">
        <v>461</v>
      </c>
      <c r="W27" s="364">
        <f t="shared" si="1"/>
        <v>0.91782193373133802</v>
      </c>
      <c r="X27" s="288">
        <v>1</v>
      </c>
      <c r="Y27" s="42"/>
      <c r="Z27" s="42"/>
      <c r="AA27" s="42"/>
    </row>
    <row r="28" spans="2:27" ht="12.6" thickBot="1">
      <c r="B28" s="5" t="s">
        <v>587</v>
      </c>
      <c r="C28" s="365">
        <f>'W.EUR OTHER'!C28/Prices!$F$155+'DM ASIA OTHER'!C28</f>
        <v>91480.495678058447</v>
      </c>
      <c r="D28" s="228">
        <f>'W.EUR OTHER'!D28/Prices!$F$155+'DM ASIA OTHER'!D28</f>
        <v>81179.205236352369</v>
      </c>
      <c r="E28" s="228">
        <f>'W.EUR OTHER'!E28/Prices!$F$155+'DM ASIA OTHER'!E28</f>
        <v>80002.501724542497</v>
      </c>
      <c r="F28" s="228">
        <f>'W.EUR OTHER'!F28/Prices!$F$155+'DM ASIA OTHER'!F28</f>
        <v>79176.427451162366</v>
      </c>
      <c r="G28" s="228">
        <f>'W.EUR OTHER'!G28/Prices!$F$155+'DM ASIA OTHER'!G28</f>
        <v>78368.194963352886</v>
      </c>
      <c r="H28" s="279">
        <f t="shared" si="0"/>
        <v>-1.1678257774336065E-2</v>
      </c>
      <c r="I28" s="252"/>
      <c r="J28" s="306" t="s">
        <v>851</v>
      </c>
      <c r="K28" s="306"/>
      <c r="L28" s="306"/>
      <c r="M28" s="306"/>
      <c r="N28" s="266"/>
      <c r="O28" s="266"/>
      <c r="P28" s="266"/>
      <c r="Q28" s="5"/>
      <c r="S28" s="42"/>
      <c r="T28" s="42"/>
      <c r="U28" s="42"/>
      <c r="V28" s="147" t="s">
        <v>525</v>
      </c>
      <c r="W28" s="364">
        <f t="shared" si="1"/>
        <v>0.85275143038803169</v>
      </c>
      <c r="X28" s="288">
        <v>1</v>
      </c>
      <c r="Y28" s="42"/>
      <c r="Z28" s="42"/>
      <c r="AA28" s="42"/>
    </row>
    <row r="29" spans="2:27" ht="12.6" thickTop="1">
      <c r="B29" s="5" t="s">
        <v>583</v>
      </c>
      <c r="C29" s="365">
        <f>'W.EUR OTHER'!C29/Prices!$F$155+'DM ASIA OTHER'!C29</f>
        <v>10573.040498940714</v>
      </c>
      <c r="D29" s="228">
        <f>'W.EUR OTHER'!D29/Prices!$F$155+'DM ASIA OTHER'!D29</f>
        <v>8366.0236876082017</v>
      </c>
      <c r="E29" s="228">
        <f>'W.EUR OTHER'!E29/Prices!$F$155+'DM ASIA OTHER'!E29</f>
        <v>11763.592042150158</v>
      </c>
      <c r="F29" s="228">
        <f>'W.EUR OTHER'!F29/Prices!$F$155+'DM ASIA OTHER'!F29</f>
        <v>14994.752345083863</v>
      </c>
      <c r="G29" s="228">
        <f>'W.EUR OTHER'!G29/Prices!$F$155+'DM ASIA OTHER'!G29</f>
        <v>16499.403482592425</v>
      </c>
      <c r="H29" s="279">
        <f>IF(D29=0,"nm",IF(G29=0,"nm",(G29/D29)^(1/3)-1))</f>
        <v>0.25405442336845563</v>
      </c>
      <c r="I29" s="254"/>
      <c r="J29" s="249"/>
      <c r="K29" s="249"/>
      <c r="L29" s="249"/>
      <c r="M29" s="249"/>
      <c r="N29" s="249"/>
      <c r="O29" s="251"/>
      <c r="Q29" s="5"/>
      <c r="S29" s="42"/>
      <c r="T29" s="42"/>
      <c r="U29" s="42"/>
      <c r="V29" s="147" t="s">
        <v>588</v>
      </c>
      <c r="W29" s="364">
        <f t="shared" si="1"/>
        <v>1.0620329331200984</v>
      </c>
      <c r="X29" s="288">
        <v>1</v>
      </c>
      <c r="Y29" s="42"/>
      <c r="Z29" s="42"/>
      <c r="AA29" s="42"/>
    </row>
    <row r="30" spans="2:27">
      <c r="B30" s="5" t="s">
        <v>584</v>
      </c>
      <c r="C30" s="365">
        <f>'W.EUR OTHER'!C30/Prices!$F$155+'DM ASIA OTHER'!C30</f>
        <v>11626.72297898441</v>
      </c>
      <c r="D30" s="228">
        <f>'W.EUR OTHER'!D30/Prices!$F$155+'DM ASIA OTHER'!D30</f>
        <v>9120.0210809639702</v>
      </c>
      <c r="E30" s="228">
        <f>'W.EUR OTHER'!E30/Prices!$F$155+'DM ASIA OTHER'!E30</f>
        <v>11867.62674561544</v>
      </c>
      <c r="F30" s="228">
        <f>'W.EUR OTHER'!F30/Prices!$F$155+'DM ASIA OTHER'!F30</f>
        <v>13858.171788005977</v>
      </c>
      <c r="G30" s="228">
        <f>'W.EUR OTHER'!G30/Prices!$F$155+'DM ASIA OTHER'!G30</f>
        <v>15210.613400066637</v>
      </c>
      <c r="H30" s="279">
        <f>IF(D30=0,"nm",IF(G30=0,"nm",(G30/D30)^(1/3)-1))</f>
        <v>0.18590607918995183</v>
      </c>
      <c r="I30" s="254"/>
      <c r="J30" s="248"/>
      <c r="K30" s="248"/>
      <c r="L30" s="248"/>
      <c r="M30" s="248"/>
      <c r="N30" s="248"/>
      <c r="O30" s="5"/>
      <c r="Q30" s="5"/>
      <c r="S30" s="42"/>
      <c r="T30" s="42"/>
      <c r="U30" s="42"/>
      <c r="V30" s="147" t="s">
        <v>470</v>
      </c>
      <c r="W30" s="364">
        <f t="shared" si="1"/>
        <v>0.9151665675308116</v>
      </c>
      <c r="X30" s="288">
        <v>1</v>
      </c>
      <c r="Y30" s="42"/>
      <c r="Z30" s="42"/>
      <c r="AA30" s="42"/>
    </row>
    <row r="31" spans="2:27">
      <c r="B31" s="5" t="s">
        <v>585</v>
      </c>
      <c r="C31" s="365">
        <f>'W.EUR OTHER'!C31/Prices!$F$155+'DM ASIA OTHER'!C31</f>
        <v>9104.920319610661</v>
      </c>
      <c r="D31" s="228">
        <f>'W.EUR OTHER'!D31/Prices!$F$155+'DM ASIA OTHER'!D31</f>
        <v>9090.8414049528074</v>
      </c>
      <c r="E31" s="228">
        <f>'W.EUR OTHER'!E31/Prices!$F$155+'DM ASIA OTHER'!E31</f>
        <v>7706.3616153644743</v>
      </c>
      <c r="F31" s="228">
        <f>'W.EUR OTHER'!F31/Prices!$F$155+'DM ASIA OTHER'!F31</f>
        <v>8119.6641001803528</v>
      </c>
      <c r="G31" s="228">
        <f>'W.EUR OTHER'!G31/Prices!$F$155+'DM ASIA OTHER'!G31</f>
        <v>8371.1897864657312</v>
      </c>
      <c r="H31" s="279">
        <f>IF(D31=0,"nm",IF(G31=0,"nm",(G31/D31)^(1/3)-1))</f>
        <v>-2.7116057058159893E-2</v>
      </c>
      <c r="I31" s="254"/>
      <c r="J31" s="252"/>
      <c r="K31" s="252"/>
      <c r="L31" s="252"/>
      <c r="M31" s="252"/>
      <c r="N31" s="252"/>
      <c r="O31" s="5"/>
      <c r="Q31" s="5"/>
      <c r="S31" s="42"/>
      <c r="T31" s="42"/>
      <c r="U31" s="42"/>
      <c r="V31" s="147" t="s">
        <v>528</v>
      </c>
      <c r="W31" s="364">
        <f t="shared" si="1"/>
        <v>1.2375272403577833</v>
      </c>
      <c r="X31" s="288">
        <v>1</v>
      </c>
      <c r="Y31" s="42"/>
      <c r="Z31" s="42"/>
      <c r="AA31" s="42"/>
    </row>
    <row r="32" spans="2:27">
      <c r="B32" s="5" t="s">
        <v>601</v>
      </c>
      <c r="C32" s="365">
        <f>'W.EUR OTHER'!C32/Prices!$F$155+'DM ASIA OTHER'!C32</f>
        <v>367.7778338313517</v>
      </c>
      <c r="D32" s="228">
        <f>'W.EUR OTHER'!D32/Prices!$F$155+'DM ASIA OTHER'!D32</f>
        <v>1278.6549680564369</v>
      </c>
      <c r="E32" s="228">
        <f>'W.EUR OTHER'!E32/Prices!$F$155+'DM ASIA OTHER'!E32</f>
        <v>2657.9075931884445</v>
      </c>
      <c r="F32" s="228">
        <f>'W.EUR OTHER'!F32/Prices!$F$155+'DM ASIA OTHER'!F32</f>
        <v>1539.0034774997735</v>
      </c>
      <c r="G32" s="228">
        <f>'W.EUR OTHER'!G32/Prices!$F$155+'DM ASIA OTHER'!G32</f>
        <v>-2802.9894453632414</v>
      </c>
      <c r="H32" s="279">
        <f>IF(D32=0,"nm",IF(G32=0,"nm",(G32/D32)^(1/3)-1))</f>
        <v>-2.299040518342685</v>
      </c>
      <c r="I32" s="5"/>
      <c r="J32" s="254"/>
      <c r="K32" s="254"/>
      <c r="L32" s="254"/>
      <c r="M32" s="254"/>
      <c r="N32" s="254"/>
      <c r="O32" s="251"/>
      <c r="Q32" s="5"/>
      <c r="S32" s="42"/>
      <c r="T32" s="42"/>
      <c r="U32" s="42"/>
      <c r="V32" s="147" t="s">
        <v>575</v>
      </c>
      <c r="W32" s="288">
        <f>M17/E45</f>
        <v>1.059748833451448</v>
      </c>
      <c r="X32" s="288">
        <v>1</v>
      </c>
      <c r="Y32" s="42"/>
      <c r="Z32" s="42"/>
      <c r="AA32" s="42"/>
    </row>
    <row r="33" spans="2:42">
      <c r="B33" s="5" t="s">
        <v>5</v>
      </c>
      <c r="C33" s="365">
        <f>'W.EUR OTHER'!C33/Prices!$F$155+'DM ASIA OTHER'!C33</f>
        <v>14253.817739741839</v>
      </c>
      <c r="D33" s="228">
        <f>'W.EUR OTHER'!D33/Prices!$F$155+'DM ASIA OTHER'!D33</f>
        <v>14465.317888671934</v>
      </c>
      <c r="E33" s="228">
        <f>'W.EUR OTHER'!E33/Prices!$F$155+'DM ASIA OTHER'!E33</f>
        <v>14557.857074225369</v>
      </c>
      <c r="F33" s="228">
        <f>'W.EUR OTHER'!F33/Prices!$F$155+'DM ASIA OTHER'!F33</f>
        <v>14067.59671315316</v>
      </c>
      <c r="G33" s="228">
        <f>'W.EUR OTHER'!G33/Prices!$F$155+'DM ASIA OTHER'!G33</f>
        <v>14318.047748199828</v>
      </c>
      <c r="H33" s="279">
        <f>IF(D33=0,"nm",IF(G33=0,"nm",(G33/D33)^(1/3)-1))</f>
        <v>-3.4052199710356001E-3</v>
      </c>
      <c r="I33" s="49"/>
      <c r="J33" s="254"/>
      <c r="K33" s="254"/>
      <c r="L33" s="254"/>
      <c r="M33" s="254"/>
      <c r="N33" s="254"/>
      <c r="O33" s="251"/>
      <c r="Q33" s="5"/>
      <c r="S33" s="42"/>
      <c r="T33" s="42"/>
      <c r="U33" s="42"/>
      <c r="V33" s="147" t="s">
        <v>576</v>
      </c>
      <c r="W33" s="288">
        <f>M19/E47</f>
        <v>0.9151665675308116</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855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1.9686710414644071</v>
      </c>
      <c r="E37" s="553">
        <f t="shared" si="2"/>
        <v>1.7711780754329758</v>
      </c>
      <c r="F37" s="553">
        <f t="shared" si="2"/>
        <v>1.5938469977954708</v>
      </c>
      <c r="G37" s="553">
        <f t="shared" si="2"/>
        <v>1.4387915534842908</v>
      </c>
      <c r="H37" s="17">
        <f t="shared" ref="H37:H45" si="3">H23</f>
        <v>3.9452670156414182E-2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6.4153111471714217</v>
      </c>
      <c r="E38" s="553">
        <f t="shared" si="2"/>
        <v>5.7743358524030102</v>
      </c>
      <c r="F38" s="553">
        <f t="shared" si="2"/>
        <v>5.1325676076951705</v>
      </c>
      <c r="G38" s="553">
        <f t="shared" si="2"/>
        <v>4.5807366106682803</v>
      </c>
      <c r="H38" s="17">
        <f t="shared" si="3"/>
        <v>4.7547591624830687E-2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14.32774599152523</v>
      </c>
      <c r="E39" s="553">
        <f t="shared" si="2"/>
        <v>11.685984211041276</v>
      </c>
      <c r="F39" s="553">
        <f t="shared" si="2"/>
        <v>9.8141699519977621</v>
      </c>
      <c r="G39" s="553">
        <f t="shared" si="2"/>
        <v>8.5833625043046329</v>
      </c>
      <c r="H39" s="17">
        <f t="shared" si="3"/>
        <v>0.11067356236589054</v>
      </c>
      <c r="I39" s="5"/>
      <c r="J39" s="5"/>
      <c r="K39" s="5"/>
      <c r="L39" s="5"/>
      <c r="M39" s="5"/>
      <c r="N39" s="5"/>
      <c r="O39" s="5"/>
      <c r="Q39" s="5"/>
      <c r="R39" s="5"/>
      <c r="S39" s="42"/>
      <c r="T39" s="42"/>
      <c r="U39" s="42"/>
      <c r="V39" s="42"/>
      <c r="W39" s="288"/>
      <c r="X39" s="288"/>
      <c r="Y39" s="42"/>
      <c r="Z39" s="42"/>
      <c r="AA39" s="42"/>
    </row>
    <row r="40" spans="2:42">
      <c r="B40" s="5" t="s">
        <v>461</v>
      </c>
      <c r="C40" s="247"/>
      <c r="D40" s="553">
        <f t="shared" si="2"/>
        <v>20.008916457101225</v>
      </c>
      <c r="E40" s="553">
        <f t="shared" si="2"/>
        <v>16.493366463305907</v>
      </c>
      <c r="F40" s="553">
        <f t="shared" si="2"/>
        <v>13.964361118965179</v>
      </c>
      <c r="G40" s="553">
        <f t="shared" si="2"/>
        <v>12.221617597003195</v>
      </c>
      <c r="H40" s="17">
        <f t="shared" si="3"/>
        <v>0.10351418823998459</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1.3081250035170413</v>
      </c>
      <c r="E41" s="553">
        <f t="shared" si="2"/>
        <v>1.2979360017495367</v>
      </c>
      <c r="F41" s="553">
        <f t="shared" si="2"/>
        <v>1.2255315113529361</v>
      </c>
      <c r="G41" s="553">
        <f t="shared" si="2"/>
        <v>1.1481878953488451</v>
      </c>
      <c r="H41" s="17">
        <f t="shared" si="3"/>
        <v>-2.2106133144827789E-2</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3.972897292822855</v>
      </c>
      <c r="E42" s="553">
        <f>E18/E28</f>
        <v>3.7313844523415645</v>
      </c>
      <c r="F42" s="553">
        <f>F18/F28</f>
        <v>3.5676352742928965</v>
      </c>
      <c r="G42" s="553">
        <f>G18/G28</f>
        <v>3.377934104938431</v>
      </c>
      <c r="H42" s="17">
        <f t="shared" si="3"/>
        <v>-1.1678257774336065E-2</v>
      </c>
      <c r="I42" s="247"/>
      <c r="J42" s="5"/>
      <c r="K42" s="5"/>
      <c r="L42" s="5"/>
      <c r="M42" s="5"/>
      <c r="N42" s="5"/>
      <c r="O42" s="5"/>
      <c r="Q42" s="5"/>
      <c r="R42" s="5"/>
      <c r="S42" s="42"/>
      <c r="T42" s="42"/>
      <c r="U42" s="42"/>
      <c r="V42" s="42"/>
      <c r="W42" s="288"/>
      <c r="X42" s="288"/>
      <c r="Y42" s="288"/>
      <c r="Z42" s="288"/>
      <c r="AA42" s="42"/>
    </row>
    <row r="43" spans="2:42">
      <c r="B43" s="5" t="s">
        <v>470</v>
      </c>
      <c r="C43" s="247"/>
      <c r="D43" s="553">
        <f>L26/D29</f>
        <v>16.971230875711289</v>
      </c>
      <c r="E43" s="553">
        <f>M26/E29</f>
        <v>11.600636507475683</v>
      </c>
      <c r="F43" s="553">
        <f>N26/F29</f>
        <v>8.7437694345532329</v>
      </c>
      <c r="G43" s="553">
        <f>O26/G29</f>
        <v>7.6965425838496238</v>
      </c>
      <c r="H43" s="17">
        <f t="shared" si="3"/>
        <v>0.25405442336845563</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23.491286409444278</v>
      </c>
      <c r="E44" s="553">
        <f>E11/E30</f>
        <v>17.598828049292589</v>
      </c>
      <c r="F44" s="553">
        <f>F11/F30</f>
        <v>14.701399381341581</v>
      </c>
      <c r="G44" s="553">
        <f>G11/G30</f>
        <v>13.229684895165754</v>
      </c>
      <c r="H44" s="17">
        <f t="shared" si="3"/>
        <v>0.18590607918995183</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4.2432775461651709E-2</v>
      </c>
      <c r="E45" s="248">
        <f>E31/E11</f>
        <v>3.6897909170244221E-2</v>
      </c>
      <c r="F45" s="248">
        <f>F31/F11</f>
        <v>3.9854140446508333E-2</v>
      </c>
      <c r="G45" s="248">
        <f>G31/G11</f>
        <v>4.1599772883165478E-2</v>
      </c>
      <c r="H45" s="17">
        <f t="shared" si="3"/>
        <v>-2.7116057058159893E-2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4.8401076605141508E-2</v>
      </c>
      <c r="E46" s="248">
        <f>(E31+E32)/E11</f>
        <v>4.9623918907555437E-2</v>
      </c>
      <c r="F46" s="248">
        <f>(F31+F32)/F11</f>
        <v>4.7408105731670598E-2</v>
      </c>
      <c r="G46" s="248">
        <f>(G31+G32)/G11</f>
        <v>2.7670603040481714E-2</v>
      </c>
      <c r="H46" s="279">
        <f>((G31+G32)/(D31+D32))^(1/3)-1</f>
        <v>-0.18719619219547579</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5.8923245303979084E-2</v>
      </c>
      <c r="E47" s="248">
        <f>1/E43</f>
        <v>8.6202166523843757E-2</v>
      </c>
      <c r="F47" s="248">
        <f>1/F43</f>
        <v>0.11436715108797874</v>
      </c>
      <c r="G47" s="248">
        <f>1/G43</f>
        <v>0.12992846971293237</v>
      </c>
      <c r="H47" s="17">
        <f>H29</f>
        <v>0.25405442336845563</v>
      </c>
      <c r="I47" s="247"/>
      <c r="J47" s="248"/>
      <c r="K47" s="248"/>
      <c r="L47" s="248"/>
      <c r="M47" s="248"/>
      <c r="N47" s="248"/>
      <c r="O47" s="248"/>
      <c r="Q47" s="5"/>
      <c r="R47" s="5"/>
      <c r="S47" s="5"/>
      <c r="T47" s="5"/>
      <c r="U47" s="5"/>
      <c r="AA47" s="303"/>
      <c r="AB47" s="303"/>
    </row>
    <row r="48" spans="2:42">
      <c r="B48" s="5" t="s">
        <v>613</v>
      </c>
      <c r="C48" s="5"/>
      <c r="D48" s="305">
        <f>D31/D29</f>
        <v>1.086638257840246</v>
      </c>
      <c r="E48" s="305">
        <f>E31/E29</f>
        <v>0.65510276008822732</v>
      </c>
      <c r="F48" s="305">
        <f>F31/F29</f>
        <v>0.54150038048760718</v>
      </c>
      <c r="G48" s="305">
        <f>G31/G29</f>
        <v>0.50736317802626585</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70" orientation="landscape"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70">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315</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545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EM'!D37</f>
        <v>1.7568504876692785</v>
      </c>
      <c r="M9" s="64">
        <f>'AGG EM'!E37</f>
        <v>1.6557505993722963</v>
      </c>
      <c r="N9" s="64">
        <f>'AGG EM'!F37</f>
        <v>1.4867932994499977</v>
      </c>
      <c r="O9" s="64">
        <f>'AGG EM'!G37</f>
        <v>1.3237610851186894</v>
      </c>
      <c r="P9" s="17">
        <f>'AGG EM'!H37</f>
        <v>4.2237881472639405E-2</v>
      </c>
    </row>
    <row r="10" spans="2:63">
      <c r="B10" s="5" t="s">
        <v>269</v>
      </c>
      <c r="C10" s="5"/>
      <c r="D10" s="332"/>
      <c r="E10" s="332"/>
      <c r="F10" s="332"/>
      <c r="G10" s="332"/>
      <c r="H10" s="247"/>
      <c r="I10" s="247"/>
      <c r="J10" s="5" t="s">
        <v>180</v>
      </c>
      <c r="L10" s="64">
        <f>'AGG EM'!D38</f>
        <v>5.1440316657520277</v>
      </c>
      <c r="M10" s="64">
        <f>'AGG EM'!E38</f>
        <v>4.8353866940625734</v>
      </c>
      <c r="N10" s="64">
        <f>'AGG EM'!F38</f>
        <v>4.3122989607565385</v>
      </c>
      <c r="O10" s="64">
        <f>'AGG EM'!G38</f>
        <v>3.8049801727031363</v>
      </c>
      <c r="P10" s="17">
        <f>'AGG EM'!H38</f>
        <v>4.8678106743502703E-2</v>
      </c>
      <c r="W10" s="10"/>
      <c r="X10" s="10"/>
      <c r="Y10" s="10"/>
      <c r="Z10" s="10"/>
    </row>
    <row r="11" spans="2:63">
      <c r="B11" s="41" t="s">
        <v>518</v>
      </c>
      <c r="C11" s="5"/>
      <c r="D11" s="271">
        <f>'AGG DM ASIA'!D11+'W.EUR AGG'!D11/Prices!$F$155+'US AGG'!D11</f>
        <v>1760153.1080832889</v>
      </c>
      <c r="E11" s="271">
        <f>'AGG DM ASIA'!E11+'W.EUR AGG'!E11/Prices!$F$155+'US AGG'!E11</f>
        <v>1718445.7177604055</v>
      </c>
      <c r="F11" s="271">
        <f>'AGG DM ASIA'!F11+'W.EUR AGG'!F11/Prices!$F$155+'US AGG'!F11</f>
        <v>1674409.6608575464</v>
      </c>
      <c r="G11" s="271">
        <f>'AGG DM ASIA'!G11+'W.EUR AGG'!G11/Prices!$F$155+'US AGG'!G11</f>
        <v>1631003.6983669833</v>
      </c>
      <c r="H11" s="249"/>
      <c r="I11" s="249"/>
      <c r="J11" s="5" t="s">
        <v>181</v>
      </c>
      <c r="L11" s="64">
        <f>'AGG EM'!D39</f>
        <v>10.995479606644533</v>
      </c>
      <c r="M11" s="64">
        <f>'AGG EM'!E39</f>
        <v>9.5892649604733364</v>
      </c>
      <c r="N11" s="64">
        <f>'AGG EM'!F39</f>
        <v>8.1142047815241369</v>
      </c>
      <c r="O11" s="64">
        <f>'AGG EM'!G39</f>
        <v>6.8473836589479324</v>
      </c>
      <c r="P11" s="17">
        <f>'AGG EM'!H39</f>
        <v>0.11059307549826269</v>
      </c>
      <c r="W11" s="10"/>
      <c r="X11" s="10"/>
      <c r="Y11" s="10"/>
      <c r="Z11" s="10"/>
    </row>
    <row r="12" spans="2:63">
      <c r="B12" s="5" t="s">
        <v>225</v>
      </c>
      <c r="C12" s="249"/>
      <c r="D12" s="228">
        <f>'AGG DM ASIA'!D12+'W.EUR AGG'!D12/Prices!$F$155+'US AGG'!D12</f>
        <v>1055508.3735696927</v>
      </c>
      <c r="E12" s="228">
        <f>'AGG DM ASIA'!E12+'W.EUR AGG'!E12/Prices!$F$155+'US AGG'!E12</f>
        <v>1042291.9240902656</v>
      </c>
      <c r="F12" s="228">
        <f>'AGG DM ASIA'!F12+'W.EUR AGG'!F12/Prices!$F$155+'US AGG'!F12</f>
        <v>1033901.1138131274</v>
      </c>
      <c r="G12" s="228">
        <f>'AGG DM ASIA'!G12+'W.EUR AGG'!G12/Prices!$F$155+'US AGG'!G12</f>
        <v>1023760.1442344569</v>
      </c>
      <c r="H12" s="247"/>
      <c r="I12" s="247"/>
      <c r="J12" s="5" t="s">
        <v>461</v>
      </c>
      <c r="L12" s="64">
        <f>'AGG EM'!D40</f>
        <v>14.520348963598265</v>
      </c>
      <c r="M12" s="64">
        <f>'AGG EM'!E40</f>
        <v>12.588336648928733</v>
      </c>
      <c r="N12" s="64">
        <f>'AGG EM'!F40</f>
        <v>10.782973360794294</v>
      </c>
      <c r="O12" s="64">
        <f>'AGG EM'!G40</f>
        <v>9.0993411007602809</v>
      </c>
      <c r="P12" s="17">
        <f>'AGG EM'!H40</f>
        <v>0.10827488676451624</v>
      </c>
      <c r="W12" s="10"/>
      <c r="X12" s="10"/>
      <c r="Y12" s="10"/>
      <c r="Z12" s="10"/>
    </row>
    <row r="13" spans="2:63">
      <c r="B13" s="5" t="s">
        <v>524</v>
      </c>
      <c r="C13" s="257"/>
      <c r="D13" s="228">
        <f>'AGG DM ASIA'!D13+'W.EUR AGG'!D13/Prices!$F$155+'US AGG'!D13</f>
        <v>93796.23524562364</v>
      </c>
      <c r="E13" s="228">
        <f>'AGG DM ASIA'!E13+'W.EUR AGG'!E13/Prices!$F$155+'US AGG'!E13</f>
        <v>92747.484862156547</v>
      </c>
      <c r="F13" s="228">
        <f>'AGG DM ASIA'!F13+'W.EUR AGG'!F13/Prices!$F$155+'US AGG'!F13</f>
        <v>90543.87836045635</v>
      </c>
      <c r="G13" s="228">
        <f>'AGG DM ASIA'!G13+'W.EUR AGG'!G13/Prices!$F$155+'US AGG'!G13</f>
        <v>88651.252908902883</v>
      </c>
      <c r="H13" s="247"/>
      <c r="I13" s="247"/>
      <c r="J13" s="5" t="s">
        <v>525</v>
      </c>
      <c r="L13" s="64">
        <f>'AGG EM'!D41</f>
        <v>1.3238253427535878</v>
      </c>
      <c r="M13" s="64">
        <f>'AGG EM'!E41</f>
        <v>1.3149929904097803</v>
      </c>
      <c r="N13" s="64">
        <f>'AGG EM'!F41</f>
        <v>1.2546648940766489</v>
      </c>
      <c r="O13" s="64">
        <f>'AGG EM'!G41</f>
        <v>1.1810433829047893</v>
      </c>
      <c r="P13" s="17">
        <f>'AGG EM'!H41</f>
        <v>-1.4824953823212472E-2</v>
      </c>
    </row>
    <row r="14" spans="2:63">
      <c r="B14" s="5" t="s">
        <v>527</v>
      </c>
      <c r="C14" s="274"/>
      <c r="D14" s="228">
        <f>'AGG DM ASIA'!D14+'W.EUR AGG'!D14/Prices!$F$155+'US AGG'!D14</f>
        <v>65302.625168646475</v>
      </c>
      <c r="E14" s="228">
        <f>'AGG DM ASIA'!E14+'W.EUR AGG'!E14/Prices!$F$155+'US AGG'!E14</f>
        <v>66592.667682597763</v>
      </c>
      <c r="F14" s="228">
        <f>'AGG DM ASIA'!F14+'W.EUR AGG'!F14/Prices!$F$155+'US AGG'!F14</f>
        <v>66643.969776207436</v>
      </c>
      <c r="G14" s="228">
        <f>'AGG DM ASIA'!G14+'W.EUR AGG'!G14/Prices!$F$155+'US AGG'!G14</f>
        <v>67236.380184744747</v>
      </c>
      <c r="H14" s="247"/>
      <c r="I14" s="247"/>
      <c r="J14" s="5" t="s">
        <v>588</v>
      </c>
      <c r="L14" s="64">
        <f>'AGG EM'!D42</f>
        <v>2.0711803682152934</v>
      </c>
      <c r="M14" s="64">
        <f>'AGG EM'!E42</f>
        <v>2.0248906449245871</v>
      </c>
      <c r="N14" s="64">
        <f>'AGG EM'!F42</f>
        <v>1.9071372802806041</v>
      </c>
      <c r="O14" s="64">
        <f>'AGG EM'!G42</f>
        <v>1.8113330320796608</v>
      </c>
      <c r="P14" s="17">
        <f>'AGG EM'!H42</f>
        <v>-8.2588640298681959E-3</v>
      </c>
    </row>
    <row r="15" spans="2:63">
      <c r="B15" s="5" t="s">
        <v>526</v>
      </c>
      <c r="C15" s="257"/>
      <c r="D15" s="228">
        <f>'AGG DM ASIA'!D15+'W.EUR AGG'!D15/Prices!$F$155+'US AGG'!D15</f>
        <v>177739.84237615665</v>
      </c>
      <c r="E15" s="228">
        <f>'AGG DM ASIA'!E15+'W.EUR AGG'!E15/Prices!$F$155+'US AGG'!E15</f>
        <v>174335.37148042768</v>
      </c>
      <c r="F15" s="228">
        <f>'AGG DM ASIA'!F15+'W.EUR AGG'!F15/Prices!$F$155+'US AGG'!F15</f>
        <v>171839.42105422006</v>
      </c>
      <c r="G15" s="228">
        <f>'AGG DM ASIA'!G15+'W.EUR AGG'!G15/Prices!$F$155+'US AGG'!G15</f>
        <v>168959.60999035166</v>
      </c>
      <c r="H15" s="247"/>
      <c r="I15" s="247"/>
      <c r="J15" s="5" t="s">
        <v>470</v>
      </c>
      <c r="L15" s="64">
        <f>'AGG EM'!D43</f>
        <v>19.941396485994044</v>
      </c>
      <c r="M15" s="64">
        <f>'AGG EM'!E43</f>
        <v>16.131685917921274</v>
      </c>
      <c r="N15" s="64">
        <f>'AGG EM'!F43</f>
        <v>13.571473710874955</v>
      </c>
      <c r="O15" s="64">
        <f>'AGG EM'!G43</f>
        <v>11.537221469167157</v>
      </c>
      <c r="P15" s="17">
        <f>'AGG EM'!H43</f>
        <v>0.19756422158027021</v>
      </c>
      <c r="S15" s="88"/>
      <c r="T15" s="88"/>
      <c r="U15" s="88"/>
      <c r="V15" s="42"/>
      <c r="W15" s="42"/>
      <c r="X15" s="42"/>
      <c r="Y15" s="42"/>
      <c r="Z15" s="42"/>
      <c r="AA15" s="42"/>
    </row>
    <row r="16" spans="2:63">
      <c r="B16" s="5" t="s">
        <v>529</v>
      </c>
      <c r="C16" s="257"/>
      <c r="D16" s="228">
        <f>'AGG DM ASIA'!D16+'W.EUR AGG'!D16/Prices!$F$155+'US AGG'!D16</f>
        <v>75026.170555470453</v>
      </c>
      <c r="E16" s="228">
        <f>'AGG DM ASIA'!E16+'W.EUR AGG'!E16/Prices!$F$155+'US AGG'!E16</f>
        <v>117433.29691045746</v>
      </c>
      <c r="F16" s="228">
        <f>'AGG DM ASIA'!F16+'W.EUR AGG'!F16/Prices!$F$155+'US AGG'!F16</f>
        <v>183120.91468739125</v>
      </c>
      <c r="G16" s="228">
        <f>'AGG DM ASIA'!G16+'W.EUR AGG'!G16/Prices!$F$155+'US AGG'!G16</f>
        <v>250349.54779031093</v>
      </c>
      <c r="H16" s="247"/>
      <c r="I16" s="247"/>
      <c r="J16" s="5" t="s">
        <v>528</v>
      </c>
      <c r="L16" s="64">
        <f>'AGG EM'!D44</f>
        <v>18.269093770217651</v>
      </c>
      <c r="M16" s="64">
        <f>'AGG EM'!E44</f>
        <v>15.568805131794383</v>
      </c>
      <c r="N16" s="64">
        <f>'AGG EM'!F44</f>
        <v>13.199234812647555</v>
      </c>
      <c r="O16" s="64">
        <f>'AGG EM'!G44</f>
        <v>11.401551775928532</v>
      </c>
      <c r="P16" s="17">
        <f>'AGG EM'!H44</f>
        <v>0.16848189780945066</v>
      </c>
      <c r="S16" s="88"/>
      <c r="T16" s="88"/>
      <c r="U16" s="88"/>
      <c r="V16" s="42"/>
      <c r="W16" s="42"/>
      <c r="X16" s="42"/>
      <c r="Y16" s="42"/>
      <c r="Z16" s="42"/>
      <c r="AA16" s="42"/>
    </row>
    <row r="17" spans="2:27">
      <c r="B17" s="5" t="s">
        <v>6</v>
      </c>
      <c r="C17" s="257"/>
      <c r="D17" s="228">
        <f>'AGG DM ASIA'!D17+'W.EUR AGG'!D17/Prices!$F$155+'US AGG'!D17</f>
        <v>8044.7944520374313</v>
      </c>
      <c r="E17" s="228">
        <f>'AGG DM ASIA'!E17+'W.EUR AGG'!E17/Prices!$F$155+'US AGG'!E17</f>
        <v>7843.272957790281</v>
      </c>
      <c r="F17" s="228">
        <f>'AGG DM ASIA'!F17+'W.EUR AGG'!F17/Prices!$F$155+'US AGG'!F17</f>
        <v>7632.8687409070562</v>
      </c>
      <c r="G17" s="228">
        <f>'AGG DM ASIA'!G17+'W.EUR AGG'!G17/Prices!$F$155+'US AGG'!G17</f>
        <v>7434.7100302366835</v>
      </c>
      <c r="H17" s="247"/>
      <c r="I17" s="247"/>
      <c r="J17" s="5" t="s">
        <v>575</v>
      </c>
      <c r="L17" s="248">
        <f>'AGG EM'!D45</f>
        <v>3.9575725452429565E-2</v>
      </c>
      <c r="M17" s="248">
        <f>'AGG EM'!E45</f>
        <v>4.4599307126826686E-2</v>
      </c>
      <c r="N17" s="248">
        <f>'AGG EM'!F45</f>
        <v>5.062338744034766E-2</v>
      </c>
      <c r="O17" s="248">
        <f>'AGG EM'!G45</f>
        <v>5.8280255420076719E-2</v>
      </c>
      <c r="P17" s="17">
        <f>'AGG EM'!H45</f>
        <v>0.13606146505400307</v>
      </c>
      <c r="S17" s="88"/>
      <c r="T17" s="88"/>
      <c r="U17" s="88"/>
      <c r="V17" s="42"/>
      <c r="W17" s="42"/>
      <c r="X17" s="42"/>
      <c r="Y17" s="42"/>
      <c r="Z17" s="42"/>
      <c r="AA17" s="42"/>
    </row>
    <row r="18" spans="2:27" ht="12.6" thickBot="1">
      <c r="B18" s="41" t="s">
        <v>88</v>
      </c>
      <c r="C18" s="249"/>
      <c r="D18" s="275">
        <f>'AGG DM ASIA'!D18+'W.EUR AGG'!D18/Prices!$F$155+'US AGG'!D18</f>
        <v>2938823.9690986075</v>
      </c>
      <c r="E18" s="275">
        <f>'AGG DM ASIA'!E18+'W.EUR AGG'!E18/Prices!$F$155+'US AGG'!E18</f>
        <v>2835951.2606424103</v>
      </c>
      <c r="F18" s="275">
        <f>'AGG DM ASIA'!F18+'W.EUR AGG'!F18/Prices!$F$155+'US AGG'!F18</f>
        <v>2713296.3208808443</v>
      </c>
      <c r="G18" s="275">
        <f>'AGG DM ASIA'!G18+'W.EUR AGG'!G18/Prices!$F$155+'US AGG'!G18</f>
        <v>2587354.0674954024</v>
      </c>
      <c r="H18" s="276">
        <f>IF(D18=0,"nm",IF(G18=0,"nm",(G18/D18)^(1/3)-1))</f>
        <v>-4.1569195885596821E-2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'AGG EM'!D47</f>
        <v>5.0146939343107481E-2</v>
      </c>
      <c r="M19" s="248">
        <f>'AGG EM'!E47</f>
        <v>6.1989801009519022E-2</v>
      </c>
      <c r="N19" s="248">
        <f>'AGG EM'!F47</f>
        <v>7.3683965448696279E-2</v>
      </c>
      <c r="O19" s="248">
        <f>'AGG EM'!G47</f>
        <v>8.6675981966062354E-2</v>
      </c>
      <c r="P19" s="17">
        <f>'AGG EM'!H47</f>
        <v>0.19756422158027021</v>
      </c>
      <c r="S19" s="88"/>
      <c r="T19" s="88"/>
      <c r="U19" s="88"/>
      <c r="V19" s="42"/>
      <c r="W19" s="42"/>
      <c r="X19" s="42"/>
      <c r="Y19" s="42"/>
      <c r="Z19" s="42"/>
      <c r="AA19" s="42"/>
    </row>
    <row r="20" spans="2:27">
      <c r="H20" s="277"/>
      <c r="I20" s="49"/>
      <c r="J20" s="5" t="s">
        <v>599</v>
      </c>
      <c r="L20" s="248">
        <f>'AGG EM'!D48</f>
        <v>0.7811093796944828</v>
      </c>
      <c r="M20" s="248">
        <f>'AGG EM'!E48</f>
        <v>0.71190259032608272</v>
      </c>
      <c r="N20" s="248">
        <f>'AGG EM'!F48</f>
        <v>0.68014626513904075</v>
      </c>
      <c r="O20" s="248">
        <f>'AGG EM'!G48</f>
        <v>0.66683886253088454</v>
      </c>
      <c r="P20" s="17" t="str">
        <f>'AGG EM'!H48</f>
        <v>nm</v>
      </c>
      <c r="S20" s="42"/>
      <c r="T20" s="42"/>
      <c r="U20" s="42"/>
      <c r="V20" s="42"/>
      <c r="W20" s="42"/>
      <c r="X20" s="42"/>
      <c r="Y20" s="42"/>
      <c r="Z20" s="42"/>
      <c r="AA20" s="42"/>
    </row>
    <row r="21" spans="2:27" ht="12.6" thickBot="1">
      <c r="B21" s="306" t="s">
        <v>303</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'AGG DM ASIA'!C23+'W.EUR AGG'!C23/Prices!$F$155+'US AGG'!C23</f>
        <v>1170082.1126936004</v>
      </c>
      <c r="D23" s="228">
        <f>'AGG DM ASIA'!D23+'W.EUR AGG'!D23/Prices!$F$155+'US AGG'!D23</f>
        <v>1173701.8029540181</v>
      </c>
      <c r="E23" s="228">
        <f>'AGG DM ASIA'!E23+'W.EUR AGG'!E23/Prices!$F$155+'US AGG'!E23</f>
        <v>1194015.6877592658</v>
      </c>
      <c r="F23" s="228">
        <f>'AGG DM ASIA'!F23+'W.EUR AGG'!F23/Prices!$F$155+'US AGG'!F23</f>
        <v>1219885.9571421037</v>
      </c>
      <c r="G23" s="228">
        <f>'AGG DM ASIA'!G23+'W.EUR AGG'!G23/Prices!$F$155+'US AGG'!G23</f>
        <v>1247577.3939755736</v>
      </c>
      <c r="H23" s="279">
        <f t="shared" ref="H23:H33" si="0">IF(D23=0,"nm",IF(G23=0,"nm",(G23/D23)^(1/3)-1))</f>
        <v>2.0555376527773284E-2</v>
      </c>
      <c r="I23" s="249"/>
      <c r="J23" s="306" t="s">
        <v>9</v>
      </c>
      <c r="K23" s="306"/>
      <c r="L23" s="265" t="str">
        <f>L5</f>
        <v>2023E</v>
      </c>
      <c r="M23" s="265" t="str">
        <f>M5</f>
        <v>2024E</v>
      </c>
      <c r="N23" s="265" t="str">
        <f>N5</f>
        <v>2025E</v>
      </c>
      <c r="O23" s="265" t="str">
        <f>O5</f>
        <v>2026E</v>
      </c>
      <c r="P23" s="282" t="str">
        <f>P5</f>
        <v>23E-26E</v>
      </c>
      <c r="S23" s="42"/>
      <c r="T23" s="42"/>
      <c r="U23" s="42"/>
      <c r="V23" s="42"/>
      <c r="W23" s="42" t="s">
        <v>26</v>
      </c>
      <c r="X23" s="42" t="s">
        <v>537</v>
      </c>
      <c r="Y23" s="42"/>
      <c r="Z23" s="42"/>
      <c r="AA23" s="42"/>
    </row>
    <row r="24" spans="2:27" ht="12.6" thickTop="1">
      <c r="B24" s="5" t="s">
        <v>478</v>
      </c>
      <c r="C24" s="365">
        <f>'AGG DM ASIA'!C24+'W.EUR AGG'!C24/Prices!$F$155+'US AGG'!C24</f>
        <v>386078.89033542515</v>
      </c>
      <c r="D24" s="228">
        <f>'AGG DM ASIA'!D24+'W.EUR AGG'!D24/Prices!$F$155+'US AGG'!D24</f>
        <v>391830.84111754975</v>
      </c>
      <c r="E24" s="228">
        <f>'AGG DM ASIA'!E24+'W.EUR AGG'!E24/Prices!$F$155+'US AGG'!E24</f>
        <v>401502.46423160797</v>
      </c>
      <c r="F24" s="228">
        <f>'AGG DM ASIA'!F24+'W.EUR AGG'!F24/Prices!$F$155+'US AGG'!F24</f>
        <v>418228.9173859458</v>
      </c>
      <c r="G24" s="228">
        <f>'AGG DM ASIA'!G24+'W.EUR AGG'!G24/Prices!$F$155+'US AGG'!G24</f>
        <v>433304.32728460303</v>
      </c>
      <c r="H24" s="279">
        <f t="shared" si="0"/>
        <v>3.4105393529800354E-2</v>
      </c>
      <c r="I24" s="248"/>
      <c r="J24" s="17"/>
      <c r="K24" s="17"/>
      <c r="L24" s="17"/>
      <c r="M24" s="17"/>
      <c r="N24" s="17"/>
      <c r="O24" s="248"/>
      <c r="S24" s="42"/>
      <c r="T24" s="42"/>
      <c r="U24" s="42"/>
      <c r="V24" s="147" t="s">
        <v>268</v>
      </c>
      <c r="W24" s="357">
        <f t="shared" ref="W24:W31" si="1">E37/M9</f>
        <v>1.4344777253192598</v>
      </c>
      <c r="X24" s="288">
        <v>1</v>
      </c>
      <c r="Y24" s="42"/>
      <c r="Z24" s="42"/>
      <c r="AA24" s="42"/>
    </row>
    <row r="25" spans="2:27">
      <c r="B25" s="5" t="s">
        <v>179</v>
      </c>
      <c r="C25" s="365">
        <f>'AGG DM ASIA'!C25+'W.EUR AGG'!C25/Prices!$F$155+'US AGG'!C25</f>
        <v>181745.81972332048</v>
      </c>
      <c r="D25" s="228">
        <f>'AGG DM ASIA'!D25+'W.EUR AGG'!D25/Prices!$F$155+'US AGG'!D25</f>
        <v>203324.12902819214</v>
      </c>
      <c r="E25" s="228">
        <f>'AGG DM ASIA'!E25+'W.EUR AGG'!E25/Prices!$F$155+'US AGG'!E25</f>
        <v>224498.20728956978</v>
      </c>
      <c r="F25" s="228">
        <f>'AGG DM ASIA'!F25+'W.EUR AGG'!F25/Prices!$F$155+'US AGG'!F25</f>
        <v>243374.61259104477</v>
      </c>
      <c r="G25" s="228">
        <f>'AGG DM ASIA'!G25+'W.EUR AGG'!G25/Prices!$F$155+'US AGG'!G25</f>
        <v>262538.21993823064</v>
      </c>
      <c r="H25" s="279">
        <f t="shared" si="0"/>
        <v>8.8933115291126796E-2</v>
      </c>
      <c r="I25" s="249"/>
      <c r="J25" s="247" t="s">
        <v>10</v>
      </c>
      <c r="K25" s="247"/>
      <c r="L25" s="332">
        <f>'AGG DM ASIA'!L25+'W.EUR AGG'!L25/Prices!$F$155+'US AGG'!L25</f>
        <v>86313.548603266507</v>
      </c>
      <c r="M25" s="332">
        <f>'AGG DM ASIA'!M25+'W.EUR AGG'!M25/Prices!$F$155+'US AGG'!M25</f>
        <v>87660.303276731138</v>
      </c>
      <c r="N25" s="332">
        <f>'AGG DM ASIA'!N25+'W.EUR AGG'!N25/Prices!$F$155+'US AGG'!N25</f>
        <v>83820.348421821298</v>
      </c>
      <c r="O25" s="332">
        <f>'AGG DM ASIA'!O25+'W.EUR AGG'!O25/Prices!$F$155+'US AGG'!O25</f>
        <v>74990.718241239563</v>
      </c>
      <c r="P25" s="279">
        <f>IF(L25=0,"nm",IF(O25=0,"nm",(O25/L25)^(1/3)-1))</f>
        <v>-4.5792453271204514E-2</v>
      </c>
      <c r="Q25" s="5"/>
      <c r="S25" s="42"/>
      <c r="T25" s="42"/>
      <c r="U25" s="42"/>
      <c r="V25" s="147" t="s">
        <v>180</v>
      </c>
      <c r="W25" s="357">
        <f t="shared" si="1"/>
        <v>1.4607615755736452</v>
      </c>
      <c r="X25" s="288">
        <v>1</v>
      </c>
      <c r="Y25" s="42"/>
      <c r="Z25" s="42"/>
      <c r="AA25" s="42"/>
    </row>
    <row r="26" spans="2:27">
      <c r="B26" s="5" t="s">
        <v>581</v>
      </c>
      <c r="C26" s="365">
        <f>'AGG DM ASIA'!C26+'W.EUR AGG'!C26/Prices!$F$155+'US AGG'!C26</f>
        <v>124104.37508851639</v>
      </c>
      <c r="D26" s="228">
        <f>'AGG DM ASIA'!D26+'W.EUR AGG'!D26/Prices!$F$155+'US AGG'!D26</f>
        <v>143429.98549023204</v>
      </c>
      <c r="E26" s="228">
        <f>'AGG DM ASIA'!E26+'W.EUR AGG'!E26/Prices!$F$155+'US AGG'!E26</f>
        <v>157814.85700942349</v>
      </c>
      <c r="F26" s="228">
        <f>'AGG DM ASIA'!F26+'W.EUR AGG'!F26/Prices!$F$155+'US AGG'!F26</f>
        <v>170698.7203278268</v>
      </c>
      <c r="G26" s="228">
        <f>'AGG DM ASIA'!G26+'W.EUR AGG'!G26/Prices!$F$155+'US AGG'!G26</f>
        <v>184882.79167324543</v>
      </c>
      <c r="H26" s="279">
        <f t="shared" si="0"/>
        <v>8.8308894519717684E-2</v>
      </c>
      <c r="I26" s="249"/>
      <c r="J26" s="249" t="s">
        <v>11</v>
      </c>
      <c r="K26" s="249"/>
      <c r="L26" s="281">
        <f>'AGG DM ASIA'!L26+'W.EUR AGG'!L26/Prices!$F$155+'US AGG'!L26</f>
        <v>1753044.0871607284</v>
      </c>
      <c r="M26" s="281">
        <f>'AGG DM ASIA'!M26+'W.EUR AGG'!M26/Prices!$F$155+'US AGG'!M26</f>
        <v>1712698.2210444137</v>
      </c>
      <c r="N26" s="281">
        <f>'AGG DM ASIA'!N26+'W.EUR AGG'!N26/Prices!$F$155+'US AGG'!N26</f>
        <v>1664819.8442612556</v>
      </c>
      <c r="O26" s="281">
        <f>'AGG DM ASIA'!O26+'W.EUR AGG'!O26/Prices!$F$155+'US AGG'!O26</f>
        <v>1612611.2943172082</v>
      </c>
      <c r="P26" s="279">
        <f>IF(L26=0,"nm",IF(O26=0,"nm",(O26/L26)^(1/3)-1))</f>
        <v>-2.7449220451153611E-2</v>
      </c>
      <c r="Q26" s="41"/>
      <c r="S26" s="42"/>
      <c r="T26" s="42"/>
      <c r="U26" s="42"/>
      <c r="V26" s="147" t="s">
        <v>181</v>
      </c>
      <c r="W26" s="357">
        <f t="shared" si="1"/>
        <v>1.317348152141367</v>
      </c>
      <c r="X26" s="288">
        <v>1</v>
      </c>
      <c r="Y26" s="42"/>
      <c r="Z26" s="42"/>
      <c r="AA26" s="42"/>
    </row>
    <row r="27" spans="2:27">
      <c r="B27" s="5" t="s">
        <v>582</v>
      </c>
      <c r="C27" s="365">
        <f>'AGG DM ASIA'!C27+'W.EUR AGG'!C27/Prices!$F$155+'US AGG'!C27</f>
        <v>1767268.2093741463</v>
      </c>
      <c r="D27" s="228">
        <f>'AGG DM ASIA'!D27+'W.EUR AGG'!D27/Prices!$F$155+'US AGG'!D27</f>
        <v>2030848.282565031</v>
      </c>
      <c r="E27" s="228">
        <f>'AGG DM ASIA'!E27+'W.EUR AGG'!E27/Prices!$F$155+'US AGG'!E27</f>
        <v>1863236.3157842578</v>
      </c>
      <c r="F27" s="228">
        <f>'AGG DM ASIA'!F27+'W.EUR AGG'!F27/Prices!$F$155+'US AGG'!F27</f>
        <v>1870591.4714300279</v>
      </c>
      <c r="G27" s="228">
        <f>'AGG DM ASIA'!G27+'W.EUR AGG'!G27/Prices!$F$155+'US AGG'!G27</f>
        <v>1877116.3708631746</v>
      </c>
      <c r="H27" s="279">
        <f t="shared" si="0"/>
        <v>-2.5897691811048396E-2</v>
      </c>
      <c r="I27" s="248"/>
      <c r="J27" s="248"/>
      <c r="K27" s="248"/>
      <c r="L27" s="248"/>
      <c r="M27" s="248"/>
      <c r="N27" s="248"/>
      <c r="O27" s="248"/>
      <c r="Q27" s="5"/>
      <c r="S27" s="42"/>
      <c r="T27" s="42"/>
      <c r="U27" s="42"/>
      <c r="V27" s="147" t="s">
        <v>461</v>
      </c>
      <c r="W27" s="357">
        <f t="shared" si="1"/>
        <v>1.4275210724224352</v>
      </c>
      <c r="X27" s="288">
        <v>1</v>
      </c>
      <c r="Y27" s="42"/>
      <c r="Z27" s="42"/>
      <c r="AA27" s="42"/>
    </row>
    <row r="28" spans="2:27" ht="12.6" thickBot="1">
      <c r="B28" s="5" t="s">
        <v>587</v>
      </c>
      <c r="C28" s="365">
        <f>'AGG DM ASIA'!C28+'W.EUR AGG'!C28/Prices!$F$155+'US AGG'!C28</f>
        <v>734648.55828223564</v>
      </c>
      <c r="D28" s="228">
        <f>'AGG DM ASIA'!D28+'W.EUR AGG'!D28/Prices!$F$155+'US AGG'!D28</f>
        <v>823310.91255372064</v>
      </c>
      <c r="E28" s="228">
        <f>'AGG DM ASIA'!E28+'W.EUR AGG'!E28/Prices!$F$155+'US AGG'!E28</f>
        <v>807173.22859499278</v>
      </c>
      <c r="F28" s="228">
        <f>'AGG DM ASIA'!F28+'W.EUR AGG'!F28/Prices!$F$155+'US AGG'!F28</f>
        <v>800760.9240263016</v>
      </c>
      <c r="G28" s="228">
        <f>'AGG DM ASIA'!G28+'W.EUR AGG'!G28/Prices!$F$155+'US AGG'!G28</f>
        <v>790123.70874196815</v>
      </c>
      <c r="H28" s="279">
        <f t="shared" si="0"/>
        <v>-1.3621174796897284E-2</v>
      </c>
      <c r="I28" s="252"/>
      <c r="J28" s="306" t="s">
        <v>747</v>
      </c>
      <c r="K28" s="306"/>
      <c r="L28" s="306"/>
      <c r="M28" s="306"/>
      <c r="N28" s="266"/>
      <c r="O28" s="266"/>
      <c r="P28" s="266"/>
      <c r="Q28" s="5"/>
      <c r="S28" s="42"/>
      <c r="T28" s="42"/>
      <c r="U28" s="42"/>
      <c r="V28" s="147" t="s">
        <v>525</v>
      </c>
      <c r="W28" s="357">
        <f t="shared" si="1"/>
        <v>1.1574637129251657</v>
      </c>
      <c r="X28" s="288">
        <v>1</v>
      </c>
      <c r="Y28" s="42"/>
      <c r="Z28" s="42"/>
      <c r="AA28" s="42"/>
    </row>
    <row r="29" spans="2:27" ht="12.6" thickTop="1">
      <c r="B29" s="5" t="s">
        <v>583</v>
      </c>
      <c r="C29" s="365">
        <f>'AGG DM ASIA'!C29+'W.EUR AGG'!C29/Prices!$F$155+'US AGG'!C29</f>
        <v>129978.52418884788</v>
      </c>
      <c r="D29" s="228">
        <f>'AGG DM ASIA'!D29+'W.EUR AGG'!D29/Prices!$F$155+'US AGG'!D29</f>
        <v>130116.80391073099</v>
      </c>
      <c r="E29" s="228">
        <f>'AGG DM ASIA'!E29+'W.EUR AGG'!E29/Prices!$F$155+'US AGG'!E29</f>
        <v>135113.63373546588</v>
      </c>
      <c r="F29" s="228">
        <f>'AGG DM ASIA'!F29+'W.EUR AGG'!F29/Prices!$F$155+'US AGG'!F29</f>
        <v>146873.28927144673</v>
      </c>
      <c r="G29" s="228">
        <f>'AGG DM ASIA'!G29+'W.EUR AGG'!G29/Prices!$F$155+'US AGG'!G29</f>
        <v>158952.89567246096</v>
      </c>
      <c r="H29" s="279">
        <f t="shared" si="0"/>
        <v>6.900159277298723E-2</v>
      </c>
      <c r="I29" s="254"/>
      <c r="J29" s="249"/>
      <c r="K29" s="249"/>
      <c r="L29" s="249"/>
      <c r="M29" s="249"/>
      <c r="N29" s="249"/>
      <c r="O29" s="251"/>
      <c r="Q29" s="5"/>
      <c r="S29" s="42"/>
      <c r="T29" s="42"/>
      <c r="U29" s="42"/>
      <c r="V29" s="147" t="s">
        <v>588</v>
      </c>
      <c r="W29" s="357">
        <f t="shared" si="1"/>
        <v>1.7351236905381724</v>
      </c>
      <c r="X29" s="288">
        <v>1</v>
      </c>
      <c r="Y29" s="42"/>
      <c r="Z29" s="42"/>
      <c r="AA29" s="42"/>
    </row>
    <row r="30" spans="2:27">
      <c r="B30" s="5" t="s">
        <v>584</v>
      </c>
      <c r="C30" s="365">
        <f>'AGG DM ASIA'!C30+'W.EUR AGG'!C30/Prices!$F$155+'US AGG'!C30</f>
        <v>120962.99227083886</v>
      </c>
      <c r="D30" s="228">
        <f>'AGG DM ASIA'!D30+'W.EUR AGG'!D30/Prices!$F$155+'US AGG'!D30</f>
        <v>112555.83087174878</v>
      </c>
      <c r="E30" s="228">
        <f>'AGG DM ASIA'!E30+'W.EUR AGG'!E30/Prices!$F$155+'US AGG'!E30</f>
        <v>120838.92068541278</v>
      </c>
      <c r="F30" s="228">
        <f>'AGG DM ASIA'!F30+'W.EUR AGG'!F30/Prices!$F$155+'US AGG'!F30</f>
        <v>133928.67453194151</v>
      </c>
      <c r="G30" s="228">
        <f>'AGG DM ASIA'!G30+'W.EUR AGG'!G30/Prices!$F$155+'US AGG'!G30</f>
        <v>145196.04925509266</v>
      </c>
      <c r="H30" s="279">
        <f t="shared" si="0"/>
        <v>8.8584802895584236E-2</v>
      </c>
      <c r="I30" s="254"/>
      <c r="J30" s="248"/>
      <c r="K30" s="248"/>
      <c r="L30" s="248"/>
      <c r="M30" s="248"/>
      <c r="N30" s="248"/>
      <c r="O30" s="5"/>
      <c r="Q30" s="5"/>
      <c r="S30" s="42"/>
      <c r="T30" s="42"/>
      <c r="U30" s="42"/>
      <c r="V30" s="147" t="s">
        <v>470</v>
      </c>
      <c r="W30" s="357">
        <f t="shared" si="1"/>
        <v>0.78578170815660631</v>
      </c>
      <c r="X30" s="288">
        <v>1</v>
      </c>
      <c r="Y30" s="42"/>
      <c r="Z30" s="42"/>
      <c r="AA30" s="42"/>
    </row>
    <row r="31" spans="2:27">
      <c r="B31" s="5" t="s">
        <v>585</v>
      </c>
      <c r="C31" s="365">
        <f>'AGG DM ASIA'!C31+'W.EUR AGG'!C31/Prices!$F$155+'US AGG'!C31</f>
        <v>60798.730205001964</v>
      </c>
      <c r="D31" s="228">
        <f>'AGG DM ASIA'!D31+'W.EUR AGG'!D31/Prices!$F$155+'US AGG'!D31</f>
        <v>61397.900553531203</v>
      </c>
      <c r="E31" s="228">
        <f>'AGG DM ASIA'!E31+'W.EUR AGG'!E31/Prices!$F$155+'US AGG'!E31</f>
        <v>67195.551517484681</v>
      </c>
      <c r="F31" s="228">
        <f>'AGG DM ASIA'!F31+'W.EUR AGG'!F31/Prices!$F$155+'US AGG'!F31</f>
        <v>69835.817056437096</v>
      </c>
      <c r="G31" s="228">
        <f>'AGG DM ASIA'!G31+'W.EUR AGG'!G31/Prices!$F$155+'US AGG'!G31</f>
        <v>73022.170207471092</v>
      </c>
      <c r="H31" s="279">
        <f t="shared" si="0"/>
        <v>5.9498643383417704E-2</v>
      </c>
      <c r="I31" s="254"/>
      <c r="J31" s="252"/>
      <c r="K31" s="252"/>
      <c r="L31" s="252"/>
      <c r="M31" s="252"/>
      <c r="N31" s="252"/>
      <c r="O31" s="5"/>
      <c r="Q31" s="5"/>
      <c r="S31" s="42"/>
      <c r="T31" s="42"/>
      <c r="U31" s="42"/>
      <c r="V31" s="147" t="s">
        <v>528</v>
      </c>
      <c r="W31" s="357">
        <f t="shared" si="1"/>
        <v>0.91342669095725881</v>
      </c>
      <c r="X31" s="288">
        <v>1</v>
      </c>
      <c r="Y31" s="42"/>
      <c r="Z31" s="42"/>
      <c r="AA31" s="42"/>
    </row>
    <row r="32" spans="2:27">
      <c r="B32" s="5" t="s">
        <v>601</v>
      </c>
      <c r="C32" s="365">
        <f>'AGG DM ASIA'!C32+'W.EUR AGG'!C32/Prices!$F$155+'US AGG'!C32</f>
        <v>29143.937472274207</v>
      </c>
      <c r="D32" s="228">
        <f>'AGG DM ASIA'!D32+'W.EUR AGG'!D32/Prices!$F$155+'US AGG'!D32</f>
        <v>25795.00404515614</v>
      </c>
      <c r="E32" s="228">
        <f>'AGG DM ASIA'!E32+'W.EUR AGG'!E32/Prices!$F$155+'US AGG'!E32</f>
        <v>50085.39446609575</v>
      </c>
      <c r="F32" s="228">
        <f>'AGG DM ASIA'!F32+'W.EUR AGG'!F32/Prices!$F$155+'US AGG'!F32</f>
        <v>50426.339225044634</v>
      </c>
      <c r="G32" s="228">
        <f>'AGG DM ASIA'!G32+'W.EUR AGG'!G32/Prices!$F$155+'US AGG'!G32</f>
        <v>60749.93509336577</v>
      </c>
      <c r="H32" s="279">
        <f t="shared" si="0"/>
        <v>0.33046485219130961</v>
      </c>
      <c r="I32" s="5"/>
      <c r="J32" s="254"/>
      <c r="K32" s="254"/>
      <c r="L32" s="254"/>
      <c r="M32" s="254"/>
      <c r="N32" s="254"/>
      <c r="O32" s="251"/>
      <c r="Q32" s="5"/>
      <c r="S32" s="42"/>
      <c r="T32" s="42"/>
      <c r="U32" s="42"/>
      <c r="V32" s="147" t="s">
        <v>575</v>
      </c>
      <c r="W32" s="288">
        <f>M17/E45</f>
        <v>1.140573841815018</v>
      </c>
      <c r="X32" s="288">
        <v>1</v>
      </c>
      <c r="Y32" s="42"/>
      <c r="Z32" s="42"/>
      <c r="AA32" s="42"/>
    </row>
    <row r="33" spans="2:42">
      <c r="B33" s="5" t="s">
        <v>5</v>
      </c>
      <c r="C33" s="365">
        <f>'AGG DM ASIA'!C33+'W.EUR AGG'!C33/Prices!$F$155+'US AGG'!C33</f>
        <v>30336.065750866277</v>
      </c>
      <c r="D33" s="228">
        <f>'AGG DM ASIA'!D33+'W.EUR AGG'!D33/Prices!$F$155+'US AGG'!D33</f>
        <v>36370.150795976064</v>
      </c>
      <c r="E33" s="228">
        <f>'AGG DM ASIA'!E33+'W.EUR AGG'!E33/Prices!$F$155+'US AGG'!E33</f>
        <v>37967.05832940682</v>
      </c>
      <c r="F33" s="228">
        <f>'AGG DM ASIA'!F33+'W.EUR AGG'!F33/Prices!$F$155+'US AGG'!F33</f>
        <v>36042.24436540305</v>
      </c>
      <c r="G33" s="228">
        <f>'AGG DM ASIA'!G33+'W.EUR AGG'!G33/Prices!$F$155+'US AGG'!G33</f>
        <v>35269.742733411455</v>
      </c>
      <c r="H33" s="279">
        <f t="shared" si="0"/>
        <v>-1.0188724709594754E-2</v>
      </c>
      <c r="I33" s="49"/>
      <c r="J33" s="254"/>
      <c r="K33" s="254"/>
      <c r="L33" s="254"/>
      <c r="M33" s="254"/>
      <c r="N33" s="254"/>
      <c r="O33" s="251"/>
      <c r="Q33" s="5"/>
      <c r="S33" s="42"/>
      <c r="T33" s="42"/>
      <c r="U33" s="42"/>
      <c r="V33" s="147" t="s">
        <v>576</v>
      </c>
      <c r="W33" s="288">
        <f>M19/E47</f>
        <v>0.7857817081566062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D$18/D23</f>
        <v>2.5038932049878952</v>
      </c>
      <c r="E37" s="553">
        <f t="shared" ref="D37:G41" si="2">E$18/E23</f>
        <v>2.3751373534835727</v>
      </c>
      <c r="F37" s="553">
        <f t="shared" si="2"/>
        <v>2.224221292978434</v>
      </c>
      <c r="G37" s="553">
        <f t="shared" si="2"/>
        <v>2.0739026532457836</v>
      </c>
      <c r="H37" s="17">
        <f t="shared" ref="H37:H45" si="3">H23</f>
        <v>2.0555376527773284E-2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7.500236481428364</v>
      </c>
      <c r="E38" s="553">
        <f t="shared" si="2"/>
        <v>7.0633470857266838</v>
      </c>
      <c r="F38" s="553">
        <f t="shared" si="2"/>
        <v>6.4875866017102481</v>
      </c>
      <c r="G38" s="553">
        <f t="shared" si="2"/>
        <v>5.9712167743849367</v>
      </c>
      <c r="H38" s="17">
        <f t="shared" si="3"/>
        <v>3.4105393529800354E-2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14.453886920086703</v>
      </c>
      <c r="E39" s="553">
        <f t="shared" si="2"/>
        <v>12.632400476073508</v>
      </c>
      <c r="F39" s="553">
        <f t="shared" si="2"/>
        <v>11.148641561230297</v>
      </c>
      <c r="G39" s="553">
        <f t="shared" si="2"/>
        <v>9.8551520159775166</v>
      </c>
      <c r="H39" s="17">
        <f t="shared" si="3"/>
        <v>8.8933115291126796E-2</v>
      </c>
      <c r="I39" s="5"/>
      <c r="J39" s="5"/>
      <c r="K39" s="5"/>
      <c r="L39" s="5"/>
      <c r="M39" s="5"/>
      <c r="N39" s="5"/>
      <c r="O39" s="5"/>
      <c r="Q39" s="5"/>
      <c r="R39" s="5"/>
      <c r="S39" s="42"/>
      <c r="T39" s="42"/>
      <c r="U39" s="42"/>
      <c r="V39" s="42"/>
      <c r="W39" s="288"/>
      <c r="X39" s="288"/>
      <c r="Y39" s="42"/>
      <c r="Z39" s="42"/>
      <c r="AA39" s="42"/>
    </row>
    <row r="40" spans="2:42">
      <c r="B40" s="5" t="s">
        <v>461</v>
      </c>
      <c r="C40" s="247"/>
      <c r="D40" s="553">
        <f t="shared" si="2"/>
        <v>20.489606542550682</v>
      </c>
      <c r="E40" s="553">
        <f t="shared" si="2"/>
        <v>17.970115833093388</v>
      </c>
      <c r="F40" s="553">
        <f t="shared" si="2"/>
        <v>15.895235275753445</v>
      </c>
      <c r="G40" s="553">
        <f t="shared" si="2"/>
        <v>13.994564037458879</v>
      </c>
      <c r="H40" s="17">
        <f t="shared" si="3"/>
        <v>8.8308894519717684E-2</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1.4470918356278057</v>
      </c>
      <c r="E41" s="553">
        <f t="shared" si="2"/>
        <v>1.522056669150271</v>
      </c>
      <c r="F41" s="553">
        <f t="shared" si="2"/>
        <v>1.4505018131011718</v>
      </c>
      <c r="G41" s="553">
        <f t="shared" si="2"/>
        <v>1.3783663643110371</v>
      </c>
      <c r="H41" s="17">
        <f t="shared" si="3"/>
        <v>-2.5897691811048396E-2</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3.5695190289450349</v>
      </c>
      <c r="E42" s="553">
        <f>E18/E28</f>
        <v>3.5134357287577695</v>
      </c>
      <c r="F42" s="553">
        <f>F18/F28</f>
        <v>3.3883975097562629</v>
      </c>
      <c r="G42" s="553">
        <f>G18/G28</f>
        <v>3.2746189474746648</v>
      </c>
      <c r="H42" s="17">
        <f t="shared" si="3"/>
        <v>-1.3621174796897284E-2</v>
      </c>
      <c r="I42" s="247"/>
      <c r="J42" s="5"/>
      <c r="K42" s="5"/>
      <c r="L42" s="5"/>
      <c r="M42" s="5"/>
      <c r="N42" s="5"/>
      <c r="O42" s="5"/>
      <c r="Q42" s="5"/>
      <c r="R42" s="5"/>
      <c r="S42" s="42"/>
      <c r="T42" s="42"/>
      <c r="U42" s="42"/>
      <c r="V42" s="42"/>
      <c r="W42" s="288"/>
      <c r="X42" s="288"/>
      <c r="Y42" s="288"/>
      <c r="Z42" s="288"/>
      <c r="AA42" s="42"/>
    </row>
    <row r="43" spans="2:42">
      <c r="B43" s="5" t="s">
        <v>470</v>
      </c>
      <c r="C43" s="247"/>
      <c r="D43" s="553">
        <f>L26/D29</f>
        <v>13.472849274436808</v>
      </c>
      <c r="E43" s="553">
        <f>M26/E29</f>
        <v>12.67598371603005</v>
      </c>
      <c r="F43" s="553">
        <f>N26/F29</f>
        <v>11.33507564594939</v>
      </c>
      <c r="G43" s="553">
        <f>O26/G29</f>
        <v>10.145214955002531</v>
      </c>
      <c r="H43" s="17">
        <f t="shared" si="3"/>
        <v>6.900159277298723E-2</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15.638044643718967</v>
      </c>
      <c r="E44" s="553">
        <f>E11/E30</f>
        <v>14.220962153693332</v>
      </c>
      <c r="F44" s="553">
        <f>F11/F30</f>
        <v>12.502249176356969</v>
      </c>
      <c r="G44" s="553">
        <f>G11/G30</f>
        <v>11.233113481631298</v>
      </c>
      <c r="H44" s="17">
        <f t="shared" si="3"/>
        <v>8.8584802895584236E-2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3.4882136259379262E-2</v>
      </c>
      <c r="E45" s="248">
        <f>E31/E11</f>
        <v>3.9102516199963799E-2</v>
      </c>
      <c r="F45" s="248">
        <f>F31/F11</f>
        <v>4.1707724632137386E-2</v>
      </c>
      <c r="G45" s="248">
        <f>G31/G11</f>
        <v>4.4771308784022613E-2</v>
      </c>
      <c r="H45" s="17">
        <f t="shared" si="3"/>
        <v>5.9498643383417704E-2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4.9537113673955142E-2</v>
      </c>
      <c r="E46" s="248">
        <f>(E31+E32)/E11</f>
        <v>6.8248269218785032E-2</v>
      </c>
      <c r="F46" s="248">
        <f>(F31+F32)/F11</f>
        <v>7.1823615864644294E-2</v>
      </c>
      <c r="G46" s="248">
        <f>(G31+G32)/G11</f>
        <v>8.2018272205497789E-2</v>
      </c>
      <c r="H46" s="279">
        <f>((G31+G32)/(D31+D32))^(1/3)-1</f>
        <v>0.1533509355908349</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7.4223349466054356E-2</v>
      </c>
      <c r="E47" s="248">
        <f>1/E43</f>
        <v>7.8889340851345524E-2</v>
      </c>
      <c r="F47" s="248">
        <f>1/F43</f>
        <v>8.8221731485078517E-2</v>
      </c>
      <c r="G47" s="248">
        <f>1/G43</f>
        <v>9.8568635995919168E-2</v>
      </c>
      <c r="H47" s="17">
        <f>H29</f>
        <v>6.900159277298723E-2</v>
      </c>
      <c r="I47" s="247"/>
      <c r="J47" s="248"/>
      <c r="K47" s="248"/>
      <c r="L47" s="248"/>
      <c r="M47" s="248"/>
      <c r="N47" s="248"/>
      <c r="O47" s="248"/>
      <c r="Q47" s="5"/>
      <c r="R47" s="5"/>
      <c r="S47" s="5"/>
      <c r="T47" s="5"/>
      <c r="U47" s="5"/>
      <c r="AA47" s="303"/>
      <c r="AB47" s="303"/>
    </row>
    <row r="48" spans="2:42">
      <c r="B48" s="5" t="s">
        <v>613</v>
      </c>
      <c r="C48" s="5"/>
      <c r="D48" s="305">
        <f>D31/D29</f>
        <v>0.47186757365831361</v>
      </c>
      <c r="E48" s="305">
        <f>E31/E29</f>
        <v>0.49732621098063601</v>
      </c>
      <c r="F48" s="305">
        <f>F31/F29</f>
        <v>0.47548344156280636</v>
      </c>
      <c r="G48" s="305">
        <f>G31/G29</f>
        <v>0.45939502956863965</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25">
    <tabColor theme="3" tint="0.59999389629810485"/>
    <pageSetUpPr fitToPage="1"/>
  </sheetPr>
  <dimension ref="B1:BK164"/>
  <sheetViews>
    <sheetView showGridLines="0" zoomScale="80" zoomScaleNormal="80" workbookViewId="0">
      <selection activeCell="D12" sqref="D12"/>
    </sheetView>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311</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545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EM'!D37</f>
        <v>1.7568504876692785</v>
      </c>
      <c r="M9" s="64">
        <f>'AGG EM'!E37</f>
        <v>1.6557505993722963</v>
      </c>
      <c r="N9" s="64">
        <f>'AGG EM'!F37</f>
        <v>1.4867932994499977</v>
      </c>
      <c r="O9" s="64">
        <f>'AGG EM'!G37</f>
        <v>1.3237610851186894</v>
      </c>
      <c r="P9" s="17">
        <f>'AGG EM'!H37</f>
        <v>4.2237881472639405E-2</v>
      </c>
    </row>
    <row r="10" spans="2:63">
      <c r="B10" s="5" t="s">
        <v>269</v>
      </c>
      <c r="C10" s="5"/>
      <c r="D10" s="332"/>
      <c r="E10" s="332"/>
      <c r="F10" s="332"/>
      <c r="G10" s="332"/>
      <c r="H10" s="247"/>
      <c r="I10" s="247"/>
      <c r="J10" s="5" t="s">
        <v>180</v>
      </c>
      <c r="L10" s="64">
        <f>'AGG EM'!D38</f>
        <v>5.1440316657520277</v>
      </c>
      <c r="M10" s="64">
        <f>'AGG EM'!E38</f>
        <v>4.8353866940625734</v>
      </c>
      <c r="N10" s="64">
        <f>'AGG EM'!F38</f>
        <v>4.3122989607565385</v>
      </c>
      <c r="O10" s="64">
        <f>'AGG EM'!G38</f>
        <v>3.8049801727031363</v>
      </c>
      <c r="P10" s="17">
        <f>'AGG EM'!H38</f>
        <v>4.8678106743502703E-2</v>
      </c>
      <c r="W10" s="10"/>
      <c r="X10" s="10"/>
      <c r="Y10" s="10"/>
      <c r="Z10" s="10"/>
    </row>
    <row r="11" spans="2:63">
      <c r="B11" s="41" t="s">
        <v>354</v>
      </c>
      <c r="C11" s="5"/>
      <c r="D11" s="271">
        <f>'LATAM INCUMB'!D11+'EMEA INCUMB'!D11+'EM ASIA INCUMB'!D11</f>
        <v>209278.03252837888</v>
      </c>
      <c r="E11" s="271">
        <f>'LATAM INCUMB'!E11+'EMEA INCUMB'!E11+'EM ASIA INCUMB'!E11</f>
        <v>207707.77504010822</v>
      </c>
      <c r="F11" s="271">
        <f>'LATAM INCUMB'!F11+'EMEA INCUMB'!F11+'EM ASIA INCUMB'!F11</f>
        <v>205550.35723690214</v>
      </c>
      <c r="G11" s="271">
        <f>'LATAM INCUMB'!G11+'EMEA INCUMB'!G11+'EM ASIA INCUMB'!G11</f>
        <v>203363.27248289454</v>
      </c>
      <c r="H11" s="249"/>
      <c r="I11" s="249"/>
      <c r="J11" s="5" t="s">
        <v>181</v>
      </c>
      <c r="L11" s="64">
        <f>'AGG EM'!D39</f>
        <v>10.995479606644533</v>
      </c>
      <c r="M11" s="64">
        <f>'AGG EM'!E39</f>
        <v>9.5892649604733364</v>
      </c>
      <c r="N11" s="64">
        <f>'AGG EM'!F39</f>
        <v>8.1142047815241369</v>
      </c>
      <c r="O11" s="64">
        <f>'AGG EM'!G39</f>
        <v>6.8473836589479324</v>
      </c>
      <c r="P11" s="17">
        <f>'AGG EM'!H39</f>
        <v>0.11059307549826269</v>
      </c>
      <c r="W11" s="10"/>
      <c r="X11" s="10"/>
      <c r="Y11" s="10"/>
      <c r="Z11" s="10"/>
    </row>
    <row r="12" spans="2:63">
      <c r="B12" s="5" t="s">
        <v>225</v>
      </c>
      <c r="C12" s="249"/>
      <c r="D12" s="228">
        <f>'LATAM INCUMB'!D12+'EMEA INCUMB'!D12+'EM ASIA INCUMB'!D12</f>
        <v>40195.779746172513</v>
      </c>
      <c r="E12" s="228">
        <f>'LATAM INCUMB'!E12+'EMEA INCUMB'!E12+'EM ASIA INCUMB'!E12</f>
        <v>34578.871156379057</v>
      </c>
      <c r="F12" s="228">
        <f>'LATAM INCUMB'!F12+'EMEA INCUMB'!F12+'EM ASIA INCUMB'!F12</f>
        <v>26717.159269060019</v>
      </c>
      <c r="G12" s="228">
        <f>'LATAM INCUMB'!G12+'EMEA INCUMB'!G12+'EM ASIA INCUMB'!G12</f>
        <v>19796.193061123653</v>
      </c>
      <c r="H12" s="247"/>
      <c r="I12" s="247"/>
      <c r="J12" s="5" t="s">
        <v>461</v>
      </c>
      <c r="L12" s="64">
        <f>'AGG EM'!D40</f>
        <v>14.520348963598265</v>
      </c>
      <c r="M12" s="64">
        <f>'AGG EM'!E40</f>
        <v>12.588336648928733</v>
      </c>
      <c r="N12" s="64">
        <f>'AGG EM'!F40</f>
        <v>10.782973360794294</v>
      </c>
      <c r="O12" s="64">
        <f>'AGG EM'!G40</f>
        <v>9.0993411007602809</v>
      </c>
      <c r="P12" s="17">
        <f>'AGG EM'!H40</f>
        <v>0.10827488676451624</v>
      </c>
      <c r="W12" s="10"/>
      <c r="X12" s="10"/>
      <c r="Y12" s="10"/>
      <c r="Z12" s="10"/>
    </row>
    <row r="13" spans="2:63">
      <c r="B13" s="5" t="s">
        <v>524</v>
      </c>
      <c r="C13" s="257"/>
      <c r="D13" s="228">
        <f>'LATAM INCUMB'!D13+'EMEA INCUMB'!D13+'EM ASIA INCUMB'!D13</f>
        <v>8801.6741020344016</v>
      </c>
      <c r="E13" s="228">
        <f>'LATAM INCUMB'!E13+'EMEA INCUMB'!E13+'EM ASIA INCUMB'!E13</f>
        <v>8737.5311870362275</v>
      </c>
      <c r="F13" s="228">
        <f>'LATAM INCUMB'!F13+'EMEA INCUMB'!F13+'EM ASIA INCUMB'!F13</f>
        <v>8667.9361242632094</v>
      </c>
      <c r="G13" s="228">
        <f>'LATAM INCUMB'!G13+'EMEA INCUMB'!G13+'EM ASIA INCUMB'!G13</f>
        <v>8592.4254811544852</v>
      </c>
      <c r="H13" s="247"/>
      <c r="I13" s="247"/>
      <c r="J13" s="5" t="s">
        <v>525</v>
      </c>
      <c r="L13" s="64">
        <f>'AGG EM'!D41</f>
        <v>1.3238253427535878</v>
      </c>
      <c r="M13" s="64">
        <f>'AGG EM'!E41</f>
        <v>1.3149929904097803</v>
      </c>
      <c r="N13" s="64">
        <f>'AGG EM'!F41</f>
        <v>1.2546648940766489</v>
      </c>
      <c r="O13" s="64">
        <f>'AGG EM'!G41</f>
        <v>1.1810433829047893</v>
      </c>
      <c r="P13" s="17">
        <f>'AGG EM'!H41</f>
        <v>-1.4824953823212472E-2</v>
      </c>
    </row>
    <row r="14" spans="2:63">
      <c r="B14" s="5" t="s">
        <v>527</v>
      </c>
      <c r="C14" s="274"/>
      <c r="D14" s="228">
        <f>'LATAM INCUMB'!D14+'EMEA INCUMB'!D14+'EM ASIA INCUMB'!D14</f>
        <v>26521.726482759783</v>
      </c>
      <c r="E14" s="228">
        <f>'LATAM INCUMB'!E14+'EMEA INCUMB'!E14+'EM ASIA INCUMB'!E14</f>
        <v>26808.779707738177</v>
      </c>
      <c r="F14" s="228">
        <f>'LATAM INCUMB'!F14+'EMEA INCUMB'!F14+'EM ASIA INCUMB'!F14</f>
        <v>26808.779707738177</v>
      </c>
      <c r="G14" s="228">
        <f>'LATAM INCUMB'!G14+'EMEA INCUMB'!G14+'EM ASIA INCUMB'!G14</f>
        <v>26808.779707738177</v>
      </c>
      <c r="H14" s="247"/>
      <c r="I14" s="247"/>
      <c r="J14" s="5" t="s">
        <v>588</v>
      </c>
      <c r="L14" s="64">
        <f>'AGG EM'!D42</f>
        <v>2.0711803682152934</v>
      </c>
      <c r="M14" s="64">
        <f>'AGG EM'!E42</f>
        <v>2.0248906449245871</v>
      </c>
      <c r="N14" s="64">
        <f>'AGG EM'!F42</f>
        <v>1.9071372802806041</v>
      </c>
      <c r="O14" s="64">
        <f>'AGG EM'!G42</f>
        <v>1.8113330320796608</v>
      </c>
      <c r="P14" s="17">
        <f>'AGG EM'!H42</f>
        <v>-8.2588640298681959E-3</v>
      </c>
    </row>
    <row r="15" spans="2:63">
      <c r="B15" s="5" t="s">
        <v>526</v>
      </c>
      <c r="C15" s="257"/>
      <c r="D15" s="228">
        <f>'LATAM INCUMB'!D15+'EMEA INCUMB'!D15+'EM ASIA INCUMB'!D15</f>
        <v>15565.34505214083</v>
      </c>
      <c r="E15" s="228">
        <f>'LATAM INCUMB'!E15+'EMEA INCUMB'!E15+'EM ASIA INCUMB'!E15</f>
        <v>15610.197118543703</v>
      </c>
      <c r="F15" s="228">
        <f>'LATAM INCUMB'!F15+'EMEA INCUMB'!F15+'EM ASIA INCUMB'!F15</f>
        <v>15610.197118543703</v>
      </c>
      <c r="G15" s="228">
        <f>'LATAM INCUMB'!G15+'EMEA INCUMB'!G15+'EM ASIA INCUMB'!G15</f>
        <v>15610.197118543703</v>
      </c>
      <c r="H15" s="247"/>
      <c r="I15" s="247"/>
      <c r="J15" s="5" t="s">
        <v>470</v>
      </c>
      <c r="L15" s="64">
        <f>'AGG EM'!D43</f>
        <v>19.941396485994044</v>
      </c>
      <c r="M15" s="64">
        <f>'AGG EM'!E43</f>
        <v>16.131685917921274</v>
      </c>
      <c r="N15" s="64">
        <f>'AGG EM'!F43</f>
        <v>13.571473710874955</v>
      </c>
      <c r="O15" s="64">
        <f>'AGG EM'!G43</f>
        <v>11.537221469167157</v>
      </c>
      <c r="P15" s="17">
        <f>'AGG EM'!H43</f>
        <v>0.19756422158027021</v>
      </c>
      <c r="S15" s="88"/>
      <c r="T15" s="88"/>
      <c r="U15" s="88"/>
      <c r="V15" s="42"/>
      <c r="W15" s="42"/>
      <c r="X15" s="42"/>
      <c r="Y15" s="42"/>
      <c r="Z15" s="42"/>
      <c r="AA15" s="42"/>
    </row>
    <row r="16" spans="2:63">
      <c r="B16" s="5" t="s">
        <v>529</v>
      </c>
      <c r="C16" s="257"/>
      <c r="D16" s="228">
        <f>'LATAM INCUMB'!D16+'EMEA INCUMB'!D16+'EM ASIA INCUMB'!D16</f>
        <v>14039.805994060309</v>
      </c>
      <c r="E16" s="228">
        <f>'LATAM INCUMB'!E16+'EMEA INCUMB'!E16+'EM ASIA INCUMB'!E16</f>
        <v>18159.713576613805</v>
      </c>
      <c r="F16" s="228">
        <f>'LATAM INCUMB'!F16+'EMEA INCUMB'!F16+'EM ASIA INCUMB'!F16</f>
        <v>24299.716770178806</v>
      </c>
      <c r="G16" s="228">
        <f>'LATAM INCUMB'!G16+'EMEA INCUMB'!G16+'EM ASIA INCUMB'!G16</f>
        <v>30932.277118167221</v>
      </c>
      <c r="H16" s="247"/>
      <c r="I16" s="247"/>
      <c r="J16" s="5" t="s">
        <v>528</v>
      </c>
      <c r="L16" s="64">
        <f>'AGG EM'!D44</f>
        <v>18.269093770217651</v>
      </c>
      <c r="M16" s="64">
        <f>'AGG EM'!E44</f>
        <v>15.568805131794383</v>
      </c>
      <c r="N16" s="64">
        <f>'AGG EM'!F44</f>
        <v>13.199234812647555</v>
      </c>
      <c r="O16" s="64">
        <f>'AGG EM'!G44</f>
        <v>11.401551775928532</v>
      </c>
      <c r="P16" s="17">
        <f>'AGG EM'!H44</f>
        <v>0.16848189780945066</v>
      </c>
      <c r="S16" s="88"/>
      <c r="T16" s="88"/>
      <c r="U16" s="88"/>
      <c r="V16" s="42"/>
      <c r="W16" s="42"/>
      <c r="X16" s="42"/>
      <c r="Y16" s="42"/>
      <c r="Z16" s="42"/>
      <c r="AA16" s="42"/>
    </row>
    <row r="17" spans="2:27">
      <c r="B17" s="5" t="s">
        <v>6</v>
      </c>
      <c r="C17" s="257"/>
      <c r="D17" s="228">
        <f>'LATAM INCUMB'!D17+'EMEA INCUMB'!D17+'EM ASIA INCUMB'!D17</f>
        <v>1111.1360204039652</v>
      </c>
      <c r="E17" s="228">
        <f>'LATAM INCUMB'!E17+'EMEA INCUMB'!E17+'EM ASIA INCUMB'!E17</f>
        <v>1024.8956270596636</v>
      </c>
      <c r="F17" s="228">
        <f>'LATAM INCUMB'!F17+'EMEA INCUMB'!F17+'EM ASIA INCUMB'!F17</f>
        <v>1018.4489513296812</v>
      </c>
      <c r="G17" s="228">
        <f>'LATAM INCUMB'!G17+'EMEA INCUMB'!G17+'EM ASIA INCUMB'!G17</f>
        <v>1095.3807896001333</v>
      </c>
      <c r="H17" s="247"/>
      <c r="I17" s="247"/>
      <c r="J17" s="5" t="s">
        <v>575</v>
      </c>
      <c r="L17" s="248">
        <f>'AGG EM'!D45</f>
        <v>3.9575725452429565E-2</v>
      </c>
      <c r="M17" s="248">
        <f>'AGG EM'!E45</f>
        <v>4.4599307126826686E-2</v>
      </c>
      <c r="N17" s="248">
        <f>'AGG EM'!F45</f>
        <v>5.062338744034766E-2</v>
      </c>
      <c r="O17" s="248">
        <f>'AGG EM'!G45</f>
        <v>5.8280255420076719E-2</v>
      </c>
      <c r="P17" s="17">
        <f>'AGG EM'!H45</f>
        <v>0.13606146505400307</v>
      </c>
      <c r="S17" s="88"/>
      <c r="T17" s="88"/>
      <c r="U17" s="88"/>
      <c r="V17" s="42"/>
      <c r="W17" s="42"/>
      <c r="X17" s="42"/>
      <c r="Y17" s="42"/>
      <c r="Z17" s="42"/>
      <c r="AA17" s="42"/>
    </row>
    <row r="18" spans="2:27" ht="12.6" thickBot="1">
      <c r="B18" s="41" t="s">
        <v>355</v>
      </c>
      <c r="C18" s="249"/>
      <c r="D18" s="275">
        <f>'LATAM INCUMB'!D18+'EMEA INCUMB'!D18+'EM ASIA INCUMB'!D18</f>
        <v>231093.86623702093</v>
      </c>
      <c r="E18" s="275">
        <f>'LATAM INCUMB'!E18+'EMEA INCUMB'!E18+'EM ASIA INCUMB'!E18</f>
        <v>219877.16207614524</v>
      </c>
      <c r="F18" s="275">
        <f>'LATAM INCUMB'!F18+'EMEA INCUMB'!F18+'EM ASIA INCUMB'!F18</f>
        <v>203979.32527808211</v>
      </c>
      <c r="G18" s="275">
        <f>'LATAM INCUMB'!G18+'EMEA INCUMB'!G18+'EM ASIA INCUMB'!G18</f>
        <v>188425.31596112874</v>
      </c>
      <c r="H18" s="276">
        <f>IF(D18=0,"nm",IF(G18=0,"nm",(G18/D18)^(1/3)-1))</f>
        <v>-6.5777596372077696E-2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'AGG EM'!D47</f>
        <v>5.0146939343107481E-2</v>
      </c>
      <c r="M19" s="248">
        <f>'AGG EM'!E47</f>
        <v>6.1989801009519022E-2</v>
      </c>
      <c r="N19" s="248">
        <f>'AGG EM'!F47</f>
        <v>7.3683965448696279E-2</v>
      </c>
      <c r="O19" s="248">
        <f>'AGG EM'!G47</f>
        <v>8.6675981966062354E-2</v>
      </c>
      <c r="P19" s="17">
        <f>'AGG EM'!H47</f>
        <v>0.19756422158027021</v>
      </c>
      <c r="S19" s="88"/>
      <c r="T19" s="88"/>
      <c r="U19" s="88"/>
      <c r="V19" s="42"/>
      <c r="W19" s="42"/>
      <c r="X19" s="42"/>
      <c r="Y19" s="42"/>
      <c r="Z19" s="42"/>
      <c r="AA19" s="42"/>
    </row>
    <row r="20" spans="2:27">
      <c r="H20" s="277"/>
      <c r="I20" s="49"/>
      <c r="J20" s="5" t="s">
        <v>599</v>
      </c>
      <c r="L20" s="248">
        <f>'AGG EM'!D48</f>
        <v>0.7811093796944828</v>
      </c>
      <c r="M20" s="248">
        <f>'AGG EM'!E48</f>
        <v>0.71190259032608272</v>
      </c>
      <c r="N20" s="248">
        <f>'AGG EM'!F48</f>
        <v>0.68014626513904075</v>
      </c>
      <c r="O20" s="248">
        <f>'AGG EM'!G48</f>
        <v>0.66683886253088454</v>
      </c>
      <c r="P20" s="17" t="str">
        <f>'AGG EM'!H48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'LATAM INCUMB'!C23+'EMEA INCUMB'!C23+'EM ASIA INCUMB'!C23</f>
        <v>214312.77451657498</v>
      </c>
      <c r="D23" s="228">
        <f>'LATAM INCUMB'!D23+'EMEA INCUMB'!D23+'EM ASIA INCUMB'!D23</f>
        <v>227090.24855165381</v>
      </c>
      <c r="E23" s="228">
        <f>'LATAM INCUMB'!E23+'EMEA INCUMB'!E23+'EM ASIA INCUMB'!E23</f>
        <v>235341.35124283397</v>
      </c>
      <c r="F23" s="228">
        <f>'LATAM INCUMB'!F23+'EMEA INCUMB'!F23+'EM ASIA INCUMB'!F23</f>
        <v>245243.31353455008</v>
      </c>
      <c r="G23" s="228">
        <f>'LATAM INCUMB'!G23+'EMEA INCUMB'!G23+'EM ASIA INCUMB'!G23</f>
        <v>253589.01870067202</v>
      </c>
      <c r="H23" s="279">
        <f t="shared" ref="H23:H33" si="0">IF(D23=0,"nm",IF(G23=0,"nm",(G23/D23)^(1/3)-1))</f>
        <v>3.7474232769618476E-2</v>
      </c>
      <c r="I23" s="249"/>
      <c r="J23" s="306" t="s">
        <v>9</v>
      </c>
      <c r="K23" s="306"/>
      <c r="L23" s="265" t="str">
        <f>L5</f>
        <v>2023E</v>
      </c>
      <c r="M23" s="265" t="str">
        <f>M5</f>
        <v>2024E</v>
      </c>
      <c r="N23" s="265" t="str">
        <f>N5</f>
        <v>2025E</v>
      </c>
      <c r="O23" s="265" t="str">
        <f>O5</f>
        <v>2026E</v>
      </c>
      <c r="P23" s="282" t="str">
        <f>P5</f>
        <v>23E-26E</v>
      </c>
      <c r="S23" s="42"/>
      <c r="T23" s="42"/>
      <c r="U23" s="42"/>
      <c r="V23" s="42"/>
      <c r="W23" s="42" t="s">
        <v>556</v>
      </c>
      <c r="X23" s="42" t="s">
        <v>26</v>
      </c>
      <c r="Y23" s="42"/>
      <c r="Z23" s="42"/>
      <c r="AA23" s="42"/>
    </row>
    <row r="24" spans="2:27" ht="12.6" thickTop="1">
      <c r="B24" s="5" t="s">
        <v>478</v>
      </c>
      <c r="C24" s="365">
        <f>'LATAM INCUMB'!C24+'EMEA INCUMB'!C24+'EM ASIA INCUMB'!C24</f>
        <v>66466.71528292622</v>
      </c>
      <c r="D24" s="228">
        <f>'LATAM INCUMB'!D24+'EMEA INCUMB'!D24+'EM ASIA INCUMB'!D24</f>
        <v>69658.304623763557</v>
      </c>
      <c r="E24" s="228">
        <f>'LATAM INCUMB'!E24+'EMEA INCUMB'!E24+'EM ASIA INCUMB'!E24</f>
        <v>72749.715166044727</v>
      </c>
      <c r="F24" s="228">
        <f>'LATAM INCUMB'!F24+'EMEA INCUMB'!F24+'EM ASIA INCUMB'!F24</f>
        <v>75934.469922397533</v>
      </c>
      <c r="G24" s="228">
        <f>'LATAM INCUMB'!G24+'EMEA INCUMB'!G24+'EM ASIA INCUMB'!G24</f>
        <v>79071.17376671535</v>
      </c>
      <c r="H24" s="279">
        <f t="shared" si="0"/>
        <v>4.3154001905154393E-2</v>
      </c>
      <c r="I24" s="248"/>
      <c r="J24" s="17"/>
      <c r="K24" s="17"/>
      <c r="L24" s="17"/>
      <c r="M24" s="17"/>
      <c r="N24" s="17"/>
      <c r="O24" s="248"/>
      <c r="S24" s="42"/>
      <c r="T24" s="42"/>
      <c r="U24" s="42"/>
      <c r="V24" s="147" t="s">
        <v>268</v>
      </c>
      <c r="W24" s="288">
        <f t="shared" ref="W24:W31" si="1">E37/M9</f>
        <v>0.56426999762303187</v>
      </c>
      <c r="X24" s="288">
        <v>1</v>
      </c>
      <c r="Y24" s="42"/>
      <c r="Z24" s="42"/>
      <c r="AA24" s="42"/>
    </row>
    <row r="25" spans="2:27">
      <c r="B25" s="5" t="s">
        <v>179</v>
      </c>
      <c r="C25" s="365">
        <f>'LATAM INCUMB'!C25+'EMEA INCUMB'!C25+'EM ASIA INCUMB'!C25</f>
        <v>24807.258415034677</v>
      </c>
      <c r="D25" s="228">
        <f>'LATAM INCUMB'!D25+'EMEA INCUMB'!D25+'EM ASIA INCUMB'!D25</f>
        <v>27633.937445196614</v>
      </c>
      <c r="E25" s="228">
        <f>'LATAM INCUMB'!E25+'EMEA INCUMB'!E25+'EM ASIA INCUMB'!E25</f>
        <v>32884.745770508911</v>
      </c>
      <c r="F25" s="228">
        <f>'LATAM INCUMB'!F25+'EMEA INCUMB'!F25+'EM ASIA INCUMB'!F25</f>
        <v>36280.12556400671</v>
      </c>
      <c r="G25" s="228">
        <f>'LATAM INCUMB'!G25+'EMEA INCUMB'!G25+'EM ASIA INCUMB'!G25</f>
        <v>39578.481134408445</v>
      </c>
      <c r="H25" s="279">
        <f t="shared" si="0"/>
        <v>0.12721160462737946</v>
      </c>
      <c r="I25" s="249"/>
      <c r="J25" s="247" t="s">
        <v>10</v>
      </c>
      <c r="K25" s="247"/>
      <c r="L25" s="332">
        <f>'LATAM INCUMB'!L25+'EMEA INCUMB'!L25+'EM ASIA INCUMB'!L25</f>
        <v>13627.166679317284</v>
      </c>
      <c r="M25" s="332">
        <f>'LATAM INCUMB'!M25+'EMEA INCUMB'!M25+'EM ASIA INCUMB'!M25</f>
        <v>13627.275153761295</v>
      </c>
      <c r="N25" s="332">
        <f>'LATAM INCUMB'!N25+'EMEA INCUMB'!N25+'EM ASIA INCUMB'!N25</f>
        <v>13627.275153761295</v>
      </c>
      <c r="O25" s="332">
        <f>'LATAM INCUMB'!O25+'EMEA INCUMB'!O25+'EM ASIA INCUMB'!O25</f>
        <v>13627.275153761295</v>
      </c>
      <c r="P25" s="279">
        <f>IF(L25=0,"nm",IF(O25=0,"nm",(O25/L25)^(1/3)-1))</f>
        <v>2.653380039463471E-6</v>
      </c>
      <c r="Q25" s="5"/>
      <c r="S25" s="42"/>
      <c r="T25" s="42"/>
      <c r="U25" s="42"/>
      <c r="V25" s="147" t="s">
        <v>180</v>
      </c>
      <c r="W25" s="288">
        <f t="shared" si="1"/>
        <v>0.62505410913197157</v>
      </c>
      <c r="X25" s="288">
        <v>1</v>
      </c>
      <c r="Y25" s="42"/>
      <c r="Z25" s="42"/>
      <c r="AA25" s="42"/>
    </row>
    <row r="26" spans="2:27">
      <c r="B26" s="5" t="s">
        <v>581</v>
      </c>
      <c r="C26" s="365">
        <f>'LATAM INCUMB'!C26+'EMEA INCUMB'!C26+'EM ASIA INCUMB'!C26</f>
        <v>18125.140464184224</v>
      </c>
      <c r="D26" s="228">
        <f>'LATAM INCUMB'!D26+'EMEA INCUMB'!D26+'EM ASIA INCUMB'!D26</f>
        <v>19646.083103592322</v>
      </c>
      <c r="E26" s="228">
        <f>'LATAM INCUMB'!E26+'EMEA INCUMB'!E26+'EM ASIA INCUMB'!E26</f>
        <v>24269.157487470598</v>
      </c>
      <c r="F26" s="228">
        <f>'LATAM INCUMB'!F26+'EMEA INCUMB'!F26+'EM ASIA INCUMB'!F26</f>
        <v>26849.755428103672</v>
      </c>
      <c r="G26" s="228">
        <f>'LATAM INCUMB'!G26+'EMEA INCUMB'!G26+'EM ASIA INCUMB'!G26</f>
        <v>29411.568905405271</v>
      </c>
      <c r="H26" s="279">
        <f t="shared" si="0"/>
        <v>0.14396851486850371</v>
      </c>
      <c r="I26" s="249"/>
      <c r="J26" s="249" t="s">
        <v>11</v>
      </c>
      <c r="K26" s="249"/>
      <c r="L26" s="281">
        <f>'LATAM INCUMB'!L26+'EMEA INCUMB'!L26+'EM ASIA INCUMB'!L26</f>
        <v>222905.19920769619</v>
      </c>
      <c r="M26" s="281">
        <f>'LATAM INCUMB'!M26+'EMEA INCUMB'!M26+'EM ASIA INCUMB'!M26</f>
        <v>221335.05019386951</v>
      </c>
      <c r="N26" s="281">
        <f>'LATAM INCUMB'!N26+'EMEA INCUMB'!N26+'EM ASIA INCUMB'!N26</f>
        <v>219177.63239066344</v>
      </c>
      <c r="O26" s="281">
        <f>'LATAM INCUMB'!O26+'EMEA INCUMB'!O26+'EM ASIA INCUMB'!O26</f>
        <v>216990.54763665586</v>
      </c>
      <c r="P26" s="279">
        <f>IF(L26=0,"nm",IF(O26=0,"nm",(O26/L26)^(1/3)-1))</f>
        <v>-8.9241982007378651E-3</v>
      </c>
      <c r="Q26" s="41"/>
      <c r="S26" s="42"/>
      <c r="T26" s="42"/>
      <c r="U26" s="42"/>
      <c r="V26" s="147" t="s">
        <v>181</v>
      </c>
      <c r="W26" s="288">
        <f t="shared" si="1"/>
        <v>0.69726893291694758</v>
      </c>
      <c r="X26" s="288">
        <v>1</v>
      </c>
      <c r="Y26" s="42"/>
      <c r="Z26" s="42"/>
      <c r="AA26" s="42"/>
    </row>
    <row r="27" spans="2:27">
      <c r="B27" s="5" t="s">
        <v>582</v>
      </c>
      <c r="C27" s="365">
        <f>'LATAM INCUMB'!C27+'EMEA INCUMB'!C27+'EM ASIA INCUMB'!C27</f>
        <v>230288.49431812565</v>
      </c>
      <c r="D27" s="228">
        <f>'LATAM INCUMB'!D27+'EMEA INCUMB'!D27+'EM ASIA INCUMB'!D27</f>
        <v>238344.25932412251</v>
      </c>
      <c r="E27" s="228">
        <f>'LATAM INCUMB'!E27+'EMEA INCUMB'!E27+'EM ASIA INCUMB'!E27</f>
        <v>236824.01479436102</v>
      </c>
      <c r="F27" s="228">
        <f>'LATAM INCUMB'!F27+'EMEA INCUMB'!F27+'EM ASIA INCUMB'!F27</f>
        <v>234294.44489701616</v>
      </c>
      <c r="G27" s="228">
        <f>'LATAM INCUMB'!G27+'EMEA INCUMB'!G27+'EM ASIA INCUMB'!G27</f>
        <v>233225.39211697888</v>
      </c>
      <c r="H27" s="279">
        <f t="shared" si="0"/>
        <v>-7.2107972668689069E-3</v>
      </c>
      <c r="I27" s="248"/>
      <c r="J27" s="248"/>
      <c r="K27" s="248"/>
      <c r="L27" s="248"/>
      <c r="M27" s="248"/>
      <c r="N27" s="248"/>
      <c r="O27" s="248"/>
      <c r="Q27" s="5"/>
      <c r="S27" s="42"/>
      <c r="T27" s="42"/>
      <c r="U27" s="42"/>
      <c r="V27" s="147" t="s">
        <v>461</v>
      </c>
      <c r="W27" s="288">
        <f t="shared" si="1"/>
        <v>0.71970923324780922</v>
      </c>
      <c r="X27" s="288">
        <v>1</v>
      </c>
      <c r="Y27" s="42"/>
      <c r="Z27" s="42"/>
      <c r="AA27" s="42"/>
    </row>
    <row r="28" spans="2:27" ht="12.6" thickBot="1">
      <c r="B28" s="5" t="s">
        <v>587</v>
      </c>
      <c r="C28" s="365">
        <f>'LATAM INCUMB'!C28+'EMEA INCUMB'!C28+'EM ASIA INCUMB'!C28</f>
        <v>187066.99052865632</v>
      </c>
      <c r="D28" s="228">
        <f>'LATAM INCUMB'!D28+'EMEA INCUMB'!D28+'EM ASIA INCUMB'!D28</f>
        <v>190802.46541577077</v>
      </c>
      <c r="E28" s="228">
        <f>'LATAM INCUMB'!E28+'EMEA INCUMB'!E28+'EM ASIA INCUMB'!E28</f>
        <v>185400.62457562416</v>
      </c>
      <c r="F28" s="228">
        <f>'LATAM INCUMB'!F28+'EMEA INCUMB'!F28+'EM ASIA INCUMB'!F28</f>
        <v>180480.25791526178</v>
      </c>
      <c r="G28" s="228">
        <f>'LATAM INCUMB'!G28+'EMEA INCUMB'!G28+'EM ASIA INCUMB'!G28</f>
        <v>167656.18096355791</v>
      </c>
      <c r="H28" s="279">
        <f t="shared" si="0"/>
        <v>-4.2191848028902523E-2</v>
      </c>
      <c r="I28" s="252"/>
      <c r="J28" s="306" t="s">
        <v>747</v>
      </c>
      <c r="K28" s="306"/>
      <c r="L28" s="306"/>
      <c r="M28" s="306"/>
      <c r="N28" s="266"/>
      <c r="O28" s="266"/>
      <c r="P28" s="266"/>
      <c r="Q28" s="5"/>
      <c r="S28" s="42"/>
      <c r="T28" s="42"/>
      <c r="U28" s="42"/>
      <c r="V28" s="147" t="s">
        <v>525</v>
      </c>
      <c r="W28" s="288">
        <f t="shared" si="1"/>
        <v>0.70604266549052697</v>
      </c>
      <c r="X28" s="288">
        <v>1</v>
      </c>
      <c r="Y28" s="42"/>
      <c r="Z28" s="42"/>
      <c r="AA28" s="42"/>
    </row>
    <row r="29" spans="2:27" ht="12.6" thickTop="1">
      <c r="B29" s="5" t="s">
        <v>583</v>
      </c>
      <c r="C29" s="365">
        <f>'LATAM INCUMB'!C29+'EMEA INCUMB'!C29+'EM ASIA INCUMB'!C29</f>
        <v>13741.082845344452</v>
      </c>
      <c r="D29" s="228">
        <f>'LATAM INCUMB'!D29+'EMEA INCUMB'!D29+'EM ASIA INCUMB'!D29</f>
        <v>15338.016411371718</v>
      </c>
      <c r="E29" s="228">
        <f>'LATAM INCUMB'!E29+'EMEA INCUMB'!E29+'EM ASIA INCUMB'!E29</f>
        <v>20325.32351710671</v>
      </c>
      <c r="F29" s="228">
        <f>'LATAM INCUMB'!F29+'EMEA INCUMB'!F29+'EM ASIA INCUMB'!F29</f>
        <v>23580.451254515599</v>
      </c>
      <c r="G29" s="228">
        <f>'LATAM INCUMB'!G29+'EMEA INCUMB'!G29+'EM ASIA INCUMB'!G29</f>
        <v>26926.149207269067</v>
      </c>
      <c r="H29" s="279">
        <f t="shared" si="0"/>
        <v>0.20633617097870616</v>
      </c>
      <c r="I29" s="254"/>
      <c r="J29" s="249"/>
      <c r="K29" s="249"/>
      <c r="L29" s="249"/>
      <c r="M29" s="249"/>
      <c r="N29" s="249"/>
      <c r="O29" s="251"/>
      <c r="Q29" s="5"/>
      <c r="S29" s="42"/>
      <c r="T29" s="42"/>
      <c r="U29" s="42"/>
      <c r="V29" s="147" t="s">
        <v>588</v>
      </c>
      <c r="W29" s="288">
        <f t="shared" si="1"/>
        <v>0.58568938930955727</v>
      </c>
      <c r="X29" s="288">
        <v>1</v>
      </c>
      <c r="Y29" s="42"/>
      <c r="Z29" s="42"/>
      <c r="AA29" s="42"/>
    </row>
    <row r="30" spans="2:27">
      <c r="B30" s="5" t="s">
        <v>584</v>
      </c>
      <c r="C30" s="365">
        <f>'LATAM INCUMB'!C30+'EMEA INCUMB'!C30+'EM ASIA INCUMB'!C30</f>
        <v>13520.221129494559</v>
      </c>
      <c r="D30" s="228">
        <f>'LATAM INCUMB'!D30+'EMEA INCUMB'!D30+'EM ASIA INCUMB'!D30</f>
        <v>14837.197214479042</v>
      </c>
      <c r="E30" s="228">
        <f>'LATAM INCUMB'!E30+'EMEA INCUMB'!E30+'EM ASIA INCUMB'!E30</f>
        <v>17200.615119557166</v>
      </c>
      <c r="F30" s="228">
        <f>'LATAM INCUMB'!F30+'EMEA INCUMB'!F30+'EM ASIA INCUMB'!F30</f>
        <v>19792.472041366462</v>
      </c>
      <c r="G30" s="228">
        <f>'LATAM INCUMB'!G30+'EMEA INCUMB'!G30+'EM ASIA INCUMB'!G30</f>
        <v>23060.98112016212</v>
      </c>
      <c r="H30" s="279">
        <f t="shared" si="0"/>
        <v>0.15835578063954037</v>
      </c>
      <c r="I30" s="254"/>
      <c r="J30" s="248"/>
      <c r="K30" s="248"/>
      <c r="L30" s="248"/>
      <c r="M30" s="248"/>
      <c r="N30" s="248"/>
      <c r="O30" s="5"/>
      <c r="Q30" s="5"/>
      <c r="S30" s="42"/>
      <c r="T30" s="42"/>
      <c r="U30" s="42"/>
      <c r="V30" s="147" t="s">
        <v>470</v>
      </c>
      <c r="W30" s="288">
        <f t="shared" si="1"/>
        <v>0.6750453790515103</v>
      </c>
      <c r="X30" s="288">
        <v>1</v>
      </c>
      <c r="Y30" s="42"/>
      <c r="Z30" s="42"/>
      <c r="AA30" s="42"/>
    </row>
    <row r="31" spans="2:27">
      <c r="B31" s="5" t="s">
        <v>585</v>
      </c>
      <c r="C31" s="365">
        <f>'LATAM INCUMB'!C31+'EMEA INCUMB'!C31+'EM ASIA INCUMB'!C31</f>
        <v>8927.4602948545325</v>
      </c>
      <c r="D31" s="228">
        <f>'LATAM INCUMB'!D31+'EMEA INCUMB'!D31+'EM ASIA INCUMB'!D31</f>
        <v>9570.5590336249479</v>
      </c>
      <c r="E31" s="228">
        <f>'LATAM INCUMB'!E31+'EMEA INCUMB'!E31+'EM ASIA INCUMB'!E31</f>
        <v>10499.5073640627</v>
      </c>
      <c r="F31" s="228">
        <f>'LATAM INCUMB'!F31+'EMEA INCUMB'!F31+'EM ASIA INCUMB'!F31</f>
        <v>11938.02648886132</v>
      </c>
      <c r="G31" s="228">
        <f>'LATAM INCUMB'!G31+'EMEA INCUMB'!G31+'EM ASIA INCUMB'!G31</f>
        <v>13723.834430522482</v>
      </c>
      <c r="H31" s="279">
        <f t="shared" si="0"/>
        <v>0.12766314772350529</v>
      </c>
      <c r="I31" s="254"/>
      <c r="J31" s="252"/>
      <c r="K31" s="252"/>
      <c r="L31" s="252"/>
      <c r="M31" s="252"/>
      <c r="N31" s="252"/>
      <c r="O31" s="5"/>
      <c r="Q31" s="5"/>
      <c r="S31" s="42"/>
      <c r="T31" s="42"/>
      <c r="U31" s="42"/>
      <c r="V31" s="147" t="s">
        <v>528</v>
      </c>
      <c r="W31" s="288">
        <f t="shared" si="1"/>
        <v>0.77562802497945194</v>
      </c>
      <c r="X31" s="288">
        <v>1</v>
      </c>
      <c r="Y31" s="42"/>
      <c r="Z31" s="42"/>
      <c r="AA31" s="42"/>
    </row>
    <row r="32" spans="2:27">
      <c r="B32" s="5" t="s">
        <v>601</v>
      </c>
      <c r="C32" s="365">
        <f>'LATAM INCUMB'!C32+'EMEA INCUMB'!C32+'EM ASIA INCUMB'!C32</f>
        <v>108.62197907189542</v>
      </c>
      <c r="D32" s="228">
        <f>'LATAM INCUMB'!D32+'EMEA INCUMB'!D32+'EM ASIA INCUMB'!D32</f>
        <v>26.5730629225169</v>
      </c>
      <c r="E32" s="228">
        <f>'LATAM INCUMB'!E32+'EMEA INCUMB'!E32+'EM ASIA INCUMB'!E32</f>
        <v>19.5</v>
      </c>
      <c r="F32" s="228">
        <f>'LATAM INCUMB'!F32+'EMEA INCUMB'!F32+'EM ASIA INCUMB'!F32</f>
        <v>-474.27096070269164</v>
      </c>
      <c r="G32" s="228">
        <f>'LATAM INCUMB'!G32+'EMEA INCUMB'!G32+'EM ASIA INCUMB'!G32</f>
        <v>1956.8537568026818</v>
      </c>
      <c r="H32" s="279">
        <f t="shared" si="0"/>
        <v>3.1915268402964889</v>
      </c>
      <c r="I32" s="5"/>
      <c r="J32" s="254"/>
      <c r="K32" s="254"/>
      <c r="L32" s="254"/>
      <c r="M32" s="254"/>
      <c r="N32" s="254"/>
      <c r="O32" s="251"/>
      <c r="Q32" s="5"/>
      <c r="S32" s="42"/>
      <c r="T32" s="42"/>
      <c r="U32" s="42"/>
      <c r="V32" s="147" t="s">
        <v>575</v>
      </c>
      <c r="W32" s="288">
        <f>M17/E45</f>
        <v>0.88229119047535276</v>
      </c>
      <c r="X32" s="288">
        <v>1</v>
      </c>
      <c r="Y32" s="42"/>
      <c r="Z32" s="42"/>
      <c r="AA32" s="42"/>
    </row>
    <row r="33" spans="2:42">
      <c r="B33" s="5" t="s">
        <v>5</v>
      </c>
      <c r="C33" s="365">
        <f>'LATAM INCUMB'!C33+'EMEA INCUMB'!C33+'EM ASIA INCUMB'!C33</f>
        <v>-256.02019076542405</v>
      </c>
      <c r="D33" s="228">
        <f>'LATAM INCUMB'!D33+'EMEA INCUMB'!D33+'EM ASIA INCUMB'!D33</f>
        <v>-1008.5505450168196</v>
      </c>
      <c r="E33" s="228">
        <f>'LATAM INCUMB'!E33+'EMEA INCUMB'!E33+'EM ASIA INCUMB'!E33</f>
        <v>-1038.9747602364414</v>
      </c>
      <c r="F33" s="228">
        <f>'LATAM INCUMB'!F33+'EMEA INCUMB'!F33+'EM ASIA INCUMB'!F33</f>
        <v>-670.01729445027763</v>
      </c>
      <c r="G33" s="228">
        <f>'LATAM INCUMB'!G33+'EMEA INCUMB'!G33+'EM ASIA INCUMB'!G33</f>
        <v>-297.16119769933374</v>
      </c>
      <c r="H33" s="279">
        <f t="shared" si="0"/>
        <v>-0.33457648527751793</v>
      </c>
      <c r="I33" s="49"/>
      <c r="J33" s="254"/>
      <c r="K33" s="254"/>
      <c r="L33" s="254"/>
      <c r="M33" s="254"/>
      <c r="N33" s="254"/>
      <c r="O33" s="251"/>
      <c r="Q33" s="5"/>
      <c r="S33" s="42"/>
      <c r="T33" s="42"/>
      <c r="U33" s="42"/>
      <c r="V33" s="147" t="s">
        <v>576</v>
      </c>
      <c r="W33" s="288">
        <f>M19/E47</f>
        <v>0.6750453790515103</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331</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1" si="2">D$18/D23</f>
        <v>1.0176300731136698</v>
      </c>
      <c r="E37" s="553">
        <f t="shared" si="2"/>
        <v>0.93429038677213927</v>
      </c>
      <c r="F37" s="553">
        <f t="shared" si="2"/>
        <v>0.8317426572747123</v>
      </c>
      <c r="G37" s="553">
        <f t="shared" si="2"/>
        <v>0.74303420915690233</v>
      </c>
      <c r="H37" s="17">
        <f t="shared" ref="H37:H45" si="3">H23</f>
        <v>3.7474232769618476E-2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3.3175350374258823</v>
      </c>
      <c r="E38" s="553">
        <f t="shared" si="2"/>
        <v>3.0223783223658711</v>
      </c>
      <c r="F38" s="553">
        <f t="shared" si="2"/>
        <v>2.6862546809972083</v>
      </c>
      <c r="G38" s="553">
        <f t="shared" si="2"/>
        <v>2.3829836713571781</v>
      </c>
      <c r="H38" s="17">
        <f t="shared" si="3"/>
        <v>4.3154001905154393E-2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8.3626832656520378</v>
      </c>
      <c r="E39" s="553">
        <f t="shared" si="2"/>
        <v>6.6862965464471191</v>
      </c>
      <c r="F39" s="553">
        <f t="shared" si="2"/>
        <v>5.6223434210064793</v>
      </c>
      <c r="G39" s="553">
        <f t="shared" si="2"/>
        <v>4.7608020965038236</v>
      </c>
      <c r="H39" s="17">
        <f t="shared" si="3"/>
        <v>0.12721160462737946</v>
      </c>
      <c r="I39" s="5"/>
      <c r="J39" s="5"/>
      <c r="K39" s="5"/>
      <c r="L39" s="5"/>
      <c r="M39" s="5"/>
      <c r="N39" s="5"/>
      <c r="O39" s="5"/>
      <c r="Q39" s="5"/>
      <c r="R39" s="5"/>
      <c r="S39" s="42"/>
      <c r="T39" s="42"/>
      <c r="U39" s="42"/>
      <c r="V39" s="42"/>
      <c r="W39" s="288"/>
      <c r="X39" s="288"/>
      <c r="Y39" s="42"/>
      <c r="Z39" s="42"/>
      <c r="AA39" s="42"/>
    </row>
    <row r="40" spans="2:42">
      <c r="B40" s="5" t="s">
        <v>461</v>
      </c>
      <c r="C40" s="247"/>
      <c r="D40" s="553">
        <f t="shared" si="2"/>
        <v>11.762846823892597</v>
      </c>
      <c r="E40" s="553">
        <f t="shared" si="2"/>
        <v>9.0599421174657948</v>
      </c>
      <c r="F40" s="553">
        <f t="shared" si="2"/>
        <v>7.5970645551793998</v>
      </c>
      <c r="G40" s="553">
        <f t="shared" si="2"/>
        <v>6.4065033921566776</v>
      </c>
      <c r="H40" s="17">
        <f t="shared" si="3"/>
        <v>0.14396851486850371</v>
      </c>
      <c r="I40" s="247"/>
      <c r="J40" s="259"/>
      <c r="K40" s="259"/>
      <c r="L40" s="259"/>
      <c r="M40" s="259"/>
      <c r="N40" s="259"/>
      <c r="O40" s="18"/>
      <c r="Q40" s="5"/>
      <c r="R40" s="5"/>
      <c r="S40" s="42"/>
      <c r="T40" s="42"/>
      <c r="U40" s="42"/>
      <c r="V40" s="42"/>
      <c r="W40" s="288"/>
      <c r="X40" s="288"/>
      <c r="Y40" s="288"/>
      <c r="Z40" s="288"/>
      <c r="AA40" s="42"/>
    </row>
    <row r="41" spans="2:42">
      <c r="B41" s="5" t="s">
        <v>525</v>
      </c>
      <c r="C41" s="247"/>
      <c r="D41" s="553">
        <f t="shared" si="2"/>
        <v>0.96958016481008746</v>
      </c>
      <c r="E41" s="553">
        <f t="shared" si="2"/>
        <v>0.92844115605028033</v>
      </c>
      <c r="F41" s="553">
        <f t="shared" si="2"/>
        <v>0.87061101840353483</v>
      </c>
      <c r="G41" s="553">
        <f t="shared" si="2"/>
        <v>0.80791081215813854</v>
      </c>
      <c r="H41" s="17">
        <f t="shared" si="3"/>
        <v>-7.2107972668689069E-3</v>
      </c>
      <c r="I41" s="248"/>
      <c r="J41" s="17"/>
      <c r="K41" s="17"/>
      <c r="L41" s="17"/>
      <c r="M41" s="17"/>
      <c r="N41" s="17"/>
      <c r="O41" s="5"/>
      <c r="Q41" s="5"/>
      <c r="R41" s="5"/>
      <c r="S41" s="42"/>
      <c r="T41" s="42"/>
      <c r="U41" s="42"/>
      <c r="V41" s="42"/>
      <c r="W41" s="288"/>
      <c r="X41" s="288"/>
      <c r="Y41" s="288"/>
      <c r="Z41" s="288"/>
      <c r="AA41" s="42"/>
    </row>
    <row r="42" spans="2:42">
      <c r="B42" s="5" t="s">
        <v>588</v>
      </c>
      <c r="C42" s="247"/>
      <c r="D42" s="553">
        <f>D18/D28</f>
        <v>1.2111681352410864</v>
      </c>
      <c r="E42" s="553">
        <f>E18/E28</f>
        <v>1.185956965244517</v>
      </c>
      <c r="F42" s="553">
        <f>F18/F28</f>
        <v>1.1302029797289712</v>
      </c>
      <c r="G42" s="553">
        <f>G18/G28</f>
        <v>1.1238793277898012</v>
      </c>
      <c r="H42" s="17">
        <f t="shared" si="3"/>
        <v>-4.2191848028902523E-2</v>
      </c>
      <c r="I42" s="247"/>
      <c r="J42" s="5"/>
      <c r="K42" s="5"/>
      <c r="L42" s="5"/>
      <c r="M42" s="5"/>
      <c r="N42" s="5"/>
      <c r="O42" s="5"/>
      <c r="Q42" s="5"/>
      <c r="R42" s="5"/>
      <c r="S42" s="42"/>
      <c r="T42" s="42"/>
      <c r="U42" s="42"/>
      <c r="V42" s="42"/>
      <c r="W42" s="288"/>
      <c r="X42" s="288"/>
      <c r="Y42" s="288"/>
      <c r="Z42" s="288"/>
      <c r="AA42" s="42"/>
    </row>
    <row r="43" spans="2:42">
      <c r="B43" s="5" t="s">
        <v>470</v>
      </c>
      <c r="C43" s="247"/>
      <c r="D43" s="553">
        <f>L26/D29</f>
        <v>14.53285700244998</v>
      </c>
      <c r="E43" s="553">
        <f>M26/E29</f>
        <v>10.889620035203077</v>
      </c>
      <c r="F43" s="553">
        <f>N26/F29</f>
        <v>9.2948871090281386</v>
      </c>
      <c r="G43" s="553">
        <f>O26/G29</f>
        <v>8.0587293031146245</v>
      </c>
      <c r="H43" s="17">
        <f t="shared" si="3"/>
        <v>0.20633617097870616</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14.104957257301441</v>
      </c>
      <c r="E44" s="553">
        <f>E11/E30</f>
        <v>12.075601575663633</v>
      </c>
      <c r="F44" s="553">
        <f>F11/F30</f>
        <v>10.385279656189478</v>
      </c>
      <c r="G44" s="553">
        <f>G11/G30</f>
        <v>8.8185004542193948</v>
      </c>
      <c r="H44" s="17">
        <f t="shared" si="3"/>
        <v>0.15835578063954037</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4.5731312159230778E-2</v>
      </c>
      <c r="E45" s="248">
        <f>E31/E11</f>
        <v>5.0549419067414558E-2</v>
      </c>
      <c r="F45" s="248">
        <f>F31/F11</f>
        <v>5.8078354371831294E-2</v>
      </c>
      <c r="G45" s="248">
        <f>G31/G11</f>
        <v>6.7484331182154994E-2</v>
      </c>
      <c r="H45" s="17">
        <f t="shared" si="3"/>
        <v>0.12766314772350529</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4.5858287086324064E-2</v>
      </c>
      <c r="E46" s="248">
        <f>(E31+E32)/E11</f>
        <v>5.0643300964691801E-2</v>
      </c>
      <c r="F46" s="248">
        <f>(F31+F32)/F11</f>
        <v>5.5771031888533044E-2</v>
      </c>
      <c r="G46" s="248">
        <f>(G31+G32)/G11</f>
        <v>7.710678529056475E-2</v>
      </c>
      <c r="H46" s="279">
        <f>((G31+G32)/(D31+D32))^(1/3)-1</f>
        <v>0.17780813272638851</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6.8809594688189521E-2</v>
      </c>
      <c r="E47" s="248">
        <f>1/E43</f>
        <v>9.1830568630244344E-2</v>
      </c>
      <c r="F47" s="248">
        <f>1/F43</f>
        <v>0.10758602963867075</v>
      </c>
      <c r="G47" s="248">
        <f>1/G43</f>
        <v>0.12408904212895068</v>
      </c>
      <c r="H47" s="17">
        <f>H29</f>
        <v>0.20633617097870616</v>
      </c>
      <c r="I47" s="247"/>
      <c r="J47" s="248"/>
      <c r="K47" s="248"/>
      <c r="L47" s="248"/>
      <c r="M47" s="248"/>
      <c r="N47" s="248"/>
      <c r="O47" s="248"/>
      <c r="Q47" s="5"/>
      <c r="R47" s="5"/>
      <c r="S47" s="5"/>
      <c r="T47" s="5"/>
      <c r="U47" s="5"/>
      <c r="AA47" s="303"/>
      <c r="AB47" s="303"/>
    </row>
    <row r="48" spans="2:42">
      <c r="B48" s="5" t="s">
        <v>613</v>
      </c>
      <c r="C48" s="5"/>
      <c r="D48" s="305">
        <f>D31/D29</f>
        <v>0.62397631981468382</v>
      </c>
      <c r="E48" s="305">
        <f>E31/E29</f>
        <v>0.51657270572966973</v>
      </c>
      <c r="F48" s="305">
        <f>F31/F29</f>
        <v>0.50626794033787703</v>
      </c>
      <c r="G48" s="305">
        <f>G31/G29</f>
        <v>0.50968425989474775</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28">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310</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545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EM'!D37</f>
        <v>1.7568504876692785</v>
      </c>
      <c r="M9" s="64">
        <f>'AGG EM'!E37</f>
        <v>1.6557505993722963</v>
      </c>
      <c r="N9" s="64">
        <f>'AGG EM'!F37</f>
        <v>1.4867932994499977</v>
      </c>
      <c r="O9" s="64">
        <f>'AGG EM'!G37</f>
        <v>1.3237610851186894</v>
      </c>
      <c r="P9" s="17">
        <f>'AGG EM'!H37</f>
        <v>4.2237881472639405E-2</v>
      </c>
    </row>
    <row r="10" spans="2:63">
      <c r="B10" s="5" t="s">
        <v>269</v>
      </c>
      <c r="C10" s="5"/>
      <c r="D10" s="332"/>
      <c r="E10" s="332"/>
      <c r="F10" s="332"/>
      <c r="G10" s="332"/>
      <c r="H10" s="247"/>
      <c r="I10" s="247"/>
      <c r="J10" s="5" t="s">
        <v>180</v>
      </c>
      <c r="L10" s="64">
        <f>'AGG EM'!D38</f>
        <v>5.1440316657520277</v>
      </c>
      <c r="M10" s="64">
        <f>'AGG EM'!E38</f>
        <v>4.8353866940625734</v>
      </c>
      <c r="N10" s="64">
        <f>'AGG EM'!F38</f>
        <v>4.3122989607565385</v>
      </c>
      <c r="O10" s="64">
        <f>'AGG EM'!G38</f>
        <v>3.8049801727031363</v>
      </c>
      <c r="P10" s="17">
        <f>'AGG EM'!H38</f>
        <v>4.8678106743502703E-2</v>
      </c>
      <c r="W10" s="10"/>
      <c r="X10" s="10"/>
      <c r="Y10" s="10"/>
      <c r="Z10" s="10"/>
    </row>
    <row r="11" spans="2:63">
      <c r="B11" s="41" t="s">
        <v>354</v>
      </c>
      <c r="C11" s="5"/>
      <c r="D11" s="271">
        <f>'LATAM CELLULAR'!D11+'EM ASIA CELLULAR'!D11+'EMEA CELLULAR'!D11</f>
        <v>521087.64340488298</v>
      </c>
      <c r="E11" s="271">
        <f>'LATAM CELLULAR'!E11+'EM ASIA CELLULAR'!E11+'EMEA CELLULAR'!E11</f>
        <v>523890.79912695545</v>
      </c>
      <c r="F11" s="271">
        <f>'LATAM CELLULAR'!F11+'EM ASIA CELLULAR'!F11+'EMEA CELLULAR'!F11</f>
        <v>523624.49912695552</v>
      </c>
      <c r="G11" s="271">
        <f>'LATAM CELLULAR'!G11+'EM ASIA CELLULAR'!G11+'EMEA CELLULAR'!G11</f>
        <v>523358.19912695547</v>
      </c>
      <c r="H11" s="249"/>
      <c r="I11" s="249"/>
      <c r="J11" s="5" t="s">
        <v>181</v>
      </c>
      <c r="L11" s="64">
        <f>'AGG EM'!D39</f>
        <v>10.995479606644533</v>
      </c>
      <c r="M11" s="64">
        <f>'AGG EM'!E39</f>
        <v>9.5892649604733364</v>
      </c>
      <c r="N11" s="64">
        <f>'AGG EM'!F39</f>
        <v>8.1142047815241369</v>
      </c>
      <c r="O11" s="64">
        <f>'AGG EM'!G39</f>
        <v>6.8473836589479324</v>
      </c>
      <c r="P11" s="17">
        <f>'AGG EM'!H39</f>
        <v>0.11059307549826269</v>
      </c>
      <c r="W11" s="10"/>
      <c r="X11" s="10"/>
      <c r="Y11" s="10"/>
      <c r="Z11" s="10"/>
    </row>
    <row r="12" spans="2:63">
      <c r="B12" s="5" t="s">
        <v>225</v>
      </c>
      <c r="C12" s="249"/>
      <c r="D12" s="228">
        <f>'LATAM CELLULAR'!D12+'EM ASIA CELLULAR'!D12+'EMEA CELLULAR'!D12</f>
        <v>124229.63533487193</v>
      </c>
      <c r="E12" s="228">
        <f>'LATAM CELLULAR'!E12+'EM ASIA CELLULAR'!E12+'EMEA CELLULAR'!E12</f>
        <v>111763.14026841783</v>
      </c>
      <c r="F12" s="228">
        <f>'LATAM CELLULAR'!F12+'EM ASIA CELLULAR'!F12+'EMEA CELLULAR'!F12</f>
        <v>99489.583127205784</v>
      </c>
      <c r="G12" s="228">
        <f>'LATAM CELLULAR'!G12+'EM ASIA CELLULAR'!G12+'EMEA CELLULAR'!G12</f>
        <v>84483.750401199621</v>
      </c>
      <c r="H12" s="247"/>
      <c r="I12" s="247"/>
      <c r="J12" s="5" t="s">
        <v>461</v>
      </c>
      <c r="L12" s="64">
        <f>'AGG EM'!D40</f>
        <v>14.520348963598265</v>
      </c>
      <c r="M12" s="64">
        <f>'AGG EM'!E40</f>
        <v>12.588336648928733</v>
      </c>
      <c r="N12" s="64">
        <f>'AGG EM'!F40</f>
        <v>10.782973360794294</v>
      </c>
      <c r="O12" s="64">
        <f>'AGG EM'!G40</f>
        <v>9.0993411007602809</v>
      </c>
      <c r="P12" s="17">
        <f>'AGG EM'!H40</f>
        <v>0.10827488676451624</v>
      </c>
      <c r="W12" s="10"/>
      <c r="X12" s="10"/>
      <c r="Y12" s="10"/>
      <c r="Z12" s="10"/>
    </row>
    <row r="13" spans="2:63">
      <c r="B13" s="5" t="s">
        <v>524</v>
      </c>
      <c r="C13" s="257"/>
      <c r="D13" s="228">
        <f>'LATAM CELLULAR'!D13+'EM ASIA CELLULAR'!D13+'EMEA CELLULAR'!D13</f>
        <v>10888.503677481918</v>
      </c>
      <c r="E13" s="228">
        <f>'LATAM CELLULAR'!E13+'EM ASIA CELLULAR'!E13+'EMEA CELLULAR'!E13</f>
        <v>10518.444996564207</v>
      </c>
      <c r="F13" s="228">
        <f>'LATAM CELLULAR'!F13+'EM ASIA CELLULAR'!F13+'EMEA CELLULAR'!F13</f>
        <v>10123.870786999312</v>
      </c>
      <c r="G13" s="228">
        <f>'LATAM CELLULAR'!G13+'EM ASIA CELLULAR'!G13+'EMEA CELLULAR'!G13</f>
        <v>9702.703609357297</v>
      </c>
      <c r="H13" s="247"/>
      <c r="I13" s="247"/>
      <c r="J13" s="5" t="s">
        <v>525</v>
      </c>
      <c r="L13" s="64">
        <f>'AGG EM'!D41</f>
        <v>1.3238253427535878</v>
      </c>
      <c r="M13" s="64">
        <f>'AGG EM'!E41</f>
        <v>1.3149929904097803</v>
      </c>
      <c r="N13" s="64">
        <f>'AGG EM'!F41</f>
        <v>1.2546648940766489</v>
      </c>
      <c r="O13" s="64">
        <f>'AGG EM'!G41</f>
        <v>1.1810433829047893</v>
      </c>
      <c r="P13" s="17">
        <f>'AGG EM'!H41</f>
        <v>-1.4824953823212472E-2</v>
      </c>
    </row>
    <row r="14" spans="2:63">
      <c r="B14" s="5" t="s">
        <v>527</v>
      </c>
      <c r="C14" s="274"/>
      <c r="D14" s="228">
        <f>'LATAM CELLULAR'!D14+'EM ASIA CELLULAR'!D14+'EMEA CELLULAR'!D14</f>
        <v>22051.313592162755</v>
      </c>
      <c r="E14" s="228">
        <f>'LATAM CELLULAR'!E14+'EM ASIA CELLULAR'!E14+'EMEA CELLULAR'!E14</f>
        <v>20268.724143155338</v>
      </c>
      <c r="F14" s="228">
        <f>'LATAM CELLULAR'!F14+'EM ASIA CELLULAR'!F14+'EMEA CELLULAR'!F14</f>
        <v>20265.68016128899</v>
      </c>
      <c r="G14" s="228">
        <f>'LATAM CELLULAR'!G14+'EM ASIA CELLULAR'!G14+'EMEA CELLULAR'!G14</f>
        <v>20264.158170355819</v>
      </c>
      <c r="H14" s="247"/>
      <c r="I14" s="247"/>
      <c r="J14" s="5" t="s">
        <v>588</v>
      </c>
      <c r="L14" s="64">
        <f>'AGG EM'!D42</f>
        <v>2.0711803682152934</v>
      </c>
      <c r="M14" s="64">
        <f>'AGG EM'!E42</f>
        <v>2.0248906449245871</v>
      </c>
      <c r="N14" s="64">
        <f>'AGG EM'!F42</f>
        <v>1.9071372802806041</v>
      </c>
      <c r="O14" s="64">
        <f>'AGG EM'!G42</f>
        <v>1.8113330320796608</v>
      </c>
      <c r="P14" s="17">
        <f>'AGG EM'!H42</f>
        <v>-8.2588640298681959E-3</v>
      </c>
    </row>
    <row r="15" spans="2:63">
      <c r="B15" s="5" t="s">
        <v>526</v>
      </c>
      <c r="C15" s="257"/>
      <c r="D15" s="228">
        <f>'LATAM CELLULAR'!D15+'EM ASIA CELLULAR'!D15+'EMEA CELLULAR'!D15</f>
        <v>21487.613357951799</v>
      </c>
      <c r="E15" s="228">
        <f>'LATAM CELLULAR'!E15+'EM ASIA CELLULAR'!E15+'EMEA CELLULAR'!E15</f>
        <v>21479.509697229922</v>
      </c>
      <c r="F15" s="228">
        <f>'LATAM CELLULAR'!F15+'EM ASIA CELLULAR'!F15+'EMEA CELLULAR'!F15</f>
        <v>21496.527241373988</v>
      </c>
      <c r="G15" s="228">
        <f>'LATAM CELLULAR'!G15+'EM ASIA CELLULAR'!G15+'EMEA CELLULAR'!G15</f>
        <v>21537.056610245756</v>
      </c>
      <c r="H15" s="247"/>
      <c r="I15" s="247"/>
      <c r="J15" s="5" t="s">
        <v>470</v>
      </c>
      <c r="L15" s="64">
        <f>'AGG EM'!D43</f>
        <v>19.941396485994044</v>
      </c>
      <c r="M15" s="64">
        <f>'AGG EM'!E43</f>
        <v>16.131685917921274</v>
      </c>
      <c r="N15" s="64">
        <f>'AGG EM'!F43</f>
        <v>13.571473710874955</v>
      </c>
      <c r="O15" s="64">
        <f>'AGG EM'!G43</f>
        <v>11.537221469167157</v>
      </c>
      <c r="P15" s="17">
        <f>'AGG EM'!H43</f>
        <v>0.19756422158027021</v>
      </c>
      <c r="S15" s="88"/>
      <c r="T15" s="88"/>
      <c r="U15" s="88"/>
      <c r="V15" s="42"/>
      <c r="W15" s="42"/>
      <c r="X15" s="42"/>
      <c r="Y15" s="42"/>
      <c r="Z15" s="42"/>
      <c r="AA15" s="42"/>
    </row>
    <row r="16" spans="2:63">
      <c r="B16" s="5" t="s">
        <v>529</v>
      </c>
      <c r="C16" s="257"/>
      <c r="D16" s="228">
        <f>'LATAM CELLULAR'!D16+'EM ASIA CELLULAR'!D16+'EMEA CELLULAR'!D16</f>
        <v>5765.1695258293184</v>
      </c>
      <c r="E16" s="228">
        <f>'LATAM CELLULAR'!E16+'EM ASIA CELLULAR'!E16+'EMEA CELLULAR'!E16</f>
        <v>8160.1945885275327</v>
      </c>
      <c r="F16" s="228">
        <f>'LATAM CELLULAR'!F16+'EM ASIA CELLULAR'!F16+'EMEA CELLULAR'!F16</f>
        <v>31852.904479826429</v>
      </c>
      <c r="G16" s="228">
        <f>'LATAM CELLULAR'!G16+'EM ASIA CELLULAR'!G16+'EMEA CELLULAR'!G16</f>
        <v>58085.567981112588</v>
      </c>
      <c r="H16" s="247"/>
      <c r="I16" s="247"/>
      <c r="J16" s="5" t="s">
        <v>528</v>
      </c>
      <c r="L16" s="64">
        <f>'AGG EM'!D44</f>
        <v>18.269093770217651</v>
      </c>
      <c r="M16" s="64">
        <f>'AGG EM'!E44</f>
        <v>15.568805131794383</v>
      </c>
      <c r="N16" s="64">
        <f>'AGG EM'!F44</f>
        <v>13.199234812647555</v>
      </c>
      <c r="O16" s="64">
        <f>'AGG EM'!G44</f>
        <v>11.401551775928532</v>
      </c>
      <c r="P16" s="17">
        <f>'AGG EM'!H44</f>
        <v>0.16848189780945066</v>
      </c>
      <c r="S16" s="88"/>
      <c r="T16" s="88"/>
      <c r="U16" s="88"/>
      <c r="V16" s="42"/>
      <c r="W16" s="42"/>
      <c r="X16" s="42"/>
      <c r="Y16" s="42"/>
      <c r="Z16" s="42"/>
      <c r="AA16" s="42"/>
    </row>
    <row r="17" spans="2:27">
      <c r="B17" s="5" t="s">
        <v>6</v>
      </c>
      <c r="C17" s="257"/>
      <c r="D17" s="228">
        <f>'LATAM CELLULAR'!D17+'EM ASIA CELLULAR'!D17+'EMEA CELLULAR'!D17</f>
        <v>209.23106161492166</v>
      </c>
      <c r="E17" s="228">
        <f>'LATAM CELLULAR'!E17+'EM ASIA CELLULAR'!E17+'EMEA CELLULAR'!E17</f>
        <v>209.23106161492166</v>
      </c>
      <c r="F17" s="228">
        <f>'LATAM CELLULAR'!F17+'EM ASIA CELLULAR'!F17+'EMEA CELLULAR'!F17</f>
        <v>209.23106161492166</v>
      </c>
      <c r="G17" s="228">
        <f>'LATAM CELLULAR'!G17+'EM ASIA CELLULAR'!G17+'EMEA CELLULAR'!G17</f>
        <v>209.23106161492166</v>
      </c>
      <c r="H17" s="247"/>
      <c r="I17" s="247"/>
      <c r="J17" s="5" t="s">
        <v>575</v>
      </c>
      <c r="L17" s="248">
        <f>'AGG EM'!D45</f>
        <v>3.9575725452429565E-2</v>
      </c>
      <c r="M17" s="248">
        <f>'AGG EM'!E45</f>
        <v>4.4599307126826686E-2</v>
      </c>
      <c r="N17" s="248">
        <f>'AGG EM'!F45</f>
        <v>5.062338744034766E-2</v>
      </c>
      <c r="O17" s="248">
        <f>'AGG EM'!G45</f>
        <v>5.8280255420076719E-2</v>
      </c>
      <c r="P17" s="17">
        <f>'AGG EM'!H45</f>
        <v>0.13606146505400307</v>
      </c>
      <c r="S17" s="88"/>
      <c r="T17" s="88"/>
      <c r="U17" s="88"/>
      <c r="V17" s="42"/>
      <c r="W17" s="42"/>
      <c r="X17" s="42"/>
      <c r="Y17" s="42"/>
      <c r="Z17" s="42"/>
      <c r="AA17" s="42"/>
    </row>
    <row r="18" spans="2:27" ht="12.6" thickBot="1">
      <c r="B18" s="41" t="s">
        <v>355</v>
      </c>
      <c r="C18" s="249"/>
      <c r="D18" s="275">
        <f>'LATAM CELLULAR'!D18+'EM ASIA CELLULAR'!D18+'EMEA CELLULAR'!D18</f>
        <v>649667.6815955817</v>
      </c>
      <c r="E18" s="275">
        <f>'LATAM CELLULAR'!E18+'EM ASIA CELLULAR'!E18+'EMEA CELLULAR'!E18</f>
        <v>639013.7442958696</v>
      </c>
      <c r="F18" s="275">
        <f>'LATAM CELLULAR'!F18+'EM ASIA CELLULAR'!F18+'EMEA CELLULAR'!F18</f>
        <v>602406.66457980429</v>
      </c>
      <c r="G18" s="275">
        <f>'LATAM CELLULAR'!G18+'EM ASIA CELLULAR'!G18+'EMEA CELLULAR'!G18</f>
        <v>560522.75253467495</v>
      </c>
      <c r="H18" s="276">
        <f>IF(D18=0,"nm",IF(G18=0,"nm",(G18/D18)^(1/3)-1))</f>
        <v>-4.800647533144331E-2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'AGG EM'!D47</f>
        <v>5.0146939343107481E-2</v>
      </c>
      <c r="M19" s="248">
        <f>'AGG EM'!E47</f>
        <v>6.1989801009519022E-2</v>
      </c>
      <c r="N19" s="248">
        <f>'AGG EM'!F47</f>
        <v>7.3683965448696279E-2</v>
      </c>
      <c r="O19" s="248">
        <f>'AGG EM'!G47</f>
        <v>8.6675981966062354E-2</v>
      </c>
      <c r="P19" s="17">
        <f>'AGG EM'!H47</f>
        <v>0.19756422158027021</v>
      </c>
      <c r="S19" s="88"/>
      <c r="T19" s="88"/>
      <c r="U19" s="88"/>
      <c r="V19" s="42"/>
      <c r="W19" s="42"/>
      <c r="X19" s="42"/>
      <c r="Y19" s="42"/>
      <c r="Z19" s="42"/>
      <c r="AA19" s="42"/>
    </row>
    <row r="20" spans="2:27">
      <c r="H20" s="277"/>
      <c r="I20" s="49"/>
      <c r="J20" s="5" t="s">
        <v>599</v>
      </c>
      <c r="L20" s="248">
        <f>'AGG EM'!D48</f>
        <v>0.7811093796944828</v>
      </c>
      <c r="M20" s="248">
        <f>'AGG EM'!E48</f>
        <v>0.71190259032608272</v>
      </c>
      <c r="N20" s="248">
        <f>'AGG EM'!F48</f>
        <v>0.68014626513904075</v>
      </c>
      <c r="O20" s="248">
        <f>'AGG EM'!G48</f>
        <v>0.66683886253088454</v>
      </c>
      <c r="P20" s="17" t="str">
        <f>'AGG EM'!H48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'LATAM CELLULAR'!C23+'EM ASIA CELLULAR'!C23+'EMEA CELLULAR'!C23</f>
        <v>255952.83309542431</v>
      </c>
      <c r="D23" s="228">
        <f>'LATAM CELLULAR'!D23+'EM ASIA CELLULAR'!D23+'EMEA CELLULAR'!D23</f>
        <v>274891.47804578603</v>
      </c>
      <c r="E23" s="228">
        <f>'LATAM CELLULAR'!E23+'EM ASIA CELLULAR'!E23+'EMEA CELLULAR'!E23</f>
        <v>284102.72762236511</v>
      </c>
      <c r="F23" s="228">
        <f>'LATAM CELLULAR'!F23+'EM ASIA CELLULAR'!F23+'EMEA CELLULAR'!F23</f>
        <v>299303.54053092882</v>
      </c>
      <c r="G23" s="228">
        <f>'LATAM CELLULAR'!G23+'EM ASIA CELLULAR'!G23+'EMEA CELLULAR'!G23</f>
        <v>315003.59230820788</v>
      </c>
      <c r="H23" s="279">
        <f t="shared" ref="H23:H33" si="0">IF(D23=0,"nm",IF(G23=0,"nm",(G23/D23)^(1/3)-1))</f>
        <v>4.6449022636606552E-2</v>
      </c>
      <c r="I23" s="249"/>
      <c r="J23" s="306" t="s">
        <v>9</v>
      </c>
      <c r="K23" s="306"/>
      <c r="L23" s="265" t="str">
        <f>L5</f>
        <v>2023E</v>
      </c>
      <c r="M23" s="265" t="str">
        <f>M5</f>
        <v>2024E</v>
      </c>
      <c r="N23" s="265" t="str">
        <f>N5</f>
        <v>2025E</v>
      </c>
      <c r="O23" s="265" t="str">
        <f>O5</f>
        <v>2026E</v>
      </c>
      <c r="P23" s="282" t="str">
        <f>P5</f>
        <v>23E-26E</v>
      </c>
      <c r="S23" s="42"/>
      <c r="T23" s="42"/>
      <c r="U23" s="42"/>
      <c r="V23" s="42"/>
      <c r="W23" s="42" t="s">
        <v>558</v>
      </c>
      <c r="X23" s="42" t="s">
        <v>26</v>
      </c>
      <c r="Y23" s="42"/>
      <c r="Z23" s="42"/>
      <c r="AA23" s="42"/>
    </row>
    <row r="24" spans="2:27" ht="12.6" thickTop="1">
      <c r="B24" s="5" t="s">
        <v>478</v>
      </c>
      <c r="C24" s="365">
        <f>'LATAM CELLULAR'!C24+'EM ASIA CELLULAR'!C24+'EMEA CELLULAR'!C24</f>
        <v>96027.255843875188</v>
      </c>
      <c r="D24" s="228">
        <f>'LATAM CELLULAR'!D24+'EM ASIA CELLULAR'!D24+'EMEA CELLULAR'!D24</f>
        <v>101530.24654734507</v>
      </c>
      <c r="E24" s="228">
        <f>'LATAM CELLULAR'!E24+'EM ASIA CELLULAR'!E24+'EMEA CELLULAR'!E24</f>
        <v>104776.03629429825</v>
      </c>
      <c r="F24" s="228">
        <f>'LATAM CELLULAR'!F24+'EM ASIA CELLULAR'!F24+'EMEA CELLULAR'!F24</f>
        <v>111428.41407031157</v>
      </c>
      <c r="G24" s="228">
        <f>'LATAM CELLULAR'!G24+'EM ASIA CELLULAR'!G24+'EMEA CELLULAR'!G24</f>
        <v>118343.85296895164</v>
      </c>
      <c r="H24" s="279">
        <f t="shared" si="0"/>
        <v>5.2406256537620211E-2</v>
      </c>
      <c r="I24" s="248"/>
      <c r="J24" s="17"/>
      <c r="K24" s="17"/>
      <c r="L24" s="17"/>
      <c r="M24" s="17"/>
      <c r="N24" s="17"/>
      <c r="O24" s="248"/>
      <c r="S24" s="42"/>
      <c r="T24" s="42"/>
      <c r="U24" s="42"/>
      <c r="V24" s="147" t="s">
        <v>268</v>
      </c>
      <c r="W24" s="288">
        <f t="shared" ref="W24:W29" si="1">E37/M9</f>
        <v>1.3584381668579277</v>
      </c>
      <c r="X24" s="288">
        <v>1</v>
      </c>
      <c r="Y24" s="42"/>
      <c r="Z24" s="42"/>
      <c r="AA24" s="42"/>
    </row>
    <row r="25" spans="2:27">
      <c r="B25" s="5" t="s">
        <v>179</v>
      </c>
      <c r="C25" s="365">
        <f>'LATAM CELLULAR'!C25+'EM ASIA CELLULAR'!C25+'EMEA CELLULAR'!C25</f>
        <v>47002.713427752038</v>
      </c>
      <c r="D25" s="228">
        <f>'LATAM CELLULAR'!D25+'EM ASIA CELLULAR'!D25+'EMEA CELLULAR'!D25</f>
        <v>52584.058072050881</v>
      </c>
      <c r="E25" s="228">
        <f>'LATAM CELLULAR'!E25+'EM ASIA CELLULAR'!E25+'EMEA CELLULAR'!E25</f>
        <v>56774.58139149924</v>
      </c>
      <c r="F25" s="228">
        <f>'LATAM CELLULAR'!F25+'EM ASIA CELLULAR'!F25+'EMEA CELLULAR'!F25</f>
        <v>63341.263694861918</v>
      </c>
      <c r="G25" s="228">
        <f>'LATAM CELLULAR'!G25+'EM ASIA CELLULAR'!G25+'EMEA CELLULAR'!G25</f>
        <v>70180.837734871195</v>
      </c>
      <c r="H25" s="279">
        <f t="shared" si="0"/>
        <v>0.10100210602425808</v>
      </c>
      <c r="I25" s="249"/>
      <c r="J25" s="247" t="s">
        <v>10</v>
      </c>
      <c r="K25" s="247"/>
      <c r="L25" s="332">
        <f>'LATAM CELLULAR'!L25+'EM ASIA CELLULAR'!L25+'EMEA CELLULAR'!L25</f>
        <v>3090.3250276520221</v>
      </c>
      <c r="M25" s="332">
        <f>'LATAM CELLULAR'!M25+'EM ASIA CELLULAR'!M25+'EMEA CELLULAR'!M25</f>
        <v>3192.4829575406911</v>
      </c>
      <c r="N25" s="332">
        <f>'LATAM CELLULAR'!N25+'EM ASIA CELLULAR'!N25+'EMEA CELLULAR'!N25</f>
        <v>3286.1856623122289</v>
      </c>
      <c r="O25" s="332">
        <f>'LATAM CELLULAR'!O25+'EM ASIA CELLULAR'!O25+'EMEA CELLULAR'!O25</f>
        <v>1924.7693223709584</v>
      </c>
      <c r="P25" s="279">
        <f>IF(L25=0,"nm",IF(O25=0,"nm",(O25/L25)^(1/3)-1))</f>
        <v>-0.14599939898729886</v>
      </c>
      <c r="Q25" s="5"/>
      <c r="S25" s="42"/>
      <c r="T25" s="42"/>
      <c r="U25" s="42"/>
      <c r="V25" s="147" t="s">
        <v>180</v>
      </c>
      <c r="W25" s="288">
        <f t="shared" si="1"/>
        <v>1.2612960141504341</v>
      </c>
      <c r="X25" s="288">
        <v>1</v>
      </c>
      <c r="Y25" s="42"/>
      <c r="Z25" s="42"/>
      <c r="AA25" s="42"/>
    </row>
    <row r="26" spans="2:27">
      <c r="B26" s="5" t="s">
        <v>581</v>
      </c>
      <c r="C26" s="365">
        <f>'LATAM CELLULAR'!C26+'EM ASIA CELLULAR'!C26+'EMEA CELLULAR'!C26</f>
        <v>36704.318246452749</v>
      </c>
      <c r="D26" s="228">
        <f>'LATAM CELLULAR'!D26+'EM ASIA CELLULAR'!D26+'EMEA CELLULAR'!D26</f>
        <v>41134.486590420012</v>
      </c>
      <c r="E26" s="228">
        <f>'LATAM CELLULAR'!E26+'EM ASIA CELLULAR'!E26+'EMEA CELLULAR'!E26</f>
        <v>44076.48369585313</v>
      </c>
      <c r="F26" s="228">
        <f>'LATAM CELLULAR'!F26+'EM ASIA CELLULAR'!F26+'EMEA CELLULAR'!F26</f>
        <v>48159.653206041614</v>
      </c>
      <c r="G26" s="228">
        <f>'LATAM CELLULAR'!G26+'EM ASIA CELLULAR'!G26+'EMEA CELLULAR'!G26</f>
        <v>53230.755420212052</v>
      </c>
      <c r="H26" s="279">
        <f t="shared" si="0"/>
        <v>8.9729855374904854E-2</v>
      </c>
      <c r="I26" s="249"/>
      <c r="J26" s="249" t="s">
        <v>11</v>
      </c>
      <c r="K26" s="249"/>
      <c r="L26" s="281">
        <f>'LATAM CELLULAR'!L26+'EM ASIA CELLULAR'!L26+'EMEA CELLULAR'!L26</f>
        <v>518613.97437146539</v>
      </c>
      <c r="M26" s="281">
        <f>'LATAM CELLULAR'!M26+'EM ASIA CELLULAR'!M26+'EMEA CELLULAR'!M26</f>
        <v>521634.98824650398</v>
      </c>
      <c r="N26" s="281">
        <f>'LATAM CELLULAR'!N26+'EM ASIA CELLULAR'!N26+'EMEA CELLULAR'!N26</f>
        <v>521462.39095127553</v>
      </c>
      <c r="O26" s="281">
        <f>'LATAM CELLULAR'!O26+'EM ASIA CELLULAR'!O26+'EMEA CELLULAR'!O26</f>
        <v>519834.67461133422</v>
      </c>
      <c r="P26" s="279">
        <f>IF(L26=0,"nm",IF(O26=0,"nm",(O26/L26)^(1/3)-1))</f>
        <v>7.8397665035501163E-4</v>
      </c>
      <c r="Q26" s="41"/>
      <c r="S26" s="42"/>
      <c r="T26" s="42"/>
      <c r="U26" s="42"/>
      <c r="V26" s="147" t="s">
        <v>181</v>
      </c>
      <c r="W26" s="288">
        <f t="shared" si="1"/>
        <v>1.1737373908522464</v>
      </c>
      <c r="X26" s="288">
        <v>1</v>
      </c>
      <c r="Y26" s="42"/>
      <c r="Z26" s="42"/>
      <c r="AA26" s="42"/>
    </row>
    <row r="27" spans="2:27">
      <c r="B27" s="5" t="s">
        <v>582</v>
      </c>
      <c r="C27" s="365">
        <f>'LATAM CELLULAR'!C27+'EM ASIA CELLULAR'!C27+'EMEA CELLULAR'!C27</f>
        <v>349707.79991493316</v>
      </c>
      <c r="D27" s="228">
        <f>'LATAM CELLULAR'!D27+'EM ASIA CELLULAR'!D27+'EMEA CELLULAR'!D27</f>
        <v>426054.398169133</v>
      </c>
      <c r="E27" s="228">
        <f>'LATAM CELLULAR'!E27+'EM ASIA CELLULAR'!E27+'EMEA CELLULAR'!E27</f>
        <v>415390.07760156534</v>
      </c>
      <c r="F27" s="228">
        <f>'LATAM CELLULAR'!F27+'EM ASIA CELLULAR'!F27+'EMEA CELLULAR'!F27</f>
        <v>409209.72344966733</v>
      </c>
      <c r="G27" s="228">
        <f>'LATAM CELLULAR'!G27+'EM ASIA CELLULAR'!G27+'EMEA CELLULAR'!G27</f>
        <v>402228.6611977896</v>
      </c>
      <c r="H27" s="279">
        <f t="shared" si="0"/>
        <v>-1.8999293431604336E-2</v>
      </c>
      <c r="I27" s="248"/>
      <c r="J27" s="248"/>
      <c r="K27" s="248"/>
      <c r="L27" s="248"/>
      <c r="M27" s="248"/>
      <c r="N27" s="248"/>
      <c r="O27" s="248"/>
      <c r="Q27" s="5"/>
      <c r="S27" s="42"/>
      <c r="T27" s="42"/>
      <c r="U27" s="42"/>
      <c r="V27" s="147" t="s">
        <v>461</v>
      </c>
      <c r="W27" s="288">
        <f t="shared" si="1"/>
        <v>1.151688181709706</v>
      </c>
      <c r="X27" s="288">
        <v>1</v>
      </c>
      <c r="Y27" s="42"/>
      <c r="Z27" s="42"/>
      <c r="AA27" s="42"/>
    </row>
    <row r="28" spans="2:27" ht="12.6" thickBot="1">
      <c r="B28" s="5" t="s">
        <v>587</v>
      </c>
      <c r="C28" s="365">
        <f>'LATAM CELLULAR'!C28+'EM ASIA CELLULAR'!C28+'EMEA CELLULAR'!C28</f>
        <v>239313.16714090406</v>
      </c>
      <c r="D28" s="228">
        <f>'LATAM CELLULAR'!D28+'EM ASIA CELLULAR'!D28+'EMEA CELLULAR'!D28</f>
        <v>235180.28084156231</v>
      </c>
      <c r="E28" s="228">
        <f>'LATAM CELLULAR'!E28+'EM ASIA CELLULAR'!E28+'EMEA CELLULAR'!E28</f>
        <v>239043.97819460175</v>
      </c>
      <c r="F28" s="228">
        <f>'LATAM CELLULAR'!F28+'EM ASIA CELLULAR'!F28+'EMEA CELLULAR'!F28</f>
        <v>243367.01743493965</v>
      </c>
      <c r="G28" s="228">
        <f>'LATAM CELLULAR'!G28+'EM ASIA CELLULAR'!G28+'EMEA CELLULAR'!G28</f>
        <v>246705.56173839362</v>
      </c>
      <c r="H28" s="279">
        <f t="shared" si="0"/>
        <v>1.6075575533494924E-2</v>
      </c>
      <c r="I28" s="252"/>
      <c r="J28" s="306" t="s">
        <v>747</v>
      </c>
      <c r="K28" s="306"/>
      <c r="L28" s="306"/>
      <c r="M28" s="306"/>
      <c r="N28" s="266"/>
      <c r="O28" s="266"/>
      <c r="P28" s="266"/>
      <c r="Q28" s="5"/>
      <c r="S28" s="42"/>
      <c r="T28" s="42"/>
      <c r="U28" s="42"/>
      <c r="V28" s="147" t="s">
        <v>525</v>
      </c>
      <c r="W28" s="288">
        <f t="shared" si="1"/>
        <v>1.1698512492125628</v>
      </c>
      <c r="X28" s="288">
        <v>1</v>
      </c>
      <c r="Y28" s="42"/>
      <c r="Z28" s="42"/>
      <c r="AA28" s="42"/>
    </row>
    <row r="29" spans="2:27" ht="12.6" thickTop="1">
      <c r="B29" s="5" t="s">
        <v>583</v>
      </c>
      <c r="C29" s="365">
        <f>'LATAM CELLULAR'!C29+'EM ASIA CELLULAR'!C29+'EMEA CELLULAR'!C29</f>
        <v>17842.237760361033</v>
      </c>
      <c r="D29" s="228">
        <f>'LATAM CELLULAR'!D29+'EM ASIA CELLULAR'!D29+'EMEA CELLULAR'!D29</f>
        <v>21512.948060642295</v>
      </c>
      <c r="E29" s="228">
        <f>'LATAM CELLULAR'!E29+'EM ASIA CELLULAR'!E29+'EMEA CELLULAR'!E29</f>
        <v>25225.595674778549</v>
      </c>
      <c r="F29" s="228">
        <f>'LATAM CELLULAR'!F29+'EM ASIA CELLULAR'!F29+'EMEA CELLULAR'!F29</f>
        <v>30280.439290337185</v>
      </c>
      <c r="G29" s="228">
        <f>'LATAM CELLULAR'!G29+'EM ASIA CELLULAR'!G29+'EMEA CELLULAR'!G29</f>
        <v>36151.593568574011</v>
      </c>
      <c r="H29" s="279">
        <f t="shared" si="0"/>
        <v>0.18889227648007534</v>
      </c>
      <c r="I29" s="254"/>
      <c r="J29" s="249"/>
      <c r="K29" s="249"/>
      <c r="L29" s="249"/>
      <c r="M29" s="249"/>
      <c r="N29" s="249"/>
      <c r="O29" s="251"/>
      <c r="Q29" s="5"/>
      <c r="S29" s="42"/>
      <c r="T29" s="42"/>
      <c r="U29" s="42"/>
      <c r="V29" s="147" t="s">
        <v>588</v>
      </c>
      <c r="W29" s="288">
        <f t="shared" si="1"/>
        <v>1.3201729126303172</v>
      </c>
      <c r="X29" s="288">
        <v>1</v>
      </c>
      <c r="Y29" s="42"/>
      <c r="Z29" s="42"/>
      <c r="AA29" s="42"/>
    </row>
    <row r="30" spans="2:27">
      <c r="B30" s="5" t="s">
        <v>584</v>
      </c>
      <c r="C30" s="365">
        <f>'LATAM CELLULAR'!C30+'EM ASIA CELLULAR'!C30+'EMEA CELLULAR'!C30</f>
        <v>25463.063490413304</v>
      </c>
      <c r="D30" s="228">
        <f>'LATAM CELLULAR'!D30+'EM ASIA CELLULAR'!D30+'EMEA CELLULAR'!D30</f>
        <v>24867.828403464777</v>
      </c>
      <c r="E30" s="228">
        <f>'LATAM CELLULAR'!E30+'EM ASIA CELLULAR'!E30+'EMEA CELLULAR'!E30</f>
        <v>29194.995711092695</v>
      </c>
      <c r="F30" s="228">
        <f>'LATAM CELLULAR'!F30+'EM ASIA CELLULAR'!F30+'EMEA CELLULAR'!F30</f>
        <v>34878.746222571826</v>
      </c>
      <c r="G30" s="228">
        <f>'LATAM CELLULAR'!G30+'EM ASIA CELLULAR'!G30+'EMEA CELLULAR'!G30</f>
        <v>40126.161194715663</v>
      </c>
      <c r="H30" s="279">
        <f t="shared" si="0"/>
        <v>0.17290611502365838</v>
      </c>
      <c r="I30" s="254"/>
      <c r="J30" s="248"/>
      <c r="K30" s="248"/>
      <c r="L30" s="248"/>
      <c r="M30" s="248"/>
      <c r="N30" s="248"/>
      <c r="O30" s="5"/>
      <c r="Q30" s="5"/>
      <c r="S30" s="42"/>
      <c r="T30" s="42"/>
      <c r="U30" s="42"/>
      <c r="V30" s="147" t="s">
        <v>379</v>
      </c>
      <c r="W30" s="288">
        <f>F43/N15</f>
        <v>1.2689187375795326</v>
      </c>
      <c r="X30" s="288">
        <v>1</v>
      </c>
      <c r="Y30" s="42"/>
      <c r="Z30" s="42"/>
      <c r="AA30" s="42"/>
    </row>
    <row r="31" spans="2:27">
      <c r="B31" s="5" t="s">
        <v>585</v>
      </c>
      <c r="C31" s="365">
        <f>'LATAM CELLULAR'!C31+'EM ASIA CELLULAR'!C31+'EMEA CELLULAR'!C31</f>
        <v>17291.589857805448</v>
      </c>
      <c r="D31" s="228">
        <f>'LATAM CELLULAR'!D31+'EM ASIA CELLULAR'!D31+'EMEA CELLULAR'!D31</f>
        <v>19340.877243880255</v>
      </c>
      <c r="E31" s="228">
        <f>'LATAM CELLULAR'!E31+'EM ASIA CELLULAR'!E31+'EMEA CELLULAR'!E31</f>
        <v>22147.526697468038</v>
      </c>
      <c r="F31" s="228">
        <f>'LATAM CELLULAR'!F31+'EM ASIA CELLULAR'!F31+'EMEA CELLULAR'!F31</f>
        <v>25024.966402929182</v>
      </c>
      <c r="G31" s="228">
        <f>'LATAM CELLULAR'!G31+'EM ASIA CELLULAR'!G31+'EMEA CELLULAR'!G31</f>
        <v>28693.550614606102</v>
      </c>
      <c r="H31" s="279">
        <f t="shared" si="0"/>
        <v>0.14051948142171655</v>
      </c>
      <c r="I31" s="254"/>
      <c r="J31" s="252"/>
      <c r="K31" s="252"/>
      <c r="L31" s="252"/>
      <c r="M31" s="252"/>
      <c r="N31" s="252"/>
      <c r="O31" s="5"/>
      <c r="Q31" s="5"/>
      <c r="S31" s="42"/>
      <c r="T31" s="42"/>
      <c r="U31" s="42"/>
      <c r="V31" s="147" t="s">
        <v>528</v>
      </c>
      <c r="W31" s="288">
        <f>E44/M16</f>
        <v>1.1525959058969142</v>
      </c>
      <c r="X31" s="288">
        <v>1</v>
      </c>
      <c r="Y31" s="42"/>
      <c r="Z31" s="42"/>
      <c r="AA31" s="42"/>
    </row>
    <row r="32" spans="2:27">
      <c r="B32" s="5" t="s">
        <v>601</v>
      </c>
      <c r="C32" s="365" t="e">
        <f>'LATAM CELLULAR'!C32+'EM ASIA CELLULAR'!C32+'EMEA CELLULAR'!C32</f>
        <v>#VALUE!</v>
      </c>
      <c r="D32" s="228" t="e">
        <f>'LATAM CELLULAR'!D32+'EM ASIA CELLULAR'!D32+'EMEA CELLULAR'!D32</f>
        <v>#VALUE!</v>
      </c>
      <c r="E32" s="228" t="e">
        <f>'LATAM CELLULAR'!E32+'EM ASIA CELLULAR'!E32+'EMEA CELLULAR'!E32</f>
        <v>#VALUE!</v>
      </c>
      <c r="F32" s="228" t="e">
        <f>'LATAM CELLULAR'!F32+'EM ASIA CELLULAR'!F32+'EMEA CELLULAR'!F32</f>
        <v>#VALUE!</v>
      </c>
      <c r="G32" s="228" t="e">
        <f>'LATAM CELLULAR'!G32+'EM ASIA CELLULAR'!G32+'EMEA CELLULAR'!G32</f>
        <v>#VALUE!</v>
      </c>
      <c r="H32" s="279" t="e">
        <f t="shared" si="0"/>
        <v>#VALUE!</v>
      </c>
      <c r="I32" s="5"/>
      <c r="J32" s="254"/>
      <c r="K32" s="254"/>
      <c r="L32" s="254"/>
      <c r="M32" s="254"/>
      <c r="N32" s="254"/>
      <c r="O32" s="251"/>
      <c r="Q32" s="5"/>
      <c r="S32" s="42"/>
      <c r="T32" s="42"/>
      <c r="U32" s="42"/>
      <c r="V32" s="147" t="s">
        <v>575</v>
      </c>
      <c r="W32" s="288">
        <f>M17/E45</f>
        <v>1.0549785974003552</v>
      </c>
      <c r="X32" s="288">
        <v>1</v>
      </c>
      <c r="Y32" s="42"/>
      <c r="Z32" s="42"/>
      <c r="AA32" s="42"/>
    </row>
    <row r="33" spans="2:42">
      <c r="B33" s="5" t="s">
        <v>5</v>
      </c>
      <c r="C33" s="365">
        <f>'LATAM CELLULAR'!C33+'EM ASIA CELLULAR'!C33+'EMEA CELLULAR'!C33</f>
        <v>6207.2788691095366</v>
      </c>
      <c r="D33" s="228">
        <f>'LATAM CELLULAR'!D33+'EM ASIA CELLULAR'!D33+'EMEA CELLULAR'!D33</f>
        <v>6404.7383023958464</v>
      </c>
      <c r="E33" s="228">
        <f>'LATAM CELLULAR'!E33+'EM ASIA CELLULAR'!E33+'EMEA CELLULAR'!E33</f>
        <v>6526.98767221239</v>
      </c>
      <c r="F33" s="228">
        <f>'LATAM CELLULAR'!F33+'EM ASIA CELLULAR'!F33+'EMEA CELLULAR'!F33</f>
        <v>6633.5339460264322</v>
      </c>
      <c r="G33" s="228">
        <f>'LATAM CELLULAR'!G33+'EM ASIA CELLULAR'!G33+'EMEA CELLULAR'!G33</f>
        <v>6546.5923469495328</v>
      </c>
      <c r="H33" s="279">
        <f t="shared" si="0"/>
        <v>7.3289212779328317E-3</v>
      </c>
      <c r="I33" s="49"/>
      <c r="J33" s="254"/>
      <c r="K33" s="254"/>
      <c r="L33" s="254"/>
      <c r="M33" s="254"/>
      <c r="N33" s="254"/>
      <c r="O33" s="251"/>
      <c r="Q33" s="5"/>
      <c r="S33" s="42"/>
      <c r="T33" s="42"/>
      <c r="U33" s="42"/>
      <c r="V33" s="147" t="s">
        <v>261</v>
      </c>
      <c r="W33" s="288">
        <f>N19/F47</f>
        <v>1.2689187375795328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273</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2.3633605749224893</v>
      </c>
      <c r="E37" s="64">
        <f t="shared" si="2"/>
        <v>2.2492348089852174</v>
      </c>
      <c r="F37" s="64">
        <f t="shared" si="2"/>
        <v>2.0126947496551715</v>
      </c>
      <c r="G37" s="64">
        <f t="shared" si="2"/>
        <v>1.7794170168899046</v>
      </c>
      <c r="H37" s="17">
        <f t="shared" ref="H37:H45" si="3">H23</f>
        <v>4.6449022636606552E-2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6.3987600118023149</v>
      </c>
      <c r="E38" s="64">
        <f t="shared" si="2"/>
        <v>6.0988539640971684</v>
      </c>
      <c r="F38" s="64">
        <f t="shared" si="2"/>
        <v>5.4062212910944272</v>
      </c>
      <c r="G38" s="64">
        <f t="shared" si="2"/>
        <v>4.7363909360102729</v>
      </c>
      <c r="H38" s="17">
        <f t="shared" si="3"/>
        <v>5.2406256537620211E-2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12.354841094717424</v>
      </c>
      <c r="E39" s="64">
        <f t="shared" si="2"/>
        <v>11.255278834896844</v>
      </c>
      <c r="F39" s="64">
        <f t="shared" si="2"/>
        <v>9.5104933094138762</v>
      </c>
      <c r="G39" s="64">
        <f t="shared" si="2"/>
        <v>7.9868347347493183</v>
      </c>
      <c r="H39" s="17">
        <f t="shared" si="3"/>
        <v>0.10100210602425808</v>
      </c>
      <c r="I39" s="5"/>
      <c r="J39" s="5"/>
      <c r="K39" s="5"/>
      <c r="L39" s="5"/>
      <c r="M39" s="5"/>
      <c r="N39" s="5"/>
      <c r="O39" s="5"/>
      <c r="Q39" s="5"/>
      <c r="R39" s="5"/>
      <c r="S39" s="42"/>
      <c r="T39" s="42"/>
      <c r="U39" s="42"/>
      <c r="V39" s="42"/>
      <c r="W39" s="288"/>
      <c r="X39" s="288"/>
      <c r="Y39" s="42"/>
      <c r="Z39" s="42"/>
      <c r="AA39" s="42"/>
    </row>
    <row r="40" spans="2:42">
      <c r="B40" s="5" t="s">
        <v>461</v>
      </c>
      <c r="C40" s="247"/>
      <c r="D40" s="64">
        <f t="shared" si="2"/>
        <v>15.793747180179601</v>
      </c>
      <c r="E40" s="64">
        <f t="shared" si="2"/>
        <v>14.497838545954387</v>
      </c>
      <c r="F40" s="64">
        <f t="shared" si="2"/>
        <v>12.508534104316029</v>
      </c>
      <c r="G40" s="64">
        <f t="shared" si="2"/>
        <v>10.530054441456244</v>
      </c>
      <c r="H40" s="17">
        <f t="shared" si="3"/>
        <v>8.9729855374904854E-2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1.5248467904271694</v>
      </c>
      <c r="E41" s="64">
        <f t="shared" si="2"/>
        <v>1.5383461925366451</v>
      </c>
      <c r="F41" s="64">
        <f t="shared" si="2"/>
        <v>1.4721220686093988</v>
      </c>
      <c r="G41" s="64">
        <f t="shared" si="2"/>
        <v>1.3935425458382409</v>
      </c>
      <c r="H41" s="17">
        <f t="shared" si="3"/>
        <v>-1.8999293431604336E-2</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2.7624241253170956</v>
      </c>
      <c r="E42" s="64">
        <f>E18/E28</f>
        <v>2.6732057804679736</v>
      </c>
      <c r="F42" s="64">
        <f>F18/F28</f>
        <v>2.4753011765074051</v>
      </c>
      <c r="G42" s="64">
        <f>G18/G28</f>
        <v>2.2720312772237086</v>
      </c>
      <c r="H42" s="17">
        <f t="shared" si="3"/>
        <v>1.6075575533494924E-2</v>
      </c>
      <c r="I42" s="247"/>
      <c r="J42" s="5"/>
      <c r="K42" s="5"/>
      <c r="L42" s="5"/>
      <c r="M42" s="5"/>
      <c r="N42" s="5"/>
      <c r="O42" s="5"/>
      <c r="Q42" s="5"/>
      <c r="R42" s="5"/>
      <c r="S42" s="42"/>
      <c r="T42" s="42"/>
      <c r="U42" s="42"/>
      <c r="V42" s="42"/>
      <c r="W42" s="288"/>
      <c r="X42" s="288"/>
      <c r="Y42" s="288"/>
      <c r="Z42" s="288"/>
      <c r="AA42" s="42"/>
    </row>
    <row r="43" spans="2:42">
      <c r="B43" s="5" t="s">
        <v>470</v>
      </c>
      <c r="C43" s="247"/>
      <c r="D43" s="64">
        <f>L26/D29</f>
        <v>24.107062077664011</v>
      </c>
      <c r="E43" s="64">
        <f>M26/E29</f>
        <v>20.678797637593679</v>
      </c>
      <c r="F43" s="64">
        <f>N26/F29</f>
        <v>17.221097288297262</v>
      </c>
      <c r="G43" s="64">
        <f>O26/G29</f>
        <v>14.37930180381365</v>
      </c>
      <c r="H43" s="17">
        <f t="shared" si="3"/>
        <v>0.18889227648007534</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20.954288205249199</v>
      </c>
      <c r="E44" s="64">
        <f>E11/E30</f>
        <v>17.944541054613072</v>
      </c>
      <c r="F44" s="64">
        <f>F11/F30</f>
        <v>15.012709911805581</v>
      </c>
      <c r="G44" s="64">
        <f>G11/G30</f>
        <v>13.042817542084691</v>
      </c>
      <c r="H44" s="17">
        <f t="shared" si="3"/>
        <v>0.17290611502365838</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3.7116361304412031E-2</v>
      </c>
      <c r="E45" s="248">
        <f>E31/E11</f>
        <v>4.227508239193372E-2</v>
      </c>
      <c r="F45" s="248">
        <f>F31/F11</f>
        <v>4.7791817313081346E-2</v>
      </c>
      <c r="G45" s="248">
        <f>G31/G11</f>
        <v>5.4825835656098436E-2</v>
      </c>
      <c r="H45" s="17">
        <f t="shared" si="3"/>
        <v>0.14051948142171655</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4.148162048027134E-2</v>
      </c>
      <c r="E47" s="248">
        <f>1/E43</f>
        <v>4.8358711058810219E-2</v>
      </c>
      <c r="F47" s="248">
        <f>1/F43</f>
        <v>5.8068309078049177E-2</v>
      </c>
      <c r="G47" s="248">
        <f>1/G43</f>
        <v>6.954440581633678E-2</v>
      </c>
      <c r="H47" s="17">
        <f>H29</f>
        <v>0.18889227648007534</v>
      </c>
      <c r="I47" s="247"/>
      <c r="J47" s="248"/>
      <c r="K47" s="248"/>
      <c r="L47" s="248"/>
      <c r="M47" s="248"/>
      <c r="N47" s="248"/>
      <c r="O47" s="248"/>
      <c r="Q47" s="5"/>
      <c r="R47" s="5"/>
      <c r="S47" s="5"/>
      <c r="T47" s="5"/>
      <c r="U47" s="5"/>
      <c r="AA47" s="303"/>
      <c r="AB47" s="303"/>
    </row>
    <row r="48" spans="2:42">
      <c r="B48" s="5" t="s">
        <v>613</v>
      </c>
      <c r="C48" s="5"/>
      <c r="D48" s="305">
        <f>D31/D29</f>
        <v>0.89903425552652083</v>
      </c>
      <c r="E48" s="305">
        <f>E31/E29</f>
        <v>0.87797834322746737</v>
      </c>
      <c r="F48" s="305">
        <f>F31/F29</f>
        <v>0.8264400051459927</v>
      </c>
      <c r="G48" s="305">
        <f>G31/G29</f>
        <v>0.79370085194664652</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254"/>
      <c r="K54" s="254"/>
      <c r="L54" s="254"/>
      <c r="M54" s="254"/>
      <c r="N54" s="254"/>
      <c r="O54" s="251"/>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91">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819</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545</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EM'!D37</f>
        <v>1.7568504876692785</v>
      </c>
      <c r="M9" s="64">
        <f>'AGG EM'!E37</f>
        <v>1.6557505993722963</v>
      </c>
      <c r="N9" s="64">
        <f>'AGG EM'!F37</f>
        <v>1.4867932994499977</v>
      </c>
      <c r="O9" s="64">
        <f>'AGG EM'!G37</f>
        <v>1.3237610851186894</v>
      </c>
      <c r="P9" s="17">
        <f>'AGG EM'!H37</f>
        <v>4.2237881472639405E-2</v>
      </c>
    </row>
    <row r="10" spans="2:63">
      <c r="B10" s="5" t="s">
        <v>269</v>
      </c>
      <c r="C10" s="5"/>
      <c r="D10" s="332"/>
      <c r="E10" s="332"/>
      <c r="F10" s="332"/>
      <c r="G10" s="332"/>
      <c r="H10" s="247"/>
      <c r="I10" s="247"/>
      <c r="J10" s="5" t="s">
        <v>180</v>
      </c>
      <c r="L10" s="64">
        <f>'AGG EM'!D38</f>
        <v>5.1440316657520277</v>
      </c>
      <c r="M10" s="64">
        <f>'AGG EM'!E38</f>
        <v>4.8353866940625734</v>
      </c>
      <c r="N10" s="64">
        <f>'AGG EM'!F38</f>
        <v>4.3122989607565385</v>
      </c>
      <c r="O10" s="64">
        <f>'AGG EM'!G38</f>
        <v>3.8049801727031363</v>
      </c>
      <c r="P10" s="17">
        <f>'AGG EM'!H38</f>
        <v>4.8678106743502703E-2</v>
      </c>
      <c r="W10" s="10"/>
      <c r="X10" s="10"/>
      <c r="Y10" s="10"/>
      <c r="Z10" s="10"/>
    </row>
    <row r="11" spans="2:63">
      <c r="B11" s="41" t="s">
        <v>354</v>
      </c>
      <c r="C11" s="5"/>
      <c r="D11" s="271">
        <f>'LATAM ALTNET &amp; CABLE'!D11</f>
        <v>3556.1191780102909</v>
      </c>
      <c r="E11" s="271">
        <f>'LATAM ALTNET &amp; CABLE'!E11</f>
        <v>3565.039858010291</v>
      </c>
      <c r="F11" s="271">
        <f>'LATAM ALTNET &amp; CABLE'!F11</f>
        <v>4040.0447380102905</v>
      </c>
      <c r="G11" s="271">
        <f>'LATAM ALTNET &amp; CABLE'!G11</f>
        <v>4018.2407380102904</v>
      </c>
      <c r="H11" s="249"/>
      <c r="I11" s="249"/>
      <c r="J11" s="5" t="s">
        <v>181</v>
      </c>
      <c r="L11" s="64">
        <f>'AGG EM'!D39</f>
        <v>10.995479606644533</v>
      </c>
      <c r="M11" s="64">
        <f>'AGG EM'!E39</f>
        <v>9.5892649604733364</v>
      </c>
      <c r="N11" s="64">
        <f>'AGG EM'!F39</f>
        <v>8.1142047815241369</v>
      </c>
      <c r="O11" s="64">
        <f>'AGG EM'!G39</f>
        <v>6.8473836589479324</v>
      </c>
      <c r="P11" s="17">
        <f>'AGG EM'!H39</f>
        <v>0.11059307549826269</v>
      </c>
      <c r="W11" s="10"/>
      <c r="X11" s="10"/>
      <c r="Y11" s="10"/>
      <c r="Z11" s="10"/>
    </row>
    <row r="12" spans="2:63">
      <c r="B12" s="5" t="s">
        <v>225</v>
      </c>
      <c r="C12" s="249"/>
      <c r="D12" s="228">
        <f>'LATAM ALTNET &amp; CABLE'!D12</f>
        <v>8068.0798118677512</v>
      </c>
      <c r="E12" s="228">
        <f>'LATAM ALTNET &amp; CABLE'!E12</f>
        <v>8007.9134625386632</v>
      </c>
      <c r="F12" s="228">
        <f>'LATAM ALTNET &amp; CABLE'!F12</f>
        <v>7820.3884917963387</v>
      </c>
      <c r="G12" s="228">
        <f>'LATAM ALTNET &amp; CABLE'!G12</f>
        <v>7499.4041853202834</v>
      </c>
      <c r="H12" s="247"/>
      <c r="I12" s="247"/>
      <c r="J12" s="5" t="s">
        <v>461</v>
      </c>
      <c r="L12" s="64">
        <f>'AGG EM'!D40</f>
        <v>14.520348963598265</v>
      </c>
      <c r="M12" s="64">
        <f>'AGG EM'!E40</f>
        <v>12.588336648928733</v>
      </c>
      <c r="N12" s="64">
        <f>'AGG EM'!F40</f>
        <v>10.782973360794294</v>
      </c>
      <c r="O12" s="64">
        <f>'AGG EM'!G40</f>
        <v>9.0993411007602809</v>
      </c>
      <c r="P12" s="17">
        <f>'AGG EM'!H40</f>
        <v>0.10827488676451624</v>
      </c>
      <c r="W12" s="10"/>
      <c r="X12" s="10"/>
      <c r="Y12" s="10"/>
      <c r="Z12" s="10"/>
    </row>
    <row r="13" spans="2:63">
      <c r="B13" s="5" t="s">
        <v>524</v>
      </c>
      <c r="C13" s="257"/>
      <c r="D13" s="228">
        <f>'LATAM ALTNET &amp; CABLE'!D13</f>
        <v>0</v>
      </c>
      <c r="E13" s="228">
        <f>'LATAM ALTNET &amp; CABLE'!E13</f>
        <v>0</v>
      </c>
      <c r="F13" s="228">
        <f>'LATAM ALTNET &amp; CABLE'!F13</f>
        <v>0</v>
      </c>
      <c r="G13" s="228">
        <f>'LATAM ALTNET &amp; CABLE'!G13</f>
        <v>0</v>
      </c>
      <c r="H13" s="247"/>
      <c r="I13" s="247"/>
      <c r="J13" s="5" t="s">
        <v>525</v>
      </c>
      <c r="L13" s="64">
        <f>'AGG EM'!D41</f>
        <v>1.3238253427535878</v>
      </c>
      <c r="M13" s="64">
        <f>'AGG EM'!E41</f>
        <v>1.3149929904097803</v>
      </c>
      <c r="N13" s="64">
        <f>'AGG EM'!F41</f>
        <v>1.2546648940766489</v>
      </c>
      <c r="O13" s="64">
        <f>'AGG EM'!G41</f>
        <v>1.1810433829047893</v>
      </c>
      <c r="P13" s="17">
        <f>'AGG EM'!H41</f>
        <v>-1.4824953823212472E-2</v>
      </c>
    </row>
    <row r="14" spans="2:63">
      <c r="B14" s="5" t="s">
        <v>527</v>
      </c>
      <c r="C14" s="274"/>
      <c r="D14" s="228">
        <f>'LATAM ALTNET &amp; CABLE'!D14</f>
        <v>0</v>
      </c>
      <c r="E14" s="228">
        <f>'LATAM ALTNET &amp; CABLE'!E14</f>
        <v>0</v>
      </c>
      <c r="F14" s="228">
        <f>'LATAM ALTNET &amp; CABLE'!F14</f>
        <v>1183.3135633341376</v>
      </c>
      <c r="G14" s="228">
        <f>'LATAM ALTNET &amp; CABLE'!G14</f>
        <v>1183.3135633341376</v>
      </c>
      <c r="H14" s="247"/>
      <c r="I14" s="247"/>
      <c r="J14" s="5" t="s">
        <v>588</v>
      </c>
      <c r="L14" s="64">
        <f>'AGG EM'!D42</f>
        <v>2.0711803682152934</v>
      </c>
      <c r="M14" s="64">
        <f>'AGG EM'!E42</f>
        <v>2.0248906449245871</v>
      </c>
      <c r="N14" s="64">
        <f>'AGG EM'!F42</f>
        <v>1.9071372802806041</v>
      </c>
      <c r="O14" s="64">
        <f>'AGG EM'!G42</f>
        <v>1.8113330320796608</v>
      </c>
      <c r="P14" s="17">
        <f>'AGG EM'!H42</f>
        <v>-8.2588640298681959E-3</v>
      </c>
    </row>
    <row r="15" spans="2:63">
      <c r="B15" s="5" t="s">
        <v>526</v>
      </c>
      <c r="C15" s="257"/>
      <c r="D15" s="228">
        <f>'LATAM ALTNET &amp; CABLE'!D15</f>
        <v>216.4933605439987</v>
      </c>
      <c r="E15" s="228">
        <f>'LATAM ALTNET &amp; CABLE'!E15</f>
        <v>216.4933605439987</v>
      </c>
      <c r="F15" s="228">
        <f>'LATAM ALTNET &amp; CABLE'!F15</f>
        <v>216.4933605439987</v>
      </c>
      <c r="G15" s="228">
        <f>'LATAM ALTNET &amp; CABLE'!G15</f>
        <v>216.4933605439987</v>
      </c>
      <c r="H15" s="247"/>
      <c r="I15" s="247"/>
      <c r="J15" s="5" t="s">
        <v>470</v>
      </c>
      <c r="L15" s="64">
        <f>'AGG EM'!D43</f>
        <v>19.941396485994044</v>
      </c>
      <c r="M15" s="64">
        <f>'AGG EM'!E43</f>
        <v>16.131685917921274</v>
      </c>
      <c r="N15" s="64">
        <f>'AGG EM'!F43</f>
        <v>13.571473710874955</v>
      </c>
      <c r="O15" s="64">
        <f>'AGG EM'!G43</f>
        <v>11.537221469167157</v>
      </c>
      <c r="P15" s="17">
        <f>'AGG EM'!H43</f>
        <v>0.19756422158027021</v>
      </c>
      <c r="S15" s="88"/>
      <c r="T15" s="88"/>
      <c r="U15" s="88"/>
      <c r="V15" s="42"/>
      <c r="W15" s="42"/>
      <c r="X15" s="42"/>
      <c r="Y15" s="42"/>
      <c r="Z15" s="42"/>
      <c r="AA15" s="42"/>
    </row>
    <row r="16" spans="2:63">
      <c r="B16" s="5" t="s">
        <v>529</v>
      </c>
      <c r="C16" s="257"/>
      <c r="D16" s="228">
        <f>'LATAM ALTNET &amp; CABLE'!D16</f>
        <v>0</v>
      </c>
      <c r="E16" s="228">
        <f>'LATAM ALTNET &amp; CABLE'!E16</f>
        <v>134.05118937276737</v>
      </c>
      <c r="F16" s="228">
        <f>'LATAM ALTNET &amp; CABLE'!F16</f>
        <v>274.80493821417309</v>
      </c>
      <c r="G16" s="228">
        <f>'LATAM ALTNET &amp; CABLE'!G16</f>
        <v>429.6340619397194</v>
      </c>
      <c r="H16" s="247"/>
      <c r="I16" s="247"/>
      <c r="J16" s="5" t="s">
        <v>528</v>
      </c>
      <c r="L16" s="64">
        <f>'AGG EM'!D44</f>
        <v>18.269093770217651</v>
      </c>
      <c r="M16" s="64">
        <f>'AGG EM'!E44</f>
        <v>15.568805131794383</v>
      </c>
      <c r="N16" s="64">
        <f>'AGG EM'!F44</f>
        <v>13.199234812647555</v>
      </c>
      <c r="O16" s="64">
        <f>'AGG EM'!G44</f>
        <v>11.401551775928532</v>
      </c>
      <c r="P16" s="17">
        <f>'AGG EM'!H44</f>
        <v>0.16848189780945066</v>
      </c>
      <c r="S16" s="88"/>
      <c r="T16" s="88"/>
      <c r="U16" s="88"/>
      <c r="V16" s="42"/>
      <c r="W16" s="42"/>
      <c r="X16" s="42"/>
      <c r="Y16" s="42"/>
      <c r="Z16" s="42"/>
      <c r="AA16" s="42"/>
    </row>
    <row r="17" spans="2:27">
      <c r="B17" s="5" t="s">
        <v>6</v>
      </c>
      <c r="C17" s="257"/>
      <c r="D17" s="228">
        <f>'LATAM ALTNET &amp; CABLE'!D17</f>
        <v>0</v>
      </c>
      <c r="E17" s="228">
        <f>'LATAM ALTNET &amp; CABLE'!E17</f>
        <v>0</v>
      </c>
      <c r="F17" s="228">
        <f>'LATAM ALTNET &amp; CABLE'!F17</f>
        <v>0</v>
      </c>
      <c r="G17" s="228">
        <f>'LATAM ALTNET &amp; CABLE'!G17</f>
        <v>0</v>
      </c>
      <c r="H17" s="247"/>
      <c r="I17" s="247"/>
      <c r="J17" s="5" t="s">
        <v>575</v>
      </c>
      <c r="L17" s="248">
        <f>'AGG EM'!D45</f>
        <v>3.9575725452429565E-2</v>
      </c>
      <c r="M17" s="248">
        <f>'AGG EM'!E45</f>
        <v>4.4599307126826686E-2</v>
      </c>
      <c r="N17" s="248">
        <f>'AGG EM'!F45</f>
        <v>5.062338744034766E-2</v>
      </c>
      <c r="O17" s="248">
        <f>'AGG EM'!G45</f>
        <v>5.8280255420076719E-2</v>
      </c>
      <c r="P17" s="17">
        <f>'AGG EM'!H45</f>
        <v>0.13606146505400307</v>
      </c>
      <c r="S17" s="88"/>
      <c r="T17" s="88"/>
      <c r="U17" s="88"/>
      <c r="V17" s="42"/>
      <c r="W17" s="42"/>
      <c r="X17" s="42"/>
      <c r="Y17" s="42"/>
      <c r="Z17" s="42"/>
      <c r="AA17" s="42"/>
    </row>
    <row r="18" spans="2:27" ht="12.6" thickBot="1">
      <c r="B18" s="41" t="s">
        <v>355</v>
      </c>
      <c r="C18" s="249"/>
      <c r="D18" s="275">
        <f>'LATAM ALTNET &amp; CABLE'!D18</f>
        <v>11840.692350422039</v>
      </c>
      <c r="E18" s="275">
        <f>'LATAM ALTNET &amp; CABLE'!E18</f>
        <v>11655.395491720185</v>
      </c>
      <c r="F18" s="275">
        <f>'LATAM ALTNET &amp; CABLE'!F18</f>
        <v>12985.435215470592</v>
      </c>
      <c r="G18" s="275">
        <f>'LATAM ALTNET &amp; CABLE'!G18</f>
        <v>12487.817785268991</v>
      </c>
      <c r="H18" s="276">
        <f>IF(D18=0,"nm",IF(G18=0,"nm",(G18/D18)^(1/3)-1))</f>
        <v>1.7895400528657568E-2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'AGG EM'!D47</f>
        <v>5.0146939343107481E-2</v>
      </c>
      <c r="M19" s="248">
        <f>'AGG EM'!E47</f>
        <v>6.1989801009519022E-2</v>
      </c>
      <c r="N19" s="248">
        <f>'AGG EM'!F47</f>
        <v>7.3683965448696279E-2</v>
      </c>
      <c r="O19" s="248">
        <f>'AGG EM'!G47</f>
        <v>8.6675981966062354E-2</v>
      </c>
      <c r="P19" s="17">
        <f>'AGG EM'!H47</f>
        <v>0.19756422158027021</v>
      </c>
      <c r="S19" s="88"/>
      <c r="T19" s="88"/>
      <c r="U19" s="88"/>
      <c r="V19" s="42"/>
      <c r="W19" s="42"/>
      <c r="X19" s="42"/>
      <c r="Y19" s="42"/>
      <c r="Z19" s="42"/>
      <c r="AA19" s="42"/>
    </row>
    <row r="20" spans="2:27">
      <c r="H20" s="277"/>
      <c r="I20" s="49"/>
      <c r="J20" s="5" t="s">
        <v>599</v>
      </c>
      <c r="L20" s="248">
        <f>'AGG EM'!D48</f>
        <v>0.7811093796944828</v>
      </c>
      <c r="M20" s="248">
        <f>'AGG EM'!E48</f>
        <v>0.71190259032608272</v>
      </c>
      <c r="N20" s="248">
        <f>'AGG EM'!F48</f>
        <v>0.68014626513904075</v>
      </c>
      <c r="O20" s="248">
        <f>'AGG EM'!G48</f>
        <v>0.66683886253088454</v>
      </c>
      <c r="P20" s="17" t="str">
        <f>'AGG EM'!H48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'LATAM ALTNET &amp; CABLE'!C23</f>
        <v>6180.6981162250468</v>
      </c>
      <c r="D23" s="228">
        <f>'LATAM ALTNET &amp; CABLE'!D23</f>
        <v>6087.8253922649201</v>
      </c>
      <c r="E23" s="228">
        <f>'LATAM ALTNET &amp; CABLE'!E23</f>
        <v>6327.3158084695388</v>
      </c>
      <c r="F23" s="228">
        <f>'LATAM ALTNET &amp; CABLE'!F23</f>
        <v>6552.902286976534</v>
      </c>
      <c r="G23" s="228">
        <f>'LATAM ALTNET &amp; CABLE'!G23</f>
        <v>6613.8177348701711</v>
      </c>
      <c r="H23" s="279">
        <f t="shared" ref="H23:H33" si="0">IF(D23=0,"nm",IF(G23=0,"nm",(G23/D23)^(1/3)-1))</f>
        <v>2.8008435151252398E-2</v>
      </c>
      <c r="I23" s="249"/>
      <c r="J23" s="306" t="s">
        <v>9</v>
      </c>
      <c r="K23" s="306"/>
      <c r="L23" s="265" t="str">
        <f>L5</f>
        <v>2023E</v>
      </c>
      <c r="M23" s="265" t="str">
        <f>M5</f>
        <v>2024E</v>
      </c>
      <c r="N23" s="265" t="str">
        <f>N5</f>
        <v>2025E</v>
      </c>
      <c r="O23" s="265" t="str">
        <f>O5</f>
        <v>2026E</v>
      </c>
      <c r="P23" s="282" t="str">
        <f>P5</f>
        <v>23E-26E</v>
      </c>
      <c r="S23" s="42"/>
      <c r="T23" s="42"/>
      <c r="U23" s="42"/>
      <c r="V23" s="42"/>
      <c r="W23" s="42" t="s">
        <v>558</v>
      </c>
      <c r="X23" s="42" t="s">
        <v>26</v>
      </c>
      <c r="Y23" s="42"/>
      <c r="Z23" s="42"/>
      <c r="AA23" s="42"/>
    </row>
    <row r="24" spans="2:27" ht="12.6" thickTop="1">
      <c r="B24" s="5" t="s">
        <v>478</v>
      </c>
      <c r="C24" s="365">
        <f>'LATAM ALTNET &amp; CABLE'!C24</f>
        <v>2360.1751950436555</v>
      </c>
      <c r="D24" s="228">
        <f>'LATAM ALTNET &amp; CABLE'!D24</f>
        <v>2333.3666906725466</v>
      </c>
      <c r="E24" s="228">
        <f>'LATAM ALTNET &amp; CABLE'!E24</f>
        <v>2510.7910012328389</v>
      </c>
      <c r="F24" s="228">
        <f>'LATAM ALTNET &amp; CABLE'!F24</f>
        <v>2645.1447942395225</v>
      </c>
      <c r="G24" s="228">
        <f>'LATAM ALTNET &amp; CABLE'!G24</f>
        <v>2700.5722216156269</v>
      </c>
      <c r="H24" s="279">
        <f t="shared" si="0"/>
        <v>4.992336528871455E-2</v>
      </c>
      <c r="I24" s="248"/>
      <c r="J24" s="17"/>
      <c r="K24" s="17"/>
      <c r="L24" s="17"/>
      <c r="M24" s="17"/>
      <c r="N24" s="17"/>
      <c r="O24" s="248"/>
      <c r="S24" s="42"/>
      <c r="T24" s="42"/>
      <c r="U24" s="42"/>
      <c r="V24" s="147" t="s">
        <v>268</v>
      </c>
      <c r="W24" s="288">
        <f t="shared" ref="W24:W29" si="1">E37/M9</f>
        <v>1.1125321810534832</v>
      </c>
      <c r="X24" s="288">
        <v>1</v>
      </c>
      <c r="Y24" s="42"/>
      <c r="Z24" s="42"/>
      <c r="AA24" s="42"/>
    </row>
    <row r="25" spans="2:27">
      <c r="B25" s="5" t="s">
        <v>179</v>
      </c>
      <c r="C25" s="365">
        <f>'LATAM ALTNET &amp; CABLE'!C25</f>
        <v>948.62303011314123</v>
      </c>
      <c r="D25" s="228">
        <f>'LATAM ALTNET &amp; CABLE'!D25</f>
        <v>961.02278074724188</v>
      </c>
      <c r="E25" s="228">
        <f>'LATAM ALTNET &amp; CABLE'!E25</f>
        <v>1124.09632791531</v>
      </c>
      <c r="F25" s="228">
        <f>'LATAM ALTNET &amp; CABLE'!F25</f>
        <v>1358.4907336905246</v>
      </c>
      <c r="G25" s="228">
        <f>'LATAM ALTNET &amp; CABLE'!G25</f>
        <v>1441.677629003864</v>
      </c>
      <c r="H25" s="279">
        <f t="shared" si="0"/>
        <v>0.14475221432857377</v>
      </c>
      <c r="I25" s="249"/>
      <c r="J25" s="247" t="s">
        <v>10</v>
      </c>
      <c r="K25" s="247"/>
      <c r="L25" s="332">
        <f>'LATAM ALTNET &amp; CABLE'!L25</f>
        <v>0</v>
      </c>
      <c r="M25" s="332">
        <f>'LATAM ALTNET &amp; CABLE'!M25</f>
        <v>0</v>
      </c>
      <c r="N25" s="332">
        <f>'LATAM ALTNET &amp; CABLE'!N25</f>
        <v>0</v>
      </c>
      <c r="O25" s="332">
        <f>'LATAM ALTNET &amp; CABLE'!O25</f>
        <v>0</v>
      </c>
      <c r="P25" s="279" t="str">
        <f>IF(L25=0,"nm",IF(O25=0,"nm",(O25/L25)^(1/3)-1))</f>
        <v>nm</v>
      </c>
      <c r="Q25" s="5"/>
      <c r="S25" s="42"/>
      <c r="T25" s="42"/>
      <c r="U25" s="42"/>
      <c r="V25" s="147" t="s">
        <v>180</v>
      </c>
      <c r="W25" s="288">
        <f t="shared" si="1"/>
        <v>0.96003096283038092</v>
      </c>
      <c r="X25" s="288">
        <v>1</v>
      </c>
      <c r="Y25" s="42"/>
      <c r="Z25" s="42"/>
      <c r="AA25" s="42"/>
    </row>
    <row r="26" spans="2:27">
      <c r="B26" s="5" t="s">
        <v>581</v>
      </c>
      <c r="C26" s="365">
        <f>'LATAM ALTNET &amp; CABLE'!C26</f>
        <v>683.00858168146169</v>
      </c>
      <c r="D26" s="228">
        <f>'LATAM ALTNET &amp; CABLE'!D26</f>
        <v>691.93640213801416</v>
      </c>
      <c r="E26" s="228">
        <f>'LATAM ALTNET &amp; CABLE'!E26</f>
        <v>809.34935609902311</v>
      </c>
      <c r="F26" s="228">
        <f>'LATAM ALTNET &amp; CABLE'!F26</f>
        <v>978.11332825717773</v>
      </c>
      <c r="G26" s="228">
        <f>'LATAM ALTNET &amp; CABLE'!G26</f>
        <v>1038.007892882782</v>
      </c>
      <c r="H26" s="279">
        <f t="shared" si="0"/>
        <v>0.14475221432857377</v>
      </c>
      <c r="I26" s="249"/>
      <c r="J26" s="249" t="s">
        <v>11</v>
      </c>
      <c r="K26" s="249"/>
      <c r="L26" s="281">
        <f>'LATAM ALTNET &amp; CABLE'!L26</f>
        <v>1840.4003380102906</v>
      </c>
      <c r="M26" s="281">
        <f>'LATAM ALTNET &amp; CABLE'!M26</f>
        <v>1840.4003380102906</v>
      </c>
      <c r="N26" s="281">
        <f>'LATAM ALTNET &amp; CABLE'!N26</f>
        <v>1840.4003380102906</v>
      </c>
      <c r="O26" s="281">
        <f>'LATAM ALTNET &amp; CABLE'!O26</f>
        <v>1840.4003380102906</v>
      </c>
      <c r="P26" s="279">
        <f>IF(L26=0,"nm",IF(O26=0,"nm",(O26/L26)^(1/3)-1))</f>
        <v>0</v>
      </c>
      <c r="Q26" s="41"/>
      <c r="S26" s="42"/>
      <c r="T26" s="42"/>
      <c r="U26" s="42"/>
      <c r="V26" s="147" t="s">
        <v>181</v>
      </c>
      <c r="W26" s="288">
        <f t="shared" si="1"/>
        <v>1.0812799916737703</v>
      </c>
      <c r="X26" s="288">
        <v>1</v>
      </c>
      <c r="Y26" s="42"/>
      <c r="Z26" s="42"/>
      <c r="AA26" s="42"/>
    </row>
    <row r="27" spans="2:27">
      <c r="B27" s="5" t="s">
        <v>582</v>
      </c>
      <c r="C27" s="365">
        <f>'LATAM ALTNET &amp; CABLE'!C27</f>
        <v>9558.483136651008</v>
      </c>
      <c r="D27" s="228">
        <f>'LATAM ALTNET &amp; CABLE'!D27</f>
        <v>9861.1646720997069</v>
      </c>
      <c r="E27" s="228">
        <f>'LATAM ALTNET &amp; CABLE'!E27</f>
        <v>9801.833325817639</v>
      </c>
      <c r="F27" s="228">
        <f>'LATAM ALTNET &amp; CABLE'!F27</f>
        <v>9555.8072226183722</v>
      </c>
      <c r="G27" s="228">
        <f>'LATAM ALTNET &amp; CABLE'!G27</f>
        <v>9260.5247461260369</v>
      </c>
      <c r="H27" s="279">
        <f t="shared" si="0"/>
        <v>-2.0729973523027856E-2</v>
      </c>
      <c r="I27" s="248"/>
      <c r="J27" s="248"/>
      <c r="K27" s="248"/>
      <c r="L27" s="248"/>
      <c r="M27" s="248"/>
      <c r="N27" s="248"/>
      <c r="O27" s="248"/>
      <c r="Q27" s="5"/>
      <c r="S27" s="42"/>
      <c r="T27" s="42"/>
      <c r="U27" s="42"/>
      <c r="V27" s="147" t="s">
        <v>461</v>
      </c>
      <c r="W27" s="288">
        <f t="shared" si="1"/>
        <v>1.1439910858433568</v>
      </c>
      <c r="X27" s="288">
        <v>1</v>
      </c>
      <c r="Y27" s="42"/>
      <c r="Z27" s="42"/>
      <c r="AA27" s="42"/>
    </row>
    <row r="28" spans="2:27" ht="12.6" thickBot="1">
      <c r="B28" s="5" t="s">
        <v>587</v>
      </c>
      <c r="C28" s="365">
        <f>'LATAM ALTNET &amp; CABLE'!C28</f>
        <v>6618.8868008012469</v>
      </c>
      <c r="D28" s="228">
        <f>'LATAM ALTNET &amp; CABLE'!D28</f>
        <v>4980.3189981411633</v>
      </c>
      <c r="E28" s="228">
        <f>'LATAM ALTNET &amp; CABLE'!E28</f>
        <v>5478.0224568548683</v>
      </c>
      <c r="F28" s="228">
        <f>'LATAM ALTNET &amp; CABLE'!F28</f>
        <v>5786.9379523668758</v>
      </c>
      <c r="G28" s="228">
        <f>'LATAM ALTNET &amp; CABLE'!G28</f>
        <v>6011.4701725683262</v>
      </c>
      <c r="H28" s="279">
        <f t="shared" si="0"/>
        <v>6.4734137256737601E-2</v>
      </c>
      <c r="I28" s="252"/>
      <c r="J28" s="306" t="s">
        <v>747</v>
      </c>
      <c r="K28" s="306"/>
      <c r="L28" s="306"/>
      <c r="M28" s="306"/>
      <c r="N28" s="266"/>
      <c r="O28" s="266"/>
      <c r="P28" s="266"/>
      <c r="Q28" s="5"/>
      <c r="S28" s="42"/>
      <c r="T28" s="42"/>
      <c r="U28" s="42"/>
      <c r="V28" s="147" t="s">
        <v>525</v>
      </c>
      <c r="W28" s="288">
        <f t="shared" si="1"/>
        <v>0.90426612826853592</v>
      </c>
      <c r="X28" s="288">
        <v>1</v>
      </c>
      <c r="Y28" s="42"/>
      <c r="Z28" s="42"/>
      <c r="AA28" s="42"/>
    </row>
    <row r="29" spans="2:27" ht="12.6" thickTop="1">
      <c r="B29" s="5" t="s">
        <v>583</v>
      </c>
      <c r="C29" s="365">
        <f>'LATAM ALTNET &amp; CABLE'!C29</f>
        <v>217.91788286337018</v>
      </c>
      <c r="D29" s="228">
        <f>'LATAM ALTNET &amp; CABLE'!D29</f>
        <v>333.95254721139275</v>
      </c>
      <c r="E29" s="228">
        <f>'LATAM ALTNET &amp; CABLE'!E29</f>
        <v>505.6456470681963</v>
      </c>
      <c r="F29" s="228">
        <f>'LATAM ALTNET &amp; CABLE'!F29</f>
        <v>712.40334499625112</v>
      </c>
      <c r="G29" s="228">
        <f>'LATAM ALTNET &amp; CABLE'!G29</f>
        <v>787.30689986360153</v>
      </c>
      <c r="H29" s="279">
        <f t="shared" si="0"/>
        <v>0.33092351726064217</v>
      </c>
      <c r="I29" s="254"/>
      <c r="J29" s="249"/>
      <c r="K29" s="249"/>
      <c r="L29" s="249"/>
      <c r="M29" s="249"/>
      <c r="N29" s="249"/>
      <c r="O29" s="251"/>
      <c r="Q29" s="5"/>
      <c r="S29" s="42"/>
      <c r="T29" s="42"/>
      <c r="U29" s="42"/>
      <c r="V29" s="147" t="s">
        <v>588</v>
      </c>
      <c r="W29" s="288">
        <f t="shared" si="1"/>
        <v>1.0507554043822334</v>
      </c>
      <c r="X29" s="288">
        <v>1</v>
      </c>
      <c r="Y29" s="42"/>
      <c r="Z29" s="42"/>
      <c r="AA29" s="42"/>
    </row>
    <row r="30" spans="2:27">
      <c r="B30" s="5" t="s">
        <v>584</v>
      </c>
      <c r="C30" s="365">
        <f>'LATAM ALTNET &amp; CABLE'!C30</f>
        <v>464.43048804320659</v>
      </c>
      <c r="D30" s="228">
        <f>'LATAM ALTNET &amp; CABLE'!D30</f>
        <v>467.83705068588733</v>
      </c>
      <c r="E30" s="228">
        <f>'LATAM ALTNET &amp; CABLE'!E30</f>
        <v>824.68692513189842</v>
      </c>
      <c r="F30" s="228">
        <f>'LATAM ALTNET &amp; CABLE'!F30</f>
        <v>878.5853049245552</v>
      </c>
      <c r="G30" s="228">
        <f>'LATAM ALTNET &amp; CABLE'!G30</f>
        <v>904.10830686922554</v>
      </c>
      <c r="H30" s="279">
        <f t="shared" si="0"/>
        <v>0.24559048535192352</v>
      </c>
      <c r="I30" s="254"/>
      <c r="J30" s="248"/>
      <c r="K30" s="248"/>
      <c r="L30" s="248"/>
      <c r="M30" s="248"/>
      <c r="N30" s="248"/>
      <c r="O30" s="5"/>
      <c r="Q30" s="5"/>
      <c r="S30" s="42"/>
      <c r="T30" s="42"/>
      <c r="U30" s="42"/>
      <c r="V30" s="147" t="s">
        <v>379</v>
      </c>
      <c r="W30" s="288">
        <f>F43/N15</f>
        <v>0.19035283294245736</v>
      </c>
      <c r="X30" s="288">
        <v>1</v>
      </c>
      <c r="Y30" s="42"/>
      <c r="Z30" s="42"/>
      <c r="AA30" s="42"/>
    </row>
    <row r="31" spans="2:27">
      <c r="B31" s="5" t="s">
        <v>585</v>
      </c>
      <c r="C31" s="365">
        <f>'LATAM ALTNET &amp; CABLE'!C31</f>
        <v>127.66779940263558</v>
      </c>
      <c r="D31" s="228">
        <f>'LATAM ALTNET &amp; CABLE'!D31</f>
        <v>134.05118937276737</v>
      </c>
      <c r="E31" s="228">
        <f>'LATAM ALTNET &amp; CABLE'!E31</f>
        <v>140.75374884140572</v>
      </c>
      <c r="F31" s="228">
        <f>'LATAM ALTNET &amp; CABLE'!F31</f>
        <v>154.82912372554634</v>
      </c>
      <c r="G31" s="228">
        <f>'LATAM ALTNET &amp; CABLE'!G31</f>
        <v>170.31203609810098</v>
      </c>
      <c r="H31" s="279">
        <f t="shared" si="0"/>
        <v>8.3074231263342124E-2</v>
      </c>
      <c r="I31" s="254"/>
      <c r="J31" s="252"/>
      <c r="K31" s="252"/>
      <c r="L31" s="252"/>
      <c r="M31" s="252"/>
      <c r="N31" s="252"/>
      <c r="O31" s="5"/>
      <c r="Q31" s="5"/>
      <c r="S31" s="42"/>
      <c r="T31" s="42"/>
      <c r="U31" s="42"/>
      <c r="V31" s="147" t="s">
        <v>528</v>
      </c>
      <c r="W31" s="288">
        <f>E44/M16</f>
        <v>0.27766426980506737</v>
      </c>
      <c r="X31" s="288">
        <v>1</v>
      </c>
      <c r="Y31" s="42"/>
      <c r="Z31" s="42"/>
      <c r="AA31" s="42"/>
    </row>
    <row r="32" spans="2:27">
      <c r="B32" s="5" t="s">
        <v>601</v>
      </c>
      <c r="C32" s="365">
        <f>'LATAM ALTNET &amp; CABLE'!C32</f>
        <v>0</v>
      </c>
      <c r="D32" s="228">
        <f>'LATAM ALTNET &amp; CABLE'!D32</f>
        <v>247.7999999999999</v>
      </c>
      <c r="E32" s="228">
        <f>'LATAM ALTNET &amp; CABLE'!E32</f>
        <v>-156.30000000000018</v>
      </c>
      <c r="F32" s="228">
        <f>'LATAM ALTNET &amp; CABLE'!F32</f>
        <v>1815.57</v>
      </c>
      <c r="G32" s="228">
        <f>'LATAM ALTNET &amp; CABLE'!G32</f>
        <v>296.89999999999992</v>
      </c>
      <c r="H32" s="279">
        <f t="shared" si="0"/>
        <v>6.2110327747262106E-2</v>
      </c>
      <c r="I32" s="5"/>
      <c r="J32" s="254"/>
      <c r="K32" s="254"/>
      <c r="L32" s="254"/>
      <c r="M32" s="254"/>
      <c r="N32" s="254"/>
      <c r="O32" s="251"/>
      <c r="Q32" s="5"/>
      <c r="S32" s="42"/>
      <c r="T32" s="42"/>
      <c r="U32" s="42"/>
      <c r="V32" s="147" t="s">
        <v>575</v>
      </c>
      <c r="W32" s="288">
        <f>M17/E45</f>
        <v>1.1296204105080774</v>
      </c>
      <c r="X32" s="288">
        <v>1</v>
      </c>
      <c r="Y32" s="42"/>
      <c r="Z32" s="42"/>
      <c r="AA32" s="42"/>
    </row>
    <row r="33" spans="2:42">
      <c r="B33" s="5" t="s">
        <v>5</v>
      </c>
      <c r="C33" s="365">
        <f>'LATAM ALTNET &amp; CABLE'!C33</f>
        <v>496.55116684210083</v>
      </c>
      <c r="D33" s="228">
        <f>'LATAM ALTNET &amp; CABLE'!D33</f>
        <v>332.28333837914158</v>
      </c>
      <c r="E33" s="228">
        <f>'LATAM ALTNET &amp; CABLE'!E33</f>
        <v>319.02539213133031</v>
      </c>
      <c r="F33" s="228">
        <f>'LATAM ALTNET &amp; CABLE'!F33</f>
        <v>322.98825937914074</v>
      </c>
      <c r="G33" s="228">
        <f>'LATAM ALTNET &amp; CABLE'!G33</f>
        <v>339.23373064310704</v>
      </c>
      <c r="H33" s="279">
        <f t="shared" si="0"/>
        <v>6.9242985032220705E-3</v>
      </c>
      <c r="I33" s="49"/>
      <c r="J33" s="254"/>
      <c r="K33" s="254"/>
      <c r="L33" s="254"/>
      <c r="M33" s="254"/>
      <c r="N33" s="254"/>
      <c r="O33" s="251"/>
      <c r="Q33" s="5"/>
      <c r="S33" s="42"/>
      <c r="T33" s="42"/>
      <c r="U33" s="42"/>
      <c r="V33" s="147" t="s">
        <v>261</v>
      </c>
      <c r="W33" s="288">
        <f>N19/F47</f>
        <v>0.19035283294245736</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823</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1.9449789682645313</v>
      </c>
      <c r="E37" s="64">
        <f t="shared" si="2"/>
        <v>1.8420758256002729</v>
      </c>
      <c r="F37" s="64">
        <f t="shared" si="2"/>
        <v>1.9816311378972182</v>
      </c>
      <c r="G37" s="64">
        <f t="shared" si="2"/>
        <v>1.8881405998579619</v>
      </c>
      <c r="H37" s="17">
        <f t="shared" ref="H37:H45" si="3">H23</f>
        <v>2.8008435151252398E-2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5.074509890688975</v>
      </c>
      <c r="E38" s="64">
        <f t="shared" si="2"/>
        <v>4.6421209435581048</v>
      </c>
      <c r="F38" s="64">
        <f t="shared" si="2"/>
        <v>4.9091585624158229</v>
      </c>
      <c r="G38" s="64">
        <f t="shared" si="2"/>
        <v>4.6241376865670754</v>
      </c>
      <c r="H38" s="17">
        <f t="shared" si="3"/>
        <v>4.992336528871455E-2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12.320927856897759</v>
      </c>
      <c r="E39" s="64">
        <f t="shared" si="2"/>
        <v>10.368680336618187</v>
      </c>
      <c r="F39" s="64">
        <f t="shared" si="2"/>
        <v>9.5587219650692017</v>
      </c>
      <c r="G39" s="64">
        <f t="shared" si="2"/>
        <v>8.662004274768087</v>
      </c>
      <c r="H39" s="17">
        <f t="shared" si="3"/>
        <v>0.14475221432857377</v>
      </c>
      <c r="I39" s="5"/>
      <c r="J39" s="5"/>
      <c r="K39" s="5"/>
      <c r="L39" s="5"/>
      <c r="M39" s="5"/>
      <c r="N39" s="5"/>
      <c r="O39" s="5"/>
      <c r="Q39" s="5"/>
      <c r="R39" s="5"/>
      <c r="S39" s="42"/>
      <c r="T39" s="42"/>
      <c r="U39" s="42"/>
      <c r="V39" s="42"/>
      <c r="W39" s="288"/>
      <c r="X39" s="288"/>
      <c r="Y39" s="42"/>
      <c r="Z39" s="42"/>
      <c r="AA39" s="42"/>
    </row>
    <row r="40" spans="2:42">
      <c r="B40" s="5" t="s">
        <v>461</v>
      </c>
      <c r="C40" s="247"/>
      <c r="D40" s="64">
        <f t="shared" si="2"/>
        <v>17.112399801246887</v>
      </c>
      <c r="E40" s="64">
        <f t="shared" si="2"/>
        <v>14.400944911969706</v>
      </c>
      <c r="F40" s="64">
        <f t="shared" si="2"/>
        <v>13.276002729262778</v>
      </c>
      <c r="G40" s="64">
        <f t="shared" si="2"/>
        <v>12.030561492733456</v>
      </c>
      <c r="H40" s="17">
        <f t="shared" si="3"/>
        <v>0.14475221432857377</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1.2007397446594752</v>
      </c>
      <c r="E41" s="64">
        <f t="shared" si="2"/>
        <v>1.189103620138116</v>
      </c>
      <c r="F41" s="64">
        <f t="shared" si="2"/>
        <v>1.3589051048177667</v>
      </c>
      <c r="G41" s="64">
        <f t="shared" si="2"/>
        <v>1.3485000178303104</v>
      </c>
      <c r="H41" s="17">
        <f t="shared" si="3"/>
        <v>-2.0729973523027856E-2</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2.3774967737691939</v>
      </c>
      <c r="E42" s="64">
        <f>E18/E28</f>
        <v>2.1276647884375359</v>
      </c>
      <c r="F42" s="64">
        <f>F18/F28</f>
        <v>2.2439216252801724</v>
      </c>
      <c r="G42" s="64">
        <f>G18/G28</f>
        <v>2.0773317386242183</v>
      </c>
      <c r="H42" s="17">
        <f t="shared" si="3"/>
        <v>6.4734137256737601E-2</v>
      </c>
      <c r="I42" s="247"/>
      <c r="J42" s="5"/>
      <c r="K42" s="5"/>
      <c r="L42" s="5"/>
      <c r="M42" s="5"/>
      <c r="N42" s="5"/>
      <c r="O42" s="5"/>
      <c r="Q42" s="5"/>
      <c r="R42" s="5"/>
      <c r="S42" s="42"/>
      <c r="T42" s="42"/>
      <c r="U42" s="42"/>
      <c r="V42" s="42"/>
      <c r="W42" s="288"/>
      <c r="X42" s="288"/>
      <c r="Y42" s="288"/>
      <c r="Z42" s="288"/>
      <c r="AA42" s="42"/>
    </row>
    <row r="43" spans="2:42">
      <c r="B43" s="5" t="s">
        <v>470</v>
      </c>
      <c r="C43" s="247"/>
      <c r="D43" s="64">
        <f>L26/D29</f>
        <v>5.5109636185685771</v>
      </c>
      <c r="E43" s="64">
        <f>M26/E29</f>
        <v>3.6397037108520314</v>
      </c>
      <c r="F43" s="64">
        <f>N26/F29</f>
        <v>2.583368468069132</v>
      </c>
      <c r="G43" s="64">
        <f>O26/G29</f>
        <v>2.3375894944260418</v>
      </c>
      <c r="H43" s="17">
        <f t="shared" si="3"/>
        <v>0.33092351726064217</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7.6011918525835647</v>
      </c>
      <c r="E44" s="64">
        <f>E11/E30</f>
        <v>4.3229009086570729</v>
      </c>
      <c r="F44" s="64">
        <f>F11/F30</f>
        <v>4.5983522776507311</v>
      </c>
      <c r="G44" s="64">
        <f>G11/G30</f>
        <v>4.444424088884638</v>
      </c>
      <c r="H44" s="17">
        <f t="shared" si="3"/>
        <v>0.24559048535192352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3.7695921498269717E-2</v>
      </c>
      <c r="E45" s="248">
        <f>E31/E11</f>
        <v>3.948167606742068E-2</v>
      </c>
      <c r="F45" s="248">
        <f>F31/F11</f>
        <v>3.832361613940919E-2</v>
      </c>
      <c r="G45" s="248">
        <f>G31/G11</f>
        <v>4.2384726849998111E-2</v>
      </c>
      <c r="H45" s="17">
        <f t="shared" si="3"/>
        <v>8.3074231263342124E-2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0.10737862547858126</v>
      </c>
      <c r="E46" s="248">
        <f>(E31+E32)/E11</f>
        <v>-4.3607510091825692E-3</v>
      </c>
      <c r="F46" s="248">
        <f>(F31+F32)/F11</f>
        <v>0.48771715451249231</v>
      </c>
      <c r="G46" s="248">
        <f>(G31+G32)/G11</f>
        <v>0.11627278367832435</v>
      </c>
      <c r="H46" s="279">
        <f>((G31+G32)/(D31+D32))^(1/3)-1</f>
        <v>6.9563625971092335E-2</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0.18145646917911262</v>
      </c>
      <c r="E47" s="248">
        <f>1/E43</f>
        <v>0.27474763866586999</v>
      </c>
      <c r="F47" s="248">
        <f>1/F43</f>
        <v>0.38709150953887062</v>
      </c>
      <c r="G47" s="248">
        <f>1/G43</f>
        <v>0.42779110805575132</v>
      </c>
      <c r="H47" s="17">
        <f>H29</f>
        <v>0.33092351726064217</v>
      </c>
      <c r="I47" s="247"/>
      <c r="J47" s="248"/>
      <c r="K47" s="248"/>
      <c r="L47" s="248"/>
      <c r="M47" s="248"/>
      <c r="N47" s="248"/>
      <c r="O47" s="248"/>
      <c r="Q47" s="5"/>
      <c r="R47" s="5"/>
      <c r="S47" s="5"/>
      <c r="T47" s="5"/>
      <c r="U47" s="5"/>
      <c r="AA47" s="303"/>
      <c r="AB47" s="303"/>
    </row>
    <row r="48" spans="2:42">
      <c r="B48" s="5" t="s">
        <v>613</v>
      </c>
      <c r="C48" s="5"/>
      <c r="D48" s="305">
        <f>D31/D29</f>
        <v>0.40140789609822214</v>
      </c>
      <c r="E48" s="305">
        <f>E31/E29</f>
        <v>0.27836440332773654</v>
      </c>
      <c r="F48" s="305">
        <f>F31/F29</f>
        <v>0.21733351592609534</v>
      </c>
      <c r="G48" s="305">
        <f>G31/G29</f>
        <v>0.21632229582594412</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254"/>
      <c r="K54" s="254"/>
      <c r="L54" s="254"/>
      <c r="M54" s="254"/>
      <c r="N54" s="254"/>
      <c r="O54" s="251"/>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69"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FB5CB-9A04-465E-96B3-1CA18CB3A2A5}">
  <sheetPr codeName="Sheet80">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1390</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EM'!D37</f>
        <v>1.7568504876692785</v>
      </c>
      <c r="M9" s="64">
        <f>'AGG EM'!E37</f>
        <v>1.6557505993722963</v>
      </c>
      <c r="N9" s="64">
        <f>'AGG EM'!F37</f>
        <v>1.4867932994499977</v>
      </c>
      <c r="O9" s="64">
        <f>'AGG EM'!G37</f>
        <v>1.3237610851186894</v>
      </c>
      <c r="P9" s="17">
        <f>'AGG EM'!H37</f>
        <v>4.2237881472639405E-2</v>
      </c>
    </row>
    <row r="10" spans="2:63">
      <c r="B10" s="5" t="s">
        <v>269</v>
      </c>
      <c r="C10" s="5"/>
      <c r="D10" s="332"/>
      <c r="E10" s="332"/>
      <c r="F10" s="332"/>
      <c r="G10" s="332"/>
      <c r="H10" s="247"/>
      <c r="I10" s="247"/>
      <c r="J10" s="5" t="s">
        <v>180</v>
      </c>
      <c r="L10" s="64">
        <f>'AGG EM'!D38</f>
        <v>5.1440316657520277</v>
      </c>
      <c r="M10" s="64">
        <f>'AGG EM'!E38</f>
        <v>4.8353866940625734</v>
      </c>
      <c r="N10" s="64">
        <f>'AGG EM'!F38</f>
        <v>4.3122989607565385</v>
      </c>
      <c r="O10" s="64">
        <f>'AGG EM'!G38</f>
        <v>3.8049801727031363</v>
      </c>
      <c r="P10" s="17">
        <f>'AGG EM'!H38</f>
        <v>4.8678106743502703E-2</v>
      </c>
      <c r="W10" s="10"/>
      <c r="X10" s="10"/>
      <c r="Y10" s="10"/>
      <c r="Z10" s="10"/>
    </row>
    <row r="11" spans="2:63">
      <c r="B11" s="41" t="s">
        <v>1391</v>
      </c>
      <c r="C11" s="5"/>
      <c r="D11" s="271">
        <f>ChinaTow!D11/Prices!$C$175+BHIN!D11/Prices!$C$152+IHS!D11+SITES!D11/Prices!$C$180+(TOWR!D11/1000)/Prices!$C$172+(TBIG!D11/1000)/Prices!$C$172</f>
        <v>39545.010027782133</v>
      </c>
      <c r="E11" s="271">
        <f>ChinaTow!E11/Prices!$C$175+BHIN!E11/Prices!$C$152+IHS!E11+SITES!E11/Prices!$C$180+(TOWR!E11/1000)/Prices!$C$172+(TBIG!E11/1000)/Prices!$C$172</f>
        <v>39583.175535158218</v>
      </c>
      <c r="F11" s="271">
        <f>ChinaTow!F11/Prices!$C$175+BHIN!F11/Prices!$C$152+IHS!F11+SITES!F11/Prices!$C$180+(TOWR!F11/1000)/Prices!$C$172+(TBIG!F11/1000)/Prices!$C$172</f>
        <v>39533.383014446852</v>
      </c>
      <c r="G11" s="271">
        <f>ChinaTow!G11/Prices!$C$175+BHIN!G11/Prices!$C$152+IHS!G11+SITES!G11/Prices!$C$180+(TOWR!G11/1000)/Prices!$C$172+(TBIG!G11/1000)/Prices!$C$172</f>
        <v>39339.619381964803</v>
      </c>
      <c r="H11" s="249"/>
      <c r="I11" s="249"/>
      <c r="J11" s="5" t="s">
        <v>181</v>
      </c>
      <c r="L11" s="64">
        <f>'AGG EM'!D39</f>
        <v>10.995479606644533</v>
      </c>
      <c r="M11" s="64">
        <f>'AGG EM'!E39</f>
        <v>9.5892649604733364</v>
      </c>
      <c r="N11" s="64">
        <f>'AGG EM'!F39</f>
        <v>8.1142047815241369</v>
      </c>
      <c r="O11" s="64">
        <f>'AGG EM'!G39</f>
        <v>6.8473836589479324</v>
      </c>
      <c r="P11" s="17">
        <f>'AGG EM'!H39</f>
        <v>0.11059307549826269</v>
      </c>
      <c r="W11" s="10"/>
      <c r="X11" s="10"/>
      <c r="Y11" s="10"/>
      <c r="Z11" s="10"/>
    </row>
    <row r="12" spans="2:63">
      <c r="B12" s="5" t="s">
        <v>225</v>
      </c>
      <c r="C12" s="249"/>
      <c r="D12" s="228">
        <f>ChinaTow!D12/Prices!$C$175+BHIN!D12/Prices!$C$152+IHS!D12+SITES!D12/Prices!$C$180+(TOWR!D12/1000)/Prices!$C$172+(TBIG!D12/1000)/Prices!$C$172</f>
        <v>21665.674250172829</v>
      </c>
      <c r="E12" s="228">
        <f>ChinaTow!E12/Prices!$C$175+BHIN!E12/Prices!$C$152+IHS!E12+SITES!E12/Prices!$C$180+(TOWR!E12/1000)/Prices!$C$172+(TBIG!E12/1000)/Prices!$C$172</f>
        <v>19552.031392480483</v>
      </c>
      <c r="F12" s="228">
        <f>ChinaTow!F12/Prices!$C$175+BHIN!F12/Prices!$C$152+IHS!F12+SITES!F12/Prices!$C$180+(TOWR!F12/1000)/Prices!$C$172+(TBIG!F12/1000)/Prices!$C$172</f>
        <v>16769.815688996925</v>
      </c>
      <c r="G12" s="228">
        <f>ChinaTow!G12/Prices!$C$175+BHIN!G12/Prices!$C$152+IHS!G12+SITES!G12/Prices!$C$180+(TOWR!G12/1000)/Prices!$C$172+(TBIG!G12/1000)/Prices!$C$172</f>
        <v>14104.584230488626</v>
      </c>
      <c r="H12" s="247"/>
      <c r="I12" s="247"/>
      <c r="J12" s="5" t="s">
        <v>461</v>
      </c>
      <c r="L12" s="64">
        <f>'AGG EM'!D40</f>
        <v>14.520348963598265</v>
      </c>
      <c r="M12" s="64">
        <f>'AGG EM'!E40</f>
        <v>12.588336648928733</v>
      </c>
      <c r="N12" s="64">
        <f>'AGG EM'!F40</f>
        <v>10.782973360794294</v>
      </c>
      <c r="O12" s="64">
        <f>'AGG EM'!G40</f>
        <v>9.0993411007602809</v>
      </c>
      <c r="P12" s="17">
        <f>'AGG EM'!H40</f>
        <v>0.10827488676451624</v>
      </c>
      <c r="W12" s="10"/>
      <c r="X12" s="10"/>
      <c r="Y12" s="10"/>
      <c r="Z12" s="10"/>
    </row>
    <row r="13" spans="2:63">
      <c r="B13" s="5" t="s">
        <v>524</v>
      </c>
      <c r="C13" s="257"/>
      <c r="D13" s="228">
        <f>ChinaTow!D13/Prices!$C$175+BHIN!D13/Prices!$C$152+IHS!D13+SITES!D13/Prices!$C$180+(TOWR!D13/1000)/Prices!$C$172+(TBIG!D13/1000)/Prices!$C$172</f>
        <v>0</v>
      </c>
      <c r="E13" s="228">
        <f>ChinaTow!E13/Prices!$C$175+BHIN!E13/Prices!$C$152+IHS!E13+SITES!E13/Prices!$C$180+(TOWR!E13/1000)/Prices!$C$172+(TBIG!E13/1000)/Prices!$C$172</f>
        <v>0</v>
      </c>
      <c r="F13" s="228">
        <f>ChinaTow!F13/Prices!$C$175+BHIN!F13/Prices!$C$152+IHS!F13+SITES!F13/Prices!$C$180+(TOWR!F13/1000)/Prices!$C$172+(TBIG!F13/1000)/Prices!$C$172</f>
        <v>0</v>
      </c>
      <c r="G13" s="228">
        <f>ChinaTow!G13/Prices!$C$175+BHIN!G13/Prices!$C$152+IHS!G13+SITES!G13/Prices!$C$180+(TOWR!G13/1000)/Prices!$C$172+(TBIG!G13/1000)/Prices!$C$172</f>
        <v>0</v>
      </c>
      <c r="H13" s="247"/>
      <c r="I13" s="247"/>
      <c r="J13" s="5" t="s">
        <v>525</v>
      </c>
      <c r="L13" s="64">
        <f>'AGG EM'!D41</f>
        <v>1.3238253427535878</v>
      </c>
      <c r="M13" s="64">
        <f>'AGG EM'!E41</f>
        <v>1.3149929904097803</v>
      </c>
      <c r="N13" s="64">
        <f>'AGG EM'!F41</f>
        <v>1.2546648940766489</v>
      </c>
      <c r="O13" s="64">
        <f>'AGG EM'!G41</f>
        <v>1.1810433829047893</v>
      </c>
      <c r="P13" s="17">
        <f>'AGG EM'!H41</f>
        <v>-1.4824953823212472E-2</v>
      </c>
    </row>
    <row r="14" spans="2:63">
      <c r="B14" s="5" t="s">
        <v>527</v>
      </c>
      <c r="C14" s="274"/>
      <c r="D14" s="228">
        <f>ChinaTow!D14/Prices!$C$175+BHIN!D14/Prices!$C$152+IHS!D14+SITES!D14/Prices!$C$180+(TOWR!D14/1000)/Prices!$C$172+(TBIG!D14/1000)/Prices!$C$172</f>
        <v>0</v>
      </c>
      <c r="E14" s="228">
        <f>ChinaTow!E14/Prices!$C$175+BHIN!E14/Prices!$C$152+IHS!E14+SITES!E14/Prices!$C$180+(TOWR!E14/1000)/Prices!$C$172+(TBIG!E14/1000)/Prices!$C$172</f>
        <v>0</v>
      </c>
      <c r="F14" s="228">
        <f>ChinaTow!F14/Prices!$C$175+BHIN!F14/Prices!$C$152+IHS!F14+SITES!F14/Prices!$C$180+(TOWR!F14/1000)/Prices!$C$172+(TBIG!F14/1000)/Prices!$C$172</f>
        <v>0</v>
      </c>
      <c r="G14" s="228">
        <f>ChinaTow!G14/Prices!$C$175+BHIN!G14/Prices!$C$152+IHS!G14+SITES!G14/Prices!$C$180+(TOWR!G14/1000)/Prices!$C$172+(TBIG!G14/1000)/Prices!$C$172</f>
        <v>0</v>
      </c>
      <c r="H14" s="247"/>
      <c r="I14" s="247"/>
      <c r="J14" s="5" t="s">
        <v>588</v>
      </c>
      <c r="L14" s="64">
        <f>'AGG EM'!D42</f>
        <v>2.0711803682152934</v>
      </c>
      <c r="M14" s="64">
        <f>'AGG EM'!E42</f>
        <v>2.0248906449245871</v>
      </c>
      <c r="N14" s="64">
        <f>'AGG EM'!F42</f>
        <v>1.9071372802806041</v>
      </c>
      <c r="O14" s="64">
        <f>'AGG EM'!G42</f>
        <v>1.8113330320796608</v>
      </c>
      <c r="P14" s="17">
        <f>'AGG EM'!H42</f>
        <v>-8.2588640298681959E-3</v>
      </c>
    </row>
    <row r="15" spans="2:63">
      <c r="B15" s="5" t="s">
        <v>526</v>
      </c>
      <c r="C15" s="257"/>
      <c r="D15" s="228">
        <f>ChinaTow!D15/Prices!$C$175+BHIN!D15/Prices!$C$152+IHS!D15+SITES!D15/Prices!$C$180+(TOWR!D15/1000)/Prices!$C$172+(TBIG!D15/1000)/Prices!$C$172</f>
        <v>0</v>
      </c>
      <c r="E15" s="228">
        <f>ChinaTow!E15/Prices!$C$175+BHIN!E15/Prices!$C$152+IHS!E15+SITES!E15/Prices!$C$180+(TOWR!E15/1000)/Prices!$C$172+(TBIG!E15/1000)/Prices!$C$172</f>
        <v>0</v>
      </c>
      <c r="F15" s="228">
        <f>ChinaTow!F15/Prices!$C$175+BHIN!F15/Prices!$C$152+IHS!F15+SITES!F15/Prices!$C$180+(TOWR!F15/1000)/Prices!$C$172+(TBIG!F15/1000)/Prices!$C$172</f>
        <v>0</v>
      </c>
      <c r="G15" s="228">
        <f>ChinaTow!G15/Prices!$C$175+BHIN!G15/Prices!$C$152+IHS!G15+SITES!G15/Prices!$C$180+(TOWR!G15/1000)/Prices!$C$172+(TBIG!G15/1000)/Prices!$C$172</f>
        <v>0</v>
      </c>
      <c r="H15" s="247"/>
      <c r="I15" s="247"/>
      <c r="J15" s="5" t="s">
        <v>470</v>
      </c>
      <c r="L15" s="64">
        <f>'AGG EM'!D43</f>
        <v>19.941396485994044</v>
      </c>
      <c r="M15" s="64">
        <f>'AGG EM'!E43</f>
        <v>16.131685917921274</v>
      </c>
      <c r="N15" s="64">
        <f>'AGG EM'!F43</f>
        <v>13.571473710874955</v>
      </c>
      <c r="O15" s="64">
        <f>'AGG EM'!G43</f>
        <v>11.537221469167157</v>
      </c>
      <c r="P15" s="17">
        <f>'AGG EM'!H43</f>
        <v>0.19756422158027021</v>
      </c>
      <c r="S15" s="88"/>
      <c r="T15" s="88"/>
      <c r="U15" s="88"/>
      <c r="V15" s="42"/>
      <c r="W15" s="42"/>
      <c r="X15" s="42"/>
      <c r="Y15" s="42"/>
      <c r="Z15" s="42"/>
      <c r="AA15" s="42"/>
    </row>
    <row r="16" spans="2:63">
      <c r="B16" s="5" t="s">
        <v>529</v>
      </c>
      <c r="C16" s="257"/>
      <c r="D16" s="228">
        <f>ChinaTow!D16/Prices!$C$175+BHIN!D16/Prices!$C$152+IHS!D16+SITES!D16/Prices!$C$180+(TOWR!D16/1000)/Prices!$C$172+(TBIG!D16/1000)/Prices!$C$172</f>
        <v>0</v>
      </c>
      <c r="E16" s="228">
        <f>ChinaTow!E16/Prices!$C$175+BHIN!E16/Prices!$C$152+IHS!E16+SITES!E16/Prices!$C$180+(TOWR!E16/1000)/Prices!$C$172+(TBIG!E16/1000)/Prices!$C$172</f>
        <v>0</v>
      </c>
      <c r="F16" s="228">
        <f>ChinaTow!F16/Prices!$C$175+BHIN!F16/Prices!$C$152+IHS!F16+SITES!F16/Prices!$C$180+(TOWR!F16/1000)/Prices!$C$172+(TBIG!F16/1000)/Prices!$C$172</f>
        <v>1471.9695039319352</v>
      </c>
      <c r="G16" s="228">
        <f>ChinaTow!G16/Prices!$C$175+BHIN!G16/Prices!$C$152+IHS!G16+SITES!G16/Prices!$C$180+(TOWR!G16/1000)/Prices!$C$172+(TBIG!G16/1000)/Prices!$C$172</f>
        <v>3453.7792522136392</v>
      </c>
      <c r="H16" s="247"/>
      <c r="I16" s="247"/>
      <c r="J16" s="5" t="s">
        <v>528</v>
      </c>
      <c r="L16" s="64">
        <f>'AGG EM'!D44</f>
        <v>18.269093770217651</v>
      </c>
      <c r="M16" s="64">
        <f>'AGG EM'!E44</f>
        <v>15.568805131794383</v>
      </c>
      <c r="N16" s="64">
        <f>'AGG EM'!F44</f>
        <v>13.199234812647555</v>
      </c>
      <c r="O16" s="64">
        <f>'AGG EM'!G44</f>
        <v>11.401551775928532</v>
      </c>
      <c r="P16" s="17">
        <f>'AGG EM'!H44</f>
        <v>0.16848189780945066</v>
      </c>
      <c r="S16" s="88"/>
      <c r="T16" s="88"/>
      <c r="U16" s="88"/>
      <c r="V16" s="42"/>
      <c r="W16" s="42"/>
      <c r="X16" s="42"/>
      <c r="Y16" s="42"/>
      <c r="Z16" s="42"/>
      <c r="AA16" s="42"/>
    </row>
    <row r="17" spans="2:27">
      <c r="B17" s="5" t="s">
        <v>6</v>
      </c>
      <c r="C17" s="257"/>
      <c r="D17" s="228">
        <f>ChinaTow!D17/Prices!$C$175+BHIN!D17/Prices!$C$152+IHS!D17+SITES!D17/Prices!$C$180+(TOWR!D17/1000)/Prices!$C$172+(TBIG!D17/1000)/Prices!$C$172</f>
        <v>0</v>
      </c>
      <c r="E17" s="228">
        <f>ChinaTow!E17/Prices!$C$175+BHIN!E17/Prices!$C$152+IHS!E17+SITES!E17/Prices!$C$180+(TOWR!E17/1000)/Prices!$C$172+(TBIG!E17/1000)/Prices!$C$172</f>
        <v>0</v>
      </c>
      <c r="F17" s="228">
        <f>ChinaTow!F17/Prices!$C$175+BHIN!F17/Prices!$C$152+IHS!F17+SITES!F17/Prices!$C$180+(TOWR!F17/1000)/Prices!$C$172+(TBIG!F17/1000)/Prices!$C$172</f>
        <v>0</v>
      </c>
      <c r="G17" s="228">
        <f>ChinaTow!G17/Prices!$C$175+BHIN!G17/Prices!$C$152+IHS!G17+SITES!G17/Prices!$C$180+(TOWR!G17/1000)/Prices!$C$172+(TBIG!G17/1000)/Prices!$C$172</f>
        <v>0</v>
      </c>
      <c r="H17" s="247"/>
      <c r="I17" s="247"/>
      <c r="J17" s="5" t="s">
        <v>575</v>
      </c>
      <c r="L17" s="248">
        <f>'AGG EM'!D45</f>
        <v>3.9575725452429565E-2</v>
      </c>
      <c r="M17" s="248">
        <f>'AGG EM'!E45</f>
        <v>4.4599307126826686E-2</v>
      </c>
      <c r="N17" s="248">
        <f>'AGG EM'!F45</f>
        <v>5.062338744034766E-2</v>
      </c>
      <c r="O17" s="248">
        <f>'AGG EM'!G45</f>
        <v>5.8280255420076719E-2</v>
      </c>
      <c r="P17" s="17">
        <f>'AGG EM'!H45</f>
        <v>0.13606146505400307</v>
      </c>
      <c r="S17" s="88"/>
      <c r="T17" s="88"/>
      <c r="U17" s="88"/>
      <c r="V17" s="42"/>
      <c r="W17" s="42"/>
      <c r="X17" s="42"/>
      <c r="Y17" s="42"/>
      <c r="Z17" s="42"/>
      <c r="AA17" s="42"/>
    </row>
    <row r="18" spans="2:27" ht="12.6" thickBot="1">
      <c r="B18" s="41" t="s">
        <v>451</v>
      </c>
      <c r="C18" s="249"/>
      <c r="D18" s="275">
        <f>ChinaTow!D18/Prices!$C$175+BHIN!D18/Prices!$C$152+IHS!D18+SITES!D18/Prices!$C$180+(TOWR!D18/1000)/Prices!$C$172+(TBIG!D18/1000)/Prices!$C$172</f>
        <v>61210.684277954955</v>
      </c>
      <c r="E18" s="275">
        <f>ChinaTow!E18/Prices!$C$175+BHIN!E18/Prices!$C$152+IHS!E18+SITES!E18/Prices!$C$180+(TOWR!E18/1000)/Prices!$C$172+(TBIG!E18/1000)/Prices!$C$172</f>
        <v>59135.206927638697</v>
      </c>
      <c r="F18" s="275">
        <f>ChinaTow!F18/Prices!$C$175+BHIN!F18/Prices!$C$152+IHS!F18+SITES!F18/Prices!$C$180+(TOWR!F18/1000)/Prices!$C$172+(TBIG!F18/1000)/Prices!$C$172</f>
        <v>54831.22919951185</v>
      </c>
      <c r="G18" s="275">
        <f>ChinaTow!G18/Prices!$C$175+BHIN!G18/Prices!$C$152+IHS!G18+SITES!G18/Prices!$C$180+(TOWR!G18/1000)/Prices!$C$172+(TBIG!G18/1000)/Prices!$C$172</f>
        <v>49990.424360239798</v>
      </c>
      <c r="H18" s="276">
        <f>IF(D18=0,"nm",IF(G18=0,"nm",(G18/D18)^(1/3)-1))</f>
        <v>-6.5269250765952025E-2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576</v>
      </c>
      <c r="L19" s="248">
        <f>'AGG EM'!D47</f>
        <v>5.0146939343107481E-2</v>
      </c>
      <c r="M19" s="248">
        <f>'AGG EM'!E47</f>
        <v>6.1989801009519022E-2</v>
      </c>
      <c r="N19" s="248">
        <f>'AGG EM'!F47</f>
        <v>7.3683965448696279E-2</v>
      </c>
      <c r="O19" s="248">
        <f>'AGG EM'!G47</f>
        <v>8.6675981966062354E-2</v>
      </c>
      <c r="P19" s="17">
        <f>'AGG EM'!H47</f>
        <v>0.19756422158027021</v>
      </c>
      <c r="S19" s="88"/>
      <c r="T19" s="88"/>
      <c r="U19" s="88"/>
      <c r="V19" s="42"/>
      <c r="W19" s="42"/>
      <c r="X19" s="42"/>
      <c r="Y19" s="42"/>
      <c r="Z19" s="42"/>
      <c r="AA19" s="42"/>
    </row>
    <row r="20" spans="2:27">
      <c r="H20" s="277"/>
      <c r="I20" s="49"/>
      <c r="J20" s="5" t="s">
        <v>599</v>
      </c>
      <c r="L20" s="248">
        <f>'AGG EM'!D48</f>
        <v>0.7811093796944828</v>
      </c>
      <c r="M20" s="248">
        <f>'AGG EM'!E48</f>
        <v>0.71190259032608272</v>
      </c>
      <c r="N20" s="248">
        <f>'AGG EM'!F48</f>
        <v>0.68014626513904075</v>
      </c>
      <c r="O20" s="248">
        <f>'AGG EM'!G48</f>
        <v>0.66683886253088454</v>
      </c>
      <c r="P20" s="17" t="str">
        <f>'AGG EM'!H48</f>
        <v>nm</v>
      </c>
      <c r="S20" s="42"/>
      <c r="T20" s="42"/>
      <c r="U20" s="42"/>
      <c r="V20" s="42"/>
      <c r="W20" s="42"/>
      <c r="X20" s="42"/>
      <c r="Y20" s="42"/>
      <c r="Z20" s="42"/>
      <c r="AA20" s="42"/>
    </row>
    <row r="21" spans="2:27" ht="12.6" thickBot="1">
      <c r="B21" s="306" t="s">
        <v>303</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t="e">
        <f>INWIT!C23+CLNX!C23 +#REF!</f>
        <v>#REF!</v>
      </c>
      <c r="D23" s="350">
        <f>ChinaTow!D23/Prices!$C$175+BHIN!D23/Prices!$C$152+IHS!D23+SITES!D23/Prices!$C$180+(TOWR!D23/1000)/Prices!$C$172+(TBIG!D23/1000)/Prices!$C$172</f>
        <v>19357.895223637712</v>
      </c>
      <c r="E23" s="350">
        <f>ChinaTow!E23/Prices!$C$175+BHIN!E23/Prices!$C$152+IHS!E23+SITES!E23/Prices!$C$180+(TOWR!E23/1000)/Prices!$C$172+(TBIG!E23/1000)/Prices!$C$172</f>
        <v>20097.609364139331</v>
      </c>
      <c r="F23" s="350">
        <f>ChinaTow!F23/Prices!$C$175+BHIN!F23/Prices!$C$152+IHS!F23+SITES!F23/Prices!$C$180+(TOWR!F23/1000)/Prices!$C$172+(TBIG!F23/1000)/Prices!$C$172</f>
        <v>21368.440403698543</v>
      </c>
      <c r="G23" s="350">
        <f>ChinaTow!G23/Prices!$C$175+BHIN!G23/Prices!$C$152+IHS!G23+SITES!G23/Prices!$C$180+(TOWR!G23/1000)/Prices!$C$172+(TBIG!G23/1000)/Prices!$C$172</f>
        <v>22591.463646594369</v>
      </c>
      <c r="H23" s="279">
        <f t="shared" ref="H23:H33" si="0">IF(D23=0,"nm",IF(G23=0,"nm",(G23/D23)^(1/3)-1))</f>
        <v>5.2839276228291432E-2</v>
      </c>
      <c r="I23" s="249"/>
      <c r="J23" s="306" t="s">
        <v>9</v>
      </c>
      <c r="K23" s="306"/>
      <c r="L23" s="265" t="str">
        <f>L5</f>
        <v>2023E</v>
      </c>
      <c r="M23" s="265" t="str">
        <f>M5</f>
        <v>2024E</v>
      </c>
      <c r="N23" s="265" t="str">
        <f>N5</f>
        <v>2025E</v>
      </c>
      <c r="O23" s="265" t="str">
        <f>O5</f>
        <v>2026E</v>
      </c>
      <c r="P23" s="282" t="str">
        <f>P5</f>
        <v>23E-26E</v>
      </c>
      <c r="S23" s="42"/>
      <c r="T23" s="42"/>
      <c r="U23" s="42"/>
      <c r="V23" s="42"/>
      <c r="W23" s="42" t="s">
        <v>1393</v>
      </c>
      <c r="X23" s="42" t="s">
        <v>1392</v>
      </c>
      <c r="Y23" s="42"/>
      <c r="Z23" s="42"/>
      <c r="AA23" s="42"/>
    </row>
    <row r="24" spans="2:27" ht="12.6" thickTop="1">
      <c r="B24" s="5" t="s">
        <v>478</v>
      </c>
      <c r="C24" s="365" t="e">
        <f>INWIT!C24+CLNX!C24 +#REF!</f>
        <v>#REF!</v>
      </c>
      <c r="D24" s="350">
        <f>ChinaTow!D24/Prices!$C$175+BHIN!D24/Prices!$C$152+IHS!D24+SITES!D24/Prices!$C$180+(TOWR!D24/1000)/Prices!$C$172+(TBIG!D24/1000)/Prices!$C$172</f>
        <v>12427.138481647875</v>
      </c>
      <c r="E24" s="350">
        <f>ChinaTow!E24/Prices!$C$175+BHIN!E24/Prices!$C$152+IHS!E24+SITES!E24/Prices!$C$180+(TOWR!E24/1000)/Prices!$C$172+(TBIG!E24/1000)/Prices!$C$172</f>
        <v>13033.933305170807</v>
      </c>
      <c r="F24" s="350">
        <f>ChinaTow!F24/Prices!$C$175+BHIN!F24/Prices!$C$152+IHS!F24+SITES!F24/Prices!$C$180+(TOWR!F24/1000)/Prices!$C$172+(TBIG!F24/1000)/Prices!$C$172</f>
        <v>13934.685757948952</v>
      </c>
      <c r="G24" s="350">
        <f>ChinaTow!G24/Prices!$C$175+BHIN!G24/Prices!$C$152+IHS!G24+SITES!G24/Prices!$C$180+(TOWR!G24/1000)/Prices!$C$172+(TBIG!G24/1000)/Prices!$C$172</f>
        <v>14734.626178387876</v>
      </c>
      <c r="H24" s="279">
        <f t="shared" si="0"/>
        <v>5.841502106121288E-2</v>
      </c>
      <c r="I24" s="248"/>
      <c r="J24" s="17"/>
      <c r="K24" s="17"/>
      <c r="L24" s="17"/>
      <c r="M24" s="17"/>
      <c r="N24" s="17"/>
      <c r="O24" s="248"/>
      <c r="S24" s="42"/>
      <c r="T24" s="42"/>
      <c r="U24" s="42"/>
      <c r="V24" s="147" t="s">
        <v>268</v>
      </c>
      <c r="W24" s="288">
        <f t="shared" ref="W24:W27" si="1">E37/M9</f>
        <v>1.7770792639723112</v>
      </c>
      <c r="X24" s="288">
        <v>1</v>
      </c>
      <c r="Y24" s="42"/>
      <c r="Z24" s="42"/>
      <c r="AA24" s="42"/>
    </row>
    <row r="25" spans="2:27">
      <c r="B25" s="5" t="s">
        <v>179</v>
      </c>
      <c r="C25" s="365" t="e">
        <f>INWIT!C25+CLNX!C25 +#REF!</f>
        <v>#REF!</v>
      </c>
      <c r="D25" s="350">
        <f>ChinaTow!D25/Prices!$C$175+BHIN!D25/Prices!$C$152+IHS!D25+SITES!D25/Prices!$C$180+(TOWR!D25/1000)/Prices!$C$172+(TBIG!D25/1000)/Prices!$C$172</f>
        <v>6532.8364465008117</v>
      </c>
      <c r="E25" s="350">
        <f>ChinaTow!E25/Prices!$C$175+BHIN!E25/Prices!$C$152+IHS!E25+SITES!E25/Prices!$C$180+(TOWR!E25/1000)/Prices!$C$172+(TBIG!E25/1000)/Prices!$C$172</f>
        <v>8620.9832713375308</v>
      </c>
      <c r="F25" s="350">
        <f>ChinaTow!F25/Prices!$C$175+BHIN!F25/Prices!$C$152+IHS!F25+SITES!F25/Prices!$C$180+(TOWR!F25/1000)/Prices!$C$172+(TBIG!F25/1000)/Prices!$C$172</f>
        <v>9409.2922535050129</v>
      </c>
      <c r="G25" s="350">
        <f>ChinaTow!G25/Prices!$C$175+BHIN!G25/Prices!$C$152+IHS!G25+SITES!G25/Prices!$C$180+(TOWR!G25/1000)/Prices!$C$172+(TBIG!G25/1000)/Prices!$C$172</f>
        <v>10112.487236767867</v>
      </c>
      <c r="H25" s="279">
        <f t="shared" si="0"/>
        <v>0.15678345110080794</v>
      </c>
      <c r="I25" s="249"/>
      <c r="J25" s="247" t="s">
        <v>10</v>
      </c>
      <c r="K25" s="247"/>
      <c r="L25" s="332">
        <f>ChinaTow!L25/Prices!$C$175+BHIN!L25/Prices!$C$152+IHS!L25+SITES!L25/Prices!$C$180+(TOWR!L25/1000)/Prices!$C$172+(TBIG!L25/1000)/Prices!$C$172</f>
        <v>0</v>
      </c>
      <c r="M25" s="332">
        <f>ChinaTow!M25/Prices!$C$175+BHIN!M25/Prices!$C$152+IHS!M25+SITES!M25/Prices!$C$180+(TOWR!M25/1000)/Prices!$C$172+(TBIG!M25/1000)/Prices!$C$172</f>
        <v>0</v>
      </c>
      <c r="N25" s="332">
        <f>ChinaTow!N25/Prices!$C$175+BHIN!N25/Prices!$C$152+IHS!N25+SITES!N25/Prices!$C$180+(TOWR!N25/1000)/Prices!$C$172+(TBIG!N25/1000)/Prices!$C$172</f>
        <v>0</v>
      </c>
      <c r="O25" s="332">
        <f>ChinaTow!O25/Prices!$C$175+BHIN!O25/Prices!$C$152+IHS!O25+SITES!O25/Prices!$C$180+(TOWR!O25/1000)/Prices!$C$172+(TBIG!O25/1000)/Prices!$C$172</f>
        <v>0</v>
      </c>
      <c r="P25" s="279" t="str">
        <f>IF(L25=0,"nm",IF(O25=0,"nm",(O25/L25)^(1/3)-1))</f>
        <v>nm</v>
      </c>
      <c r="Q25" s="5"/>
      <c r="S25" s="42"/>
      <c r="T25" s="42"/>
      <c r="U25" s="42"/>
      <c r="V25" s="147" t="s">
        <v>180</v>
      </c>
      <c r="W25" s="288">
        <f t="shared" si="1"/>
        <v>0.93829502882405202</v>
      </c>
      <c r="X25" s="288">
        <v>1</v>
      </c>
      <c r="Y25" s="42"/>
      <c r="Z25" s="42"/>
      <c r="AA25" s="42"/>
    </row>
    <row r="26" spans="2:27">
      <c r="B26" s="5" t="s">
        <v>581</v>
      </c>
      <c r="C26" s="365" t="e">
        <f>INWIT!C26+CLNX!C26 +#REF!</f>
        <v>#REF!</v>
      </c>
      <c r="D26" s="350">
        <f>ChinaTow!D26/Prices!$C$175+BHIN!D26/Prices!$C$152+IHS!D26+SITES!D26/Prices!$C$180+(TOWR!D26/1000)/Prices!$C$172+(TBIG!D26/1000)/Prices!$C$172</f>
        <v>5059.9241254368544</v>
      </c>
      <c r="E26" s="350">
        <f>ChinaTow!E26/Prices!$C$175+BHIN!E26/Prices!$C$152+IHS!E26+SITES!E26/Prices!$C$180+(TOWR!E26/1000)/Prices!$C$172+(TBIG!E26/1000)/Prices!$C$172</f>
        <v>7204.7039511588891</v>
      </c>
      <c r="F26" s="350">
        <f>ChinaTow!F26/Prices!$C$175+BHIN!F26/Prices!$C$152+IHS!F26+SITES!F26/Prices!$C$180+(TOWR!F26/1000)/Prices!$C$172+(TBIG!F26/1000)/Prices!$C$172</f>
        <v>8439.9043426351927</v>
      </c>
      <c r="G26" s="350">
        <f>ChinaTow!G26/Prices!$C$175+BHIN!G26/Prices!$C$152+IHS!G26+SITES!G26/Prices!$C$180+(TOWR!G26/1000)/Prices!$C$172+(TBIG!G26/1000)/Prices!$C$172</f>
        <v>9113.3485257542179</v>
      </c>
      <c r="H26" s="279">
        <f t="shared" si="0"/>
        <v>0.21668454558802974</v>
      </c>
      <c r="I26" s="249"/>
      <c r="J26" s="249" t="s">
        <v>11</v>
      </c>
      <c r="K26" s="249"/>
      <c r="L26" s="281">
        <f>ChinaTow!L26/Prices!$C$175+BHIN!L26/Prices!$C$152+IHS!L26+SITES!L26/Prices!$C$180+(TOWR!L26/1000)/Prices!$C$172+(TBIG!L26/1000)/Prices!$C$172</f>
        <v>39545.010027782133</v>
      </c>
      <c r="M26" s="281">
        <f>ChinaTow!M26/Prices!$C$175+BHIN!M26/Prices!$C$152+IHS!M26+SITES!M26/Prices!$C$180+(TOWR!M26/1000)/Prices!$C$172+(TBIG!M26/1000)/Prices!$C$172</f>
        <v>39583.175535158218</v>
      </c>
      <c r="N26" s="281">
        <f>ChinaTow!N26/Prices!$C$175+BHIN!N26/Prices!$C$152+IHS!N26+SITES!N26/Prices!$C$180+(TOWR!N26/1000)/Prices!$C$172+(TBIG!N26/1000)/Prices!$C$172</f>
        <v>39533.383014446852</v>
      </c>
      <c r="O26" s="281">
        <f>ChinaTow!O26/Prices!$C$175+BHIN!O26/Prices!$C$152+IHS!O26+SITES!O26/Prices!$C$180+(TOWR!O26/1000)/Prices!$C$172+(TBIG!O26/1000)/Prices!$C$172</f>
        <v>39339.619381964803</v>
      </c>
      <c r="P26" s="279">
        <f>IF(L26=0,"nm",IF(O26=0,"nm",(O26/L26)^(1/3)-1))</f>
        <v>-1.7342876242224525E-3</v>
      </c>
      <c r="Q26" s="41"/>
      <c r="S26" s="42"/>
      <c r="T26" s="42"/>
      <c r="U26" s="42"/>
      <c r="V26" s="147" t="s">
        <v>181</v>
      </c>
      <c r="W26" s="288">
        <f t="shared" si="1"/>
        <v>0.71532598198099095</v>
      </c>
      <c r="X26" s="288">
        <v>1</v>
      </c>
      <c r="Y26" s="42"/>
      <c r="Z26" s="42"/>
      <c r="AA26" s="42"/>
    </row>
    <row r="27" spans="2:27">
      <c r="B27" s="5" t="s">
        <v>582</v>
      </c>
      <c r="C27" s="365" t="e">
        <f>INWIT!C27+CLNX!C27 +#REF!</f>
        <v>#REF!</v>
      </c>
      <c r="D27" s="350">
        <f>ChinaTow!D27/Prices!$C$175+BHIN!D27/Prices!$C$152+IHS!D27+SITES!D27/Prices!$C$180+(TOWR!D27/1000)/Prices!$C$172+(TBIG!D27/1000)/Prices!$C$172</f>
        <v>48486.07086347002</v>
      </c>
      <c r="E27" s="350">
        <f>ChinaTow!E27/Prices!$C$175+BHIN!E27/Prices!$C$152+IHS!E27+SITES!E27/Prices!$C$180+(TOWR!E27/1000)/Prices!$C$172+(TBIG!E27/1000)/Prices!$C$172</f>
        <v>46713.343394078758</v>
      </c>
      <c r="F27" s="350">
        <f>ChinaTow!F27/Prices!$C$175+BHIN!F27/Prices!$C$152+IHS!F27+SITES!F27/Prices!$C$180+(TOWR!F27/1000)/Prices!$C$172+(TBIG!F27/1000)/Prices!$C$172</f>
        <v>45609.597841286952</v>
      </c>
      <c r="G27" s="350">
        <f>ChinaTow!G27/Prices!$C$175+BHIN!G27/Prices!$C$152+IHS!G27+SITES!G27/Prices!$C$180+(TOWR!G27/1000)/Prices!$C$172+(TBIG!G27/1000)/Prices!$C$172</f>
        <v>45514.857534903836</v>
      </c>
      <c r="H27" s="279">
        <f t="shared" si="0"/>
        <v>-2.0858634191997183E-2</v>
      </c>
      <c r="I27" s="248"/>
      <c r="J27" s="248"/>
      <c r="K27" s="248"/>
      <c r="L27" s="248"/>
      <c r="M27" s="248"/>
      <c r="N27" s="248"/>
      <c r="O27" s="248"/>
      <c r="Q27" s="5"/>
      <c r="S27" s="42"/>
      <c r="T27" s="42"/>
      <c r="U27" s="42"/>
      <c r="V27" s="147" t="s">
        <v>461</v>
      </c>
      <c r="W27" s="288">
        <f t="shared" si="1"/>
        <v>0.65202107315215452</v>
      </c>
      <c r="X27" s="288">
        <v>1</v>
      </c>
      <c r="Y27" s="42"/>
      <c r="Z27" s="42"/>
      <c r="AA27" s="42"/>
    </row>
    <row r="28" spans="2:27" ht="12.6" thickBot="1">
      <c r="B28" s="5" t="s">
        <v>587</v>
      </c>
      <c r="C28" s="365" t="e">
        <f>INWIT!C28+CLNX!C28 +#REF!</f>
        <v>#REF!</v>
      </c>
      <c r="D28" s="350">
        <f>ChinaTow!D28/Prices!$C$175+BHIN!D28/Prices!$C$152+IHS!D28+SITES!D28/Prices!$C$180+(TOWR!D28/1000)/Prices!$C$172+(TBIG!D28/1000)/Prices!$C$172</f>
        <v>35045.848524003384</v>
      </c>
      <c r="E28" s="350">
        <f>ChinaTow!E28/Prices!$C$175+BHIN!E28/Prices!$C$152+IHS!E28+SITES!E28/Prices!$C$180+(TOWR!E28/1000)/Prices!$C$172+(TBIG!E28/1000)/Prices!$C$172</f>
        <v>31826.165042417182</v>
      </c>
      <c r="F28" s="350">
        <f>ChinaTow!F28/Prices!$C$175+BHIN!F28/Prices!$C$152+IHS!F28+SITES!F28/Prices!$C$180+(TOWR!F28/1000)/Prices!$C$172+(TBIG!F28/1000)/Prices!$C$172</f>
        <v>28285.164940128383</v>
      </c>
      <c r="G28" s="350">
        <f>ChinaTow!G28/Prices!$C$175+BHIN!G28/Prices!$C$152+IHS!G28+SITES!G28/Prices!$C$180+(TOWR!G28/1000)/Prices!$C$172+(TBIG!G28/1000)/Prices!$C$172</f>
        <v>25532.111457093215</v>
      </c>
      <c r="H28" s="279">
        <f t="shared" si="0"/>
        <v>-0.10019158430344766</v>
      </c>
      <c r="I28" s="252"/>
      <c r="J28" s="306" t="s">
        <v>1394</v>
      </c>
      <c r="K28" s="306"/>
      <c r="L28" s="306"/>
      <c r="M28" s="306"/>
      <c r="N28" s="266"/>
      <c r="O28" s="266"/>
      <c r="P28" s="266"/>
      <c r="Q28" s="5"/>
      <c r="S28" s="42"/>
      <c r="T28" s="42"/>
      <c r="U28" s="42"/>
      <c r="V28" s="147" t="s">
        <v>525</v>
      </c>
      <c r="W28" s="288" t="e">
        <f>#REF!/M13</f>
        <v>#REF!</v>
      </c>
      <c r="X28" s="288">
        <v>1</v>
      </c>
      <c r="Y28" s="42"/>
      <c r="Z28" s="42"/>
      <c r="AA28" s="42"/>
    </row>
    <row r="29" spans="2:27" ht="12.6" thickTop="1">
      <c r="B29" s="5" t="s">
        <v>583</v>
      </c>
      <c r="C29" s="365" t="e">
        <f>INWIT!C29+CLNX!C29 +#REF!</f>
        <v>#REF!</v>
      </c>
      <c r="D29" s="350">
        <f>ChinaTow!D29/Prices!$C$175+BHIN!D29/Prices!$C$152+IHS!D29+SITES!D29/Prices!$C$180+(TOWR!D29/1000)/Prices!$C$172+(TBIG!D29/1000)/Prices!$C$172</f>
        <v>4055.2081032512897</v>
      </c>
      <c r="E29" s="350">
        <f>ChinaTow!E29/Prices!$C$175+BHIN!E29/Prices!$C$152+IHS!E29+SITES!E29/Prices!$C$180+(TOWR!E29/1000)/Prices!$C$172+(TBIG!E29/1000)/Prices!$C$172</f>
        <v>6076.9349097564063</v>
      </c>
      <c r="F29" s="350">
        <f>ChinaTow!F29/Prices!$C$175+BHIN!F29/Prices!$C$152+IHS!F29+SITES!F29/Prices!$C$180+(TOWR!F29/1000)/Prices!$C$172+(TBIG!F29/1000)/Prices!$C$172</f>
        <v>7177.6862045454845</v>
      </c>
      <c r="G29" s="350">
        <f>ChinaTow!G29/Prices!$C$175+BHIN!G29/Prices!$C$152+IHS!G29+SITES!G29/Prices!$C$180+(TOWR!G29/1000)/Prices!$C$172+(TBIG!G29/1000)/Prices!$C$172</f>
        <v>7550.7150999446894</v>
      </c>
      <c r="H29" s="279">
        <f t="shared" si="0"/>
        <v>0.23024510578702229</v>
      </c>
      <c r="I29" s="254"/>
      <c r="J29" s="249"/>
      <c r="K29" s="249"/>
      <c r="L29" s="249"/>
      <c r="M29" s="249"/>
      <c r="N29" s="249"/>
      <c r="O29" s="251"/>
      <c r="Q29" s="5"/>
      <c r="S29" s="42"/>
      <c r="T29" s="42"/>
      <c r="U29" s="42"/>
      <c r="V29" s="147" t="s">
        <v>588</v>
      </c>
      <c r="W29" s="288" t="e">
        <f>#REF!/M14</f>
        <v>#REF!</v>
      </c>
      <c r="X29" s="288">
        <v>1</v>
      </c>
      <c r="Y29" s="42"/>
      <c r="Z29" s="42"/>
      <c r="AA29" s="42"/>
    </row>
    <row r="30" spans="2:27">
      <c r="B30" s="5" t="s">
        <v>584</v>
      </c>
      <c r="C30" s="365" t="e">
        <f>INWIT!C30+CLNX!C30 +#REF!</f>
        <v>#REF!</v>
      </c>
      <c r="D30" s="350">
        <f>ChinaTow!D30/Prices!$C$175+BHIN!D30/Prices!$C$152+IHS!D30+SITES!D30/Prices!$C$180+(TOWR!D30/1000)/Prices!$C$172+(TBIG!D30/1000)/Prices!$C$172</f>
        <v>2371.5046743522803</v>
      </c>
      <c r="E30" s="350">
        <f>ChinaTow!E30/Prices!$C$175+BHIN!E30/Prices!$C$152+IHS!E30+SITES!E30/Prices!$C$180+(TOWR!E30/1000)/Prices!$C$172+(TBIG!E30/1000)/Prices!$C$172</f>
        <v>3080.074563240652</v>
      </c>
      <c r="F30" s="350">
        <f>ChinaTow!F30/Prices!$C$175+BHIN!F30/Prices!$C$152+IHS!F30+SITES!F30/Prices!$C$180+(TOWR!F30/1000)/Prices!$C$172+(TBIG!F30/1000)/Prices!$C$172</f>
        <v>3877.7447491507587</v>
      </c>
      <c r="G30" s="350">
        <f>ChinaTow!G30/Prices!$C$175+BHIN!G30/Prices!$C$152+IHS!G30+SITES!G30/Prices!$C$180+(TOWR!G30/1000)/Prices!$C$172+(TBIG!G30/1000)/Prices!$C$172</f>
        <v>5045.3960389745271</v>
      </c>
      <c r="H30" s="279">
        <f t="shared" si="0"/>
        <v>0.28614645680803363</v>
      </c>
      <c r="I30" s="254"/>
      <c r="J30" s="248"/>
      <c r="K30" s="248"/>
      <c r="L30" s="248"/>
      <c r="M30" s="248"/>
      <c r="N30" s="248"/>
      <c r="O30" s="5"/>
      <c r="Q30" s="5"/>
      <c r="S30" s="42"/>
      <c r="T30" s="42"/>
      <c r="U30" s="42"/>
      <c r="V30" s="147" t="s">
        <v>470</v>
      </c>
      <c r="W30" s="288">
        <f>E43/M15</f>
        <v>0.40378138176366912</v>
      </c>
      <c r="X30" s="288">
        <v>1</v>
      </c>
      <c r="Y30" s="42"/>
      <c r="Z30" s="42"/>
      <c r="AA30" s="42"/>
    </row>
    <row r="31" spans="2:27">
      <c r="B31" s="5" t="s">
        <v>585</v>
      </c>
      <c r="C31" s="365" t="e">
        <f>INWIT!C31+CLNX!C31 +#REF!</f>
        <v>#REF!</v>
      </c>
      <c r="D31" s="350">
        <f>ChinaTow!D31/Prices!$C$175+BHIN!D31/Prices!$C$152+IHS!D31+SITES!D31/Prices!$C$180+(TOWR!D31/1000)/Prices!$C$172+(TBIG!D31/1000)/Prices!$C$172</f>
        <v>922.14103176300659</v>
      </c>
      <c r="E31" s="350">
        <f>ChinaTow!E31/Prices!$C$175+BHIN!E31/Prices!$C$152+IHS!E31+SITES!E31/Prices!$C$180+(TOWR!E31/1000)/Prices!$C$172+(TBIG!E31/1000)/Prices!$C$172</f>
        <v>1288.0172111446711</v>
      </c>
      <c r="F31" s="350">
        <f>ChinaTow!F31/Prices!$C$175+BHIN!F31/Prices!$C$152+IHS!F31+SITES!F31/Prices!$C$180+(TOWR!F31/1000)/Prices!$C$172+(TBIG!F31/1000)/Prices!$C$172</f>
        <v>1655.9217884056302</v>
      </c>
      <c r="G31" s="350">
        <f>ChinaTow!G31/Prices!$C$175+BHIN!G31/Prices!$C$152+IHS!G31+SITES!G31/Prices!$C$180+(TOWR!G31/1000)/Prices!$C$172+(TBIG!G31/1000)/Prices!$C$172</f>
        <v>2307.6976966925822</v>
      </c>
      <c r="H31" s="279">
        <f t="shared" si="0"/>
        <v>0.35766885870880061</v>
      </c>
      <c r="I31" s="254"/>
      <c r="J31" s="252"/>
      <c r="K31" s="252"/>
      <c r="L31" s="252"/>
      <c r="M31" s="252"/>
      <c r="N31" s="252"/>
      <c r="O31" s="5"/>
      <c r="Q31" s="5"/>
      <c r="S31" s="42"/>
      <c r="T31" s="42"/>
      <c r="U31" s="42"/>
      <c r="V31" s="147" t="s">
        <v>528</v>
      </c>
      <c r="W31" s="288">
        <f>E44/M16</f>
        <v>0.825456362448449</v>
      </c>
      <c r="X31" s="288">
        <v>1</v>
      </c>
      <c r="Y31" s="42"/>
      <c r="Z31" s="42"/>
      <c r="AA31" s="42"/>
    </row>
    <row r="32" spans="2:27">
      <c r="B32" s="5" t="s">
        <v>601</v>
      </c>
      <c r="C32" s="365" t="e">
        <f>INWIT!C32+CLNX!C32 +#REF!</f>
        <v>#REF!</v>
      </c>
      <c r="D32" s="350">
        <f>ChinaTow!D32/Prices!$C$175+BHIN!D32/Prices!$C$152+IHS!D32+SITES!D32/Prices!$C$180+(TOWR!D32/1000)/Prices!$C$172+(TBIG!D32/1000)/Prices!$C$172</f>
        <v>-152.02370914762079</v>
      </c>
      <c r="E32" s="350">
        <f>ChinaTow!E32/Prices!$C$175+BHIN!E32/Prices!$C$152+IHS!E32+SITES!E32/Prices!$C$180+(TOWR!E32/1000)/Prices!$C$172+(TBIG!E32/1000)/Prices!$C$172</f>
        <v>-174.09312136986586</v>
      </c>
      <c r="F32" s="350">
        <f>ChinaTow!F32/Prices!$C$175+BHIN!F32/Prices!$C$152+IHS!F32+SITES!F32/Prices!$C$180+(TOWR!F32/1000)/Prices!$C$172+(TBIG!F32/1000)/Prices!$C$172</f>
        <v>-192.10497502175437</v>
      </c>
      <c r="G32" s="350">
        <f>ChinaTow!G32/Prices!$C$175+BHIN!G32/Prices!$C$152+IHS!G32+SITES!G32/Prices!$C$180+(TOWR!G32/1000)/Prices!$C$172+(TBIG!G32/1000)/Prices!$C$172</f>
        <v>-197.77297762826532</v>
      </c>
      <c r="H32" s="279">
        <f t="shared" si="0"/>
        <v>9.1654499768273556E-2</v>
      </c>
      <c r="I32" s="5"/>
      <c r="J32" s="254"/>
      <c r="K32" s="254"/>
      <c r="L32" s="254"/>
      <c r="M32" s="254"/>
      <c r="N32" s="254"/>
      <c r="O32" s="251"/>
      <c r="Q32" s="5"/>
      <c r="S32" s="42"/>
      <c r="T32" s="42"/>
      <c r="U32" s="42"/>
      <c r="V32" s="147" t="s">
        <v>575</v>
      </c>
      <c r="W32" s="288">
        <f>M17/E45</f>
        <v>1.3706200409998439</v>
      </c>
      <c r="X32" s="288">
        <v>1</v>
      </c>
      <c r="Y32" s="42"/>
      <c r="Z32" s="42"/>
      <c r="AA32" s="42"/>
    </row>
    <row r="33" spans="2:42">
      <c r="B33" s="5" t="s">
        <v>5</v>
      </c>
      <c r="C33" s="365" t="e">
        <f>INWIT!C33+CLNX!C33 +#REF!</f>
        <v>#REF!</v>
      </c>
      <c r="D33" s="350">
        <f>ChinaTow!D33/Prices!$C$175+BHIN!D33/Prices!$C$152+IHS!D33+SITES!D33/Prices!$C$180+(TOWR!D33/1000)/Prices!$C$172+(TBIG!D33/1000)/Prices!$C$172</f>
        <v>527.38240969997037</v>
      </c>
      <c r="E33" s="350">
        <f>ChinaTow!E33/Prices!$C$175+BHIN!E33/Prices!$C$152+IHS!E33+SITES!E33/Prices!$C$180+(TOWR!E33/1000)/Prices!$C$172+(TBIG!E33/1000)/Prices!$C$172</f>
        <v>418.28699949420172</v>
      </c>
      <c r="F33" s="350">
        <f>ChinaTow!F33/Prices!$C$175+BHIN!F33/Prices!$C$152+IHS!F33+SITES!F33/Prices!$C$180+(TOWR!F33/1000)/Prices!$C$172+(TBIG!F33/1000)/Prices!$C$172</f>
        <v>408.7006924732965</v>
      </c>
      <c r="G33" s="350">
        <f>ChinaTow!G33/Prices!$C$175+BHIN!G33/Prices!$C$152+IHS!G33+SITES!G33/Prices!$C$180+(TOWR!G33/1000)/Prices!$C$172+(TBIG!G33/1000)/Prices!$C$172</f>
        <v>381.79263252904684</v>
      </c>
      <c r="H33" s="279">
        <f t="shared" si="0"/>
        <v>-0.10208760281993579</v>
      </c>
      <c r="I33" s="49"/>
      <c r="J33" s="254"/>
      <c r="K33" s="254"/>
      <c r="L33" s="254"/>
      <c r="M33" s="254"/>
      <c r="N33" s="254"/>
      <c r="O33" s="251"/>
      <c r="Q33" s="5"/>
      <c r="S33" s="42"/>
      <c r="T33" s="42"/>
      <c r="U33" s="42"/>
      <c r="V33" s="147" t="s">
        <v>576</v>
      </c>
      <c r="W33" s="288">
        <f>M19/E47</f>
        <v>0.40378138176366912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553">
        <f t="shared" ref="D37:G40" si="2">D$18/D23</f>
        <v>3.1620526700243352</v>
      </c>
      <c r="E37" s="553">
        <f t="shared" si="2"/>
        <v>2.9424000564542334</v>
      </c>
      <c r="F37" s="553">
        <f t="shared" si="2"/>
        <v>2.5659911609656558</v>
      </c>
      <c r="G37" s="553">
        <f t="shared" si="2"/>
        <v>2.2128014874226967</v>
      </c>
      <c r="H37" s="17">
        <f t="shared" ref="H37:H41" si="3">H23</f>
        <v>5.2839276228291432E-2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553">
        <f t="shared" si="2"/>
        <v>4.925565476585744</v>
      </c>
      <c r="E38" s="553">
        <f t="shared" si="2"/>
        <v>4.5370192974808798</v>
      </c>
      <c r="F38" s="553">
        <f t="shared" si="2"/>
        <v>3.9348737497172284</v>
      </c>
      <c r="G38" s="553">
        <f t="shared" si="2"/>
        <v>3.3927175182471632</v>
      </c>
      <c r="H38" s="17">
        <f t="shared" si="3"/>
        <v>5.841502106121288E-2</v>
      </c>
      <c r="I38" s="17"/>
      <c r="J38" s="17"/>
      <c r="K38" s="17"/>
      <c r="L38" s="17"/>
      <c r="M38" s="17"/>
      <c r="N38" s="17"/>
      <c r="O38" s="5"/>
      <c r="Q38" s="5"/>
      <c r="R38" s="5"/>
      <c r="S38" s="42"/>
      <c r="T38" s="42"/>
      <c r="U38" s="42"/>
      <c r="V38" s="42"/>
      <c r="W38" s="42"/>
      <c r="X38" s="42"/>
      <c r="Y38" s="42"/>
      <c r="Z38" s="42"/>
      <c r="AA38" s="42"/>
    </row>
    <row r="39" spans="2:42">
      <c r="B39" s="5" t="s">
        <v>181</v>
      </c>
      <c r="C39" s="247"/>
      <c r="D39" s="553">
        <f t="shared" si="2"/>
        <v>9.3696948912200728</v>
      </c>
      <c r="E39" s="553">
        <f t="shared" si="2"/>
        <v>6.8594503743264976</v>
      </c>
      <c r="F39" s="553">
        <f t="shared" si="2"/>
        <v>5.8273489357381703</v>
      </c>
      <c r="G39" s="553">
        <f t="shared" si="2"/>
        <v>4.9434351005636117</v>
      </c>
      <c r="H39" s="17">
        <f t="shared" si="3"/>
        <v>0.15678345110080794</v>
      </c>
      <c r="I39" s="5"/>
      <c r="J39" s="5"/>
      <c r="K39" s="5"/>
      <c r="L39" s="5"/>
      <c r="M39" s="5"/>
      <c r="N39" s="5"/>
      <c r="O39" s="5"/>
      <c r="Q39" s="5"/>
      <c r="R39" s="5"/>
      <c r="S39" s="42"/>
      <c r="T39" s="42"/>
      <c r="U39" s="42"/>
      <c r="V39" s="42"/>
      <c r="W39" s="288"/>
      <c r="X39" s="288"/>
      <c r="Y39" s="42"/>
      <c r="Z39" s="42"/>
      <c r="AA39" s="42"/>
    </row>
    <row r="40" spans="2:42">
      <c r="B40" s="5" t="s">
        <v>461</v>
      </c>
      <c r="C40" s="247"/>
      <c r="D40" s="553">
        <f t="shared" si="2"/>
        <v>12.097154573967106</v>
      </c>
      <c r="E40" s="553">
        <f t="shared" si="2"/>
        <v>8.2078607710351097</v>
      </c>
      <c r="F40" s="553">
        <f t="shared" si="2"/>
        <v>6.4966647693535213</v>
      </c>
      <c r="G40" s="553">
        <f t="shared" si="2"/>
        <v>5.4854068423881115</v>
      </c>
      <c r="H40" s="17">
        <f t="shared" si="3"/>
        <v>0.21668454558802974</v>
      </c>
      <c r="I40" s="247"/>
      <c r="J40" s="259"/>
      <c r="K40" s="259"/>
      <c r="L40" s="259"/>
      <c r="M40" s="259"/>
      <c r="N40" s="259"/>
      <c r="O40" s="18"/>
      <c r="Q40" s="5"/>
      <c r="R40" s="5"/>
      <c r="S40" s="42"/>
      <c r="T40" s="42"/>
      <c r="U40" s="42"/>
      <c r="V40" s="42"/>
      <c r="W40" s="288"/>
      <c r="X40" s="288"/>
      <c r="Y40" s="288"/>
      <c r="Z40" s="288"/>
      <c r="AA40" s="42"/>
    </row>
    <row r="41" spans="2:42">
      <c r="B41" s="5" t="s">
        <v>525</v>
      </c>
      <c r="D41" s="553">
        <f>D18/D27</f>
        <v>1.2624385351891199</v>
      </c>
      <c r="E41" s="553">
        <f t="shared" ref="E41:G41" si="4">E18/E27</f>
        <v>1.2659168158606797</v>
      </c>
      <c r="F41" s="553">
        <f t="shared" si="4"/>
        <v>1.2021862019111522</v>
      </c>
      <c r="G41" s="553">
        <f t="shared" si="4"/>
        <v>1.0983319967969536</v>
      </c>
      <c r="H41" s="17">
        <f t="shared" si="3"/>
        <v>-2.0858634191997183E-2</v>
      </c>
      <c r="I41" s="248"/>
      <c r="J41" s="17"/>
      <c r="K41" s="17"/>
      <c r="L41" s="17"/>
      <c r="M41" s="17"/>
      <c r="N41" s="17"/>
      <c r="O41" s="5"/>
      <c r="Q41" s="5"/>
      <c r="R41" s="5"/>
      <c r="S41" s="42"/>
      <c r="T41" s="42"/>
      <c r="U41" s="42"/>
      <c r="V41" s="42"/>
      <c r="W41" s="288"/>
      <c r="X41" s="288"/>
      <c r="Y41" s="288"/>
      <c r="Z41" s="288"/>
      <c r="AA41" s="42"/>
    </row>
    <row r="42" spans="2:42">
      <c r="B42" s="5" t="s">
        <v>588</v>
      </c>
      <c r="D42" s="553">
        <f>IFERROR(D18/D28,"na")</f>
        <v>1.7465887360675805</v>
      </c>
      <c r="E42" s="553">
        <f>IFERROR(E18/E28,"na")</f>
        <v>1.85806888290891</v>
      </c>
      <c r="F42" s="553">
        <f>IFERROR(F18/F28,"na")</f>
        <v>1.9385154484894787</v>
      </c>
      <c r="G42" s="553">
        <f>IFERROR(G18/G28,"na")</f>
        <v>1.9579432137545243</v>
      </c>
      <c r="H42" s="17">
        <f>H28</f>
        <v>-0.10019158430344766</v>
      </c>
      <c r="I42" s="247"/>
      <c r="J42" s="5"/>
      <c r="K42" s="5"/>
      <c r="L42" s="5"/>
      <c r="M42" s="5"/>
      <c r="N42" s="5"/>
      <c r="O42" s="5"/>
      <c r="Q42" s="5"/>
      <c r="R42" s="5"/>
      <c r="S42" s="42"/>
      <c r="T42" s="42"/>
      <c r="U42" s="42"/>
      <c r="V42" s="42"/>
      <c r="W42" s="288"/>
      <c r="X42" s="288"/>
      <c r="Y42" s="288"/>
      <c r="Z42" s="288"/>
      <c r="AA42" s="42"/>
    </row>
    <row r="43" spans="2:42">
      <c r="B43" s="5" t="s">
        <v>470</v>
      </c>
      <c r="C43" s="247"/>
      <c r="D43" s="553">
        <f>L26/D29</f>
        <v>9.7516598460327248</v>
      </c>
      <c r="E43" s="553">
        <f>M26/E29</f>
        <v>6.513674430115775</v>
      </c>
      <c r="F43" s="553">
        <f>N26/F29</f>
        <v>5.5078171276714709</v>
      </c>
      <c r="G43" s="553">
        <f>O26/G29</f>
        <v>5.2100521422471591</v>
      </c>
      <c r="H43" s="17">
        <f>H29</f>
        <v>0.23024510578702229</v>
      </c>
      <c r="I43" s="247"/>
      <c r="J43" s="247"/>
      <c r="K43" s="247"/>
      <c r="L43" s="247"/>
      <c r="M43" s="247"/>
      <c r="N43" s="247"/>
      <c r="O43" s="18"/>
      <c r="Q43" s="5"/>
      <c r="R43" s="5"/>
      <c r="S43" s="42"/>
      <c r="T43" s="42"/>
      <c r="U43" s="42"/>
      <c r="V43" s="42"/>
      <c r="W43" s="325"/>
      <c r="X43" s="325"/>
      <c r="Y43" s="288"/>
      <c r="Z43" s="288"/>
      <c r="AA43" s="42"/>
    </row>
    <row r="44" spans="2:42">
      <c r="B44" s="5" t="s">
        <v>528</v>
      </c>
      <c r="C44" s="69"/>
      <c r="D44" s="553">
        <f>D11/D30</f>
        <v>16.675071508591021</v>
      </c>
      <c r="E44" s="553">
        <f>E11/E30</f>
        <v>12.851369251759737</v>
      </c>
      <c r="F44" s="553">
        <f>F11/F30</f>
        <v>10.194942053136637</v>
      </c>
      <c r="G44" s="553">
        <f>G11/G30</f>
        <v>7.7971320939080435</v>
      </c>
      <c r="H44" s="17">
        <f>H30</f>
        <v>0.28614645680803363</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2.3318770967946687E-2</v>
      </c>
      <c r="E45" s="248">
        <f>E31/E11</f>
        <v>3.253951189440675E-2</v>
      </c>
      <c r="F45" s="248">
        <f>F31/F11</f>
        <v>4.1886670508327097E-2</v>
      </c>
      <c r="G45" s="248">
        <f>G31/G11</f>
        <v>5.866090554375173E-2</v>
      </c>
      <c r="H45" s="17">
        <f>H31</f>
        <v>0.35766885870880061</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1.9474450052594346E-2</v>
      </c>
      <c r="E46" s="248">
        <f>(E31+E32)/E11</f>
        <v>2.8141352347676236E-2</v>
      </c>
      <c r="F46" s="248">
        <f>(F31+F32)/F11</f>
        <v>3.7027360214756909E-2</v>
      </c>
      <c r="G46" s="248">
        <f>(G31+G32)/G11</f>
        <v>5.3633582434496278E-2</v>
      </c>
      <c r="H46" s="279">
        <f>((G31+G32)/(D31+D32))^(1/3)-1</f>
        <v>0.3992759054986339</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0.10254664495981479</v>
      </c>
      <c r="E47" s="248">
        <f>1/E43</f>
        <v>0.1535231781583265</v>
      </c>
      <c r="F47" s="248">
        <f>1/F43</f>
        <v>0.18156013114087688</v>
      </c>
      <c r="G47" s="248">
        <f>1/G43</f>
        <v>0.19193665873153581</v>
      </c>
      <c r="H47" s="17">
        <f>H29</f>
        <v>0.23024510578702229</v>
      </c>
      <c r="I47" s="247"/>
      <c r="J47" s="248"/>
      <c r="K47" s="248"/>
      <c r="L47" s="248"/>
      <c r="M47" s="248"/>
      <c r="N47" s="248"/>
      <c r="O47" s="248"/>
      <c r="Q47" s="5"/>
      <c r="R47" s="5"/>
      <c r="S47" s="5"/>
      <c r="T47" s="5"/>
      <c r="U47" s="5"/>
      <c r="AA47" s="303"/>
      <c r="AB47" s="303"/>
    </row>
    <row r="48" spans="2:42">
      <c r="B48" s="5" t="s">
        <v>613</v>
      </c>
      <c r="C48" s="5"/>
      <c r="D48" s="305">
        <f>D31/D29</f>
        <v>0.22739672250695939</v>
      </c>
      <c r="E48" s="305">
        <f>E31/E29</f>
        <v>0.21195178659504538</v>
      </c>
      <c r="F48" s="305">
        <f>F31/F29</f>
        <v>0.23070412124689543</v>
      </c>
      <c r="G48" s="305">
        <f>G31/G29</f>
        <v>0.30562637659438197</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6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0">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982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154</v>
      </c>
      <c r="K7" s="306"/>
      <c r="L7" s="265" t="str">
        <f>L5</f>
        <v>2023E</v>
      </c>
      <c r="M7" s="265" t="str">
        <f t="shared" ref="M7:P7" si="1">M5</f>
        <v>2024E</v>
      </c>
      <c r="N7" s="265" t="str">
        <f t="shared" si="1"/>
        <v>2025E</v>
      </c>
      <c r="O7" s="265" t="str">
        <f t="shared" si="1"/>
        <v>2026E</v>
      </c>
      <c r="P7" s="265" t="str">
        <f t="shared" si="1"/>
        <v>23E-26E</v>
      </c>
    </row>
    <row r="8" spans="2:44" ht="12.6" thickTop="1">
      <c r="I8" s="5"/>
      <c r="J8" s="5"/>
      <c r="K8" s="5"/>
      <c r="L8" s="5"/>
      <c r="M8" s="5"/>
      <c r="N8" s="5"/>
      <c r="S8" s="88"/>
      <c r="T8" s="42"/>
      <c r="U8" s="42"/>
      <c r="V8" s="42"/>
      <c r="W8" s="42"/>
      <c r="X8" s="42"/>
      <c r="Y8" s="42"/>
      <c r="Z8" s="42"/>
      <c r="AA8" s="42"/>
    </row>
    <row r="9" spans="2:44">
      <c r="B9" s="41" t="s">
        <v>15</v>
      </c>
      <c r="C9" s="287">
        <f>Prices!C44</f>
        <v>2.14</v>
      </c>
      <c r="D9" s="531">
        <v>0</v>
      </c>
      <c r="E9" s="532">
        <v>0</v>
      </c>
      <c r="F9" s="532">
        <v>0</v>
      </c>
      <c r="G9" s="532">
        <v>0</v>
      </c>
      <c r="H9" s="249"/>
      <c r="I9" s="249"/>
      <c r="J9" s="5" t="s">
        <v>268</v>
      </c>
      <c r="L9" s="525">
        <f>'US OTHER'!D37</f>
        <v>2.0615992706049235</v>
      </c>
      <c r="M9" s="525">
        <f>'US OTHER'!E37</f>
        <v>2.0145901059151643</v>
      </c>
      <c r="N9" s="525">
        <f>'US OTHER'!F37</f>
        <v>1.9460103757669567</v>
      </c>
      <c r="O9" s="525">
        <f>'US OTHER'!G37</f>
        <v>1.8352364265652237</v>
      </c>
      <c r="P9" s="18">
        <f>'US OTHER'!H37</f>
        <v>6.8251004257615655E-3</v>
      </c>
      <c r="S9" s="88"/>
      <c r="T9" s="42"/>
      <c r="U9" s="42"/>
      <c r="V9" s="42"/>
      <c r="W9" s="42"/>
      <c r="X9" s="42"/>
      <c r="Y9" s="42"/>
      <c r="Z9" s="42"/>
      <c r="AA9" s="42"/>
    </row>
    <row r="10" spans="2:44">
      <c r="B10" s="5" t="s">
        <v>269</v>
      </c>
      <c r="C10" s="5"/>
      <c r="D10" s="527">
        <v>455.03575000000001</v>
      </c>
      <c r="E10" s="527">
        <v>455.15766199210321</v>
      </c>
      <c r="F10" s="527">
        <v>455.3747435519328</v>
      </c>
      <c r="G10" s="527">
        <v>455.59182511176243</v>
      </c>
      <c r="H10" s="247"/>
      <c r="I10" s="247"/>
      <c r="J10" s="5" t="s">
        <v>180</v>
      </c>
      <c r="L10" s="525">
        <f>'US OTHER'!D38</f>
        <v>6.419136047060916</v>
      </c>
      <c r="M10" s="525">
        <f>'US OTHER'!E38</f>
        <v>6.1617174775214849</v>
      </c>
      <c r="N10" s="525">
        <f>'US OTHER'!F38</f>
        <v>5.8157046048820016</v>
      </c>
      <c r="O10" s="525">
        <f>'US OTHER'!G38</f>
        <v>5.3383564537368979</v>
      </c>
      <c r="P10" s="18">
        <f>'US OTHER'!H38</f>
        <v>2.9926645487549974E-2</v>
      </c>
      <c r="S10" s="88"/>
      <c r="T10" s="42"/>
      <c r="U10" s="42"/>
      <c r="V10" s="42"/>
      <c r="W10" s="288"/>
      <c r="X10" s="288"/>
      <c r="Y10" s="288"/>
      <c r="Z10" s="288"/>
      <c r="AA10" s="42"/>
    </row>
    <row r="11" spans="2:44">
      <c r="B11" s="41" t="s">
        <v>437</v>
      </c>
      <c r="C11" s="5"/>
      <c r="D11" s="528">
        <f>$C$9*D10</f>
        <v>973.77650500000004</v>
      </c>
      <c r="E11" s="528">
        <f>$C$9*E10</f>
        <v>974.03739666310094</v>
      </c>
      <c r="F11" s="528">
        <f>$C$9*F10</f>
        <v>974.50195120113619</v>
      </c>
      <c r="G11" s="528">
        <f>$C$9*G10</f>
        <v>974.96650573917168</v>
      </c>
      <c r="H11" s="249"/>
      <c r="I11" s="249"/>
      <c r="J11" s="5" t="s">
        <v>181</v>
      </c>
      <c r="L11" s="525">
        <f>'US OTHER'!D39</f>
        <v>12.034441933121379</v>
      </c>
      <c r="M11" s="525">
        <f>'US OTHER'!E39</f>
        <v>10.557338294237372</v>
      </c>
      <c r="N11" s="525">
        <f>'US OTHER'!F39</f>
        <v>9.5336430529255392</v>
      </c>
      <c r="O11" s="525">
        <f>'US OTHER'!G39</f>
        <v>7.9150896964308144</v>
      </c>
      <c r="P11" s="18">
        <f>'US OTHER'!H39</f>
        <v>0.11371310161076686</v>
      </c>
      <c r="S11" s="88"/>
      <c r="T11" s="42"/>
      <c r="U11" s="42"/>
      <c r="V11" s="42"/>
      <c r="W11" s="288"/>
      <c r="X11" s="288"/>
      <c r="Y11" s="288"/>
      <c r="Z11" s="288"/>
      <c r="AA11" s="42"/>
    </row>
    <row r="12" spans="2:44">
      <c r="B12" s="5" t="s">
        <v>24</v>
      </c>
      <c r="C12" s="249"/>
      <c r="D12" s="529">
        <v>24422</v>
      </c>
      <c r="E12" s="529">
        <v>24411.807639729228</v>
      </c>
      <c r="F12" s="529">
        <v>24404.817845797144</v>
      </c>
      <c r="G12" s="529">
        <v>24280.934226984005</v>
      </c>
      <c r="H12" s="247"/>
      <c r="I12" s="247"/>
      <c r="J12" s="5" t="s">
        <v>461</v>
      </c>
      <c r="L12" s="525">
        <f>'US OTHER'!D40</f>
        <v>19.460370475479301</v>
      </c>
      <c r="M12" s="525">
        <f>'US OTHER'!E40</f>
        <v>15.799116916538814</v>
      </c>
      <c r="N12" s="525">
        <f>'US OTHER'!F40</f>
        <v>14.366667808632414</v>
      </c>
      <c r="O12" s="525">
        <f>'US OTHER'!G40</f>
        <v>11.869951475688792</v>
      </c>
      <c r="P12" s="18">
        <f>'US OTHER'!H40</f>
        <v>0.14204708718901382</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'US OTHER'!D41</f>
        <v>1.2036175965808336</v>
      </c>
      <c r="M13" s="525">
        <f>'US OTHER'!E41</f>
        <v>1.1592310186707702</v>
      </c>
      <c r="N13" s="525">
        <f>'US OTHER'!F41</f>
        <v>1.125914878616818</v>
      </c>
      <c r="O13" s="525">
        <f>'US OTHER'!G41</f>
        <v>1.0954740100112548</v>
      </c>
      <c r="P13" s="18">
        <f>'US OTHER'!H41</f>
        <v>-5.8597350806643966E-4</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'US OTHER'!D42</f>
        <v>3.5328918375024028</v>
      </c>
      <c r="M14" s="525">
        <f>'US OTHER'!E42</f>
        <v>3.4017377827100885</v>
      </c>
      <c r="N14" s="525">
        <f>'US OTHER'!F42</f>
        <v>3.3002217631142288</v>
      </c>
      <c r="O14" s="525">
        <f>'US OTHER'!G42</f>
        <v>3.257653737649747</v>
      </c>
      <c r="P14" s="18">
        <f>'US OTHER'!H42</f>
        <v>-4.9190074724069222E-3</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'US OTHER'!D43</f>
        <v>5.644822519442771</v>
      </c>
      <c r="M15" s="525">
        <f>'US OTHER'!E43</f>
        <v>4.6775450582156051</v>
      </c>
      <c r="N15" s="525">
        <f>'US OTHER'!F43</f>
        <v>4.2930779917194659</v>
      </c>
      <c r="O15" s="525">
        <f>'US OTHER'!G43</f>
        <v>3.6601872793786949</v>
      </c>
      <c r="P15" s="18">
        <f>'US OTHER'!H43</f>
        <v>8.0117819415815195E-2</v>
      </c>
      <c r="S15" s="88"/>
      <c r="T15" s="42"/>
      <c r="U15" s="42"/>
      <c r="V15" s="42"/>
      <c r="W15" s="42"/>
      <c r="X15" s="42"/>
      <c r="Y15" s="42"/>
      <c r="Z15" s="42"/>
      <c r="AA15" s="42"/>
    </row>
    <row r="16" spans="2:44">
      <c r="B16" s="5" t="s">
        <v>529</v>
      </c>
      <c r="C16" s="257"/>
      <c r="D16" s="529">
        <v>0</v>
      </c>
      <c r="E16" s="529">
        <v>0</v>
      </c>
      <c r="F16" s="529">
        <v>0</v>
      </c>
      <c r="G16" s="529">
        <v>0</v>
      </c>
      <c r="H16" s="247"/>
      <c r="I16" s="247"/>
      <c r="J16" s="5" t="s">
        <v>528</v>
      </c>
      <c r="L16" s="525">
        <f>'US OTHER'!D44</f>
        <v>11.589674186134612</v>
      </c>
      <c r="M16" s="525">
        <f>'US OTHER'!E44</f>
        <v>9.8176351313521053</v>
      </c>
      <c r="N16" s="525">
        <f>'US OTHER'!F44</f>
        <v>8.5897880374302709</v>
      </c>
      <c r="O16" s="525">
        <f>'US OTHER'!G44</f>
        <v>7.1736568667637073</v>
      </c>
      <c r="P16" s="18">
        <f>'US OTHER'!H44</f>
        <v>0.10233723564171293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18">
        <f>'US OTHER'!D45</f>
        <v>2.0337906612049358E-2</v>
      </c>
      <c r="M17" s="18">
        <f>'US OTHER'!E45</f>
        <v>2.2697199181179739E-2</v>
      </c>
      <c r="N17" s="18">
        <f>'US OTHER'!F45</f>
        <v>2.3716257475136997E-2</v>
      </c>
      <c r="O17" s="18">
        <f>'US OTHER'!G45</f>
        <v>2.5027193590269611E-2</v>
      </c>
      <c r="P17" s="18">
        <f>'US OTHER'!H45</f>
        <v>6.714297299340366E-3</v>
      </c>
      <c r="S17" s="88"/>
      <c r="T17" s="42"/>
      <c r="U17" s="42"/>
      <c r="V17" s="42"/>
      <c r="W17" s="42"/>
      <c r="X17" s="42"/>
      <c r="Y17" s="42"/>
      <c r="Z17" s="42"/>
      <c r="AA17" s="42"/>
    </row>
    <row r="18" spans="2:27" ht="12.6" thickBot="1">
      <c r="B18" s="41" t="s">
        <v>513</v>
      </c>
      <c r="C18" s="249"/>
      <c r="D18" s="530">
        <f>D11+D12+D13-D14+D15-D16-D17</f>
        <v>25395.776505000002</v>
      </c>
      <c r="E18" s="530">
        <f>E11+E12+E13-E14+E15-E16-E17</f>
        <v>25385.845036392329</v>
      </c>
      <c r="F18" s="530">
        <f>F11+F12+F13-F14+F15-F16-F17</f>
        <v>25379.319796998279</v>
      </c>
      <c r="G18" s="530">
        <f>G11+G12+G13-G14+G15-G16-G17</f>
        <v>25255.900732723177</v>
      </c>
      <c r="H18" s="276">
        <f>IF(D18=0,"nm",IF(G18=0,"nm",(G18/D18)^(1/3)-1))</f>
        <v>-1.8393263832103823E-3</v>
      </c>
      <c r="I18" s="254"/>
      <c r="J18" s="5" t="s">
        <v>36</v>
      </c>
      <c r="L18" s="18">
        <f>'US OTHER'!D46</f>
        <v>7.1702643846444009E-2</v>
      </c>
      <c r="M18" s="18">
        <f>'US OTHER'!E46</f>
        <v>0.12374018659128148</v>
      </c>
      <c r="N18" s="18">
        <f>'US OTHER'!F46</f>
        <v>0.13496323475757685</v>
      </c>
      <c r="O18" s="18">
        <f>'US OTHER'!G46</f>
        <v>0.20145357159966482</v>
      </c>
      <c r="P18" s="18">
        <f>'US OTHER'!H46</f>
        <v>0.3256153847966301</v>
      </c>
      <c r="S18" s="88"/>
      <c r="T18" s="42"/>
      <c r="U18" s="42"/>
      <c r="V18" s="42"/>
      <c r="W18" s="42"/>
      <c r="X18" s="42"/>
      <c r="Y18" s="42"/>
      <c r="Z18" s="42"/>
      <c r="AA18" s="42"/>
    </row>
    <row r="19" spans="2:27" ht="12.6" thickTop="1">
      <c r="B19" s="41"/>
      <c r="C19" s="249"/>
      <c r="D19" s="229"/>
      <c r="E19" s="229"/>
      <c r="F19" s="229"/>
      <c r="G19" s="229"/>
      <c r="H19" s="276"/>
      <c r="I19" s="254"/>
      <c r="J19" s="5" t="s">
        <v>576</v>
      </c>
      <c r="L19" s="18">
        <f>'US OTHER'!D47</f>
        <v>0.1771534882727748</v>
      </c>
      <c r="M19" s="18">
        <f>'US OTHER'!E47</f>
        <v>0.21378735801670312</v>
      </c>
      <c r="N19" s="18">
        <f>'US OTHER'!F47</f>
        <v>0.23293310811702245</v>
      </c>
      <c r="O19" s="18">
        <f>'US OTHER'!G47</f>
        <v>0.27321006376748752</v>
      </c>
      <c r="P19" s="18">
        <f>'US OTHER'!H47</f>
        <v>8.0117819415815195E-2</v>
      </c>
      <c r="S19" s="88"/>
      <c r="T19" s="42"/>
      <c r="U19" s="42"/>
      <c r="V19" s="42"/>
      <c r="W19" s="42"/>
      <c r="X19" s="42"/>
      <c r="Y19" s="42"/>
      <c r="Z19" s="42"/>
      <c r="AA19" s="42"/>
    </row>
    <row r="20" spans="2:27">
      <c r="H20" s="277"/>
      <c r="I20" s="17"/>
      <c r="J20" s="5" t="s">
        <v>599</v>
      </c>
      <c r="L20" s="548">
        <f>'US OTHER'!D48</f>
        <v>0.122956651873093</v>
      </c>
      <c r="M20" s="548">
        <f>'US OTHER'!E48</f>
        <v>0.11420338650121682</v>
      </c>
      <c r="N20" s="548">
        <f>'US OTHER'!F48</f>
        <v>0.10996826737203369</v>
      </c>
      <c r="O20" s="548">
        <f>'US OTHER'!G48</f>
        <v>9.9553686168744285E-2</v>
      </c>
      <c r="P20" s="18" t="str">
        <f>'US OTHER'!H48</f>
        <v>nm</v>
      </c>
      <c r="S20" s="88"/>
      <c r="T20" s="42"/>
      <c r="U20" s="42"/>
      <c r="V20" s="42"/>
      <c r="W20" s="42"/>
      <c r="X20" s="42"/>
      <c r="Y20" s="42"/>
      <c r="Z20" s="42"/>
      <c r="AA20" s="42"/>
    </row>
    <row r="21" spans="2:27" ht="12.6" thickBot="1">
      <c r="B21" s="306" t="s">
        <v>916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9647.6589999999997</v>
      </c>
      <c r="D23" s="529">
        <v>9237.0640000000003</v>
      </c>
      <c r="E23" s="529">
        <v>9060.7928862591543</v>
      </c>
      <c r="F23" s="529">
        <v>8933.0174601168565</v>
      </c>
      <c r="G23" s="529">
        <v>8902.5772635930134</v>
      </c>
      <c r="H23" s="279">
        <f t="shared" ref="H23:H33" si="3">IF(D23=0,"nm",IF(G23=0,"nm",(G23/D23)^(1/3)-1))</f>
        <v>-1.2219156094296912E-2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3866.5369999999998</v>
      </c>
      <c r="D24" s="529">
        <v>3608.8899999999994</v>
      </c>
      <c r="E24" s="529">
        <v>3539.991170617222</v>
      </c>
      <c r="F24" s="529">
        <v>3447.077196913614</v>
      </c>
      <c r="G24" s="529">
        <v>3444.2585439917548</v>
      </c>
      <c r="H24" s="279">
        <f t="shared" si="3"/>
        <v>-1.5443372733004446E-2</v>
      </c>
      <c r="I24" s="249"/>
      <c r="J24" s="17"/>
      <c r="K24" s="17"/>
      <c r="L24" s="17"/>
      <c r="M24" s="17"/>
      <c r="N24" s="17"/>
      <c r="O24" s="248"/>
      <c r="S24" s="88"/>
      <c r="T24" s="42"/>
      <c r="U24" s="42"/>
      <c r="V24" s="42"/>
      <c r="W24" s="42" t="s">
        <v>1464</v>
      </c>
      <c r="X24" s="42" t="s">
        <v>259</v>
      </c>
      <c r="Y24" s="42"/>
      <c r="Z24" s="42"/>
      <c r="AA24" s="42"/>
    </row>
    <row r="25" spans="2:27">
      <c r="B25" s="5" t="s">
        <v>179</v>
      </c>
      <c r="C25" s="544">
        <v>1952.2549999999999</v>
      </c>
      <c r="D25" s="529">
        <v>1904.0789999999995</v>
      </c>
      <c r="E25" s="529">
        <v>1891.1765127694252</v>
      </c>
      <c r="F25" s="529">
        <v>1938.2240251432581</v>
      </c>
      <c r="G25" s="529">
        <v>2057.0537850348023</v>
      </c>
      <c r="H25" s="279">
        <f t="shared" si="3"/>
        <v>2.6093401132669003E-2</v>
      </c>
      <c r="I25" s="248"/>
      <c r="J25" s="247" t="s">
        <v>10</v>
      </c>
      <c r="K25" s="247"/>
      <c r="L25" s="321">
        <v>0</v>
      </c>
      <c r="M25" s="321">
        <v>0</v>
      </c>
      <c r="N25" s="321">
        <v>0</v>
      </c>
      <c r="O25" s="321">
        <v>0</v>
      </c>
      <c r="P25" s="279" t="str">
        <f>IF(L25=0,"nm",IF(O25=0,"nm",(O25/L25)^(1/3)-1))</f>
        <v>nm</v>
      </c>
      <c r="S25" s="88"/>
      <c r="T25" s="42"/>
      <c r="U25" s="42"/>
      <c r="V25" s="147" t="s">
        <v>268</v>
      </c>
      <c r="W25" s="288">
        <f>D37/L9</f>
        <v>1.3335929527627335</v>
      </c>
      <c r="X25" s="288">
        <v>1</v>
      </c>
      <c r="Y25" s="42"/>
      <c r="Z25" s="42"/>
      <c r="AA25" s="42"/>
    </row>
    <row r="26" spans="2:27">
      <c r="B26" s="5" t="s">
        <v>581</v>
      </c>
      <c r="C26" s="544">
        <v>1268.9657500000001</v>
      </c>
      <c r="D26" s="529">
        <v>1237.6513499999996</v>
      </c>
      <c r="E26" s="529">
        <v>1229.2647333001264</v>
      </c>
      <c r="F26" s="529">
        <v>1259.8456163431179</v>
      </c>
      <c r="G26" s="529">
        <v>1337.0849602726216</v>
      </c>
      <c r="H26" s="279">
        <f t="shared" si="3"/>
        <v>2.6093401132669003E-2</v>
      </c>
      <c r="I26" s="249"/>
      <c r="J26" s="249" t="s">
        <v>11</v>
      </c>
      <c r="K26" s="249"/>
      <c r="L26" s="281">
        <f>D11+L25</f>
        <v>973.77650500000004</v>
      </c>
      <c r="M26" s="281">
        <f>E11+M25</f>
        <v>974.03739666310094</v>
      </c>
      <c r="N26" s="281">
        <f>F11+N25</f>
        <v>974.50195120113619</v>
      </c>
      <c r="O26" s="281">
        <f>G11+O25</f>
        <v>974.96650573917168</v>
      </c>
      <c r="P26" s="279">
        <f>IF(L26=0,"nm",IF(O26=0,"nm",(O26/L26)^(1/3)-1))</f>
        <v>4.0718320759514093E-4</v>
      </c>
      <c r="Q26" s="5"/>
      <c r="S26" s="88"/>
      <c r="T26" s="42"/>
      <c r="U26" s="42"/>
      <c r="V26" s="147" t="s">
        <v>180</v>
      </c>
      <c r="W26" s="288">
        <f t="shared" ref="W26:W33" si="5">D38/L10</f>
        <v>1.0962542027973432</v>
      </c>
      <c r="X26" s="288">
        <v>1</v>
      </c>
      <c r="Y26" s="42"/>
      <c r="Z26" s="42"/>
      <c r="AA26" s="42"/>
    </row>
    <row r="27" spans="2:27">
      <c r="B27" s="5" t="s">
        <v>582</v>
      </c>
      <c r="C27" s="545">
        <v>23736.088</v>
      </c>
      <c r="D27" s="529">
        <v>23996.330982668293</v>
      </c>
      <c r="E27" s="529">
        <v>23871.18548576182</v>
      </c>
      <c r="F27" s="529">
        <v>23692.035679722274</v>
      </c>
      <c r="G27" s="529">
        <v>23414.209617491488</v>
      </c>
      <c r="H27" s="279">
        <f t="shared" si="3"/>
        <v>-8.15253841910768E-3</v>
      </c>
      <c r="I27" s="249"/>
      <c r="J27" s="248"/>
      <c r="K27" s="248"/>
      <c r="L27" s="248"/>
      <c r="M27" s="248"/>
      <c r="N27" s="248"/>
      <c r="O27" s="248"/>
      <c r="Q27" s="41"/>
      <c r="S27" s="88"/>
      <c r="T27" s="42"/>
      <c r="U27" s="42"/>
      <c r="V27" s="147" t="s">
        <v>181</v>
      </c>
      <c r="W27" s="288">
        <f t="shared" si="5"/>
        <v>1.1082827595632041</v>
      </c>
      <c r="X27" s="288">
        <v>1</v>
      </c>
      <c r="Y27" s="42"/>
      <c r="Z27" s="42"/>
      <c r="AA27" s="42"/>
    </row>
    <row r="28" spans="2:27" ht="12.6" thickBot="1">
      <c r="B28" s="5" t="s">
        <v>587</v>
      </c>
      <c r="C28" s="544">
        <v>7500.78</v>
      </c>
      <c r="D28" s="529">
        <v>7989.4529999999995</v>
      </c>
      <c r="E28" s="529">
        <v>7994.4244654945869</v>
      </c>
      <c r="F28" s="529">
        <v>7872.933446970017</v>
      </c>
      <c r="G28" s="529">
        <v>7654.1079587658405</v>
      </c>
      <c r="H28" s="279">
        <f t="shared" si="3"/>
        <v>-1.41916045432805E-2</v>
      </c>
      <c r="I28" s="248"/>
      <c r="J28" s="306" t="s">
        <v>1352</v>
      </c>
      <c r="K28" s="306"/>
      <c r="L28" s="306"/>
      <c r="M28" s="306"/>
      <c r="N28" s="266"/>
      <c r="O28" s="266"/>
      <c r="P28" s="266"/>
      <c r="Q28" s="5"/>
      <c r="S28" s="88"/>
      <c r="T28" s="42"/>
      <c r="U28" s="42"/>
      <c r="V28" s="147" t="s">
        <v>461</v>
      </c>
      <c r="W28" s="288">
        <f t="shared" si="5"/>
        <v>1.0544162070096936</v>
      </c>
      <c r="X28" s="288">
        <v>1</v>
      </c>
      <c r="Y28" s="42"/>
      <c r="Z28" s="42"/>
      <c r="AA28" s="42"/>
    </row>
    <row r="29" spans="2:27" ht="12.6" thickTop="1">
      <c r="B29" s="5" t="s">
        <v>583</v>
      </c>
      <c r="C29" s="544">
        <v>344.22399999999993</v>
      </c>
      <c r="D29" s="529">
        <v>255.33699999999976</v>
      </c>
      <c r="E29" s="529">
        <v>-62.413402130286158</v>
      </c>
      <c r="F29" s="529">
        <v>6.8422064171072634</v>
      </c>
      <c r="G29" s="529">
        <v>122.39424478652722</v>
      </c>
      <c r="H29" s="279">
        <f t="shared" si="3"/>
        <v>-0.21738335246278884</v>
      </c>
      <c r="I29" s="252"/>
      <c r="J29" s="249"/>
      <c r="K29" s="249"/>
      <c r="L29" s="249"/>
      <c r="M29" s="249"/>
      <c r="N29" s="249"/>
      <c r="O29" s="251"/>
      <c r="Q29" s="5"/>
      <c r="S29" s="88"/>
      <c r="T29" s="42"/>
      <c r="U29" s="42"/>
      <c r="V29" s="147" t="s">
        <v>525</v>
      </c>
      <c r="W29" s="288">
        <f t="shared" si="5"/>
        <v>0.87928188212358871</v>
      </c>
      <c r="X29" s="288">
        <v>1</v>
      </c>
      <c r="Y29" s="42"/>
      <c r="Z29" s="42"/>
      <c r="AA29" s="42"/>
    </row>
    <row r="30" spans="2:27">
      <c r="B30" s="5" t="s">
        <v>584</v>
      </c>
      <c r="C30" s="545">
        <v>484.83299999999969</v>
      </c>
      <c r="D30" s="529">
        <v>315.85099999999977</v>
      </c>
      <c r="E30" s="529">
        <v>-57.441936635700308</v>
      </c>
      <c r="F30" s="529">
        <v>-114.6488121074627</v>
      </c>
      <c r="G30" s="529">
        <v>-96.431243417648744</v>
      </c>
      <c r="H30" s="279">
        <f t="shared" si="3"/>
        <v>-1.6733566758064373</v>
      </c>
      <c r="I30" s="254"/>
      <c r="J30" s="248"/>
      <c r="K30" s="248"/>
      <c r="L30" s="248"/>
      <c r="M30" s="248"/>
      <c r="N30" s="248"/>
      <c r="O30" s="5"/>
      <c r="Q30" s="5"/>
      <c r="S30" s="88"/>
      <c r="T30" s="42"/>
      <c r="U30" s="42"/>
      <c r="V30" s="147" t="s">
        <v>588</v>
      </c>
      <c r="W30" s="288">
        <f t="shared" si="5"/>
        <v>0.89973395133780021</v>
      </c>
      <c r="X30" s="288">
        <v>1</v>
      </c>
      <c r="Y30" s="42"/>
      <c r="Z30" s="42"/>
      <c r="AA30" s="42"/>
    </row>
    <row r="31" spans="2:27">
      <c r="B31" s="5" t="s">
        <v>585</v>
      </c>
      <c r="C31" s="545">
        <v>0</v>
      </c>
      <c r="D31" s="529">
        <v>0</v>
      </c>
      <c r="E31" s="529">
        <v>0</v>
      </c>
      <c r="F31" s="529">
        <v>0</v>
      </c>
      <c r="G31" s="529">
        <v>0</v>
      </c>
      <c r="H31" s="279" t="str">
        <f t="shared" si="3"/>
        <v>nm</v>
      </c>
      <c r="I31" s="254"/>
      <c r="J31" s="252"/>
      <c r="K31" s="252"/>
      <c r="L31" s="252"/>
      <c r="M31" s="252"/>
      <c r="N31" s="252"/>
      <c r="O31" s="5"/>
      <c r="Q31" s="5"/>
      <c r="S31" s="88"/>
      <c r="T31" s="42"/>
      <c r="U31" s="42"/>
      <c r="V31" s="147" t="s">
        <v>470</v>
      </c>
      <c r="W31" s="288">
        <f t="shared" si="5"/>
        <v>0.67560872360379143</v>
      </c>
      <c r="X31" s="288">
        <v>1</v>
      </c>
      <c r="Y31" s="42"/>
      <c r="Z31" s="42"/>
      <c r="AA31" s="42"/>
    </row>
    <row r="32" spans="2:27">
      <c r="B32" s="5" t="s">
        <v>601</v>
      </c>
      <c r="C32" s="546">
        <v>0</v>
      </c>
      <c r="D32" s="529">
        <v>0</v>
      </c>
      <c r="E32" s="529">
        <v>0</v>
      </c>
      <c r="F32" s="529">
        <v>0</v>
      </c>
      <c r="G32" s="529">
        <v>0</v>
      </c>
      <c r="H32" s="279" t="str">
        <f t="shared" si="3"/>
        <v>nm</v>
      </c>
      <c r="I32" s="254"/>
      <c r="J32" s="254"/>
      <c r="K32" s="254"/>
      <c r="L32" s="254"/>
      <c r="M32" s="254"/>
      <c r="N32" s="254"/>
      <c r="O32" s="251"/>
      <c r="Q32" s="5"/>
      <c r="S32" s="88"/>
      <c r="T32" s="42"/>
      <c r="U32" s="42"/>
      <c r="V32" s="147" t="s">
        <v>528</v>
      </c>
      <c r="W32" s="288">
        <f t="shared" si="5"/>
        <v>0.26601480538879524</v>
      </c>
      <c r="X32" s="288">
        <v>1</v>
      </c>
      <c r="Y32" s="42"/>
      <c r="Z32" s="42"/>
      <c r="AA32" s="42"/>
    </row>
    <row r="33" spans="2:27">
      <c r="B33" s="5" t="s">
        <v>5</v>
      </c>
      <c r="C33" s="545">
        <v>-1331.636</v>
      </c>
      <c r="D33" s="529">
        <v>-1639.12</v>
      </c>
      <c r="E33" s="529">
        <v>-1714.8999181300001</v>
      </c>
      <c r="F33" s="529">
        <v>-1705.5770168399999</v>
      </c>
      <c r="G33" s="529">
        <v>-1703.2695168400001</v>
      </c>
      <c r="H33" s="279">
        <f t="shared" si="3"/>
        <v>1.2878940544143846E-2</v>
      </c>
      <c r="I33" s="5"/>
      <c r="J33" s="254"/>
      <c r="K33" s="254"/>
      <c r="L33" s="254"/>
      <c r="M33" s="254"/>
      <c r="N33" s="254"/>
      <c r="O33" s="251"/>
      <c r="Q33" s="5"/>
      <c r="S33" s="88"/>
      <c r="T33" s="42"/>
      <c r="U33" s="42"/>
      <c r="V33" s="147" t="s">
        <v>575</v>
      </c>
      <c r="W33" s="288">
        <f t="shared" si="5"/>
        <v>0</v>
      </c>
      <c r="X33" s="288">
        <v>1</v>
      </c>
      <c r="Y33" s="42"/>
      <c r="Z33" s="42"/>
      <c r="AA33" s="42"/>
    </row>
    <row r="34" spans="2:27">
      <c r="H34" s="277"/>
      <c r="I34" s="49"/>
      <c r="J34" s="254"/>
      <c r="K34" s="254"/>
      <c r="L34" s="254"/>
      <c r="M34" s="254"/>
      <c r="N34" s="254"/>
      <c r="O34" s="251"/>
      <c r="Q34" s="5"/>
      <c r="S34" s="88"/>
      <c r="T34" s="42"/>
      <c r="U34" s="42"/>
      <c r="V34" s="147" t="s">
        <v>576</v>
      </c>
      <c r="W34" s="288">
        <f>D47/L19</f>
        <v>1.480146666351287</v>
      </c>
      <c r="X34" s="288">
        <v>1</v>
      </c>
      <c r="Y34" s="288"/>
      <c r="Z34" s="288"/>
      <c r="AA34" s="42"/>
    </row>
    <row r="35" spans="2:27" ht="12.6" thickBot="1">
      <c r="B35" s="306" t="s">
        <v>701</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288"/>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 t="shared" ref="D37:G41" si="7">D$18/D23</f>
        <v>2.7493342586995175</v>
      </c>
      <c r="E37" s="525">
        <f t="shared" si="7"/>
        <v>2.8017244577889415</v>
      </c>
      <c r="F37" s="525">
        <f t="shared" si="7"/>
        <v>2.8410690911899641</v>
      </c>
      <c r="G37" s="525">
        <f t="shared" si="7"/>
        <v>2.8369201395203714</v>
      </c>
      <c r="H37" s="17">
        <f t="shared" ref="H37:H45" si="8">H23</f>
        <v>-1.2219156094296912E-2</v>
      </c>
      <c r="I37" s="5"/>
      <c r="J37" s="259"/>
      <c r="K37" s="259"/>
      <c r="L37" s="259"/>
      <c r="M37" s="259"/>
      <c r="N37" s="259"/>
      <c r="O37" s="18"/>
      <c r="Q37" s="5"/>
      <c r="R37" s="5"/>
      <c r="S37" s="42"/>
      <c r="T37" s="42"/>
      <c r="U37" s="42"/>
      <c r="V37" s="42"/>
      <c r="W37" s="42"/>
      <c r="X37" s="42"/>
      <c r="Y37" s="42"/>
      <c r="Z37" s="42"/>
      <c r="AA37" s="42"/>
    </row>
    <row r="38" spans="2:27">
      <c r="B38" s="5" t="s">
        <v>180</v>
      </c>
      <c r="C38" s="247"/>
      <c r="D38" s="525">
        <f t="shared" si="7"/>
        <v>7.0370048699184533</v>
      </c>
      <c r="E38" s="525">
        <f t="shared" si="7"/>
        <v>7.1711605517835606</v>
      </c>
      <c r="F38" s="525">
        <f t="shared" si="7"/>
        <v>7.3625620626430957</v>
      </c>
      <c r="G38" s="525">
        <f t="shared" si="7"/>
        <v>7.3327540340373583</v>
      </c>
      <c r="H38" s="17">
        <f t="shared" si="8"/>
        <v>-1.5443372733004446E-2</v>
      </c>
      <c r="I38" s="259"/>
      <c r="J38" s="17"/>
      <c r="K38" s="17"/>
      <c r="L38" s="17"/>
      <c r="M38" s="17"/>
      <c r="N38" s="17"/>
      <c r="O38" s="5"/>
      <c r="Q38" s="5"/>
      <c r="R38" s="5"/>
      <c r="S38" s="42"/>
      <c r="T38" s="42"/>
      <c r="U38" s="42"/>
      <c r="V38" s="42"/>
      <c r="W38" s="42"/>
      <c r="X38" s="42"/>
      <c r="Y38" s="42"/>
      <c r="Z38" s="42"/>
      <c r="AA38" s="42"/>
    </row>
    <row r="39" spans="2:27">
      <c r="B39" s="5" t="s">
        <v>181</v>
      </c>
      <c r="C39" s="247"/>
      <c r="D39" s="525">
        <f t="shared" si="7"/>
        <v>13.337564515442903</v>
      </c>
      <c r="E39" s="525">
        <f t="shared" si="7"/>
        <v>13.423308117980739</v>
      </c>
      <c r="F39" s="525">
        <f t="shared" si="7"/>
        <v>13.094110622801944</v>
      </c>
      <c r="G39" s="525">
        <f t="shared" si="7"/>
        <v>12.277705578950568</v>
      </c>
      <c r="H39" s="17">
        <f t="shared" si="8"/>
        <v>2.6093401132669003E-2</v>
      </c>
      <c r="I39" s="17"/>
      <c r="J39" s="5"/>
      <c r="K39" s="5"/>
      <c r="L39" s="5"/>
      <c r="M39" s="5"/>
      <c r="N39" s="5"/>
      <c r="O39" s="5"/>
      <c r="Q39" s="5"/>
      <c r="R39" s="5"/>
      <c r="S39" s="42"/>
      <c r="T39" s="42"/>
      <c r="U39" s="42"/>
      <c r="V39" s="42"/>
      <c r="W39" s="42"/>
      <c r="X39" s="42"/>
      <c r="Y39" s="42"/>
      <c r="Z39" s="42"/>
      <c r="AA39" s="42"/>
    </row>
    <row r="40" spans="2:27">
      <c r="B40" s="5" t="s">
        <v>461</v>
      </c>
      <c r="C40" s="247"/>
      <c r="D40" s="525">
        <f t="shared" si="7"/>
        <v>20.519330023758314</v>
      </c>
      <c r="E40" s="525">
        <f t="shared" si="7"/>
        <v>20.651243258431904</v>
      </c>
      <c r="F40" s="525">
        <f t="shared" si="7"/>
        <v>20.144785573541451</v>
      </c>
      <c r="G40" s="525">
        <f t="shared" si="7"/>
        <v>18.888777813770105</v>
      </c>
      <c r="H40" s="17">
        <f t="shared" si="8"/>
        <v>2.6093401132669003E-2</v>
      </c>
      <c r="I40" s="5"/>
      <c r="J40" s="259"/>
      <c r="K40" s="259"/>
      <c r="L40" s="259"/>
      <c r="M40" s="259"/>
      <c r="N40" s="259"/>
      <c r="O40" s="18"/>
      <c r="Q40" s="5"/>
      <c r="R40" s="5"/>
      <c r="S40" s="42"/>
      <c r="T40" s="42"/>
      <c r="U40" s="42"/>
      <c r="V40" s="42"/>
      <c r="W40" s="288"/>
      <c r="X40" s="288"/>
      <c r="Y40" s="42"/>
      <c r="Z40" s="42"/>
      <c r="AA40" s="42"/>
    </row>
    <row r="41" spans="2:27">
      <c r="B41" s="5" t="s">
        <v>525</v>
      </c>
      <c r="C41" s="247"/>
      <c r="D41" s="525">
        <f t="shared" si="7"/>
        <v>1.0583191456786656</v>
      </c>
      <c r="E41" s="525">
        <f t="shared" si="7"/>
        <v>1.0634513753635713</v>
      </c>
      <c r="F41" s="525">
        <f t="shared" si="7"/>
        <v>1.0712173550675568</v>
      </c>
      <c r="G41" s="525">
        <f t="shared" si="7"/>
        <v>1.0786569841698121</v>
      </c>
      <c r="H41" s="17">
        <f t="shared" si="8"/>
        <v>-8.15253841910768E-3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3.1786627326050985</v>
      </c>
      <c r="E42" s="525">
        <f>E18/E28</f>
        <v>3.1754437290592121</v>
      </c>
      <c r="F42" s="525">
        <f>F18/F28</f>
        <v>3.2236167075393967</v>
      </c>
      <c r="G42" s="525">
        <f>G18/G28</f>
        <v>3.2996530580417205</v>
      </c>
      <c r="H42" s="17">
        <f t="shared" si="8"/>
        <v>-1.41916045432805E-2</v>
      </c>
      <c r="I42" s="248"/>
      <c r="J42" s="5"/>
      <c r="K42" s="5"/>
      <c r="L42" s="5"/>
      <c r="M42" s="5"/>
      <c r="N42" s="5"/>
      <c r="O42" s="5"/>
      <c r="Q42" s="5"/>
      <c r="R42" s="5"/>
      <c r="S42" s="42"/>
      <c r="T42" s="42"/>
      <c r="U42" s="42"/>
      <c r="V42" s="42"/>
      <c r="W42" s="288"/>
      <c r="X42" s="288"/>
      <c r="Y42" s="288"/>
      <c r="Z42" s="288"/>
      <c r="AA42" s="42"/>
    </row>
    <row r="43" spans="2:27">
      <c r="B43" s="5" t="s">
        <v>470</v>
      </c>
      <c r="C43" s="247"/>
      <c r="D43" s="525">
        <f>L26/D29</f>
        <v>3.8136913373306687</v>
      </c>
      <c r="E43" s="525">
        <f>M26/E29</f>
        <v>-15.606221795598103</v>
      </c>
      <c r="F43" s="525">
        <f>N26/F29</f>
        <v>142.42510263423688</v>
      </c>
      <c r="G43" s="525">
        <f>O26/G29</f>
        <v>7.9657871776540672</v>
      </c>
      <c r="H43" s="17">
        <f t="shared" si="8"/>
        <v>-0.21738335246278884</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3.0830249231441429</v>
      </c>
      <c r="E44" s="525">
        <f>E11/E30</f>
        <v>-16.956903853024592</v>
      </c>
      <c r="F44" s="525">
        <f>F11/F30</f>
        <v>-8.4998870314305162</v>
      </c>
      <c r="G44" s="525">
        <f>G11/G30</f>
        <v>-10.110483606610162</v>
      </c>
      <c r="H44" s="17">
        <f t="shared" si="8"/>
        <v>-1.6733566758064373</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0.26221314509944943</v>
      </c>
      <c r="E47" s="248">
        <f>1/E43</f>
        <v>-6.4077008073924746E-2</v>
      </c>
      <c r="F47" s="248">
        <f>1/F43</f>
        <v>7.0212341890889037E-3</v>
      </c>
      <c r="G47" s="248">
        <f>1/G43</f>
        <v>0.12553687133460439</v>
      </c>
      <c r="H47" s="17">
        <f>H29</f>
        <v>-0.21738335246278884</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30">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312</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90</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518</v>
      </c>
      <c r="C11" s="271"/>
      <c r="D11" s="271">
        <f>'EM INCUMB'!D11+'EM CELLULAR'!D11+'EM ALTNET &amp; CABLE'!D11</f>
        <v>733921.79511127213</v>
      </c>
      <c r="E11" s="271">
        <f>'EM INCUMB'!E11+'EM CELLULAR'!E11+'EM ALTNET &amp; CABLE'!E11</f>
        <v>735163.61402507394</v>
      </c>
      <c r="F11" s="271">
        <f>'EM INCUMB'!F11+'EM CELLULAR'!F11+'EM ALTNET &amp; CABLE'!F11</f>
        <v>733214.9011018679</v>
      </c>
      <c r="G11" s="271">
        <f>'EM INCUMB'!G11+'EM CELLULAR'!G11+'EM ALTNET &amp; CABLE'!G11</f>
        <v>730739.71234786022</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28"/>
      <c r="D12" s="228">
        <f>'EM INCUMB'!D12+'EM CELLULAR'!D12+'EM ALTNET &amp; CABLE'!D12</f>
        <v>172493.49489291219</v>
      </c>
      <c r="E12" s="228">
        <f>'EM INCUMB'!E12+'EM CELLULAR'!E12+'EM ALTNET &amp; CABLE'!E12</f>
        <v>154349.92488733554</v>
      </c>
      <c r="F12" s="228">
        <f>'EM INCUMB'!F12+'EM CELLULAR'!F12+'EM ALTNET &amp; CABLE'!F12</f>
        <v>134027.13088806215</v>
      </c>
      <c r="G12" s="228">
        <f>'EM INCUMB'!G12+'EM CELLULAR'!G12+'EM ALTNET &amp; CABLE'!G12</f>
        <v>111779.34764764356</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28"/>
      <c r="D13" s="228">
        <f>'EM INCUMB'!D13+'EM CELLULAR'!D13+'EM ALTNET &amp; CABLE'!D13</f>
        <v>19690.177779516322</v>
      </c>
      <c r="E13" s="228">
        <f>'EM INCUMB'!E13+'EM CELLULAR'!E13+'EM ALTNET &amp; CABLE'!E13</f>
        <v>19255.976183600433</v>
      </c>
      <c r="F13" s="228">
        <f>'EM INCUMB'!F13+'EM CELLULAR'!F13+'EM ALTNET &amp; CABLE'!F13</f>
        <v>18791.806911262523</v>
      </c>
      <c r="G13" s="228">
        <f>'EM INCUMB'!G13+'EM CELLULAR'!G13+'EM ALTNET &amp; CABLE'!G13</f>
        <v>18295.129090511782</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28"/>
      <c r="D14" s="228">
        <f>'EM INCUMB'!D14+'EM CELLULAR'!D14+'EM ALTNET &amp; CABLE'!D14</f>
        <v>48573.040074922537</v>
      </c>
      <c r="E14" s="228">
        <f>'EM INCUMB'!E14+'EM CELLULAR'!E14+'EM ALTNET &amp; CABLE'!E14</f>
        <v>47077.50385089351</v>
      </c>
      <c r="F14" s="228">
        <f>'EM INCUMB'!F14+'EM CELLULAR'!F14+'EM ALTNET &amp; CABLE'!F14</f>
        <v>48257.773432361304</v>
      </c>
      <c r="G14" s="228">
        <f>'EM INCUMB'!G14+'EM CELLULAR'!G14+'EM ALTNET &amp; CABLE'!G14</f>
        <v>48256.251441428132</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28"/>
      <c r="D15" s="228">
        <f>'EM INCUMB'!D15+'EM CELLULAR'!D15+'EM ALTNET &amp; CABLE'!D15</f>
        <v>37269.451770636631</v>
      </c>
      <c r="E15" s="228">
        <f>'EM INCUMB'!E15+'EM CELLULAR'!E15+'EM ALTNET &amp; CABLE'!E15</f>
        <v>37306.200176317623</v>
      </c>
      <c r="F15" s="228">
        <f>'EM INCUMB'!F15+'EM CELLULAR'!F15+'EM ALTNET &amp; CABLE'!F15</f>
        <v>37323.217720461689</v>
      </c>
      <c r="G15" s="228">
        <f>'EM INCUMB'!G15+'EM CELLULAR'!G15+'EM ALTNET &amp; CABLE'!G15</f>
        <v>37363.747089333461</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28"/>
      <c r="D16" s="228">
        <f>'EM INCUMB'!D16+'EM CELLULAR'!D16+'EM ALTNET &amp; CABLE'!D16</f>
        <v>19804.975519889627</v>
      </c>
      <c r="E16" s="228">
        <f>'EM INCUMB'!E16+'EM CELLULAR'!E16+'EM ALTNET &amp; CABLE'!E16</f>
        <v>26453.959354514103</v>
      </c>
      <c r="F16" s="228">
        <f>'EM INCUMB'!F16+'EM CELLULAR'!F16+'EM ALTNET &amp; CABLE'!F16</f>
        <v>56427.426188219411</v>
      </c>
      <c r="G16" s="228">
        <f>'EM INCUMB'!G16+'EM CELLULAR'!G16+'EM ALTNET &amp; CABLE'!G16</f>
        <v>89447.479161219526</v>
      </c>
      <c r="H16" s="247"/>
      <c r="I16" s="247"/>
      <c r="J16" s="5" t="s">
        <v>528</v>
      </c>
      <c r="L16" s="64">
        <f>'AGG DM'!D44</f>
        <v>15.638044643718967</v>
      </c>
      <c r="M16" s="64">
        <f>'AGG DM'!E44</f>
        <v>14.220962153693332</v>
      </c>
      <c r="N16" s="64">
        <f>'AGG DM'!F44</f>
        <v>12.502249176356969</v>
      </c>
      <c r="O16" s="64">
        <f>'AGG DM'!G44</f>
        <v>11.233113481631298</v>
      </c>
      <c r="P16" s="17">
        <f>'AGG DM'!H44</f>
        <v>8.8584802895584236E-2</v>
      </c>
      <c r="S16" s="88"/>
      <c r="T16" s="88"/>
      <c r="U16" s="88"/>
      <c r="V16" s="42"/>
      <c r="W16" s="42"/>
      <c r="X16" s="42"/>
      <c r="Y16" s="42"/>
      <c r="Z16" s="42"/>
      <c r="AA16" s="42"/>
    </row>
    <row r="17" spans="2:27">
      <c r="B17" s="5" t="s">
        <v>6</v>
      </c>
      <c r="C17" s="228"/>
      <c r="D17" s="228">
        <f>'EM INCUMB'!D17+'EM CELLULAR'!D17+'EM ALTNET &amp; CABLE'!D17</f>
        <v>1320.3670820188868</v>
      </c>
      <c r="E17" s="228">
        <f>'EM INCUMB'!E17+'EM CELLULAR'!E17+'EM ALTNET &amp; CABLE'!E17</f>
        <v>1234.1266886745852</v>
      </c>
      <c r="F17" s="228">
        <f>'EM INCUMB'!F17+'EM CELLULAR'!F17+'EM ALTNET &amp; CABLE'!F17</f>
        <v>1227.6800129446028</v>
      </c>
      <c r="G17" s="228">
        <f>'EM INCUMB'!G17+'EM CELLULAR'!G17+'EM ALTNET &amp; CABLE'!G17</f>
        <v>1304.6118512150549</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88</v>
      </c>
      <c r="C18" s="229"/>
      <c r="D18" s="275">
        <f>'EM INCUMB'!D18+'EM CELLULAR'!D18+'EM ALTNET &amp; CABLE'!D18</f>
        <v>892602.24018302467</v>
      </c>
      <c r="E18" s="275">
        <f>'EM INCUMB'!E18+'EM CELLULAR'!E18+'EM ALTNET &amp; CABLE'!E18</f>
        <v>870546.30186373508</v>
      </c>
      <c r="F18" s="275">
        <f>'EM INCUMB'!F18+'EM CELLULAR'!F18+'EM ALTNET &amp; CABLE'!F18</f>
        <v>819371.42507335707</v>
      </c>
      <c r="G18" s="275">
        <f>'EM INCUMB'!G18+'EM CELLULAR'!G18+'EM ALTNET &amp; CABLE'!G18</f>
        <v>761435.88628107274</v>
      </c>
      <c r="H18" s="276">
        <f>IF(D18=0,"nm",IF(G18=0,"nm",(G18/D18)^(1/3)-1))</f>
        <v>-5.1599466600908972E-2</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88"/>
      <c r="T18" s="88"/>
      <c r="U18" s="88"/>
      <c r="V18" s="42"/>
      <c r="W18" s="42"/>
      <c r="X18" s="42"/>
      <c r="Y18" s="42"/>
      <c r="Z18" s="42"/>
      <c r="AA18" s="42"/>
    </row>
    <row r="19" spans="2:27" ht="12.6" thickTop="1">
      <c r="B19" s="41"/>
      <c r="C19" s="22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'W.EUR AGG'!H47</f>
        <v>0.15095479305648385</v>
      </c>
      <c r="S19" s="88"/>
      <c r="T19" s="88"/>
      <c r="U19" s="88"/>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'W.EUR AGG'!H48</f>
        <v>nm</v>
      </c>
      <c r="S20" s="42"/>
      <c r="T20" s="42"/>
      <c r="U20" s="42"/>
      <c r="V20" s="42"/>
      <c r="W20" s="42"/>
      <c r="X20" s="42"/>
      <c r="Y20" s="42"/>
      <c r="Z20" s="42"/>
      <c r="AA20" s="42"/>
    </row>
    <row r="21" spans="2:27" ht="12.6" thickBot="1">
      <c r="B21" s="306" t="s">
        <v>303</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5">
        <f>'EM INCUMB'!C23+'EM CELLULAR'!C23+'EM ALTNET &amp; CABLE'!C23</f>
        <v>476446.30572822434</v>
      </c>
      <c r="D23" s="228">
        <f>'EM INCUMB'!D23+'EM CELLULAR'!D23+'EM ALTNET &amp; CABLE'!D23</f>
        <v>508069.55198970478</v>
      </c>
      <c r="E23" s="228">
        <f>'EM INCUMB'!E23+'EM CELLULAR'!E23+'EM ALTNET &amp; CABLE'!E23</f>
        <v>525771.39467366866</v>
      </c>
      <c r="F23" s="228">
        <f>'EM INCUMB'!F23+'EM CELLULAR'!F23+'EM ALTNET &amp; CABLE'!F23</f>
        <v>551099.75635245547</v>
      </c>
      <c r="G23" s="228">
        <f>'EM INCUMB'!G23+'EM CELLULAR'!G23+'EM ALTNET &amp; CABLE'!G23</f>
        <v>575206.42874375009</v>
      </c>
      <c r="H23" s="279">
        <f t="shared" ref="H23:H33" si="0">IF(D23=0,"nm",IF(G23=0,"nm",(G23/D23)^(1/3)-1))</f>
        <v>4.2237881472639405E-2</v>
      </c>
      <c r="I23" s="249"/>
      <c r="J23" s="306" t="s">
        <v>9</v>
      </c>
      <c r="K23" s="306"/>
      <c r="L23" s="265" t="str">
        <f>L5</f>
        <v>2023E</v>
      </c>
      <c r="M23" s="265" t="str">
        <f>M5</f>
        <v>2024E</v>
      </c>
      <c r="N23" s="265" t="str">
        <f>N5</f>
        <v>2025E</v>
      </c>
      <c r="O23" s="265" t="str">
        <f>O5</f>
        <v>2026E</v>
      </c>
      <c r="P23" s="282" t="str">
        <f>P5</f>
        <v>23E-26E</v>
      </c>
      <c r="S23" s="42"/>
      <c r="T23" s="42"/>
      <c r="U23" s="42"/>
      <c r="V23" s="42"/>
      <c r="W23" s="42" t="s">
        <v>26</v>
      </c>
      <c r="X23" s="42" t="s">
        <v>603</v>
      </c>
      <c r="Y23" s="42"/>
      <c r="Z23" s="42"/>
      <c r="AA23" s="42"/>
    </row>
    <row r="24" spans="2:27" ht="12.6" thickTop="1">
      <c r="B24" s="5" t="s">
        <v>478</v>
      </c>
      <c r="C24" s="365">
        <f>'EM INCUMB'!C24+'EM CELLULAR'!C24+'EM ALTNET &amp; CABLE'!C24</f>
        <v>164854.14632184504</v>
      </c>
      <c r="D24" s="228">
        <f>'EM INCUMB'!D24+'EM CELLULAR'!D24+'EM ALTNET &amp; CABLE'!D24</f>
        <v>173521.91786178117</v>
      </c>
      <c r="E24" s="228">
        <f>'EM INCUMB'!E24+'EM CELLULAR'!E24+'EM ALTNET &amp; CABLE'!E24</f>
        <v>180036.54246157579</v>
      </c>
      <c r="F24" s="228">
        <f>'EM INCUMB'!F24+'EM CELLULAR'!F24+'EM ALTNET &amp; CABLE'!F24</f>
        <v>190008.02878694862</v>
      </c>
      <c r="G24" s="228">
        <f>'EM INCUMB'!G24+'EM CELLULAR'!G24+'EM ALTNET &amp; CABLE'!G24</f>
        <v>200115.59895728261</v>
      </c>
      <c r="H24" s="279">
        <f t="shared" si="0"/>
        <v>4.8678106743502703E-2</v>
      </c>
      <c r="I24" s="248"/>
      <c r="J24" s="17"/>
      <c r="K24" s="17"/>
      <c r="L24" s="17"/>
      <c r="M24" s="17"/>
      <c r="N24" s="17"/>
      <c r="O24" s="248"/>
      <c r="S24" s="42"/>
      <c r="T24" s="42"/>
      <c r="U24" s="42"/>
      <c r="V24" s="147" t="s">
        <v>268</v>
      </c>
      <c r="W24" s="357">
        <f t="shared" ref="W24:W31" si="1">E37/M9</f>
        <v>0.69711783065675581</v>
      </c>
      <c r="X24" s="288">
        <v>1</v>
      </c>
      <c r="Y24" s="42"/>
      <c r="Z24" s="42"/>
      <c r="AA24" s="42"/>
    </row>
    <row r="25" spans="2:27">
      <c r="B25" s="5" t="s">
        <v>179</v>
      </c>
      <c r="C25" s="365">
        <f>'EM INCUMB'!C25+'EM CELLULAR'!C25+'EM ALTNET &amp; CABLE'!C25</f>
        <v>72758.594872899863</v>
      </c>
      <c r="D25" s="228">
        <f>'EM INCUMB'!D25+'EM CELLULAR'!D25+'EM ALTNET &amp; CABLE'!D25</f>
        <v>81179.018297994742</v>
      </c>
      <c r="E25" s="228">
        <f>'EM INCUMB'!E25+'EM CELLULAR'!E25+'EM ALTNET &amp; CABLE'!E25</f>
        <v>90783.423489923458</v>
      </c>
      <c r="F25" s="228">
        <f>'EM INCUMB'!F25+'EM CELLULAR'!F25+'EM ALTNET &amp; CABLE'!F25</f>
        <v>100979.87999255916</v>
      </c>
      <c r="G25" s="228">
        <f>'EM INCUMB'!G25+'EM CELLULAR'!G25+'EM ALTNET &amp; CABLE'!G25</f>
        <v>111200.99649828351</v>
      </c>
      <c r="H25" s="279">
        <f t="shared" si="0"/>
        <v>0.11059307549826269</v>
      </c>
      <c r="I25" s="249"/>
      <c r="J25" s="247" t="s">
        <v>10</v>
      </c>
      <c r="K25" s="247"/>
      <c r="L25" s="332">
        <f>'EM INCUMB'!L25+'EM CELLULAR'!L25</f>
        <v>16717.491706969307</v>
      </c>
      <c r="M25" s="332">
        <f>'EM INCUMB'!M25+'EM CELLULAR'!M25</f>
        <v>16819.758111301984</v>
      </c>
      <c r="N25" s="332">
        <f>'EM INCUMB'!N25+'EM CELLULAR'!N25</f>
        <v>16913.460816073522</v>
      </c>
      <c r="O25" s="332">
        <f>'EM INCUMB'!O25+'EM CELLULAR'!O25</f>
        <v>15552.044476132254</v>
      </c>
      <c r="P25" s="279">
        <f>IF(L25=0,"nm",IF(O25=0,"nm",(O25/L25)^(1/3)-1))</f>
        <v>-2.3800027575102134E-2</v>
      </c>
      <c r="Q25" s="5"/>
      <c r="S25" s="42"/>
      <c r="T25" s="42"/>
      <c r="U25" s="42"/>
      <c r="V25" s="147" t="s">
        <v>180</v>
      </c>
      <c r="W25" s="357">
        <f t="shared" si="1"/>
        <v>0.68457441427927568</v>
      </c>
      <c r="X25" s="288">
        <v>1</v>
      </c>
      <c r="Y25" s="42"/>
      <c r="Z25" s="42"/>
      <c r="AA25" s="42"/>
    </row>
    <row r="26" spans="2:27">
      <c r="B26" s="5" t="s">
        <v>581</v>
      </c>
      <c r="C26" s="365">
        <f>'EM INCUMB'!C26+'EM CELLULAR'!C26+'EM ALTNET &amp; CABLE'!C26</f>
        <v>55512.467292318433</v>
      </c>
      <c r="D26" s="228">
        <f>'EM INCUMB'!D26+'EM CELLULAR'!D26+'EM ALTNET &amp; CABLE'!D26</f>
        <v>61472.506096150348</v>
      </c>
      <c r="E26" s="228">
        <f>'EM INCUMB'!E26+'EM CELLULAR'!E26+'EM ALTNET &amp; CABLE'!E26</f>
        <v>69154.990539422739</v>
      </c>
      <c r="F26" s="228">
        <f>'EM INCUMB'!F26+'EM CELLULAR'!F26+'EM ALTNET &amp; CABLE'!F26</f>
        <v>75987.521962402461</v>
      </c>
      <c r="G26" s="228">
        <f>'EM INCUMB'!G26+'EM CELLULAR'!G26+'EM ALTNET &amp; CABLE'!G26</f>
        <v>83680.332218500102</v>
      </c>
      <c r="H26" s="279">
        <f t="shared" si="0"/>
        <v>0.10827488676451624</v>
      </c>
      <c r="I26" s="249"/>
      <c r="J26" s="249" t="s">
        <v>11</v>
      </c>
      <c r="K26" s="249"/>
      <c r="L26" s="281">
        <f>'EM INCUMB'!L26+'EM CELLULAR'!L26</f>
        <v>741519.17357916152</v>
      </c>
      <c r="M26" s="281">
        <f>'EM INCUMB'!M26+'EM CELLULAR'!M26</f>
        <v>742970.03844037349</v>
      </c>
      <c r="N26" s="281">
        <f>'EM INCUMB'!N26+'EM CELLULAR'!N26</f>
        <v>740640.02334193897</v>
      </c>
      <c r="O26" s="281">
        <f>'EM INCUMB'!O26+'EM CELLULAR'!O26</f>
        <v>736825.22224799008</v>
      </c>
      <c r="P26" s="279">
        <f>IF(L26=0,"nm",IF(O26=0,"nm",(O26/L26)^(1/3)-1))</f>
        <v>-2.1145287496474596E-3</v>
      </c>
      <c r="Q26" s="41"/>
      <c r="S26" s="42"/>
      <c r="T26" s="42"/>
      <c r="U26" s="42"/>
      <c r="V26" s="147" t="s">
        <v>181</v>
      </c>
      <c r="W26" s="357">
        <f t="shared" si="1"/>
        <v>0.75910077254405883</v>
      </c>
      <c r="X26" s="288">
        <v>1</v>
      </c>
      <c r="Y26" s="42"/>
      <c r="Z26" s="42"/>
      <c r="AA26" s="42"/>
    </row>
    <row r="27" spans="2:27">
      <c r="B27" s="5" t="s">
        <v>582</v>
      </c>
      <c r="C27" s="365">
        <f>'EM INCUMB'!C27+'EM CELLULAR'!C27+'EM ALTNET &amp; CABLE'!C27</f>
        <v>589554.7773697098</v>
      </c>
      <c r="D27" s="228">
        <f>'EM INCUMB'!D27+'EM CELLULAR'!D27+'EM ALTNET &amp; CABLE'!D27</f>
        <v>674259.82216535532</v>
      </c>
      <c r="E27" s="228">
        <f>'EM INCUMB'!E27+'EM CELLULAR'!E27+'EM ALTNET &amp; CABLE'!E27</f>
        <v>662015.92572174396</v>
      </c>
      <c r="F27" s="228">
        <f>'EM INCUMB'!F27+'EM CELLULAR'!F27+'EM ALTNET &amp; CABLE'!F27</f>
        <v>653059.97556930187</v>
      </c>
      <c r="G27" s="228">
        <f>'EM INCUMB'!G27+'EM CELLULAR'!G27+'EM ALTNET &amp; CABLE'!G27</f>
        <v>644714.57806089451</v>
      </c>
      <c r="H27" s="279">
        <f t="shared" si="0"/>
        <v>-1.4824953823212472E-2</v>
      </c>
      <c r="I27" s="248"/>
      <c r="J27" s="248"/>
      <c r="K27" s="248"/>
      <c r="L27" s="248"/>
      <c r="M27" s="248"/>
      <c r="N27" s="248"/>
      <c r="O27" s="248"/>
      <c r="Q27" s="5"/>
      <c r="S27" s="42"/>
      <c r="T27" s="42"/>
      <c r="U27" s="42"/>
      <c r="V27" s="147" t="s">
        <v>461</v>
      </c>
      <c r="W27" s="357">
        <f t="shared" si="1"/>
        <v>0.70051505320551788</v>
      </c>
      <c r="X27" s="288">
        <v>1</v>
      </c>
      <c r="Y27" s="42"/>
      <c r="Z27" s="42"/>
      <c r="AA27" s="42"/>
    </row>
    <row r="28" spans="2:27" ht="12.6" thickBot="1">
      <c r="B28" s="5" t="s">
        <v>587</v>
      </c>
      <c r="C28" s="365">
        <f>'EM INCUMB'!C28+'EM CELLULAR'!C28+'EM ALTNET &amp; CABLE'!C28</f>
        <v>432999.04447036167</v>
      </c>
      <c r="D28" s="228">
        <f>'EM INCUMB'!D28+'EM CELLULAR'!D28+'EM ALTNET &amp; CABLE'!D28</f>
        <v>430963.06525547424</v>
      </c>
      <c r="E28" s="228">
        <f>'EM INCUMB'!E28+'EM CELLULAR'!E28+'EM ALTNET &amp; CABLE'!E28</f>
        <v>429922.62522708077</v>
      </c>
      <c r="F28" s="228">
        <f>'EM INCUMB'!F28+'EM CELLULAR'!F28+'EM ALTNET &amp; CABLE'!F28</f>
        <v>429634.2133025683</v>
      </c>
      <c r="G28" s="228">
        <f>'EM INCUMB'!G28+'EM CELLULAR'!G28+'EM ALTNET &amp; CABLE'!G28</f>
        <v>420373.21287451987</v>
      </c>
      <c r="H28" s="279">
        <f t="shared" si="0"/>
        <v>-8.2588640298681959E-3</v>
      </c>
      <c r="I28" s="252"/>
      <c r="J28" s="306" t="s">
        <v>747</v>
      </c>
      <c r="K28" s="306"/>
      <c r="L28" s="306"/>
      <c r="M28" s="306"/>
      <c r="N28" s="266"/>
      <c r="O28" s="266"/>
      <c r="P28" s="266"/>
      <c r="Q28" s="5"/>
      <c r="S28" s="42"/>
      <c r="T28" s="42"/>
      <c r="U28" s="42"/>
      <c r="V28" s="147" t="s">
        <v>525</v>
      </c>
      <c r="W28" s="357">
        <f t="shared" si="1"/>
        <v>0.86395797020087983</v>
      </c>
      <c r="X28" s="288">
        <v>1</v>
      </c>
      <c r="Y28" s="42"/>
      <c r="Z28" s="42"/>
      <c r="AA28" s="42"/>
    </row>
    <row r="29" spans="2:27" ht="12.6" thickTop="1">
      <c r="B29" s="5" t="s">
        <v>583</v>
      </c>
      <c r="C29" s="365">
        <f>'EM INCUMB'!C29+'EM CELLULAR'!C29+'EM ALTNET &amp; CABLE'!C29</f>
        <v>31801.238488568855</v>
      </c>
      <c r="D29" s="228">
        <f>'EM INCUMB'!D29+'EM CELLULAR'!D29+'EM ALTNET &amp; CABLE'!D29</f>
        <v>37184.917019225402</v>
      </c>
      <c r="E29" s="228">
        <f>'EM INCUMB'!E29+'EM CELLULAR'!E29+'EM ALTNET &amp; CABLE'!E29</f>
        <v>46056.564838953454</v>
      </c>
      <c r="F29" s="228">
        <f>'EM INCUMB'!F29+'EM CELLULAR'!F29+'EM ALTNET &amp; CABLE'!F29</f>
        <v>54573.293889849032</v>
      </c>
      <c r="G29" s="228">
        <f>'EM INCUMB'!G29+'EM CELLULAR'!G29+'EM ALTNET &amp; CABLE'!G29</f>
        <v>63865.049675706679</v>
      </c>
      <c r="H29" s="279">
        <f t="shared" si="0"/>
        <v>0.19756422158027021</v>
      </c>
      <c r="I29" s="254"/>
      <c r="J29" s="249"/>
      <c r="K29" s="249"/>
      <c r="L29" s="249"/>
      <c r="M29" s="249"/>
      <c r="N29" s="249"/>
      <c r="O29" s="251"/>
      <c r="Q29" s="5"/>
      <c r="S29" s="42"/>
      <c r="T29" s="42"/>
      <c r="U29" s="42"/>
      <c r="V29" s="147" t="s">
        <v>588</v>
      </c>
      <c r="W29" s="357">
        <f t="shared" si="1"/>
        <v>0.57632778887932556</v>
      </c>
      <c r="X29" s="288">
        <v>1</v>
      </c>
      <c r="Y29" s="42"/>
      <c r="Z29" s="42"/>
      <c r="AA29" s="42"/>
    </row>
    <row r="30" spans="2:27">
      <c r="B30" s="5" t="s">
        <v>584</v>
      </c>
      <c r="C30" s="365">
        <f>'EM INCUMB'!C30+'EM CELLULAR'!C30+'EM ALTNET &amp; CABLE'!C30</f>
        <v>39447.715107951073</v>
      </c>
      <c r="D30" s="228">
        <f>'EM INCUMB'!D30+'EM CELLULAR'!D30+'EM ALTNET &amp; CABLE'!D30</f>
        <v>40172.862668629699</v>
      </c>
      <c r="E30" s="228">
        <f>'EM INCUMB'!E30+'EM CELLULAR'!E30+'EM ALTNET &amp; CABLE'!E30</f>
        <v>47220.297755781765</v>
      </c>
      <c r="F30" s="228">
        <f>'EM INCUMB'!F30+'EM CELLULAR'!F30+'EM ALTNET &amp; CABLE'!F30</f>
        <v>55549.803568862844</v>
      </c>
      <c r="G30" s="228">
        <f>'EM INCUMB'!G30+'EM CELLULAR'!G30+'EM ALTNET &amp; CABLE'!G30</f>
        <v>64091.250621747007</v>
      </c>
      <c r="H30" s="279">
        <f t="shared" si="0"/>
        <v>0.16848189780945066</v>
      </c>
      <c r="I30" s="254"/>
      <c r="J30" s="248"/>
      <c r="K30" s="248"/>
      <c r="L30" s="248"/>
      <c r="M30" s="248"/>
      <c r="N30" s="248"/>
      <c r="O30" s="5"/>
      <c r="Q30" s="5"/>
      <c r="S30" s="42"/>
      <c r="T30" s="42"/>
      <c r="U30" s="42"/>
      <c r="V30" s="147" t="s">
        <v>470</v>
      </c>
      <c r="W30" s="357">
        <f t="shared" si="1"/>
        <v>1.272618068885742</v>
      </c>
      <c r="X30" s="288">
        <v>1</v>
      </c>
      <c r="Y30" s="42"/>
      <c r="Z30" s="42"/>
      <c r="AA30" s="42"/>
    </row>
    <row r="31" spans="2:27">
      <c r="B31" s="5" t="s">
        <v>585</v>
      </c>
      <c r="C31" s="365">
        <f>'EM INCUMB'!C31+'EM CELLULAR'!C31+'EM ALTNET &amp; CABLE'!C31</f>
        <v>26346.717952062616</v>
      </c>
      <c r="D31" s="228">
        <f>'EM INCUMB'!D31+'EM CELLULAR'!D31+'EM ALTNET &amp; CABLE'!D31</f>
        <v>29045.48746687797</v>
      </c>
      <c r="E31" s="228">
        <f>'EM INCUMB'!E31+'EM CELLULAR'!E31+'EM ALTNET &amp; CABLE'!E31</f>
        <v>32787.787810372145</v>
      </c>
      <c r="F31" s="228">
        <f>'EM INCUMB'!F31+'EM CELLULAR'!F31+'EM ALTNET &amp; CABLE'!F31</f>
        <v>37117.822015516052</v>
      </c>
      <c r="G31" s="228">
        <f>'EM INCUMB'!G31+'EM CELLULAR'!G31+'EM ALTNET &amp; CABLE'!G31</f>
        <v>42587.697081226681</v>
      </c>
      <c r="H31" s="279">
        <f t="shared" si="0"/>
        <v>0.13606146505400307</v>
      </c>
      <c r="I31" s="254"/>
      <c r="J31" s="252"/>
      <c r="K31" s="252"/>
      <c r="L31" s="252"/>
      <c r="M31" s="252"/>
      <c r="N31" s="252"/>
      <c r="O31" s="5"/>
      <c r="Q31" s="5"/>
      <c r="S31" s="42"/>
      <c r="T31" s="42"/>
      <c r="U31" s="42"/>
      <c r="V31" s="147" t="s">
        <v>528</v>
      </c>
      <c r="W31" s="357">
        <f t="shared" si="1"/>
        <v>1.0947786066465974</v>
      </c>
      <c r="X31" s="288">
        <v>1</v>
      </c>
      <c r="Y31" s="42"/>
      <c r="Z31" s="42"/>
      <c r="AA31" s="42"/>
    </row>
    <row r="32" spans="2:27">
      <c r="B32" s="5" t="s">
        <v>601</v>
      </c>
      <c r="C32" s="365" t="e">
        <f>'EM INCUMB'!C32+'EM CELLULAR'!C32+'EM ALTNET &amp; CABLE'!C32</f>
        <v>#VALUE!</v>
      </c>
      <c r="D32" s="228" t="e">
        <f>'EM INCUMB'!D32+'EM CELLULAR'!D32+'EM ALTNET &amp; CABLE'!D32</f>
        <v>#VALUE!</v>
      </c>
      <c r="E32" s="228" t="e">
        <f>'EM INCUMB'!E32+'EM CELLULAR'!E32+'EM ALTNET &amp; CABLE'!E32</f>
        <v>#VALUE!</v>
      </c>
      <c r="F32" s="228" t="e">
        <f>'EM INCUMB'!F32+'EM CELLULAR'!F32+'EM ALTNET &amp; CABLE'!F32</f>
        <v>#VALUE!</v>
      </c>
      <c r="G32" s="228" t="e">
        <f>'EM INCUMB'!G32+'EM CELLULAR'!G32+'EM ALTNET &amp; CABLE'!G32</f>
        <v>#VALUE!</v>
      </c>
      <c r="H32" s="279" t="e">
        <f t="shared" si="0"/>
        <v>#VALUE!</v>
      </c>
      <c r="I32" s="5"/>
      <c r="J32" s="254"/>
      <c r="K32" s="254"/>
      <c r="L32" s="254"/>
      <c r="M32" s="254"/>
      <c r="N32" s="254"/>
      <c r="O32" s="251"/>
      <c r="Q32" s="5"/>
      <c r="S32" s="42"/>
      <c r="T32" s="42"/>
      <c r="U32" s="42"/>
      <c r="V32" s="147" t="s">
        <v>575</v>
      </c>
      <c r="W32" s="288">
        <f>M17/E45</f>
        <v>0.8767516519655405</v>
      </c>
      <c r="X32" s="288">
        <v>1</v>
      </c>
      <c r="Y32" s="42"/>
      <c r="Z32" s="42"/>
      <c r="AA32" s="42"/>
    </row>
    <row r="33" spans="2:42">
      <c r="B33" s="5" t="s">
        <v>5</v>
      </c>
      <c r="C33" s="365">
        <f>'EM INCUMB'!C33+'EM CELLULAR'!C33+'EM ALTNET &amp; CABLE'!C33</f>
        <v>6447.8098451862134</v>
      </c>
      <c r="D33" s="228">
        <f>'EM INCUMB'!D33+'EM CELLULAR'!D33+'EM ALTNET &amp; CABLE'!D33</f>
        <v>5728.4710957581683</v>
      </c>
      <c r="E33" s="228">
        <f>'EM INCUMB'!E33+'EM CELLULAR'!E33+'EM ALTNET &amp; CABLE'!E33</f>
        <v>5807.0383041072791</v>
      </c>
      <c r="F33" s="228">
        <f>'EM INCUMB'!F33+'EM CELLULAR'!F33+'EM ALTNET &amp; CABLE'!F33</f>
        <v>6286.5049109552956</v>
      </c>
      <c r="G33" s="228">
        <f>'EM INCUMB'!G33+'EM CELLULAR'!G33+'EM ALTNET &amp; CABLE'!G33</f>
        <v>6588.6648798933065</v>
      </c>
      <c r="H33" s="279">
        <f t="shared" si="0"/>
        <v>4.7738487379317629E-2</v>
      </c>
      <c r="I33" s="49"/>
      <c r="J33" s="254"/>
      <c r="K33" s="254"/>
      <c r="L33" s="254"/>
      <c r="M33" s="254"/>
      <c r="N33" s="254"/>
      <c r="O33" s="251"/>
      <c r="Q33" s="5"/>
      <c r="S33" s="42"/>
      <c r="T33" s="42"/>
      <c r="U33" s="42"/>
      <c r="V33" s="147" t="s">
        <v>576</v>
      </c>
      <c r="W33" s="288">
        <f>M19/E47</f>
        <v>1.272618068885742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553"/>
      <c r="D37" s="553">
        <f t="shared" ref="D37:G41" si="2">D$18/D23</f>
        <v>1.7568504876692785</v>
      </c>
      <c r="E37" s="553">
        <f t="shared" si="2"/>
        <v>1.6557505993722963</v>
      </c>
      <c r="F37" s="553">
        <f t="shared" si="2"/>
        <v>1.4867932994499977</v>
      </c>
      <c r="G37" s="553">
        <f t="shared" si="2"/>
        <v>1.3237610851186894</v>
      </c>
      <c r="H37" s="17">
        <f t="shared" ref="H37:H45" si="3">H23</f>
        <v>4.2237881472639405E-2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553"/>
      <c r="D38" s="553">
        <f t="shared" si="2"/>
        <v>5.1440316657520277</v>
      </c>
      <c r="E38" s="553">
        <f t="shared" si="2"/>
        <v>4.8353866940625734</v>
      </c>
      <c r="F38" s="553">
        <f t="shared" si="2"/>
        <v>4.3122989607565385</v>
      </c>
      <c r="G38" s="553">
        <f t="shared" si="2"/>
        <v>3.8049801727031363</v>
      </c>
      <c r="H38" s="17">
        <f t="shared" si="3"/>
        <v>4.8678106743502703E-2</v>
      </c>
      <c r="I38" s="17"/>
      <c r="J38" s="17"/>
      <c r="K38" s="17"/>
      <c r="L38" s="17"/>
      <c r="M38" s="17"/>
      <c r="N38" s="17"/>
      <c r="O38" s="5"/>
      <c r="Q38" s="5"/>
      <c r="R38" s="5"/>
      <c r="S38" s="42"/>
      <c r="T38" s="42"/>
      <c r="U38" s="42"/>
      <c r="V38" s="42"/>
      <c r="W38" s="42"/>
      <c r="X38" s="42"/>
      <c r="Y38" s="42"/>
      <c r="Z38" s="42"/>
      <c r="AA38" s="42"/>
    </row>
    <row r="39" spans="2:42">
      <c r="B39" s="5" t="s">
        <v>181</v>
      </c>
      <c r="C39" s="553"/>
      <c r="D39" s="553">
        <f t="shared" si="2"/>
        <v>10.995479606644533</v>
      </c>
      <c r="E39" s="553">
        <f t="shared" si="2"/>
        <v>9.5892649604733364</v>
      </c>
      <c r="F39" s="553">
        <f t="shared" si="2"/>
        <v>8.1142047815241369</v>
      </c>
      <c r="G39" s="553">
        <f t="shared" si="2"/>
        <v>6.8473836589479324</v>
      </c>
      <c r="H39" s="17">
        <f t="shared" si="3"/>
        <v>0.11059307549826269</v>
      </c>
      <c r="I39" s="5"/>
      <c r="J39" s="5"/>
      <c r="K39" s="5"/>
      <c r="L39" s="5"/>
      <c r="M39" s="5"/>
      <c r="N39" s="5"/>
      <c r="O39" s="5"/>
      <c r="Q39" s="5"/>
      <c r="R39" s="5"/>
      <c r="S39" s="42"/>
      <c r="T39" s="42"/>
      <c r="U39" s="42"/>
      <c r="V39" s="42"/>
      <c r="W39" s="288"/>
      <c r="X39" s="288"/>
      <c r="Y39" s="42"/>
      <c r="Z39" s="42"/>
      <c r="AA39" s="42"/>
    </row>
    <row r="40" spans="2:42">
      <c r="B40" s="5" t="s">
        <v>461</v>
      </c>
      <c r="C40" s="553"/>
      <c r="D40" s="553">
        <f t="shared" si="2"/>
        <v>14.520348963598265</v>
      </c>
      <c r="E40" s="553">
        <f t="shared" si="2"/>
        <v>12.588336648928733</v>
      </c>
      <c r="F40" s="553">
        <f t="shared" si="2"/>
        <v>10.782973360794294</v>
      </c>
      <c r="G40" s="553">
        <f t="shared" si="2"/>
        <v>9.0993411007602809</v>
      </c>
      <c r="H40" s="17">
        <f t="shared" si="3"/>
        <v>0.10827488676451624</v>
      </c>
      <c r="I40" s="247"/>
      <c r="J40" s="259"/>
      <c r="K40" s="259"/>
      <c r="L40" s="259"/>
      <c r="M40" s="259"/>
      <c r="N40" s="259"/>
      <c r="O40" s="18"/>
      <c r="Q40" s="5"/>
      <c r="R40" s="5"/>
      <c r="S40" s="42"/>
      <c r="T40" s="42"/>
      <c r="U40" s="42"/>
      <c r="V40" s="42"/>
      <c r="W40" s="288"/>
      <c r="X40" s="288"/>
      <c r="Y40" s="288"/>
      <c r="Z40" s="288"/>
      <c r="AA40" s="42"/>
    </row>
    <row r="41" spans="2:42">
      <c r="B41" s="5" t="s">
        <v>525</v>
      </c>
      <c r="C41" s="553"/>
      <c r="D41" s="553">
        <f t="shared" si="2"/>
        <v>1.3238253427535878</v>
      </c>
      <c r="E41" s="553">
        <f t="shared" si="2"/>
        <v>1.3149929904097803</v>
      </c>
      <c r="F41" s="553">
        <f t="shared" si="2"/>
        <v>1.2546648940766489</v>
      </c>
      <c r="G41" s="553">
        <f t="shared" si="2"/>
        <v>1.1810433829047893</v>
      </c>
      <c r="H41" s="17">
        <f t="shared" si="3"/>
        <v>-1.4824953823212472E-2</v>
      </c>
      <c r="I41" s="248"/>
      <c r="J41" s="17"/>
      <c r="K41" s="17"/>
      <c r="L41" s="17"/>
      <c r="M41" s="17"/>
      <c r="N41" s="17"/>
      <c r="O41" s="5"/>
      <c r="Q41" s="5"/>
      <c r="R41" s="5"/>
      <c r="S41" s="42"/>
      <c r="T41" s="42"/>
      <c r="U41" s="42"/>
      <c r="V41" s="42"/>
      <c r="W41" s="288"/>
      <c r="X41" s="288"/>
      <c r="Y41" s="288"/>
      <c r="Z41" s="288"/>
      <c r="AA41" s="42"/>
    </row>
    <row r="42" spans="2:42">
      <c r="B42" s="5" t="s">
        <v>588</v>
      </c>
      <c r="C42" s="553"/>
      <c r="D42" s="553">
        <f>D18/D28</f>
        <v>2.0711803682152934</v>
      </c>
      <c r="E42" s="553">
        <f>E18/E28</f>
        <v>2.0248906449245871</v>
      </c>
      <c r="F42" s="553">
        <f>F18/F28</f>
        <v>1.9071372802806041</v>
      </c>
      <c r="G42" s="553">
        <f>G18/G28</f>
        <v>1.8113330320796608</v>
      </c>
      <c r="H42" s="17">
        <f t="shared" si="3"/>
        <v>-8.2588640298681959E-3</v>
      </c>
      <c r="I42" s="247"/>
      <c r="J42" s="5"/>
      <c r="K42" s="5"/>
      <c r="L42" s="5"/>
      <c r="M42" s="5"/>
      <c r="N42" s="5"/>
      <c r="O42" s="5"/>
      <c r="Q42" s="5"/>
      <c r="R42" s="5"/>
      <c r="S42" s="42"/>
      <c r="T42" s="42"/>
      <c r="U42" s="42"/>
      <c r="V42" s="42"/>
      <c r="W42" s="288"/>
      <c r="X42" s="288"/>
      <c r="Y42" s="288"/>
      <c r="Z42" s="288"/>
      <c r="AA42" s="42"/>
    </row>
    <row r="43" spans="2:42">
      <c r="B43" s="5" t="s">
        <v>470</v>
      </c>
      <c r="C43" s="553"/>
      <c r="D43" s="553">
        <f>L26/D29</f>
        <v>19.941396485994044</v>
      </c>
      <c r="E43" s="553">
        <f>M26/E29</f>
        <v>16.131685917921274</v>
      </c>
      <c r="F43" s="553">
        <f>N26/F29</f>
        <v>13.571473710874955</v>
      </c>
      <c r="G43" s="553">
        <f>O26/G29</f>
        <v>11.537221469167157</v>
      </c>
      <c r="H43" s="17">
        <f t="shared" si="3"/>
        <v>0.19756422158027021</v>
      </c>
      <c r="I43" s="247"/>
      <c r="J43" s="247"/>
      <c r="K43" s="247"/>
      <c r="L43" s="247"/>
      <c r="M43" s="247"/>
      <c r="N43" s="247"/>
      <c r="O43" s="18"/>
      <c r="Q43" s="5"/>
      <c r="R43" s="5"/>
      <c r="S43" s="42"/>
      <c r="T43" s="42"/>
      <c r="U43" s="42"/>
      <c r="V43" s="42"/>
      <c r="W43" s="325"/>
      <c r="X43" s="325"/>
      <c r="Y43" s="288"/>
      <c r="Z43" s="288"/>
      <c r="AA43" s="42"/>
    </row>
    <row r="44" spans="2:42">
      <c r="B44" s="5" t="s">
        <v>528</v>
      </c>
      <c r="C44" s="553"/>
      <c r="D44" s="553">
        <f>D11/D30</f>
        <v>18.269093770217651</v>
      </c>
      <c r="E44" s="553">
        <f>E11/E30</f>
        <v>15.568805131794383</v>
      </c>
      <c r="F44" s="553">
        <f>F11/F30</f>
        <v>13.199234812647555</v>
      </c>
      <c r="G44" s="553">
        <f>G11/G30</f>
        <v>11.401551775928532</v>
      </c>
      <c r="H44" s="17">
        <f t="shared" si="3"/>
        <v>0.16848189780945066</v>
      </c>
      <c r="I44" s="248"/>
      <c r="J44" s="248"/>
      <c r="K44" s="248"/>
      <c r="L44" s="248"/>
      <c r="M44" s="248"/>
      <c r="N44" s="248"/>
      <c r="O44" s="248"/>
      <c r="Q44" s="5"/>
      <c r="R44" s="5"/>
      <c r="S44" s="42"/>
      <c r="T44" s="42"/>
      <c r="U44" s="42"/>
      <c r="V44" s="42"/>
      <c r="W44" s="42"/>
      <c r="X44" s="42"/>
      <c r="Y44" s="325"/>
      <c r="Z44" s="325"/>
      <c r="AA44" s="42"/>
    </row>
    <row r="45" spans="2:42">
      <c r="B45" s="5" t="s">
        <v>575</v>
      </c>
      <c r="C45" s="248"/>
      <c r="D45" s="248">
        <f>D31/D11</f>
        <v>3.9575725452429565E-2</v>
      </c>
      <c r="E45" s="248">
        <f>E31/E11</f>
        <v>4.4599307126826686E-2</v>
      </c>
      <c r="F45" s="248">
        <f>F31/F11</f>
        <v>5.062338744034766E-2</v>
      </c>
      <c r="G45" s="248">
        <f>G31/G11</f>
        <v>5.8280255420076719E-2</v>
      </c>
      <c r="H45" s="17">
        <f t="shared" si="3"/>
        <v>0.13606146505400307</v>
      </c>
      <c r="I45" s="247"/>
      <c r="J45" s="247"/>
      <c r="K45" s="247"/>
      <c r="L45" s="247"/>
      <c r="M45" s="247"/>
      <c r="N45" s="247"/>
      <c r="O45" s="248"/>
      <c r="Q45" s="5"/>
      <c r="R45" s="5"/>
      <c r="S45" s="42"/>
      <c r="T45" s="42"/>
      <c r="U45" s="42"/>
      <c r="V45" s="42"/>
      <c r="W45" s="42"/>
      <c r="X45" s="42"/>
      <c r="Y45" s="42"/>
      <c r="Z45" s="42"/>
      <c r="AA45" s="326"/>
      <c r="AB45" s="303"/>
    </row>
    <row r="46" spans="2:42">
      <c r="B46" s="5" t="s">
        <v>600</v>
      </c>
      <c r="C46" s="248"/>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576</v>
      </c>
      <c r="C47" s="248"/>
      <c r="D47" s="248">
        <f>1/D43</f>
        <v>5.0146939343107481E-2</v>
      </c>
      <c r="E47" s="248">
        <f>1/E43</f>
        <v>6.1989801009519022E-2</v>
      </c>
      <c r="F47" s="248">
        <f>1/F43</f>
        <v>7.3683965448696279E-2</v>
      </c>
      <c r="G47" s="248">
        <f>1/G43</f>
        <v>8.6675981966062354E-2</v>
      </c>
      <c r="H47" s="17">
        <f>H29</f>
        <v>0.19756422158027021</v>
      </c>
      <c r="I47" s="247"/>
      <c r="J47" s="248"/>
      <c r="K47" s="248"/>
      <c r="L47" s="248"/>
      <c r="M47" s="248"/>
      <c r="N47" s="248"/>
      <c r="O47" s="248"/>
      <c r="Q47" s="5"/>
      <c r="R47" s="5"/>
      <c r="S47" s="5"/>
      <c r="T47" s="5"/>
      <c r="U47" s="5"/>
      <c r="AA47" s="303"/>
      <c r="AB47" s="303"/>
    </row>
    <row r="48" spans="2:42">
      <c r="B48" s="5" t="s">
        <v>613</v>
      </c>
      <c r="C48" s="5"/>
      <c r="D48" s="305">
        <f>D31/D29</f>
        <v>0.7811093796944828</v>
      </c>
      <c r="E48" s="305">
        <f>E31/E29</f>
        <v>0.71190259032608272</v>
      </c>
      <c r="F48" s="305">
        <f>F31/F29</f>
        <v>0.68014626513904075</v>
      </c>
      <c r="G48" s="305">
        <f>G31/G29</f>
        <v>0.66683886253088454</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4803149606299213" right="0.74803149606299213" top="0.98425196850393704" bottom="0.98425196850393704" header="0.51181102362204722" footer="0.51181102362204722"/>
  <pageSetup scale="69" orientation="landscape"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07">
    <pageSetUpPr fitToPage="1"/>
  </sheetPr>
  <dimension ref="B1:X449"/>
  <sheetViews>
    <sheetView showGridLines="0" zoomScale="80" zoomScaleNormal="80" workbookViewId="0">
      <selection activeCell="H44" sqref="H44"/>
    </sheetView>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1445</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13</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1035</v>
      </c>
      <c r="M9" s="458"/>
      <c r="N9" s="459" t="s">
        <v>127</v>
      </c>
      <c r="O9" s="459"/>
      <c r="P9" s="458" t="s">
        <v>128</v>
      </c>
      <c r="Q9" s="458"/>
      <c r="R9" s="458" t="s">
        <v>689</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318</v>
      </c>
      <c r="C11" s="370"/>
      <c r="E11" s="367" t="str">
        <f t="shared" ref="E11:E17" si="0">"DCF, "&amp;TEXT(H11,"0.0")&amp;"x 19E EBITDA"</f>
        <v>DCF, 9.0x 19E EBITDA</v>
      </c>
      <c r="F11" s="484">
        <v>2027.0602597671832</v>
      </c>
      <c r="G11" s="178" t="s">
        <v>133</v>
      </c>
      <c r="H11" s="499">
        <f t="shared" ref="H11:H17" si="1">J11/F11</f>
        <v>8.9792189958612934</v>
      </c>
      <c r="I11" s="178" t="s">
        <v>134</v>
      </c>
      <c r="J11" s="484">
        <v>18201.417990257018</v>
      </c>
      <c r="K11" s="178" t="s">
        <v>135</v>
      </c>
      <c r="L11" s="216"/>
      <c r="M11" s="178" t="s">
        <v>134</v>
      </c>
      <c r="N11" s="178">
        <f t="shared" ref="N11:N14" si="2">J11-L11</f>
        <v>18201.417990257018</v>
      </c>
      <c r="O11" s="178" t="s">
        <v>133</v>
      </c>
      <c r="P11" s="490">
        <v>1</v>
      </c>
      <c r="Q11" s="393" t="s">
        <v>134</v>
      </c>
      <c r="R11" s="216">
        <f t="shared" ref="R11:R14" si="3">P11*N11</f>
        <v>18201.417990257018</v>
      </c>
      <c r="S11" s="216"/>
      <c r="T11" s="216">
        <f t="shared" ref="T11:T14" si="4">N11-R11</f>
        <v>0</v>
      </c>
      <c r="U11" s="216"/>
      <c r="V11" s="394">
        <f>N11/$J$32</f>
        <v>0.51274831680629429</v>
      </c>
      <c r="W11" s="370"/>
      <c r="X11" s="455">
        <f t="shared" ref="X11:X16" si="5">$J$37*V11</f>
        <v>2.0536941711729946</v>
      </c>
    </row>
    <row r="12" spans="2:24">
      <c r="B12" s="370" t="s">
        <v>353</v>
      </c>
      <c r="C12" s="370"/>
      <c r="D12" s="370"/>
      <c r="E12" s="367" t="str">
        <f t="shared" si="0"/>
        <v>DCF, 5.9x 19E EBITDA</v>
      </c>
      <c r="F12" s="484">
        <v>3282.3190498285367</v>
      </c>
      <c r="G12" s="178" t="s">
        <v>133</v>
      </c>
      <c r="H12" s="499">
        <f t="shared" si="1"/>
        <v>5.8784993694771623</v>
      </c>
      <c r="I12" s="178" t="s">
        <v>134</v>
      </c>
      <c r="J12" s="484">
        <v>19295.110464839931</v>
      </c>
      <c r="K12" s="178" t="s">
        <v>135</v>
      </c>
      <c r="L12" s="216"/>
      <c r="M12" s="178" t="s">
        <v>134</v>
      </c>
      <c r="N12" s="178">
        <f t="shared" si="2"/>
        <v>19295.110464839931</v>
      </c>
      <c r="O12" s="178" t="s">
        <v>133</v>
      </c>
      <c r="P12" s="490">
        <v>0.66359999999999997</v>
      </c>
      <c r="Q12" s="393" t="s">
        <v>134</v>
      </c>
      <c r="R12" s="216">
        <f t="shared" si="3"/>
        <v>12804.235304467777</v>
      </c>
      <c r="S12" s="216"/>
      <c r="T12" s="216">
        <f t="shared" si="4"/>
        <v>6490.8751603721539</v>
      </c>
      <c r="U12" s="216"/>
      <c r="V12" s="394">
        <f t="shared" ref="V12:V19" si="6">N12/$J$32</f>
        <v>0.54355849740575546</v>
      </c>
      <c r="W12" s="370"/>
      <c r="X12" s="455">
        <f t="shared" si="5"/>
        <v>2.177097186328683</v>
      </c>
    </row>
    <row r="13" spans="2:24">
      <c r="B13" s="370" t="s">
        <v>111</v>
      </c>
      <c r="C13" s="370"/>
      <c r="E13" s="367" t="str">
        <f t="shared" si="0"/>
        <v>DCF, 7.3x 19E EBITDA</v>
      </c>
      <c r="F13" s="484">
        <v>1115.6014750908043</v>
      </c>
      <c r="G13" s="178" t="s">
        <v>133</v>
      </c>
      <c r="H13" s="499">
        <f t="shared" si="1"/>
        <v>7.3076482202803081</v>
      </c>
      <c r="I13" s="178" t="s">
        <v>134</v>
      </c>
      <c r="J13" s="484">
        <v>8152.4231339894031</v>
      </c>
      <c r="K13" s="178" t="s">
        <v>135</v>
      </c>
      <c r="L13" s="216"/>
      <c r="M13" s="178" t="s">
        <v>134</v>
      </c>
      <c r="N13" s="178">
        <f t="shared" si="2"/>
        <v>8152.4231339894031</v>
      </c>
      <c r="O13" s="178" t="s">
        <v>133</v>
      </c>
      <c r="P13" s="490">
        <v>0.83299999999999996</v>
      </c>
      <c r="Q13" s="393" t="s">
        <v>134</v>
      </c>
      <c r="R13" s="216">
        <f t="shared" si="3"/>
        <v>6790.9684706131729</v>
      </c>
      <c r="S13" s="216"/>
      <c r="T13" s="216">
        <f t="shared" si="4"/>
        <v>1361.4546633762302</v>
      </c>
      <c r="U13" s="216"/>
      <c r="V13" s="394">
        <f t="shared" si="6"/>
        <v>0.22966019691890691</v>
      </c>
      <c r="W13" s="370"/>
      <c r="X13" s="455">
        <f t="shared" si="5"/>
        <v>0.91985052374337017</v>
      </c>
    </row>
    <row r="14" spans="2:24">
      <c r="B14" s="370" t="s">
        <v>95</v>
      </c>
      <c r="C14" s="370"/>
      <c r="E14" s="367" t="str">
        <f t="shared" si="0"/>
        <v>DCF, 3.7x 19E EBITDA</v>
      </c>
      <c r="F14" s="484">
        <v>1472.4180763678473</v>
      </c>
      <c r="G14" s="178" t="s">
        <v>133</v>
      </c>
      <c r="H14" s="499">
        <f t="shared" si="1"/>
        <v>3.6912467188860862</v>
      </c>
      <c r="I14" s="178" t="s">
        <v>134</v>
      </c>
      <c r="J14" s="484">
        <v>5435.0583932213794</v>
      </c>
      <c r="K14" s="178" t="s">
        <v>135</v>
      </c>
      <c r="L14" s="216"/>
      <c r="M14" s="178" t="s">
        <v>134</v>
      </c>
      <c r="N14" s="178">
        <f t="shared" si="2"/>
        <v>5435.0583932213794</v>
      </c>
      <c r="O14" s="178" t="s">
        <v>133</v>
      </c>
      <c r="P14" s="490">
        <v>0.68700000000000006</v>
      </c>
      <c r="Q14" s="393" t="s">
        <v>134</v>
      </c>
      <c r="R14" s="216">
        <f t="shared" si="3"/>
        <v>3733.885116143088</v>
      </c>
      <c r="S14" s="216"/>
      <c r="T14" s="216">
        <f t="shared" si="4"/>
        <v>1701.1732770782914</v>
      </c>
      <c r="U14" s="216"/>
      <c r="V14" s="394">
        <f t="shared" si="6"/>
        <v>0.15310988651323384</v>
      </c>
      <c r="W14" s="370"/>
      <c r="X14" s="455">
        <f t="shared" si="5"/>
        <v>0.61324605303380508</v>
      </c>
    </row>
    <row r="15" spans="2:24">
      <c r="B15" s="370" t="s">
        <v>950</v>
      </c>
      <c r="E15" s="367" t="str">
        <f t="shared" si="0"/>
        <v>DCF, 2.8x 19E EBITDA</v>
      </c>
      <c r="F15" s="484">
        <v>1296.7941929067417</v>
      </c>
      <c r="G15" s="178" t="s">
        <v>133</v>
      </c>
      <c r="H15" s="499">
        <f t="shared" si="1"/>
        <v>2.8003034520415309</v>
      </c>
      <c r="I15" s="178" t="s">
        <v>134</v>
      </c>
      <c r="J15" s="484">
        <v>3631.4172549841596</v>
      </c>
      <c r="K15" s="178" t="s">
        <v>135</v>
      </c>
      <c r="L15" s="216"/>
      <c r="M15" s="178" t="s">
        <v>134</v>
      </c>
      <c r="N15" s="178">
        <f t="shared" ref="N15" si="7">J15-L15</f>
        <v>3631.4172549841596</v>
      </c>
      <c r="O15" s="178" t="s">
        <v>133</v>
      </c>
      <c r="P15" s="490">
        <v>0.8</v>
      </c>
      <c r="Q15" s="393" t="s">
        <v>134</v>
      </c>
      <c r="R15" s="216">
        <f t="shared" ref="R15" si="8">P15*N15</f>
        <v>2905.1338039873281</v>
      </c>
      <c r="S15" s="216"/>
      <c r="T15" s="216">
        <f t="shared" ref="T15" si="9">N15-R15</f>
        <v>726.28345099683156</v>
      </c>
      <c r="U15" s="216"/>
      <c r="V15" s="394">
        <f t="shared" si="6"/>
        <v>0.1022998914761019</v>
      </c>
      <c r="W15" s="370"/>
      <c r="X15" s="455">
        <f t="shared" si="5"/>
        <v>0.40973843101949969</v>
      </c>
    </row>
    <row r="16" spans="2:24">
      <c r="B16" s="370" t="s">
        <v>319</v>
      </c>
      <c r="C16" s="370"/>
      <c r="E16" s="367" t="str">
        <f t="shared" si="0"/>
        <v>DCF, 3.1x 19E EBITDA</v>
      </c>
      <c r="F16" s="484">
        <v>546.76521376066478</v>
      </c>
      <c r="G16" s="178" t="s">
        <v>133</v>
      </c>
      <c r="H16" s="499">
        <f t="shared" si="1"/>
        <v>3.112363954917861</v>
      </c>
      <c r="I16" s="178" t="s">
        <v>134</v>
      </c>
      <c r="J16" s="484">
        <v>1701.7323431116522</v>
      </c>
      <c r="K16" s="178" t="s">
        <v>135</v>
      </c>
      <c r="L16" s="216"/>
      <c r="M16" s="178" t="s">
        <v>134</v>
      </c>
      <c r="N16" s="178">
        <f>J16-L16</f>
        <v>1701.7323431116522</v>
      </c>
      <c r="O16" s="178" t="s">
        <v>133</v>
      </c>
      <c r="P16" s="490">
        <v>0.82479999999999998</v>
      </c>
      <c r="Q16" s="393" t="s">
        <v>134</v>
      </c>
      <c r="R16" s="216">
        <f>P16*N16</f>
        <v>1403.5888365984906</v>
      </c>
      <c r="S16" s="216"/>
      <c r="T16" s="216">
        <f>N16-R16</f>
        <v>298.14350651316158</v>
      </c>
      <c r="U16" s="216"/>
      <c r="V16" s="394">
        <f t="shared" si="6"/>
        <v>4.7939143810246061E-2</v>
      </c>
      <c r="W16" s="370"/>
      <c r="X16" s="455">
        <f t="shared" si="5"/>
        <v>0.19200909488566795</v>
      </c>
    </row>
    <row r="17" spans="2:24">
      <c r="B17" s="370" t="s">
        <v>1069</v>
      </c>
      <c r="C17" s="370"/>
      <c r="E17" s="367" t="str">
        <f t="shared" si="0"/>
        <v>DCF, 40.5x 19E EBITDA</v>
      </c>
      <c r="F17" s="484">
        <v>389.207244743194</v>
      </c>
      <c r="G17" s="178"/>
      <c r="H17" s="499">
        <f t="shared" si="1"/>
        <v>40.522349955903515</v>
      </c>
      <c r="I17" s="178"/>
      <c r="J17" s="484">
        <v>15771.592176856695</v>
      </c>
      <c r="K17" s="178"/>
      <c r="L17" s="216"/>
      <c r="M17" s="178"/>
      <c r="N17" s="178">
        <f>J17-L17</f>
        <v>15771.592176856695</v>
      </c>
      <c r="O17" s="178"/>
      <c r="P17" s="490">
        <v>1.6E-2</v>
      </c>
      <c r="Q17" s="393" t="s">
        <v>134</v>
      </c>
      <c r="R17" s="216">
        <f>P17*N17</f>
        <v>252.34547482970711</v>
      </c>
      <c r="S17" s="216"/>
      <c r="T17" s="216">
        <f>N17-R17</f>
        <v>15519.246702026989</v>
      </c>
      <c r="U17" s="216"/>
      <c r="V17" s="394">
        <f t="shared" si="6"/>
        <v>0.44429820502816753</v>
      </c>
      <c r="W17" s="370"/>
      <c r="X17" s="455"/>
    </row>
    <row r="18" spans="2:24">
      <c r="B18" s="370" t="s">
        <v>140</v>
      </c>
      <c r="C18" s="370"/>
      <c r="F18" s="216"/>
      <c r="H18" s="499"/>
      <c r="J18" s="484">
        <v>12000</v>
      </c>
      <c r="K18" s="178" t="s">
        <v>135</v>
      </c>
      <c r="L18" s="216"/>
      <c r="M18" s="178" t="s">
        <v>134</v>
      </c>
      <c r="N18" s="178">
        <f>J18-L18</f>
        <v>12000</v>
      </c>
      <c r="O18" s="178" t="s">
        <v>133</v>
      </c>
      <c r="P18" s="490">
        <v>1</v>
      </c>
      <c r="Q18" s="393" t="s">
        <v>134</v>
      </c>
      <c r="R18" s="216">
        <f>P18*N18</f>
        <v>12000</v>
      </c>
      <c r="S18" s="216"/>
      <c r="T18" s="216">
        <f>N18-R18</f>
        <v>0</v>
      </c>
      <c r="U18" s="216"/>
      <c r="V18" s="394">
        <f t="shared" si="6"/>
        <v>0.33804947531940327</v>
      </c>
      <c r="W18" s="370"/>
      <c r="X18" s="455">
        <f>$J$37*V18</f>
        <v>1.353978578332069</v>
      </c>
    </row>
    <row r="19" spans="2:24">
      <c r="B19" s="345" t="s">
        <v>137</v>
      </c>
      <c r="C19" s="370"/>
      <c r="F19" s="210"/>
      <c r="G19" s="196"/>
      <c r="H19" s="372"/>
      <c r="I19" s="376"/>
      <c r="J19" s="398">
        <f>SUM(J11:J18)</f>
        <v>84188.751757260237</v>
      </c>
      <c r="K19" s="375"/>
      <c r="L19" s="398">
        <f>-J28</f>
        <v>23035.81246180641</v>
      </c>
      <c r="M19" s="196"/>
      <c r="N19" s="398">
        <f>SUM(N11:N18)</f>
        <v>84188.751757260237</v>
      </c>
      <c r="P19" s="377"/>
      <c r="Q19" s="378"/>
      <c r="R19" s="398">
        <f>SUM(R11:R18)</f>
        <v>58091.574996896583</v>
      </c>
      <c r="S19" s="370"/>
      <c r="T19" s="398">
        <f>SUM(T11:T18)</f>
        <v>26097.176760363658</v>
      </c>
      <c r="U19" s="370"/>
      <c r="V19" s="436">
        <f t="shared" si="6"/>
        <v>2.3716636132781095</v>
      </c>
      <c r="W19" s="370"/>
      <c r="X19" s="454">
        <f>$J$37*V19</f>
        <v>9.4991472013205573</v>
      </c>
    </row>
    <row r="21" spans="2:24">
      <c r="B21" s="370"/>
      <c r="C21" s="370"/>
      <c r="F21" s="210"/>
      <c r="G21" s="196"/>
      <c r="H21" s="372"/>
      <c r="I21" s="376"/>
      <c r="J21" s="196"/>
      <c r="K21" s="375"/>
      <c r="L21" s="370"/>
      <c r="M21" s="196"/>
      <c r="N21" s="210"/>
      <c r="P21" s="377"/>
      <c r="Q21" s="378"/>
      <c r="R21" s="210"/>
    </row>
    <row r="22" spans="2:24">
      <c r="B22" s="370" t="s">
        <v>138</v>
      </c>
      <c r="C22" s="370"/>
      <c r="F22" s="216"/>
      <c r="G22" s="178"/>
      <c r="H22" s="373"/>
      <c r="I22" s="403"/>
      <c r="J22" s="414"/>
      <c r="K22" s="414"/>
      <c r="L22" s="178"/>
      <c r="M22" s="178"/>
      <c r="N22" s="370"/>
      <c r="P22" s="493"/>
      <c r="Q22" s="494"/>
      <c r="R22" s="370"/>
    </row>
    <row r="23" spans="2:24">
      <c r="B23" s="370" t="s">
        <v>951</v>
      </c>
      <c r="C23" s="370"/>
      <c r="E23" s="367" t="str">
        <f>"DCF, "&amp;TEXT(H23,"0.0")&amp;"x 19E EBITDA"</f>
        <v>DCF, 0.0x 19E EBITDA</v>
      </c>
      <c r="F23" s="216"/>
      <c r="G23" s="178"/>
      <c r="H23" s="373"/>
      <c r="I23" s="178" t="s">
        <v>134</v>
      </c>
      <c r="J23" s="484"/>
      <c r="K23" s="178" t="s">
        <v>135</v>
      </c>
      <c r="L23" s="484"/>
      <c r="M23" s="178" t="s">
        <v>134</v>
      </c>
      <c r="N23" s="178">
        <f>(J23-L23)</f>
        <v>0</v>
      </c>
      <c r="O23" s="178" t="s">
        <v>133</v>
      </c>
      <c r="P23" s="490"/>
      <c r="Q23" s="393" t="s">
        <v>134</v>
      </c>
      <c r="R23" s="216">
        <f>P23*N23</f>
        <v>0</v>
      </c>
    </row>
    <row r="24" spans="2:24">
      <c r="B24" s="370" t="s">
        <v>229</v>
      </c>
      <c r="C24" s="370"/>
      <c r="E24" s="367" t="str">
        <f>"DCF, "&amp;TEXT(H24,"0.0")&amp;"x 19E EBITDA"</f>
        <v>DCF, 4.9x 19E EBITDA</v>
      </c>
      <c r="F24" s="208">
        <v>6335.6762797222818</v>
      </c>
      <c r="G24" s="500" t="s">
        <v>133</v>
      </c>
      <c r="H24" s="499">
        <v>4.9040997767279331</v>
      </c>
      <c r="I24" s="178" t="s">
        <v>134</v>
      </c>
      <c r="J24" s="484"/>
      <c r="K24" s="178" t="s">
        <v>135</v>
      </c>
      <c r="L24" s="484"/>
      <c r="M24" s="178" t="s">
        <v>134</v>
      </c>
      <c r="N24" s="178">
        <f>(J24-L24)</f>
        <v>0</v>
      </c>
      <c r="O24" s="178" t="s">
        <v>133</v>
      </c>
      <c r="P24" s="490"/>
      <c r="Q24" s="393" t="s">
        <v>134</v>
      </c>
      <c r="R24" s="385">
        <f>P24*N24</f>
        <v>0</v>
      </c>
    </row>
    <row r="25" spans="2:24">
      <c r="B25" s="345" t="s">
        <v>137</v>
      </c>
      <c r="C25" s="370"/>
      <c r="R25" s="210">
        <f>R23+R24</f>
        <v>0</v>
      </c>
    </row>
    <row r="26" spans="2:24">
      <c r="D26" s="345"/>
      <c r="E26" s="381"/>
      <c r="F26" s="381"/>
      <c r="G26" s="381"/>
      <c r="H26" s="381"/>
      <c r="I26" s="381"/>
      <c r="J26" s="381"/>
      <c r="K26" s="381"/>
      <c r="Q26" s="440"/>
      <c r="R26" s="441"/>
    </row>
    <row r="27" spans="2:24" ht="12.6" thickBot="1">
      <c r="B27" s="382" t="s">
        <v>141</v>
      </c>
      <c r="D27" s="345"/>
      <c r="E27" s="381"/>
      <c r="H27" s="381"/>
      <c r="I27" s="381"/>
      <c r="J27" s="374">
        <f>J19</f>
        <v>84188.751757260237</v>
      </c>
      <c r="T27" s="460" t="s">
        <v>544</v>
      </c>
      <c r="U27" s="368"/>
      <c r="V27" s="368"/>
      <c r="W27" s="368"/>
      <c r="X27" s="368"/>
    </row>
    <row r="28" spans="2:24" ht="12.6" thickTop="1">
      <c r="B28" s="383" t="s">
        <v>1491</v>
      </c>
      <c r="D28" s="424"/>
      <c r="J28" s="484">
        <f>-AXI!D12</f>
        <v>-23035.81246180641</v>
      </c>
      <c r="T28" s="134"/>
    </row>
    <row r="29" spans="2:24">
      <c r="B29" s="383" t="s">
        <v>654</v>
      </c>
      <c r="D29" s="386"/>
      <c r="E29" s="381"/>
      <c r="G29" s="381"/>
      <c r="H29" s="381"/>
      <c r="I29" s="381"/>
      <c r="J29" s="484">
        <v>442</v>
      </c>
      <c r="K29" s="381"/>
    </row>
    <row r="30" spans="2:24">
      <c r="B30" s="384" t="s">
        <v>370</v>
      </c>
      <c r="J30" s="216">
        <f>-T19</f>
        <v>-26097.176760363658</v>
      </c>
    </row>
    <row r="31" spans="2:24">
      <c r="B31" s="384" t="s">
        <v>372</v>
      </c>
      <c r="J31" s="385">
        <f>R25</f>
        <v>0</v>
      </c>
      <c r="K31" s="381"/>
    </row>
    <row r="32" spans="2:24">
      <c r="B32" s="382" t="s">
        <v>490</v>
      </c>
      <c r="D32" s="345"/>
      <c r="E32" s="381"/>
      <c r="F32" s="381"/>
      <c r="G32" s="381"/>
      <c r="H32" s="381"/>
      <c r="I32" s="381"/>
      <c r="J32" s="210">
        <f>SUM(J27:J31)</f>
        <v>35497.762535090165</v>
      </c>
      <c r="K32" s="381"/>
    </row>
    <row r="33" spans="2:24">
      <c r="B33" s="384" t="s">
        <v>491</v>
      </c>
      <c r="D33" s="370"/>
      <c r="J33" s="484">
        <f>AXI!D10</f>
        <v>9183.7790000000005</v>
      </c>
      <c r="K33" s="381"/>
    </row>
    <row r="34" spans="2:24">
      <c r="B34" s="382" t="s">
        <v>492</v>
      </c>
      <c r="D34" s="370"/>
      <c r="J34" s="471">
        <f>J32/J33</f>
        <v>3.8652675042692297</v>
      </c>
      <c r="K34" s="381"/>
    </row>
    <row r="35" spans="2:24">
      <c r="B35" s="384" t="s">
        <v>1034</v>
      </c>
      <c r="D35" s="370"/>
      <c r="J35" s="485">
        <v>0.14000000000000001</v>
      </c>
      <c r="K35" s="381"/>
    </row>
    <row r="36" spans="2:24" ht="12.6" thickBot="1">
      <c r="B36" s="384" t="s">
        <v>1070</v>
      </c>
      <c r="D36" s="370"/>
      <c r="J36" s="485">
        <v>0</v>
      </c>
      <c r="K36" s="381"/>
    </row>
    <row r="37" spans="2:24" ht="12.6" thickBot="1">
      <c r="B37" s="382" t="s">
        <v>61</v>
      </c>
      <c r="D37" s="345"/>
      <c r="E37" s="381"/>
      <c r="H37" s="381"/>
      <c r="I37" s="381"/>
      <c r="J37" s="467">
        <f>J34+J35+J36</f>
        <v>4.0052675042692298</v>
      </c>
    </row>
    <row r="38" spans="2:24">
      <c r="B38" s="384" t="s">
        <v>493</v>
      </c>
      <c r="D38" s="370"/>
      <c r="J38" s="455">
        <f>Prices!C81</f>
        <v>2.44</v>
      </c>
    </row>
    <row r="39" spans="2:24">
      <c r="B39" s="382" t="s">
        <v>96</v>
      </c>
      <c r="D39" s="345"/>
      <c r="E39" s="381"/>
      <c r="H39" s="381"/>
      <c r="I39" s="381"/>
      <c r="J39" s="387">
        <f>J37/J38-1</f>
        <v>0.64150307552017627</v>
      </c>
      <c r="K39" s="381"/>
    </row>
    <row r="40" spans="2:24">
      <c r="D40" s="345"/>
      <c r="E40" s="345"/>
      <c r="H40" s="381"/>
      <c r="I40" s="381"/>
    </row>
    <row r="41" spans="2:24">
      <c r="K41" s="381"/>
    </row>
    <row r="42" spans="2:24">
      <c r="D42" s="345"/>
      <c r="E42" s="345"/>
      <c r="F42" s="345"/>
      <c r="G42" s="345"/>
      <c r="H42" s="345"/>
      <c r="I42" s="345"/>
    </row>
    <row r="43" spans="2:24">
      <c r="B43" s="367" t="s">
        <v>320</v>
      </c>
      <c r="D43" s="386">
        <f>Prices!C159</f>
        <v>4.3305119999999997</v>
      </c>
      <c r="E43" s="465"/>
      <c r="F43" s="345"/>
      <c r="G43" s="345"/>
      <c r="H43" s="345"/>
      <c r="I43" s="345"/>
    </row>
    <row r="44" spans="2:24">
      <c r="B44" s="367" t="s">
        <v>321</v>
      </c>
      <c r="D44" s="386">
        <f>Prices!C152/Prices!C159</f>
        <v>19.384834864791969</v>
      </c>
      <c r="E44" s="345"/>
      <c r="F44" s="345"/>
      <c r="G44" s="345"/>
      <c r="H44" s="345"/>
      <c r="I44" s="345"/>
      <c r="K44" s="381"/>
    </row>
    <row r="45" spans="2:24">
      <c r="D45" s="386"/>
      <c r="E45" s="465"/>
      <c r="F45" s="345"/>
      <c r="G45" s="345"/>
      <c r="H45" s="345"/>
      <c r="I45" s="345"/>
    </row>
    <row r="46" spans="2:24">
      <c r="D46" s="386"/>
      <c r="E46" s="345"/>
      <c r="F46" s="345"/>
      <c r="G46" s="345"/>
      <c r="H46" s="345"/>
      <c r="I46" s="345"/>
    </row>
    <row r="47" spans="2:24" ht="12.6" thickBot="1">
      <c r="T47" s="460" t="s">
        <v>544</v>
      </c>
      <c r="U47" s="368"/>
      <c r="V47" s="368"/>
      <c r="W47" s="368"/>
      <c r="X47" s="368"/>
    </row>
    <row r="48" spans="2:24" ht="12.6" thickTop="1">
      <c r="D48" s="345"/>
      <c r="E48" s="345"/>
      <c r="F48" s="345"/>
      <c r="G48" s="345"/>
      <c r="H48" s="345"/>
      <c r="I48" s="345"/>
      <c r="S48" s="440"/>
      <c r="T48" s="370" t="str">
        <f t="shared" ref="T48:T53" si="10">B11</f>
        <v>Malaysia</v>
      </c>
      <c r="X48" s="394">
        <f t="shared" ref="X48:X53" si="11">(J11)/($J$19+$R$25)</f>
        <v>0.21619774150752116</v>
      </c>
    </row>
    <row r="49" spans="4:24">
      <c r="D49" s="345"/>
      <c r="E49" s="381"/>
      <c r="F49" s="381"/>
      <c r="G49" s="381"/>
      <c r="H49" s="381"/>
      <c r="I49" s="381"/>
      <c r="T49" s="370" t="str">
        <f t="shared" si="10"/>
        <v>XL Axiata</v>
      </c>
      <c r="X49" s="394">
        <f t="shared" si="11"/>
        <v>0.22918869875245498</v>
      </c>
    </row>
    <row r="50" spans="4:24">
      <c r="D50" s="345"/>
      <c r="E50" s="381"/>
      <c r="F50" s="381"/>
      <c r="G50" s="381"/>
      <c r="H50" s="381"/>
      <c r="I50" s="381"/>
      <c r="T50" s="370" t="str">
        <f t="shared" si="10"/>
        <v>Sri Lanka</v>
      </c>
      <c r="X50" s="394">
        <f t="shared" si="11"/>
        <v>9.6835063637659383E-2</v>
      </c>
    </row>
    <row r="51" spans="4:24">
      <c r="D51" s="370"/>
      <c r="E51" s="381"/>
      <c r="F51" s="381"/>
      <c r="G51" s="381"/>
      <c r="H51" s="381"/>
      <c r="I51" s="381"/>
      <c r="T51" s="370" t="str">
        <f t="shared" si="10"/>
        <v>Bangladesh</v>
      </c>
      <c r="X51" s="394">
        <f t="shared" si="11"/>
        <v>6.4558011370594678E-2</v>
      </c>
    </row>
    <row r="52" spans="4:24">
      <c r="D52" s="370"/>
      <c r="E52" s="381"/>
      <c r="F52" s="381"/>
      <c r="G52" s="381"/>
      <c r="H52" s="381"/>
      <c r="I52" s="381"/>
      <c r="T52" s="370" t="str">
        <f t="shared" si="10"/>
        <v>Nepal</v>
      </c>
      <c r="X52" s="394">
        <f t="shared" si="11"/>
        <v>4.313423324596323E-2</v>
      </c>
    </row>
    <row r="53" spans="4:24">
      <c r="D53" s="370"/>
      <c r="T53" s="370" t="str">
        <f t="shared" si="10"/>
        <v>Cambodia</v>
      </c>
      <c r="X53" s="394">
        <f t="shared" si="11"/>
        <v>2.0213298185228157E-2</v>
      </c>
    </row>
    <row r="54" spans="4:24">
      <c r="D54" s="345"/>
      <c r="E54" s="381"/>
      <c r="F54" s="381"/>
      <c r="G54" s="381"/>
      <c r="H54" s="381"/>
      <c r="I54" s="381"/>
      <c r="T54" s="370" t="str">
        <f>B18</f>
        <v>Other</v>
      </c>
      <c r="X54" s="394">
        <f>(J18)/($J$19+$R$25)</f>
        <v>0.14253685616576622</v>
      </c>
    </row>
    <row r="55" spans="4:24">
      <c r="D55" s="370"/>
      <c r="E55" s="381"/>
      <c r="F55" s="381"/>
      <c r="G55" s="381"/>
      <c r="H55" s="381"/>
      <c r="I55" s="381"/>
      <c r="S55" s="249"/>
      <c r="T55" s="370" t="str">
        <f>B23</f>
        <v>Mobileone (Singapore)</v>
      </c>
      <c r="X55" s="394">
        <f>(J23/(R25+J19))</f>
        <v>0</v>
      </c>
    </row>
    <row r="56" spans="4:24">
      <c r="D56" s="370"/>
      <c r="E56" s="381"/>
      <c r="F56" s="381"/>
      <c r="G56" s="381"/>
      <c r="H56" s="381"/>
      <c r="I56" s="381"/>
      <c r="L56" s="249"/>
      <c r="M56" s="249"/>
      <c r="N56" s="249"/>
      <c r="O56" s="249"/>
      <c r="P56" s="249"/>
      <c r="Q56" s="249"/>
      <c r="R56" s="249"/>
      <c r="S56" s="388"/>
      <c r="T56" s="370" t="str">
        <f>B24</f>
        <v>IDEA Cellular</v>
      </c>
      <c r="X56" s="394">
        <f>(J24/(R25+J19))</f>
        <v>0</v>
      </c>
    </row>
    <row r="57" spans="4:24">
      <c r="D57" s="370"/>
      <c r="N57" s="388"/>
      <c r="O57" s="388"/>
      <c r="P57" s="388"/>
      <c r="Q57" s="388"/>
      <c r="R57" s="388"/>
      <c r="V57" s="392"/>
    </row>
    <row r="58" spans="4:24">
      <c r="D58" s="370"/>
    </row>
    <row r="59" spans="4:24">
      <c r="D59" s="370"/>
      <c r="J59" s="381"/>
      <c r="S59" s="249"/>
      <c r="T59" s="249"/>
      <c r="U59" s="249"/>
      <c r="V59" s="249"/>
      <c r="W59" s="249"/>
      <c r="X59" s="249"/>
    </row>
    <row r="60" spans="4:24">
      <c r="D60" s="370"/>
      <c r="J60" s="381"/>
      <c r="L60" s="249"/>
      <c r="M60" s="249"/>
      <c r="N60" s="249"/>
      <c r="O60" s="249"/>
      <c r="P60" s="249"/>
      <c r="Q60" s="249"/>
      <c r="R60" s="249"/>
      <c r="S60" s="388"/>
      <c r="T60" s="388"/>
      <c r="U60" s="388"/>
      <c r="V60" s="388"/>
      <c r="W60" s="388"/>
      <c r="X60" s="388"/>
    </row>
    <row r="61" spans="4:24">
      <c r="D61" s="370"/>
      <c r="N61" s="388"/>
      <c r="O61" s="388"/>
      <c r="P61" s="388"/>
      <c r="Q61" s="388"/>
      <c r="R61" s="388"/>
    </row>
    <row r="62" spans="4:24">
      <c r="D62" s="370"/>
      <c r="J62" s="381"/>
      <c r="S62" s="249"/>
      <c r="T62" s="249"/>
      <c r="U62" s="249"/>
      <c r="V62" s="249"/>
      <c r="W62" s="249"/>
      <c r="X62" s="249"/>
    </row>
    <row r="63" spans="4:24">
      <c r="D63" s="370"/>
      <c r="J63" s="381"/>
      <c r="L63" s="249"/>
      <c r="M63" s="249"/>
      <c r="N63" s="249"/>
      <c r="O63" s="249"/>
      <c r="P63" s="249"/>
      <c r="Q63" s="249"/>
      <c r="R63" s="249"/>
      <c r="S63" s="388"/>
      <c r="T63" s="388"/>
      <c r="U63" s="388"/>
      <c r="V63" s="388"/>
      <c r="W63" s="388"/>
      <c r="X63" s="388"/>
    </row>
    <row r="64" spans="4:24">
      <c r="D64" s="370"/>
      <c r="J64" s="381"/>
      <c r="K64" s="381"/>
      <c r="N64" s="388"/>
      <c r="O64" s="388"/>
      <c r="P64" s="388"/>
      <c r="Q64" s="388"/>
      <c r="R64" s="388"/>
    </row>
    <row r="65" spans="4:24">
      <c r="D65" s="370"/>
      <c r="K65" s="381"/>
      <c r="S65" s="249"/>
      <c r="T65" s="249"/>
      <c r="U65" s="249"/>
      <c r="V65" s="249"/>
      <c r="W65" s="249"/>
      <c r="X65" s="249"/>
    </row>
    <row r="66" spans="4:24">
      <c r="D66" s="345"/>
      <c r="E66" s="381"/>
      <c r="F66" s="381"/>
      <c r="G66" s="381"/>
      <c r="H66" s="381"/>
      <c r="I66" s="381"/>
      <c r="L66" s="249"/>
      <c r="M66" s="249"/>
      <c r="N66" s="249"/>
      <c r="O66" s="249"/>
      <c r="P66" s="249"/>
      <c r="Q66" s="249"/>
      <c r="R66" s="249"/>
      <c r="S66" s="388"/>
      <c r="T66" s="388"/>
      <c r="U66" s="388"/>
      <c r="V66" s="388"/>
      <c r="W66" s="388"/>
      <c r="X66" s="388"/>
    </row>
    <row r="67" spans="4:24">
      <c r="D67" s="370"/>
      <c r="J67" s="381"/>
      <c r="K67" s="381"/>
      <c r="N67" s="388"/>
      <c r="O67" s="388"/>
      <c r="P67" s="388"/>
      <c r="Q67" s="388"/>
      <c r="R67" s="388"/>
    </row>
    <row r="68" spans="4:24">
      <c r="D68" s="370"/>
      <c r="J68" s="381"/>
      <c r="K68" s="381"/>
      <c r="S68" s="249"/>
      <c r="T68" s="249"/>
      <c r="U68" s="249"/>
      <c r="V68" s="249"/>
      <c r="W68" s="249"/>
      <c r="X68" s="249"/>
    </row>
    <row r="69" spans="4:24">
      <c r="D69" s="345"/>
      <c r="E69" s="381"/>
      <c r="F69" s="381"/>
      <c r="G69" s="381"/>
      <c r="H69" s="381"/>
      <c r="I69" s="381"/>
      <c r="K69" s="381"/>
      <c r="L69" s="249"/>
      <c r="M69" s="249"/>
      <c r="N69" s="249"/>
      <c r="O69" s="249"/>
      <c r="P69" s="249"/>
      <c r="Q69" s="249"/>
      <c r="R69" s="249"/>
      <c r="S69" s="388"/>
      <c r="T69" s="388"/>
      <c r="U69" s="388"/>
      <c r="V69" s="388"/>
      <c r="W69" s="388"/>
      <c r="X69" s="388"/>
    </row>
    <row r="70" spans="4:24">
      <c r="D70" s="370"/>
      <c r="N70" s="388"/>
      <c r="O70" s="388"/>
      <c r="P70" s="388"/>
      <c r="Q70" s="388"/>
      <c r="R70" s="388"/>
      <c r="S70" s="389"/>
      <c r="T70" s="389"/>
      <c r="U70" s="389"/>
      <c r="V70" s="389"/>
      <c r="W70" s="389"/>
      <c r="X70" s="389"/>
    </row>
    <row r="71" spans="4:24">
      <c r="D71" s="345"/>
      <c r="E71" s="381"/>
      <c r="F71" s="381"/>
      <c r="G71" s="381"/>
      <c r="H71" s="381"/>
      <c r="I71" s="381"/>
      <c r="L71" s="389"/>
      <c r="M71" s="389"/>
      <c r="N71" s="389"/>
      <c r="O71" s="389"/>
      <c r="P71" s="389"/>
      <c r="Q71" s="389"/>
      <c r="R71" s="389"/>
      <c r="S71" s="388"/>
      <c r="T71" s="388"/>
      <c r="U71" s="388"/>
      <c r="V71" s="388"/>
      <c r="W71" s="388"/>
      <c r="X71" s="388"/>
    </row>
    <row r="72" spans="4:24">
      <c r="D72" s="370"/>
      <c r="E72" s="381"/>
      <c r="F72" s="381"/>
      <c r="G72" s="381"/>
      <c r="H72" s="381"/>
      <c r="I72" s="381"/>
      <c r="K72" s="381"/>
      <c r="N72" s="388"/>
      <c r="O72" s="388"/>
      <c r="P72" s="388"/>
      <c r="Q72" s="388"/>
      <c r="R72" s="388"/>
    </row>
    <row r="73" spans="4:24">
      <c r="D73" s="370"/>
      <c r="K73" s="381"/>
      <c r="S73" s="249"/>
      <c r="T73" s="249"/>
      <c r="U73" s="249"/>
      <c r="V73" s="249"/>
      <c r="W73" s="249"/>
      <c r="X73" s="249"/>
    </row>
    <row r="74" spans="4:24">
      <c r="D74" s="370"/>
      <c r="L74" s="249"/>
      <c r="M74" s="249"/>
      <c r="N74" s="249"/>
      <c r="O74" s="249"/>
      <c r="P74" s="249"/>
      <c r="Q74" s="249"/>
      <c r="R74" s="249"/>
      <c r="S74" s="390"/>
      <c r="T74" s="390"/>
      <c r="U74" s="390"/>
      <c r="V74" s="390"/>
      <c r="W74" s="390"/>
      <c r="X74" s="390"/>
    </row>
    <row r="75" spans="4:24">
      <c r="D75" s="345"/>
      <c r="E75" s="381"/>
      <c r="F75" s="381"/>
      <c r="G75" s="381"/>
      <c r="H75" s="381"/>
      <c r="I75" s="381"/>
      <c r="N75" s="388"/>
      <c r="O75" s="388"/>
      <c r="P75" s="390"/>
      <c r="Q75" s="390"/>
      <c r="R75" s="390"/>
      <c r="S75" s="249"/>
      <c r="T75" s="249"/>
      <c r="U75" s="249"/>
      <c r="V75" s="249"/>
      <c r="W75" s="249"/>
      <c r="X75" s="249"/>
    </row>
    <row r="76" spans="4:24">
      <c r="D76" s="370"/>
      <c r="E76" s="381"/>
      <c r="F76" s="381"/>
      <c r="G76" s="381"/>
      <c r="H76" s="381"/>
      <c r="I76" s="381"/>
      <c r="L76" s="249"/>
      <c r="M76" s="249"/>
      <c r="N76" s="249"/>
      <c r="O76" s="249"/>
      <c r="P76" s="249"/>
      <c r="Q76" s="249"/>
      <c r="R76" s="249"/>
      <c r="S76" s="388"/>
      <c r="T76" s="388"/>
      <c r="U76" s="388"/>
      <c r="V76" s="388"/>
      <c r="W76" s="388"/>
      <c r="X76" s="388"/>
    </row>
    <row r="77" spans="4:24">
      <c r="D77" s="370"/>
      <c r="N77" s="388"/>
      <c r="O77" s="388"/>
      <c r="P77" s="388"/>
      <c r="Q77" s="388"/>
      <c r="R77" s="388"/>
      <c r="S77" s="248"/>
      <c r="T77" s="248"/>
      <c r="U77" s="248"/>
      <c r="V77" s="248"/>
      <c r="W77" s="248"/>
      <c r="X77" s="248"/>
    </row>
    <row r="78" spans="4:24">
      <c r="D78" s="345"/>
      <c r="E78" s="381"/>
      <c r="F78" s="381"/>
      <c r="G78" s="381"/>
      <c r="H78" s="381"/>
      <c r="I78" s="381"/>
      <c r="L78" s="248"/>
      <c r="M78" s="248"/>
      <c r="N78" s="248"/>
      <c r="O78" s="248"/>
      <c r="P78" s="248"/>
      <c r="Q78" s="248"/>
      <c r="R78" s="248"/>
    </row>
    <row r="79" spans="4:24">
      <c r="D79" s="370"/>
      <c r="J79" s="381"/>
      <c r="S79" s="247"/>
      <c r="T79" s="247"/>
      <c r="U79" s="247"/>
      <c r="V79" s="247"/>
      <c r="W79" s="247"/>
      <c r="X79" s="247"/>
    </row>
    <row r="80" spans="4:24">
      <c r="D80" s="370"/>
      <c r="J80" s="381"/>
      <c r="L80" s="247"/>
      <c r="M80" s="247"/>
      <c r="N80" s="247"/>
      <c r="O80" s="247"/>
      <c r="P80" s="247"/>
      <c r="Q80" s="247"/>
      <c r="R80" s="247"/>
      <c r="S80" s="388"/>
      <c r="T80" s="388"/>
      <c r="U80" s="388"/>
      <c r="V80" s="388"/>
      <c r="W80" s="388"/>
      <c r="X80" s="388"/>
    </row>
    <row r="81" spans="4:24">
      <c r="D81" s="345"/>
      <c r="E81" s="381"/>
      <c r="F81" s="381"/>
      <c r="G81" s="381"/>
      <c r="H81" s="381"/>
      <c r="I81" s="381"/>
      <c r="N81" s="388"/>
      <c r="O81" s="388"/>
      <c r="P81" s="388"/>
      <c r="Q81" s="388"/>
      <c r="R81" s="388"/>
    </row>
    <row r="82" spans="4:24">
      <c r="D82" s="370"/>
      <c r="S82" s="389"/>
      <c r="T82" s="389"/>
      <c r="U82" s="389"/>
      <c r="V82" s="389"/>
      <c r="W82" s="389"/>
      <c r="X82" s="389"/>
    </row>
    <row r="83" spans="4:24">
      <c r="D83" s="370"/>
      <c r="J83" s="381"/>
      <c r="L83" s="389"/>
      <c r="M83" s="389"/>
      <c r="N83" s="389"/>
      <c r="O83" s="389"/>
      <c r="P83" s="389"/>
      <c r="Q83" s="389"/>
      <c r="R83" s="389"/>
      <c r="S83" s="388"/>
      <c r="T83" s="388"/>
      <c r="U83" s="388"/>
      <c r="V83" s="388"/>
      <c r="W83" s="388"/>
      <c r="X83" s="388"/>
    </row>
    <row r="84" spans="4:24">
      <c r="D84" s="370"/>
      <c r="J84" s="381"/>
      <c r="K84" s="381"/>
      <c r="N84" s="388"/>
      <c r="O84" s="388"/>
      <c r="P84" s="388"/>
      <c r="Q84" s="388"/>
      <c r="R84" s="388"/>
    </row>
    <row r="85" spans="4:24">
      <c r="D85" s="345"/>
      <c r="E85" s="381"/>
      <c r="F85" s="381"/>
      <c r="G85" s="381"/>
      <c r="H85" s="381"/>
      <c r="I85" s="381"/>
      <c r="K85" s="381"/>
      <c r="S85" s="391"/>
      <c r="T85" s="391"/>
      <c r="U85" s="391"/>
      <c r="V85" s="391"/>
      <c r="W85" s="391"/>
      <c r="X85" s="391"/>
    </row>
    <row r="86" spans="4:24">
      <c r="D86" s="370"/>
      <c r="L86" s="391"/>
      <c r="M86" s="391"/>
      <c r="N86" s="391"/>
      <c r="O86" s="391"/>
      <c r="P86" s="391"/>
      <c r="Q86" s="391"/>
      <c r="R86" s="391"/>
      <c r="S86" s="388"/>
      <c r="T86" s="388"/>
      <c r="U86" s="388"/>
      <c r="V86" s="388"/>
      <c r="W86" s="388"/>
      <c r="X86" s="388"/>
    </row>
    <row r="87" spans="4:24">
      <c r="D87" s="370"/>
      <c r="E87" s="345"/>
      <c r="F87" s="345"/>
      <c r="G87" s="345"/>
      <c r="H87" s="345"/>
      <c r="I87" s="345"/>
      <c r="J87" s="381"/>
      <c r="N87" s="388"/>
      <c r="O87" s="388"/>
      <c r="P87" s="388"/>
      <c r="Q87" s="388"/>
      <c r="R87" s="388"/>
      <c r="S87" s="248"/>
      <c r="T87" s="248"/>
      <c r="U87" s="248"/>
      <c r="V87" s="248"/>
      <c r="W87" s="248"/>
      <c r="X87" s="248"/>
    </row>
    <row r="88" spans="4:24">
      <c r="D88" s="370"/>
      <c r="E88" s="345"/>
      <c r="F88" s="345"/>
      <c r="G88" s="345"/>
      <c r="H88" s="345"/>
      <c r="I88" s="345"/>
      <c r="K88" s="381"/>
      <c r="N88" s="248"/>
      <c r="O88" s="248"/>
      <c r="P88" s="248"/>
      <c r="Q88" s="248"/>
      <c r="R88" s="248"/>
    </row>
    <row r="89" spans="4:24">
      <c r="D89" s="370"/>
      <c r="K89" s="381"/>
      <c r="S89" s="247"/>
      <c r="T89" s="247"/>
      <c r="U89" s="247"/>
      <c r="V89" s="247"/>
      <c r="W89" s="247"/>
      <c r="X89" s="247"/>
    </row>
    <row r="90" spans="4:24">
      <c r="D90" s="370"/>
      <c r="L90" s="247"/>
      <c r="M90" s="247"/>
      <c r="N90" s="247"/>
      <c r="O90" s="247"/>
      <c r="P90" s="247"/>
      <c r="Q90" s="247"/>
      <c r="R90" s="247"/>
      <c r="S90" s="388"/>
      <c r="T90" s="388"/>
      <c r="U90" s="388"/>
      <c r="V90" s="388"/>
      <c r="W90" s="388"/>
      <c r="X90" s="388"/>
    </row>
    <row r="91" spans="4:24">
      <c r="D91" s="370"/>
      <c r="N91" s="388"/>
      <c r="O91" s="388"/>
      <c r="P91" s="388"/>
      <c r="Q91" s="388"/>
      <c r="R91" s="388"/>
      <c r="S91" s="274"/>
      <c r="T91" s="274"/>
      <c r="U91" s="274"/>
      <c r="V91" s="274"/>
      <c r="W91" s="274"/>
      <c r="X91" s="274"/>
    </row>
    <row r="92" spans="4:24">
      <c r="D92" s="345"/>
      <c r="E92" s="381"/>
      <c r="F92" s="381"/>
      <c r="G92" s="381"/>
      <c r="H92" s="381"/>
      <c r="I92" s="381"/>
      <c r="K92" s="381"/>
      <c r="L92" s="274"/>
      <c r="M92" s="274"/>
      <c r="N92" s="274"/>
      <c r="O92" s="274"/>
      <c r="P92" s="274"/>
      <c r="Q92" s="274"/>
      <c r="R92" s="274"/>
    </row>
    <row r="93" spans="4:24">
      <c r="D93" s="345"/>
      <c r="E93" s="381"/>
      <c r="F93" s="381"/>
      <c r="G93" s="381"/>
      <c r="H93" s="381"/>
      <c r="I93" s="381"/>
      <c r="S93" s="389"/>
      <c r="T93" s="389"/>
      <c r="U93" s="389"/>
      <c r="V93" s="389"/>
      <c r="W93" s="389"/>
      <c r="X93" s="389"/>
    </row>
    <row r="94" spans="4:24">
      <c r="D94" s="370"/>
      <c r="E94" s="381"/>
      <c r="F94" s="381"/>
      <c r="G94" s="381"/>
      <c r="H94" s="381"/>
      <c r="I94" s="381"/>
      <c r="L94" s="389"/>
      <c r="M94" s="389"/>
      <c r="N94" s="389"/>
      <c r="O94" s="389"/>
      <c r="P94" s="389"/>
      <c r="Q94" s="389"/>
      <c r="R94" s="389"/>
      <c r="S94" s="388"/>
      <c r="T94" s="388"/>
      <c r="U94" s="388"/>
      <c r="V94" s="388"/>
      <c r="W94" s="388"/>
      <c r="X94" s="388"/>
    </row>
    <row r="95" spans="4:24">
      <c r="D95" s="370"/>
      <c r="E95" s="381"/>
      <c r="F95" s="381"/>
      <c r="G95" s="381"/>
      <c r="H95" s="381"/>
      <c r="I95" s="381"/>
      <c r="N95" s="388"/>
      <c r="O95" s="388"/>
      <c r="P95" s="388"/>
      <c r="Q95" s="388"/>
      <c r="R95" s="388"/>
    </row>
    <row r="96" spans="4:24">
      <c r="D96" s="370"/>
    </row>
    <row r="97" spans="4:24">
      <c r="D97" s="345"/>
      <c r="E97" s="381"/>
      <c r="F97" s="381"/>
      <c r="G97" s="381"/>
      <c r="H97" s="381"/>
      <c r="I97" s="381"/>
      <c r="S97" s="249"/>
      <c r="T97" s="249"/>
      <c r="U97" s="249"/>
      <c r="V97" s="249"/>
      <c r="W97" s="249"/>
      <c r="X97" s="249"/>
    </row>
    <row r="98" spans="4:24">
      <c r="D98" s="370"/>
      <c r="E98" s="381"/>
      <c r="F98" s="381"/>
      <c r="G98" s="381"/>
      <c r="H98" s="381"/>
      <c r="I98" s="381"/>
      <c r="L98" s="249"/>
      <c r="M98" s="249"/>
      <c r="N98" s="249"/>
      <c r="O98" s="249"/>
      <c r="P98" s="249"/>
      <c r="Q98" s="249"/>
      <c r="R98" s="249"/>
      <c r="S98" s="388"/>
      <c r="T98" s="388"/>
      <c r="U98" s="388"/>
      <c r="V98" s="388"/>
      <c r="W98" s="388"/>
      <c r="X98" s="388"/>
    </row>
    <row r="99" spans="4:24">
      <c r="D99" s="370"/>
      <c r="E99" s="381"/>
      <c r="F99" s="381"/>
      <c r="G99" s="381"/>
      <c r="H99" s="381"/>
      <c r="I99" s="381"/>
      <c r="N99" s="388"/>
      <c r="O99" s="388"/>
      <c r="P99" s="388"/>
      <c r="Q99" s="388"/>
      <c r="R99" s="388"/>
    </row>
    <row r="100" spans="4:24">
      <c r="D100" s="370"/>
      <c r="S100" s="249"/>
      <c r="T100" s="249"/>
      <c r="U100" s="249"/>
      <c r="V100" s="249"/>
      <c r="W100" s="249"/>
      <c r="X100" s="249"/>
    </row>
    <row r="101" spans="4:24">
      <c r="D101" s="370"/>
      <c r="L101" s="249"/>
      <c r="M101" s="249"/>
      <c r="N101" s="249"/>
      <c r="O101" s="249"/>
      <c r="P101" s="249"/>
      <c r="Q101" s="249"/>
      <c r="R101" s="249"/>
      <c r="S101" s="390"/>
      <c r="T101" s="390"/>
      <c r="U101" s="390"/>
      <c r="V101" s="390"/>
      <c r="W101" s="390"/>
      <c r="X101" s="390"/>
    </row>
    <row r="102" spans="4:24">
      <c r="D102" s="370"/>
      <c r="J102" s="381"/>
      <c r="N102" s="388"/>
      <c r="O102" s="388"/>
      <c r="P102" s="390"/>
      <c r="Q102" s="390"/>
      <c r="R102" s="390"/>
    </row>
    <row r="103" spans="4:24">
      <c r="D103" s="370"/>
      <c r="J103" s="381"/>
      <c r="S103" s="389"/>
      <c r="T103" s="389"/>
      <c r="U103" s="389"/>
      <c r="V103" s="389"/>
      <c r="W103" s="389"/>
      <c r="X103" s="389"/>
    </row>
    <row r="104" spans="4:24">
      <c r="D104" s="370"/>
      <c r="L104" s="389"/>
      <c r="M104" s="389"/>
      <c r="N104" s="389"/>
      <c r="O104" s="389"/>
      <c r="P104" s="389"/>
      <c r="Q104" s="389"/>
      <c r="R104" s="389"/>
      <c r="S104" s="392"/>
      <c r="T104" s="392"/>
      <c r="U104" s="392"/>
      <c r="V104" s="392"/>
      <c r="W104" s="392"/>
      <c r="X104" s="392"/>
    </row>
    <row r="105" spans="4:24">
      <c r="D105" s="370"/>
      <c r="J105" s="381"/>
      <c r="N105" s="392"/>
      <c r="O105" s="392"/>
      <c r="P105" s="392"/>
      <c r="Q105" s="392"/>
      <c r="R105" s="392"/>
      <c r="S105" s="392"/>
      <c r="T105" s="392"/>
      <c r="U105" s="392"/>
      <c r="V105" s="392"/>
      <c r="W105" s="392"/>
      <c r="X105" s="392"/>
    </row>
    <row r="106" spans="4:24">
      <c r="D106" s="370"/>
      <c r="J106" s="381"/>
      <c r="L106" s="392"/>
      <c r="M106" s="392"/>
      <c r="N106" s="392"/>
      <c r="O106" s="392"/>
      <c r="P106" s="392"/>
      <c r="Q106" s="392"/>
      <c r="R106" s="392"/>
    </row>
    <row r="107" spans="4:24">
      <c r="D107" s="370"/>
      <c r="J107" s="381"/>
      <c r="K107" s="381"/>
      <c r="S107" s="388"/>
      <c r="T107" s="388"/>
      <c r="U107" s="388"/>
      <c r="V107" s="388"/>
      <c r="W107" s="388"/>
      <c r="X107" s="388"/>
    </row>
    <row r="108" spans="4:24">
      <c r="D108" s="370"/>
      <c r="K108" s="381"/>
      <c r="L108" s="388"/>
      <c r="M108" s="388"/>
      <c r="N108" s="388"/>
      <c r="O108" s="388"/>
      <c r="P108" s="388"/>
      <c r="Q108" s="388"/>
      <c r="R108" s="388"/>
      <c r="S108" s="389"/>
      <c r="T108" s="389"/>
      <c r="U108" s="389"/>
      <c r="V108" s="389"/>
      <c r="W108" s="389"/>
      <c r="X108" s="389"/>
    </row>
    <row r="109" spans="4:24">
      <c r="D109" s="345"/>
      <c r="E109" s="381"/>
      <c r="F109" s="381"/>
      <c r="G109" s="381"/>
      <c r="H109" s="381"/>
      <c r="I109" s="381"/>
      <c r="L109" s="389"/>
      <c r="M109" s="389"/>
      <c r="N109" s="389"/>
      <c r="O109" s="389"/>
      <c r="P109" s="389"/>
      <c r="Q109" s="389"/>
      <c r="R109" s="389"/>
      <c r="S109" s="392"/>
      <c r="T109" s="392"/>
      <c r="U109" s="392"/>
      <c r="V109" s="392"/>
      <c r="W109" s="392"/>
      <c r="X109" s="392"/>
    </row>
    <row r="110" spans="4:24">
      <c r="D110" s="370"/>
      <c r="J110" s="381"/>
      <c r="K110" s="381"/>
      <c r="R110" s="392"/>
    </row>
    <row r="111" spans="4:24">
      <c r="D111" s="370"/>
      <c r="J111" s="381"/>
      <c r="K111" s="381"/>
      <c r="S111" s="389"/>
      <c r="T111" s="389"/>
      <c r="U111" s="389"/>
      <c r="V111" s="389"/>
      <c r="W111" s="389"/>
      <c r="X111" s="389"/>
    </row>
    <row r="112" spans="4:24">
      <c r="D112" s="345"/>
      <c r="E112" s="381"/>
      <c r="F112" s="381"/>
      <c r="G112" s="381"/>
      <c r="H112" s="381"/>
      <c r="I112" s="381"/>
      <c r="K112" s="381"/>
      <c r="L112" s="389"/>
      <c r="M112" s="389"/>
      <c r="N112" s="389"/>
      <c r="O112" s="389"/>
      <c r="P112" s="389"/>
      <c r="Q112" s="389"/>
      <c r="R112" s="389"/>
      <c r="S112" s="392"/>
      <c r="T112" s="392"/>
      <c r="U112" s="392"/>
      <c r="V112" s="392"/>
      <c r="W112" s="392"/>
      <c r="X112" s="392"/>
    </row>
    <row r="113" spans="4:18">
      <c r="D113" s="370"/>
      <c r="N113" s="392"/>
      <c r="O113" s="392"/>
      <c r="P113" s="392"/>
      <c r="Q113" s="392"/>
      <c r="R113" s="392"/>
    </row>
    <row r="114" spans="4:18">
      <c r="D114" s="345"/>
      <c r="E114" s="381"/>
      <c r="F114" s="381"/>
      <c r="G114" s="381"/>
      <c r="H114" s="381"/>
      <c r="I114" s="381"/>
    </row>
    <row r="115" spans="4:18">
      <c r="D115" s="370"/>
      <c r="E115" s="381"/>
      <c r="F115" s="381"/>
      <c r="G115" s="381"/>
      <c r="H115" s="381"/>
      <c r="I115" s="381"/>
      <c r="K115" s="381"/>
    </row>
    <row r="116" spans="4:18">
      <c r="D116" s="370"/>
      <c r="K116" s="381"/>
    </row>
    <row r="117" spans="4:18">
      <c r="D117" s="370"/>
    </row>
    <row r="118" spans="4:18">
      <c r="D118" s="345"/>
      <c r="E118" s="381"/>
      <c r="F118" s="381"/>
      <c r="G118" s="381"/>
      <c r="H118" s="381"/>
      <c r="I118" s="381"/>
    </row>
    <row r="119" spans="4:18">
      <c r="D119" s="370"/>
      <c r="E119" s="381"/>
      <c r="F119" s="381"/>
      <c r="G119" s="381"/>
      <c r="H119" s="381"/>
      <c r="I119" s="381"/>
    </row>
    <row r="120" spans="4:18">
      <c r="D120" s="370"/>
    </row>
    <row r="121" spans="4:18">
      <c r="D121" s="345"/>
      <c r="E121" s="381"/>
      <c r="F121" s="381"/>
      <c r="G121" s="381"/>
      <c r="H121" s="381"/>
      <c r="I121" s="381"/>
    </row>
    <row r="122" spans="4:18">
      <c r="D122" s="370"/>
      <c r="J122" s="381"/>
    </row>
    <row r="123" spans="4:18">
      <c r="D123" s="370"/>
      <c r="J123" s="381"/>
    </row>
    <row r="124" spans="4:18">
      <c r="D124" s="345"/>
      <c r="E124" s="381"/>
      <c r="F124" s="381"/>
      <c r="G124" s="381"/>
      <c r="H124" s="381"/>
      <c r="I124" s="381"/>
    </row>
    <row r="125" spans="4:18">
      <c r="D125" s="370"/>
    </row>
    <row r="126" spans="4:18">
      <c r="D126" s="370"/>
      <c r="J126" s="381"/>
    </row>
    <row r="127" spans="4:18">
      <c r="D127" s="370"/>
      <c r="J127" s="381"/>
      <c r="K127" s="381"/>
    </row>
    <row r="128" spans="4:18">
      <c r="D128" s="345"/>
      <c r="E128" s="381"/>
      <c r="F128" s="381"/>
      <c r="G128" s="381"/>
      <c r="H128" s="381"/>
      <c r="I128" s="381"/>
      <c r="K128" s="381"/>
    </row>
    <row r="129" spans="4:11">
      <c r="D129" s="370"/>
    </row>
    <row r="130" spans="4:11">
      <c r="D130" s="370"/>
      <c r="E130" s="345"/>
      <c r="F130" s="345"/>
      <c r="G130" s="345"/>
      <c r="H130" s="345"/>
      <c r="I130" s="345"/>
      <c r="J130" s="381"/>
    </row>
    <row r="131" spans="4:11">
      <c r="D131" s="370"/>
      <c r="E131" s="345"/>
      <c r="F131" s="345"/>
      <c r="G131" s="345"/>
      <c r="H131" s="345"/>
      <c r="I131" s="345"/>
      <c r="K131" s="381"/>
    </row>
    <row r="132" spans="4:11">
      <c r="D132" s="370"/>
      <c r="K132" s="381"/>
    </row>
    <row r="133" spans="4:11">
      <c r="D133" s="370"/>
    </row>
    <row r="135" spans="4:11">
      <c r="D135" s="345"/>
      <c r="E135" s="381"/>
      <c r="F135" s="381"/>
      <c r="G135" s="381"/>
      <c r="H135" s="381"/>
      <c r="I135" s="381"/>
      <c r="K135" s="381"/>
    </row>
    <row r="136" spans="4:11">
      <c r="D136" s="345"/>
      <c r="E136" s="381"/>
      <c r="F136" s="381"/>
      <c r="G136" s="381"/>
      <c r="H136" s="381"/>
      <c r="I136" s="381"/>
    </row>
    <row r="137" spans="4:11">
      <c r="D137" s="370"/>
      <c r="E137" s="381"/>
      <c r="F137" s="381"/>
      <c r="G137" s="381"/>
      <c r="H137" s="381"/>
      <c r="I137" s="381"/>
    </row>
    <row r="138" spans="4:11">
      <c r="D138" s="370"/>
      <c r="E138" s="381"/>
      <c r="F138" s="381"/>
      <c r="G138" s="381"/>
      <c r="H138" s="381"/>
      <c r="I138" s="381"/>
    </row>
    <row r="139" spans="4:11">
      <c r="D139" s="370"/>
    </row>
    <row r="140" spans="4:11">
      <c r="D140" s="345"/>
      <c r="E140" s="381"/>
      <c r="F140" s="381"/>
      <c r="G140" s="381"/>
      <c r="H140" s="381"/>
      <c r="I140" s="381"/>
    </row>
    <row r="141" spans="4:11">
      <c r="D141" s="370"/>
      <c r="E141" s="381"/>
      <c r="F141" s="381"/>
      <c r="G141" s="381"/>
      <c r="H141" s="381"/>
      <c r="I141" s="381"/>
    </row>
    <row r="142" spans="4:11">
      <c r="D142" s="370"/>
      <c r="E142" s="381"/>
      <c r="F142" s="381"/>
      <c r="G142" s="381"/>
      <c r="H142" s="381"/>
      <c r="I142" s="381"/>
    </row>
    <row r="143" spans="4:11">
      <c r="D143" s="370"/>
    </row>
    <row r="144" spans="4:11">
      <c r="D144" s="370"/>
    </row>
    <row r="145" spans="4:11">
      <c r="D145" s="370"/>
      <c r="J145" s="381"/>
    </row>
    <row r="146" spans="4:11">
      <c r="D146" s="370"/>
      <c r="J146" s="381"/>
    </row>
    <row r="147" spans="4:11">
      <c r="D147" s="370"/>
    </row>
    <row r="148" spans="4:11">
      <c r="D148" s="370"/>
      <c r="J148" s="381"/>
    </row>
    <row r="149" spans="4:11">
      <c r="D149" s="370"/>
      <c r="J149" s="381"/>
    </row>
    <row r="150" spans="4:11">
      <c r="D150" s="370"/>
      <c r="J150" s="381"/>
      <c r="K150" s="381"/>
    </row>
    <row r="151" spans="4:11">
      <c r="D151" s="370"/>
      <c r="K151" s="381"/>
    </row>
    <row r="152" spans="4:11">
      <c r="D152" s="345"/>
      <c r="E152" s="381"/>
      <c r="F152" s="381"/>
      <c r="G152" s="381"/>
      <c r="H152" s="381"/>
      <c r="I152" s="381"/>
    </row>
    <row r="153" spans="4:11">
      <c r="D153" s="370"/>
      <c r="J153" s="381"/>
      <c r="K153" s="381"/>
    </row>
    <row r="154" spans="4:11">
      <c r="D154" s="370"/>
      <c r="J154" s="381"/>
      <c r="K154" s="381"/>
    </row>
    <row r="155" spans="4:11">
      <c r="D155" s="345"/>
      <c r="E155" s="381"/>
      <c r="F155" s="381"/>
      <c r="G155" s="381"/>
      <c r="H155" s="381"/>
      <c r="I155" s="381"/>
      <c r="K155" s="381"/>
    </row>
    <row r="156" spans="4:11">
      <c r="D156" s="370"/>
    </row>
    <row r="157" spans="4:11">
      <c r="D157" s="345"/>
      <c r="E157" s="381"/>
      <c r="F157" s="381"/>
      <c r="G157" s="381"/>
      <c r="H157" s="381"/>
      <c r="I157" s="381"/>
    </row>
    <row r="158" spans="4:11">
      <c r="D158" s="370"/>
      <c r="E158" s="381"/>
      <c r="F158" s="381"/>
      <c r="G158" s="381"/>
      <c r="H158" s="381"/>
      <c r="I158" s="381"/>
      <c r="K158" s="381"/>
    </row>
    <row r="159" spans="4:11">
      <c r="D159" s="370"/>
      <c r="K159" s="381"/>
    </row>
    <row r="160" spans="4:11">
      <c r="D160" s="370"/>
    </row>
    <row r="161" spans="4:11">
      <c r="D161" s="345"/>
      <c r="E161" s="381"/>
      <c r="F161" s="381"/>
      <c r="G161" s="381"/>
      <c r="H161" s="381"/>
      <c r="I161" s="381"/>
    </row>
    <row r="162" spans="4:11">
      <c r="D162" s="370"/>
      <c r="E162" s="381"/>
      <c r="F162" s="381"/>
      <c r="G162" s="381"/>
      <c r="H162" s="381"/>
      <c r="I162" s="381"/>
    </row>
    <row r="163" spans="4:11">
      <c r="D163" s="370"/>
    </row>
    <row r="164" spans="4:11">
      <c r="D164" s="345"/>
      <c r="E164" s="381"/>
      <c r="F164" s="381"/>
      <c r="G164" s="381"/>
      <c r="H164" s="381"/>
      <c r="I164" s="381"/>
    </row>
    <row r="165" spans="4:11">
      <c r="D165" s="370"/>
      <c r="J165" s="381"/>
    </row>
    <row r="166" spans="4:11">
      <c r="D166" s="370"/>
      <c r="J166" s="381"/>
    </row>
    <row r="167" spans="4:11">
      <c r="D167" s="345"/>
      <c r="E167" s="381"/>
      <c r="F167" s="381"/>
      <c r="G167" s="381"/>
      <c r="H167" s="381"/>
      <c r="I167" s="381"/>
    </row>
    <row r="168" spans="4:11">
      <c r="D168" s="370"/>
    </row>
    <row r="169" spans="4:11">
      <c r="D169" s="370"/>
      <c r="J169" s="381"/>
    </row>
    <row r="170" spans="4:11">
      <c r="D170" s="370"/>
      <c r="J170" s="381"/>
      <c r="K170" s="381"/>
    </row>
    <row r="171" spans="4:11">
      <c r="D171" s="345"/>
      <c r="E171" s="381"/>
      <c r="F171" s="381"/>
      <c r="G171" s="381"/>
      <c r="H171" s="381"/>
      <c r="I171" s="381"/>
      <c r="K171" s="381"/>
    </row>
    <row r="172" spans="4:11">
      <c r="D172" s="370"/>
    </row>
    <row r="173" spans="4:11">
      <c r="D173" s="370"/>
      <c r="E173" s="345"/>
      <c r="F173" s="345"/>
      <c r="G173" s="345"/>
      <c r="H173" s="345"/>
      <c r="I173" s="345"/>
      <c r="J173" s="381"/>
    </row>
    <row r="174" spans="4:11">
      <c r="D174" s="370"/>
      <c r="E174" s="345"/>
      <c r="F174" s="345"/>
      <c r="G174" s="345"/>
      <c r="H174" s="345"/>
      <c r="I174" s="345"/>
      <c r="K174" s="381"/>
    </row>
    <row r="175" spans="4:11">
      <c r="D175" s="370"/>
      <c r="K175" s="381"/>
    </row>
    <row r="176" spans="4:11">
      <c r="D176" s="370"/>
    </row>
    <row r="177" spans="4:11">
      <c r="D177" s="370"/>
    </row>
    <row r="178" spans="4:11">
      <c r="D178" s="345"/>
      <c r="E178" s="381"/>
      <c r="F178" s="381"/>
      <c r="G178" s="381"/>
      <c r="H178" s="381"/>
      <c r="I178" s="381"/>
      <c r="K178" s="381"/>
    </row>
    <row r="179" spans="4:11">
      <c r="D179" s="345"/>
      <c r="E179" s="381"/>
      <c r="F179" s="381"/>
      <c r="G179" s="381"/>
      <c r="H179" s="381"/>
      <c r="I179" s="381"/>
    </row>
    <row r="180" spans="4:11">
      <c r="D180" s="370"/>
      <c r="E180" s="381"/>
      <c r="F180" s="381"/>
      <c r="G180" s="381"/>
      <c r="H180" s="381"/>
      <c r="I180" s="381"/>
    </row>
    <row r="181" spans="4:11">
      <c r="D181" s="370"/>
      <c r="E181" s="381"/>
      <c r="F181" s="381"/>
      <c r="G181" s="381"/>
      <c r="H181" s="381"/>
      <c r="I181" s="381"/>
    </row>
    <row r="182" spans="4:11">
      <c r="D182" s="370"/>
    </row>
    <row r="183" spans="4:11">
      <c r="D183" s="345"/>
      <c r="E183" s="381"/>
      <c r="F183" s="381"/>
      <c r="G183" s="381"/>
      <c r="H183" s="381"/>
      <c r="I183" s="381"/>
    </row>
    <row r="184" spans="4:11">
      <c r="D184" s="370"/>
      <c r="E184" s="381"/>
      <c r="F184" s="381"/>
      <c r="G184" s="381"/>
      <c r="H184" s="381"/>
      <c r="I184" s="381"/>
    </row>
    <row r="185" spans="4:11">
      <c r="D185" s="370"/>
      <c r="E185" s="381"/>
      <c r="F185" s="381"/>
      <c r="G185" s="381"/>
      <c r="H185" s="381"/>
      <c r="I185" s="381"/>
    </row>
    <row r="186" spans="4:11">
      <c r="D186" s="370"/>
    </row>
    <row r="187" spans="4:11">
      <c r="D187" s="370"/>
    </row>
    <row r="188" spans="4:11">
      <c r="D188" s="370"/>
      <c r="J188" s="381"/>
    </row>
    <row r="189" spans="4:11">
      <c r="D189" s="370"/>
      <c r="J189" s="381"/>
    </row>
    <row r="190" spans="4:11">
      <c r="D190" s="370"/>
    </row>
    <row r="191" spans="4:11">
      <c r="D191" s="370"/>
      <c r="J191" s="381"/>
    </row>
    <row r="192" spans="4:11">
      <c r="D192" s="370"/>
      <c r="J192" s="381"/>
    </row>
    <row r="193" spans="4:11">
      <c r="D193" s="370"/>
      <c r="J193" s="381"/>
      <c r="K193" s="381"/>
    </row>
    <row r="194" spans="4:11">
      <c r="D194" s="370"/>
      <c r="K194" s="381"/>
    </row>
    <row r="195" spans="4:11">
      <c r="D195" s="345"/>
      <c r="E195" s="381"/>
      <c r="F195" s="381"/>
      <c r="G195" s="381"/>
      <c r="H195" s="381"/>
      <c r="I195" s="381"/>
    </row>
    <row r="196" spans="4:11">
      <c r="D196" s="370"/>
      <c r="J196" s="381"/>
      <c r="K196" s="381"/>
    </row>
    <row r="197" spans="4:11">
      <c r="D197" s="370"/>
      <c r="J197" s="381"/>
      <c r="K197" s="381"/>
    </row>
    <row r="198" spans="4:11">
      <c r="D198" s="345"/>
      <c r="E198" s="381"/>
      <c r="F198" s="381"/>
      <c r="G198" s="381"/>
      <c r="H198" s="381"/>
      <c r="I198" s="381"/>
      <c r="K198" s="381"/>
    </row>
    <row r="199" spans="4:11">
      <c r="D199" s="370"/>
    </row>
    <row r="200" spans="4:11">
      <c r="D200" s="345"/>
      <c r="E200" s="381"/>
      <c r="F200" s="381"/>
      <c r="G200" s="381"/>
      <c r="H200" s="381"/>
      <c r="I200" s="381"/>
    </row>
    <row r="201" spans="4:11">
      <c r="D201" s="370"/>
      <c r="E201" s="381"/>
      <c r="F201" s="381"/>
      <c r="G201" s="381"/>
      <c r="H201" s="381"/>
      <c r="I201" s="381"/>
      <c r="K201" s="381"/>
    </row>
    <row r="202" spans="4:11">
      <c r="D202" s="370"/>
      <c r="K202" s="381"/>
    </row>
    <row r="203" spans="4:11">
      <c r="D203" s="370"/>
    </row>
    <row r="204" spans="4:11">
      <c r="D204" s="345"/>
      <c r="E204" s="381"/>
      <c r="F204" s="381"/>
      <c r="G204" s="381"/>
      <c r="H204" s="381"/>
      <c r="I204" s="381"/>
    </row>
    <row r="205" spans="4:11">
      <c r="D205" s="370"/>
      <c r="E205" s="381"/>
      <c r="F205" s="381"/>
      <c r="G205" s="381"/>
      <c r="H205" s="381"/>
      <c r="I205" s="381"/>
    </row>
    <row r="206" spans="4:11">
      <c r="D206" s="370"/>
    </row>
    <row r="207" spans="4:11">
      <c r="D207" s="345"/>
      <c r="E207" s="381"/>
      <c r="F207" s="381"/>
      <c r="G207" s="381"/>
      <c r="H207" s="381"/>
      <c r="I207" s="381"/>
    </row>
    <row r="208" spans="4:11">
      <c r="D208" s="370"/>
      <c r="J208" s="381"/>
    </row>
    <row r="209" spans="4:11">
      <c r="D209" s="370"/>
      <c r="J209" s="381"/>
    </row>
    <row r="210" spans="4:11">
      <c r="D210" s="345"/>
      <c r="E210" s="381"/>
      <c r="F210" s="381"/>
      <c r="G210" s="381"/>
      <c r="H210" s="381"/>
      <c r="I210" s="381"/>
    </row>
    <row r="211" spans="4:11">
      <c r="D211" s="370"/>
    </row>
    <row r="212" spans="4:11">
      <c r="D212" s="370"/>
      <c r="J212" s="381"/>
    </row>
    <row r="213" spans="4:11">
      <c r="D213" s="370"/>
      <c r="J213" s="381"/>
      <c r="K213" s="381"/>
    </row>
    <row r="214" spans="4:11">
      <c r="D214" s="345"/>
      <c r="E214" s="381"/>
      <c r="F214" s="381"/>
      <c r="G214" s="381"/>
      <c r="H214" s="381"/>
      <c r="I214" s="381"/>
      <c r="K214" s="381"/>
    </row>
    <row r="215" spans="4:11">
      <c r="D215" s="370"/>
    </row>
    <row r="216" spans="4:11">
      <c r="D216" s="370"/>
      <c r="E216" s="345"/>
      <c r="F216" s="345"/>
      <c r="G216" s="345"/>
      <c r="H216" s="345"/>
      <c r="I216" s="345"/>
      <c r="J216" s="381"/>
    </row>
    <row r="217" spans="4:11">
      <c r="D217" s="370"/>
      <c r="E217" s="345"/>
      <c r="F217" s="345"/>
      <c r="G217" s="345"/>
      <c r="H217" s="345"/>
      <c r="I217" s="345"/>
      <c r="K217" s="381"/>
    </row>
    <row r="218" spans="4:11">
      <c r="D218" s="370"/>
      <c r="K218" s="381"/>
    </row>
    <row r="219" spans="4:11">
      <c r="D219" s="370"/>
    </row>
    <row r="220" spans="4:11">
      <c r="D220" s="370"/>
    </row>
    <row r="221" spans="4:11">
      <c r="D221" s="345"/>
      <c r="E221" s="381"/>
      <c r="F221" s="381"/>
      <c r="G221" s="381"/>
      <c r="H221" s="381"/>
      <c r="I221" s="381"/>
      <c r="K221" s="381"/>
    </row>
    <row r="222" spans="4:11">
      <c r="D222" s="345"/>
      <c r="E222" s="381"/>
      <c r="F222" s="381"/>
      <c r="G222" s="381"/>
      <c r="H222" s="381"/>
      <c r="I222" s="381"/>
    </row>
    <row r="223" spans="4:11">
      <c r="D223" s="370"/>
      <c r="E223" s="381"/>
      <c r="F223" s="381"/>
      <c r="G223" s="381"/>
      <c r="H223" s="381"/>
      <c r="I223" s="381"/>
    </row>
    <row r="224" spans="4:11">
      <c r="D224" s="370"/>
      <c r="E224" s="381"/>
      <c r="F224" s="381"/>
      <c r="G224" s="381"/>
      <c r="H224" s="381"/>
      <c r="I224" s="381"/>
    </row>
    <row r="225" spans="4:11">
      <c r="D225" s="370"/>
    </row>
    <row r="226" spans="4:11">
      <c r="D226" s="345"/>
      <c r="E226" s="381"/>
      <c r="F226" s="381"/>
      <c r="G226" s="381"/>
      <c r="H226" s="381"/>
      <c r="I226" s="381"/>
    </row>
    <row r="227" spans="4:11">
      <c r="D227" s="370"/>
      <c r="E227" s="381"/>
      <c r="F227" s="381"/>
      <c r="G227" s="381"/>
      <c r="H227" s="381"/>
      <c r="I227" s="381"/>
    </row>
    <row r="228" spans="4:11">
      <c r="D228" s="370"/>
      <c r="E228" s="381"/>
      <c r="F228" s="381"/>
      <c r="G228" s="381"/>
      <c r="H228" s="381"/>
      <c r="I228" s="381"/>
    </row>
    <row r="229" spans="4:11">
      <c r="D229" s="370"/>
    </row>
    <row r="230" spans="4:11">
      <c r="D230" s="370"/>
    </row>
    <row r="231" spans="4:11">
      <c r="D231" s="370"/>
      <c r="J231" s="381"/>
    </row>
    <row r="232" spans="4:11">
      <c r="D232" s="370"/>
      <c r="J232" s="381"/>
    </row>
    <row r="233" spans="4:11">
      <c r="D233" s="370"/>
    </row>
    <row r="234" spans="4:11">
      <c r="D234" s="370"/>
      <c r="J234" s="381"/>
    </row>
    <row r="235" spans="4:11">
      <c r="D235" s="370"/>
      <c r="J235" s="381"/>
    </row>
    <row r="236" spans="4:11">
      <c r="D236" s="370"/>
      <c r="J236" s="381"/>
      <c r="K236" s="381"/>
    </row>
    <row r="237" spans="4:11">
      <c r="D237" s="370"/>
      <c r="K237" s="381"/>
    </row>
    <row r="238" spans="4:11">
      <c r="D238" s="345"/>
      <c r="E238" s="381"/>
      <c r="F238" s="381"/>
      <c r="G238" s="381"/>
      <c r="H238" s="381"/>
      <c r="I238" s="381"/>
    </row>
    <row r="239" spans="4:11">
      <c r="D239" s="370"/>
      <c r="J239" s="381"/>
      <c r="K239" s="381"/>
    </row>
    <row r="240" spans="4:11">
      <c r="D240" s="370"/>
      <c r="J240" s="381"/>
      <c r="K240" s="381"/>
    </row>
    <row r="241" spans="4:11">
      <c r="D241" s="345"/>
      <c r="E241" s="381"/>
      <c r="F241" s="381"/>
      <c r="G241" s="381"/>
      <c r="H241" s="381"/>
      <c r="I241" s="381"/>
      <c r="K241" s="381"/>
    </row>
    <row r="242" spans="4:11">
      <c r="D242" s="370"/>
    </row>
    <row r="243" spans="4:11">
      <c r="D243" s="345"/>
      <c r="E243" s="381"/>
      <c r="F243" s="381"/>
      <c r="G243" s="381"/>
      <c r="H243" s="381"/>
      <c r="I243" s="381"/>
    </row>
    <row r="244" spans="4:11">
      <c r="D244" s="370"/>
      <c r="E244" s="381"/>
      <c r="F244" s="381"/>
      <c r="G244" s="381"/>
      <c r="H244" s="381"/>
      <c r="I244" s="381"/>
      <c r="K244" s="381"/>
    </row>
    <row r="245" spans="4:11">
      <c r="D245" s="370"/>
      <c r="K245" s="381"/>
    </row>
    <row r="246" spans="4:11">
      <c r="D246" s="370"/>
    </row>
    <row r="247" spans="4:11">
      <c r="D247" s="345"/>
      <c r="E247" s="381"/>
      <c r="F247" s="381"/>
      <c r="G247" s="381"/>
      <c r="H247" s="381"/>
      <c r="I247" s="381"/>
    </row>
    <row r="248" spans="4:11">
      <c r="D248" s="370"/>
      <c r="E248" s="381"/>
      <c r="F248" s="381"/>
      <c r="G248" s="381"/>
      <c r="H248" s="381"/>
      <c r="I248" s="381"/>
    </row>
    <row r="249" spans="4:11">
      <c r="D249" s="370"/>
    </row>
    <row r="250" spans="4:11">
      <c r="D250" s="345"/>
      <c r="E250" s="381"/>
      <c r="F250" s="381"/>
      <c r="G250" s="381"/>
      <c r="H250" s="381"/>
      <c r="I250" s="381"/>
    </row>
    <row r="251" spans="4:11">
      <c r="D251" s="370"/>
      <c r="J251" s="381"/>
    </row>
    <row r="252" spans="4:11">
      <c r="D252" s="370"/>
      <c r="J252" s="381"/>
    </row>
    <row r="253" spans="4:11">
      <c r="D253" s="345"/>
      <c r="E253" s="381"/>
      <c r="F253" s="381"/>
      <c r="G253" s="381"/>
      <c r="H253" s="381"/>
      <c r="I253" s="381"/>
    </row>
    <row r="254" spans="4:11">
      <c r="D254" s="370"/>
    </row>
    <row r="255" spans="4:11">
      <c r="D255" s="370"/>
      <c r="J255" s="381"/>
    </row>
    <row r="256" spans="4:11">
      <c r="D256" s="370"/>
      <c r="J256" s="381"/>
      <c r="K256" s="381"/>
    </row>
    <row r="257" spans="4:11">
      <c r="D257" s="345"/>
      <c r="E257" s="381"/>
      <c r="F257" s="381"/>
      <c r="G257" s="381"/>
      <c r="H257" s="381"/>
      <c r="I257" s="381"/>
      <c r="K257" s="381"/>
    </row>
    <row r="258" spans="4:11">
      <c r="D258" s="370"/>
    </row>
    <row r="259" spans="4:11">
      <c r="D259" s="370"/>
      <c r="E259" s="345"/>
      <c r="F259" s="345"/>
      <c r="G259" s="345"/>
      <c r="H259" s="345"/>
      <c r="I259" s="345"/>
      <c r="J259" s="381"/>
    </row>
    <row r="260" spans="4:11">
      <c r="D260" s="370"/>
      <c r="E260" s="345"/>
      <c r="F260" s="345"/>
      <c r="G260" s="345"/>
      <c r="H260" s="345"/>
      <c r="I260" s="345"/>
      <c r="K260" s="381"/>
    </row>
    <row r="261" spans="4:11">
      <c r="D261" s="370"/>
      <c r="K261" s="381"/>
    </row>
    <row r="262" spans="4:11">
      <c r="D262" s="370"/>
    </row>
    <row r="263" spans="4:11">
      <c r="D263" s="370"/>
    </row>
    <row r="264" spans="4:11">
      <c r="D264" s="370"/>
      <c r="K264" s="381"/>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sheetData>
  <phoneticPr fontId="26" type="noConversion"/>
  <pageMargins left="0.75" right="0.75" top="1" bottom="1" header="0.5" footer="0.5"/>
  <pageSetup scale="46" orientation="landscape"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01">
    <pageSetUpPr fitToPage="1"/>
  </sheetPr>
  <dimension ref="B1:Z451"/>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1.6640625" style="367" bestFit="1" customWidth="1"/>
    <col min="11" max="11" width="2.109375" style="367" customWidth="1"/>
    <col min="12" max="12" width="18.44140625" style="367" bestFit="1" customWidth="1"/>
    <col min="13" max="13" width="2.109375" style="367" customWidth="1"/>
    <col min="14" max="14" width="13.44140625" style="367" bestFit="1" customWidth="1"/>
    <col min="15" max="15" width="2.109375" style="367" customWidth="1"/>
    <col min="16" max="16" width="12" style="367" bestFit="1" customWidth="1"/>
    <col min="17" max="17" width="2.33203125" style="367" bestFit="1" customWidth="1"/>
    <col min="18" max="18" width="14.109375" style="367" bestFit="1"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5" width="10" style="367" customWidth="1"/>
    <col min="26" max="16384" width="9.109375" style="367"/>
  </cols>
  <sheetData>
    <row r="1" spans="2:26" s="472" customFormat="1">
      <c r="E1" s="150"/>
    </row>
    <row r="2" spans="2:26" s="472" customFormat="1">
      <c r="E2" s="150"/>
    </row>
    <row r="3" spans="2:26" s="472" customFormat="1"/>
    <row r="4" spans="2:26" s="477" customFormat="1" ht="21">
      <c r="B4" s="129" t="s">
        <v>1446</v>
      </c>
      <c r="C4" s="129"/>
    </row>
    <row r="5" spans="2:26" s="472" customFormat="1">
      <c r="D5" s="132"/>
      <c r="E5" s="132"/>
      <c r="F5" s="132"/>
      <c r="G5" s="132"/>
      <c r="H5" s="132"/>
      <c r="I5" s="132"/>
      <c r="L5" s="473"/>
      <c r="M5" s="473"/>
      <c r="N5" s="473"/>
      <c r="O5" s="473"/>
      <c r="P5" s="473"/>
      <c r="Q5" s="473"/>
      <c r="R5" s="473"/>
      <c r="S5" s="473"/>
      <c r="T5" s="473"/>
      <c r="U5" s="473"/>
      <c r="V5" s="473"/>
      <c r="W5" s="473"/>
      <c r="X5" s="473"/>
    </row>
    <row r="6" spans="2:26">
      <c r="B6" s="456"/>
      <c r="C6" s="456"/>
      <c r="D6" s="456"/>
      <c r="E6" s="456"/>
      <c r="F6" s="456"/>
      <c r="G6" s="456"/>
      <c r="H6" s="456"/>
      <c r="I6" s="456"/>
      <c r="L6" s="440"/>
      <c r="M6" s="440"/>
      <c r="N6" s="440"/>
      <c r="O6" s="440"/>
      <c r="P6" s="440"/>
      <c r="Q6" s="440"/>
      <c r="R6" s="440"/>
      <c r="S6" s="440"/>
      <c r="T6" s="440"/>
      <c r="U6" s="440"/>
      <c r="V6" s="440"/>
      <c r="W6" s="440"/>
      <c r="X6" s="440"/>
    </row>
    <row r="7" spans="2:26" ht="12.6" thickBot="1">
      <c r="B7" s="306" t="s">
        <v>85</v>
      </c>
      <c r="C7" s="306"/>
      <c r="D7" s="368"/>
      <c r="E7" s="457"/>
      <c r="F7" s="457"/>
      <c r="G7" s="457"/>
      <c r="H7" s="457"/>
      <c r="I7" s="457"/>
      <c r="J7" s="368"/>
      <c r="K7" s="368"/>
      <c r="L7" s="368"/>
      <c r="M7" s="368"/>
      <c r="N7" s="368"/>
      <c r="O7" s="368"/>
      <c r="P7" s="368"/>
      <c r="Q7" s="368"/>
      <c r="R7" s="368"/>
      <c r="S7" s="368"/>
      <c r="T7" s="368"/>
      <c r="U7" s="368"/>
      <c r="V7" s="368"/>
      <c r="W7" s="368"/>
      <c r="X7" s="368"/>
    </row>
    <row r="8" spans="2:26" ht="12.6" thickTop="1">
      <c r="B8" s="345"/>
      <c r="C8" s="345"/>
      <c r="E8" s="345"/>
      <c r="F8" s="345"/>
      <c r="G8" s="345"/>
      <c r="H8" s="345"/>
      <c r="I8" s="345"/>
    </row>
    <row r="9" spans="2:26">
      <c r="D9" s="345"/>
      <c r="E9" s="382" t="s">
        <v>80</v>
      </c>
      <c r="F9" s="458" t="s">
        <v>81</v>
      </c>
      <c r="G9" s="458"/>
      <c r="H9" s="458" t="s">
        <v>82</v>
      </c>
      <c r="I9" s="458"/>
      <c r="J9" s="458" t="s">
        <v>83</v>
      </c>
      <c r="K9" s="458"/>
      <c r="L9" s="458" t="s">
        <v>1032</v>
      </c>
      <c r="M9" s="458"/>
      <c r="N9" s="459" t="s">
        <v>127</v>
      </c>
      <c r="O9" s="459"/>
      <c r="P9" s="458" t="s">
        <v>128</v>
      </c>
      <c r="Q9" s="458"/>
      <c r="R9" s="458" t="s">
        <v>690</v>
      </c>
      <c r="S9" s="458"/>
      <c r="T9" s="458" t="s">
        <v>129</v>
      </c>
      <c r="U9" s="458"/>
      <c r="V9" s="458" t="s">
        <v>130</v>
      </c>
      <c r="W9" s="458"/>
      <c r="X9" s="458" t="s">
        <v>131</v>
      </c>
      <c r="Y9" s="458"/>
      <c r="Z9" s="458"/>
    </row>
    <row r="10" spans="2:26">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6">
      <c r="B11" s="370" t="s">
        <v>744</v>
      </c>
      <c r="C11" s="370"/>
      <c r="E11" s="367" t="str">
        <f t="shared" ref="E11:E17" si="0">"DCF, "&amp;TEXT(H11,"0.0")&amp;"x FY19E EBITDA"</f>
        <v>DCF, 17.2x FY19E EBITDA</v>
      </c>
      <c r="F11" s="484">
        <v>177309.6987465912</v>
      </c>
      <c r="G11" s="178" t="s">
        <v>133</v>
      </c>
      <c r="H11" s="499">
        <f t="shared" ref="H11:H12" si="1">J11/F11</f>
        <v>17.17914183691121</v>
      </c>
      <c r="I11" s="178" t="s">
        <v>134</v>
      </c>
      <c r="J11" s="484">
        <v>3046028.4638276882</v>
      </c>
      <c r="K11" s="178" t="s">
        <v>135</v>
      </c>
      <c r="L11" s="484"/>
      <c r="M11" s="178" t="s">
        <v>134</v>
      </c>
      <c r="N11" s="178">
        <f t="shared" ref="N11:N17" si="2">J11-L11</f>
        <v>3046028.4638276882</v>
      </c>
      <c r="O11" s="178" t="s">
        <v>133</v>
      </c>
      <c r="P11" s="490">
        <v>1</v>
      </c>
      <c r="Q11" s="393" t="s">
        <v>134</v>
      </c>
      <c r="R11" s="216">
        <f t="shared" ref="R11:R17" si="3">P11*N11</f>
        <v>3046028.4638276882</v>
      </c>
      <c r="S11" s="216"/>
      <c r="T11" s="216">
        <f t="shared" ref="T11:T17" si="4">N11-R11</f>
        <v>0</v>
      </c>
      <c r="U11" s="216"/>
      <c r="V11" s="394">
        <f t="shared" ref="V11:V18" si="5">N11/$J$28</f>
        <v>1.1819644862586134</v>
      </c>
      <c r="W11" s="370"/>
      <c r="X11" s="373">
        <f t="shared" ref="X11:X18" si="6">$J$33*V11</f>
        <v>506.08948938721676</v>
      </c>
    </row>
    <row r="12" spans="2:26">
      <c r="B12" s="370" t="s">
        <v>745</v>
      </c>
      <c r="C12" s="370"/>
      <c r="E12" s="367" t="str">
        <f t="shared" si="0"/>
        <v>DCF, -3.8x FY19E EBITDA</v>
      </c>
      <c r="F12" s="484">
        <v>464.72110806427628</v>
      </c>
      <c r="G12" s="178" t="s">
        <v>133</v>
      </c>
      <c r="H12" s="499">
        <f t="shared" si="1"/>
        <v>-3.8374656063842294</v>
      </c>
      <c r="I12" s="178" t="s">
        <v>134</v>
      </c>
      <c r="J12" s="484">
        <v>-1783.3512687574289</v>
      </c>
      <c r="K12" s="178" t="s">
        <v>135</v>
      </c>
      <c r="L12" s="484"/>
      <c r="M12" s="178" t="s">
        <v>134</v>
      </c>
      <c r="N12" s="178">
        <f t="shared" si="2"/>
        <v>-1783.3512687574289</v>
      </c>
      <c r="O12" s="178" t="s">
        <v>133</v>
      </c>
      <c r="P12" s="490">
        <v>1</v>
      </c>
      <c r="Q12" s="393" t="s">
        <v>134</v>
      </c>
      <c r="R12" s="216">
        <f t="shared" si="3"/>
        <v>-1783.3512687574289</v>
      </c>
      <c r="S12" s="216"/>
      <c r="T12" s="216">
        <f t="shared" si="4"/>
        <v>0</v>
      </c>
      <c r="U12" s="216"/>
      <c r="V12" s="394">
        <f t="shared" si="5"/>
        <v>-6.9200202533457379E-4</v>
      </c>
      <c r="W12" s="370"/>
      <c r="X12" s="373">
        <f t="shared" si="6"/>
        <v>-0.29629904766856707</v>
      </c>
    </row>
    <row r="13" spans="2:26">
      <c r="B13" s="370" t="s">
        <v>655</v>
      </c>
      <c r="C13" s="370"/>
      <c r="E13" s="367" t="str">
        <f t="shared" si="0"/>
        <v>DCF, 11.2x FY19E EBITDA</v>
      </c>
      <c r="F13" s="484">
        <v>22013.288620825904</v>
      </c>
      <c r="G13" s="178" t="s">
        <v>133</v>
      </c>
      <c r="H13" s="499">
        <f>J13/F13</f>
        <v>11.160086350667859</v>
      </c>
      <c r="I13" s="178" t="s">
        <v>134</v>
      </c>
      <c r="J13" s="484">
        <v>245670.20187059126</v>
      </c>
      <c r="K13" s="178" t="s">
        <v>135</v>
      </c>
      <c r="L13" s="487"/>
      <c r="M13" s="178" t="s">
        <v>134</v>
      </c>
      <c r="N13" s="178">
        <f t="shared" si="2"/>
        <v>245670.20187059126</v>
      </c>
      <c r="O13" s="178" t="s">
        <v>133</v>
      </c>
      <c r="P13" s="490">
        <v>0.8</v>
      </c>
      <c r="Q13" s="393" t="s">
        <v>134</v>
      </c>
      <c r="R13" s="216">
        <f t="shared" si="3"/>
        <v>196536.16149647301</v>
      </c>
      <c r="S13" s="216"/>
      <c r="T13" s="216">
        <f t="shared" si="4"/>
        <v>49134.040374118253</v>
      </c>
      <c r="U13" s="216"/>
      <c r="V13" s="394">
        <f t="shared" si="5"/>
        <v>9.5328542523905144E-2</v>
      </c>
      <c r="W13" s="370"/>
      <c r="X13" s="373">
        <f t="shared" si="6"/>
        <v>40.817447538262833</v>
      </c>
    </row>
    <row r="14" spans="2:26">
      <c r="B14" s="370" t="s">
        <v>1071</v>
      </c>
      <c r="C14" s="370"/>
      <c r="E14" s="367" t="str">
        <f t="shared" si="0"/>
        <v>DCF, 18.4x FY19E EBITDA</v>
      </c>
      <c r="F14" s="484">
        <v>4998.2192452455847</v>
      </c>
      <c r="G14" s="178" t="s">
        <v>133</v>
      </c>
      <c r="H14" s="499">
        <f t="shared" ref="H14:H17" si="7">J14/F14</f>
        <v>18.36061746426784</v>
      </c>
      <c r="I14" s="178" t="s">
        <v>134</v>
      </c>
      <c r="J14" s="484">
        <v>91770.391564495701</v>
      </c>
      <c r="K14" s="178" t="s">
        <v>135</v>
      </c>
      <c r="L14" s="484"/>
      <c r="M14" s="178" t="s">
        <v>134</v>
      </c>
      <c r="N14" s="178">
        <f t="shared" si="2"/>
        <v>91770.391564495701</v>
      </c>
      <c r="O14" s="178" t="s">
        <v>133</v>
      </c>
      <c r="P14" s="490">
        <v>1</v>
      </c>
      <c r="Q14" s="393" t="s">
        <v>134</v>
      </c>
      <c r="R14" s="216">
        <f t="shared" si="3"/>
        <v>91770.391564495701</v>
      </c>
      <c r="S14" s="216"/>
      <c r="T14" s="216">
        <f t="shared" si="4"/>
        <v>0</v>
      </c>
      <c r="U14" s="216"/>
      <c r="V14" s="394">
        <f t="shared" si="5"/>
        <v>3.561008868018805E-2</v>
      </c>
      <c r="W14" s="370"/>
      <c r="X14" s="373">
        <f t="shared" si="6"/>
        <v>15.247405321149975</v>
      </c>
    </row>
    <row r="15" spans="2:26">
      <c r="B15" s="370" t="s">
        <v>564</v>
      </c>
      <c r="C15" s="370"/>
      <c r="E15" s="367" t="str">
        <f t="shared" si="0"/>
        <v>DCF, 14.0x FY19E EBITDA</v>
      </c>
      <c r="F15" s="484">
        <v>41852.580201459088</v>
      </c>
      <c r="G15" s="178" t="s">
        <v>133</v>
      </c>
      <c r="H15" s="499">
        <f t="shared" si="7"/>
        <v>13.973242544290823</v>
      </c>
      <c r="I15" s="178" t="s">
        <v>134</v>
      </c>
      <c r="J15" s="484">
        <v>584816.2542593719</v>
      </c>
      <c r="K15" s="178" t="s">
        <v>135</v>
      </c>
      <c r="L15" s="484"/>
      <c r="M15" s="178" t="s">
        <v>134</v>
      </c>
      <c r="N15" s="178">
        <f t="shared" si="2"/>
        <v>584816.2542593719</v>
      </c>
      <c r="O15" s="178" t="s">
        <v>133</v>
      </c>
      <c r="P15" s="490">
        <v>1</v>
      </c>
      <c r="Q15" s="393" t="s">
        <v>134</v>
      </c>
      <c r="R15" s="216">
        <f t="shared" si="3"/>
        <v>584816.2542593719</v>
      </c>
      <c r="S15" s="216"/>
      <c r="T15" s="216">
        <f t="shared" si="4"/>
        <v>0</v>
      </c>
      <c r="U15" s="216"/>
      <c r="V15" s="394">
        <f t="shared" si="5"/>
        <v>0.22692895083874295</v>
      </c>
      <c r="W15" s="370"/>
      <c r="X15" s="373">
        <f t="shared" si="6"/>
        <v>97.165657845347397</v>
      </c>
    </row>
    <row r="16" spans="2:26">
      <c r="B16" s="370" t="s">
        <v>45</v>
      </c>
      <c r="C16" s="370"/>
      <c r="E16" s="367" t="str">
        <f t="shared" si="0"/>
        <v>DCF, 27.0x FY19E EBITDA</v>
      </c>
      <c r="F16" s="484">
        <v>32784.01873389</v>
      </c>
      <c r="G16" s="178" t="s">
        <v>133</v>
      </c>
      <c r="H16" s="499">
        <f t="shared" si="7"/>
        <v>26.994860123269273</v>
      </c>
      <c r="I16" s="178" t="s">
        <v>134</v>
      </c>
      <c r="J16" s="484">
        <v>885000</v>
      </c>
      <c r="K16" s="178" t="s">
        <v>135</v>
      </c>
      <c r="L16" s="484"/>
      <c r="M16" s="178" t="s">
        <v>134</v>
      </c>
      <c r="N16" s="178">
        <f t="shared" si="2"/>
        <v>885000</v>
      </c>
      <c r="O16" s="178" t="s">
        <v>133</v>
      </c>
      <c r="P16" s="490">
        <v>0.372</v>
      </c>
      <c r="Q16" s="393" t="s">
        <v>134</v>
      </c>
      <c r="R16" s="216">
        <f t="shared" si="3"/>
        <v>329220</v>
      </c>
      <c r="S16" s="216"/>
      <c r="T16" s="216">
        <f t="shared" si="4"/>
        <v>555780</v>
      </c>
      <c r="U16" s="216"/>
      <c r="V16" s="394">
        <f t="shared" si="5"/>
        <v>0.34341063544245548</v>
      </c>
      <c r="W16" s="370"/>
      <c r="X16" s="373">
        <f t="shared" si="6"/>
        <v>147.04038502150507</v>
      </c>
    </row>
    <row r="17" spans="2:24">
      <c r="B17" s="370" t="s">
        <v>425</v>
      </c>
      <c r="C17" s="370"/>
      <c r="E17" s="367" t="str">
        <f t="shared" si="0"/>
        <v>DCF, 24.7x FY19E EBITDA</v>
      </c>
      <c r="F17" s="484">
        <v>24205.991842561514</v>
      </c>
      <c r="G17" s="178" t="s">
        <v>133</v>
      </c>
      <c r="H17" s="499">
        <f t="shared" si="7"/>
        <v>24.725283057711955</v>
      </c>
      <c r="I17" s="178"/>
      <c r="J17" s="484">
        <v>598500</v>
      </c>
      <c r="K17" s="178" t="s">
        <v>135</v>
      </c>
      <c r="L17" s="484"/>
      <c r="M17" s="178" t="s">
        <v>134</v>
      </c>
      <c r="N17" s="178">
        <f t="shared" si="2"/>
        <v>598500</v>
      </c>
      <c r="O17" s="178" t="s">
        <v>133</v>
      </c>
      <c r="P17" s="490">
        <v>0.56999999999999995</v>
      </c>
      <c r="Q17" s="393" t="s">
        <v>134</v>
      </c>
      <c r="R17" s="216">
        <f t="shared" si="3"/>
        <v>341144.99999999994</v>
      </c>
      <c r="S17" s="216"/>
      <c r="T17" s="216">
        <f t="shared" si="4"/>
        <v>257355.00000000006</v>
      </c>
      <c r="U17" s="216"/>
      <c r="V17" s="394">
        <f t="shared" si="5"/>
        <v>0.2322387178670165</v>
      </c>
      <c r="W17" s="370"/>
      <c r="X17" s="373">
        <f t="shared" si="6"/>
        <v>99.439175633187318</v>
      </c>
    </row>
    <row r="18" spans="2:24">
      <c r="B18" s="370" t="s">
        <v>888</v>
      </c>
      <c r="J18" s="484">
        <v>43512</v>
      </c>
      <c r="K18" s="178" t="s">
        <v>135</v>
      </c>
      <c r="L18" s="484"/>
      <c r="M18" s="178" t="s">
        <v>134</v>
      </c>
      <c r="N18" s="178">
        <f t="shared" ref="N18" si="8">J18-L18</f>
        <v>43512</v>
      </c>
      <c r="O18" s="178" t="s">
        <v>133</v>
      </c>
      <c r="P18" s="490">
        <v>0.25</v>
      </c>
      <c r="Q18" s="393" t="s">
        <v>134</v>
      </c>
      <c r="R18" s="216">
        <f t="shared" ref="R18" si="9">P18*N18</f>
        <v>10878</v>
      </c>
      <c r="S18" s="216"/>
      <c r="T18" s="216">
        <f t="shared" ref="T18" si="10">N18-R18</f>
        <v>32634</v>
      </c>
      <c r="U18" s="216"/>
      <c r="V18" s="394">
        <f t="shared" si="5"/>
        <v>1.6884162225279234E-2</v>
      </c>
      <c r="W18" s="370"/>
      <c r="X18" s="373">
        <f t="shared" si="6"/>
        <v>7.2294025232268115</v>
      </c>
    </row>
    <row r="19" spans="2:24">
      <c r="B19" s="370" t="s">
        <v>210</v>
      </c>
      <c r="C19" s="370"/>
      <c r="I19" s="178"/>
      <c r="J19" s="484">
        <v>-67437.253277208642</v>
      </c>
      <c r="K19" s="178" t="s">
        <v>135</v>
      </c>
      <c r="L19" s="498"/>
      <c r="M19" s="178" t="s">
        <v>134</v>
      </c>
      <c r="N19" s="385">
        <f>J19-L19</f>
        <v>-67437.253277208642</v>
      </c>
      <c r="O19" s="178" t="s">
        <v>133</v>
      </c>
      <c r="P19" s="490">
        <v>1</v>
      </c>
      <c r="Q19" s="393" t="s">
        <v>134</v>
      </c>
      <c r="R19" s="385">
        <f>P19*N19</f>
        <v>-67437.253277208642</v>
      </c>
      <c r="S19" s="216"/>
      <c r="T19" s="385">
        <f>N19-R19</f>
        <v>0</v>
      </c>
      <c r="U19" s="216"/>
      <c r="V19" s="395">
        <f>N19/$J$29</f>
        <v>-11.15218344256799</v>
      </c>
      <c r="W19" s="370"/>
      <c r="X19" s="396">
        <f>$J$34*V19</f>
        <v>-17164.325536456392</v>
      </c>
    </row>
    <row r="20" spans="2:24">
      <c r="B20" s="345" t="s">
        <v>137</v>
      </c>
      <c r="C20" s="370"/>
      <c r="F20" s="210"/>
      <c r="G20" s="196"/>
      <c r="H20" s="372"/>
      <c r="I20" s="376"/>
      <c r="J20" s="210">
        <f>SUM(J11:J19)</f>
        <v>5426076.7069761809</v>
      </c>
      <c r="K20" s="375"/>
      <c r="L20" s="210">
        <f>-J24</f>
        <v>2046461</v>
      </c>
      <c r="M20" s="196"/>
      <c r="N20" s="210">
        <f>SUM(N11:N19)</f>
        <v>5426076.7069761809</v>
      </c>
      <c r="P20" s="377"/>
      <c r="Q20" s="378"/>
      <c r="R20" s="210">
        <f>SUM(R11:R19)</f>
        <v>4531173.666602063</v>
      </c>
      <c r="S20" s="370"/>
      <c r="T20" s="210">
        <f>SUM(T11:T19)</f>
        <v>894903.04037411837</v>
      </c>
      <c r="U20" s="370"/>
      <c r="V20" s="387">
        <f>N20/$J$28</f>
        <v>2.1055055931098265</v>
      </c>
      <c r="W20" s="370"/>
      <c r="X20" s="372">
        <f>$J$33*V20</f>
        <v>901.52814480225754</v>
      </c>
    </row>
    <row r="21" spans="2:24">
      <c r="B21" s="345"/>
      <c r="C21" s="345"/>
      <c r="F21" s="210"/>
      <c r="G21" s="196"/>
      <c r="H21" s="372"/>
      <c r="I21" s="376"/>
      <c r="J21" s="375"/>
      <c r="K21" s="375"/>
      <c r="L21" s="196"/>
      <c r="M21" s="196"/>
      <c r="N21" s="370"/>
      <c r="P21" s="377"/>
      <c r="Q21" s="378"/>
      <c r="R21" s="370"/>
    </row>
    <row r="22" spans="2:24">
      <c r="B22" s="345"/>
      <c r="C22" s="345"/>
      <c r="I22" s="376"/>
      <c r="J22" s="375"/>
      <c r="K22" s="375"/>
      <c r="L22" s="196"/>
      <c r="M22" s="196"/>
    </row>
    <row r="23" spans="2:24" ht="12.6" thickBot="1">
      <c r="B23" s="382" t="s">
        <v>141</v>
      </c>
      <c r="D23" s="345"/>
      <c r="E23" s="381"/>
      <c r="I23" s="381"/>
      <c r="J23" s="374">
        <f>J20</f>
        <v>5426076.7069761809</v>
      </c>
      <c r="T23" s="460" t="s">
        <v>544</v>
      </c>
      <c r="U23" s="368"/>
      <c r="V23" s="368"/>
      <c r="W23" s="368"/>
      <c r="X23" s="368"/>
    </row>
    <row r="24" spans="2:24" ht="12.6" thickTop="1">
      <c r="B24" s="383" t="s">
        <v>1072</v>
      </c>
      <c r="J24" s="216">
        <f>-BHART!D12</f>
        <v>-2046461</v>
      </c>
    </row>
    <row r="25" spans="2:24">
      <c r="B25" s="384" t="s">
        <v>370</v>
      </c>
      <c r="J25" s="216">
        <f>-T20</f>
        <v>-894903.04037411837</v>
      </c>
    </row>
    <row r="26" spans="2:24">
      <c r="B26" s="384" t="s">
        <v>372</v>
      </c>
      <c r="D26" s="370"/>
      <c r="J26" s="385">
        <v>0</v>
      </c>
      <c r="K26" s="381"/>
    </row>
    <row r="27" spans="2:24">
      <c r="B27" s="384" t="s">
        <v>1073</v>
      </c>
      <c r="D27" s="370"/>
      <c r="J27" s="484">
        <v>92377</v>
      </c>
      <c r="K27" s="381"/>
      <c r="P27" s="345"/>
      <c r="Q27" s="387"/>
      <c r="R27" s="370"/>
    </row>
    <row r="28" spans="2:24">
      <c r="B28" s="382" t="s">
        <v>490</v>
      </c>
      <c r="D28" s="345"/>
      <c r="E28" s="381"/>
      <c r="F28" s="381"/>
      <c r="G28" s="381"/>
      <c r="H28" s="381"/>
      <c r="I28" s="381"/>
      <c r="J28" s="210">
        <f>SUM(J23:J27)</f>
        <v>2577089.6666020625</v>
      </c>
      <c r="R28" s="370"/>
    </row>
    <row r="29" spans="2:24" ht="12.6" thickBot="1">
      <c r="B29" s="384" t="s">
        <v>491</v>
      </c>
      <c r="D29" s="370"/>
      <c r="J29" s="216">
        <f>BHART!D10</f>
        <v>6047</v>
      </c>
      <c r="K29" s="381"/>
      <c r="R29" s="370"/>
    </row>
    <row r="30" spans="2:24" ht="12.6" thickBot="1">
      <c r="B30" s="382" t="s">
        <v>492</v>
      </c>
      <c r="D30" s="370"/>
      <c r="J30" s="462">
        <f>J28/J29</f>
        <v>426.17656136961511</v>
      </c>
      <c r="K30" s="381"/>
      <c r="R30" s="370"/>
    </row>
    <row r="31" spans="2:24">
      <c r="B31" s="384" t="s">
        <v>1074</v>
      </c>
      <c r="J31" s="486">
        <v>2</v>
      </c>
      <c r="K31" s="381"/>
      <c r="R31" s="370"/>
    </row>
    <row r="32" spans="2:24" ht="12.6" thickBot="1">
      <c r="B32" s="384" t="s">
        <v>991</v>
      </c>
      <c r="J32" s="486"/>
      <c r="K32" s="381"/>
    </row>
    <row r="33" spans="2:24" ht="12.6" thickBot="1">
      <c r="B33" s="382" t="s">
        <v>61</v>
      </c>
      <c r="D33" s="345"/>
      <c r="E33" s="381"/>
      <c r="H33" s="381"/>
      <c r="I33" s="381"/>
      <c r="J33" s="462">
        <f>J30+J31+J32</f>
        <v>428.17656136961511</v>
      </c>
      <c r="K33" s="381"/>
    </row>
    <row r="34" spans="2:24">
      <c r="B34" s="384" t="s">
        <v>493</v>
      </c>
      <c r="D34" s="370"/>
      <c r="J34" s="400">
        <f>Prices!C82</f>
        <v>1539.1</v>
      </c>
    </row>
    <row r="35" spans="2:24">
      <c r="B35" s="382" t="s">
        <v>96</v>
      </c>
      <c r="D35" s="345"/>
      <c r="E35" s="381"/>
      <c r="F35" s="381"/>
      <c r="G35" s="381"/>
      <c r="H35" s="381"/>
      <c r="I35" s="381"/>
      <c r="J35" s="387">
        <f>J33/J34-1</f>
        <v>-0.72180068782430307</v>
      </c>
      <c r="K35" s="381"/>
    </row>
    <row r="36" spans="2:24">
      <c r="K36" s="381"/>
      <c r="L36" s="380"/>
    </row>
    <row r="39" spans="2:24">
      <c r="D39" s="345"/>
      <c r="E39" s="381"/>
      <c r="H39" s="381"/>
      <c r="I39" s="381"/>
    </row>
    <row r="40" spans="2:24">
      <c r="D40" s="345"/>
      <c r="E40" s="381"/>
      <c r="F40" s="381"/>
      <c r="G40" s="381"/>
      <c r="H40" s="381"/>
      <c r="I40" s="381"/>
      <c r="J40" s="381"/>
    </row>
    <row r="41" spans="2:24" ht="12.6" thickBot="1">
      <c r="D41" s="386"/>
      <c r="E41" s="345"/>
      <c r="H41" s="381"/>
      <c r="I41" s="381"/>
      <c r="K41" s="381"/>
      <c r="T41" s="460" t="s">
        <v>544</v>
      </c>
      <c r="U41" s="368"/>
      <c r="V41" s="368"/>
      <c r="W41" s="368"/>
      <c r="X41" s="368"/>
    </row>
    <row r="42" spans="2:24" ht="12.6" thickTop="1">
      <c r="D42" s="345"/>
      <c r="E42" s="345"/>
      <c r="F42" s="345"/>
      <c r="G42" s="345"/>
      <c r="H42" s="345"/>
      <c r="I42" s="345"/>
      <c r="T42" s="370" t="str">
        <f t="shared" ref="T42:T50" si="11">B11</f>
        <v>Indian Mobile</v>
      </c>
      <c r="X42" s="394">
        <f t="shared" ref="X42:X50" si="12">(R11)/($R$20)</f>
        <v>0.67223829584795225</v>
      </c>
    </row>
    <row r="43" spans="2:24">
      <c r="D43" s="345"/>
      <c r="E43" s="345"/>
      <c r="F43" s="345"/>
      <c r="G43" s="345"/>
      <c r="H43" s="345"/>
      <c r="I43" s="345"/>
      <c r="T43" s="370" t="str">
        <f t="shared" si="11"/>
        <v>South Asian Mobile</v>
      </c>
      <c r="X43" s="394">
        <f t="shared" si="12"/>
        <v>-3.9357380669427484E-4</v>
      </c>
    </row>
    <row r="44" spans="2:24">
      <c r="D44" s="345"/>
      <c r="E44" s="345"/>
      <c r="F44" s="345"/>
      <c r="G44" s="345"/>
      <c r="H44" s="345"/>
      <c r="I44" s="345"/>
      <c r="T44" s="370" t="str">
        <f t="shared" si="11"/>
        <v>Digital TV</v>
      </c>
      <c r="X44" s="394">
        <f t="shared" si="12"/>
        <v>4.3374228391439236E-2</v>
      </c>
    </row>
    <row r="45" spans="2:24">
      <c r="D45" s="345"/>
      <c r="E45" s="345"/>
      <c r="F45" s="345"/>
      <c r="G45" s="345"/>
      <c r="H45" s="345"/>
      <c r="I45" s="345"/>
      <c r="T45" s="370" t="str">
        <f t="shared" si="11"/>
        <v>Home services</v>
      </c>
      <c r="X45" s="394">
        <f t="shared" si="12"/>
        <v>2.0253117253242362E-2</v>
      </c>
    </row>
    <row r="46" spans="2:24">
      <c r="D46" s="345"/>
      <c r="E46" s="345"/>
      <c r="F46" s="345"/>
      <c r="G46" s="345"/>
      <c r="H46" s="345"/>
      <c r="I46" s="345"/>
      <c r="T46" s="370" t="str">
        <f t="shared" si="11"/>
        <v>Enterprise</v>
      </c>
      <c r="X46" s="394">
        <f t="shared" si="12"/>
        <v>0.12906507172079479</v>
      </c>
    </row>
    <row r="47" spans="2:24">
      <c r="D47" s="345"/>
      <c r="E47" s="345"/>
      <c r="F47" s="345"/>
      <c r="G47" s="345"/>
      <c r="H47" s="345"/>
      <c r="I47" s="345"/>
      <c r="T47" s="370" t="str">
        <f t="shared" si="11"/>
        <v>Infratel</v>
      </c>
      <c r="X47" s="394">
        <f t="shared" si="12"/>
        <v>7.2656672249528403E-2</v>
      </c>
    </row>
    <row r="48" spans="2:24">
      <c r="D48" s="345"/>
      <c r="E48" s="345"/>
      <c r="F48" s="345"/>
      <c r="G48" s="345"/>
      <c r="H48" s="345"/>
      <c r="I48" s="345"/>
      <c r="T48" s="370" t="str">
        <f t="shared" si="11"/>
        <v>Africa</v>
      </c>
      <c r="X48" s="394">
        <f t="shared" si="12"/>
        <v>7.5288440722208139E-2</v>
      </c>
    </row>
    <row r="49" spans="4:24">
      <c r="D49" s="345"/>
      <c r="E49" s="345"/>
      <c r="F49" s="345"/>
      <c r="G49" s="345"/>
      <c r="H49" s="345"/>
      <c r="I49" s="345"/>
      <c r="P49" s="249"/>
      <c r="Q49" s="249"/>
      <c r="R49" s="249"/>
      <c r="T49" s="370" t="str">
        <f t="shared" si="11"/>
        <v>Bangladesh (ROBI)</v>
      </c>
      <c r="X49" s="394">
        <f t="shared" si="12"/>
        <v>2.4007025111790598E-3</v>
      </c>
    </row>
    <row r="50" spans="4:24">
      <c r="D50" s="345"/>
      <c r="E50" s="345"/>
      <c r="F50" s="345"/>
      <c r="G50" s="345"/>
      <c r="H50" s="345"/>
      <c r="I50" s="345"/>
      <c r="P50" s="388"/>
      <c r="Q50" s="388"/>
      <c r="R50" s="388"/>
      <c r="T50" s="370" t="str">
        <f t="shared" si="11"/>
        <v>Overhead</v>
      </c>
      <c r="X50" s="394">
        <f t="shared" si="12"/>
        <v>-1.4882954889650033E-2</v>
      </c>
    </row>
    <row r="51" spans="4:24">
      <c r="D51" s="345"/>
      <c r="E51" s="381"/>
      <c r="F51" s="381"/>
      <c r="G51" s="381"/>
      <c r="H51" s="381"/>
      <c r="I51" s="381"/>
      <c r="T51" s="345"/>
      <c r="U51" s="387"/>
    </row>
    <row r="52" spans="4:24">
      <c r="D52" s="345"/>
      <c r="E52" s="381"/>
      <c r="F52" s="381"/>
      <c r="G52" s="381"/>
      <c r="H52" s="381"/>
      <c r="I52" s="381"/>
    </row>
    <row r="53" spans="4:24">
      <c r="D53" s="370"/>
      <c r="E53" s="381"/>
      <c r="F53" s="381"/>
      <c r="G53" s="381"/>
      <c r="H53" s="381"/>
      <c r="I53" s="381"/>
      <c r="M53" s="249"/>
      <c r="N53" s="249"/>
      <c r="O53" s="249"/>
      <c r="P53" s="249"/>
      <c r="Q53" s="249"/>
      <c r="R53" s="249"/>
    </row>
    <row r="54" spans="4:24">
      <c r="D54" s="370"/>
      <c r="E54" s="381"/>
      <c r="F54" s="381"/>
      <c r="G54" s="381"/>
      <c r="H54" s="381"/>
      <c r="I54" s="381"/>
      <c r="L54" s="249"/>
      <c r="N54" s="388"/>
      <c r="O54" s="388"/>
      <c r="P54" s="388"/>
      <c r="Q54" s="388"/>
      <c r="R54" s="388"/>
    </row>
    <row r="55" spans="4:24">
      <c r="D55" s="370"/>
      <c r="S55" s="249"/>
      <c r="T55" s="249"/>
      <c r="U55" s="249"/>
      <c r="V55" s="249"/>
      <c r="W55" s="249"/>
      <c r="X55" s="249"/>
    </row>
    <row r="56" spans="4:24">
      <c r="D56" s="345"/>
      <c r="E56" s="381"/>
      <c r="F56" s="381"/>
      <c r="G56" s="381"/>
      <c r="H56" s="381"/>
      <c r="I56" s="381"/>
      <c r="P56" s="249"/>
      <c r="Q56" s="249"/>
      <c r="R56" s="249"/>
      <c r="S56" s="388"/>
      <c r="T56" s="388"/>
      <c r="U56" s="388"/>
      <c r="V56" s="388"/>
      <c r="W56" s="388"/>
      <c r="X56" s="388"/>
    </row>
    <row r="57" spans="4:24">
      <c r="D57" s="370"/>
      <c r="E57" s="381"/>
      <c r="F57" s="381"/>
      <c r="G57" s="381"/>
      <c r="H57" s="381"/>
      <c r="I57" s="381"/>
      <c r="M57" s="249"/>
      <c r="N57" s="249"/>
      <c r="O57" s="249"/>
      <c r="P57" s="388"/>
      <c r="Q57" s="388"/>
      <c r="R57" s="388"/>
    </row>
    <row r="58" spans="4:24">
      <c r="D58" s="370"/>
      <c r="E58" s="381"/>
      <c r="F58" s="381"/>
      <c r="G58" s="381"/>
      <c r="H58" s="381"/>
      <c r="I58" s="381"/>
      <c r="L58" s="249"/>
      <c r="N58" s="388"/>
      <c r="O58" s="388"/>
    </row>
    <row r="59" spans="4:24">
      <c r="D59" s="370"/>
      <c r="P59" s="249"/>
      <c r="Q59" s="249"/>
      <c r="R59" s="249"/>
      <c r="S59" s="249"/>
      <c r="T59" s="249"/>
      <c r="U59" s="249"/>
      <c r="V59" s="249"/>
      <c r="W59" s="249"/>
      <c r="X59" s="249"/>
    </row>
    <row r="60" spans="4:24">
      <c r="D60" s="370"/>
      <c r="M60" s="249"/>
      <c r="N60" s="249"/>
      <c r="O60" s="249"/>
      <c r="P60" s="388"/>
      <c r="Q60" s="388"/>
      <c r="R60" s="388"/>
      <c r="S60" s="388"/>
      <c r="T60" s="388"/>
      <c r="U60" s="388"/>
      <c r="V60" s="388"/>
      <c r="W60" s="388"/>
      <c r="X60" s="388"/>
    </row>
    <row r="61" spans="4:24">
      <c r="D61" s="370"/>
      <c r="J61" s="381"/>
      <c r="L61" s="249"/>
      <c r="N61" s="388"/>
      <c r="O61" s="388"/>
    </row>
    <row r="62" spans="4:24">
      <c r="D62" s="370"/>
      <c r="J62" s="381"/>
      <c r="K62" s="381"/>
      <c r="P62" s="249"/>
      <c r="Q62" s="249"/>
      <c r="R62" s="249"/>
      <c r="S62" s="249"/>
      <c r="T62" s="249"/>
      <c r="U62" s="249"/>
      <c r="V62" s="249"/>
      <c r="W62" s="249"/>
      <c r="X62" s="249"/>
    </row>
    <row r="63" spans="4:24">
      <c r="D63" s="370"/>
      <c r="K63" s="381"/>
      <c r="M63" s="249"/>
      <c r="N63" s="249"/>
      <c r="O63" s="249"/>
      <c r="P63" s="388"/>
      <c r="Q63" s="388"/>
      <c r="R63" s="388"/>
      <c r="S63" s="388"/>
      <c r="T63" s="388"/>
      <c r="U63" s="388"/>
      <c r="V63" s="388"/>
      <c r="W63" s="388"/>
      <c r="X63" s="388"/>
    </row>
    <row r="64" spans="4:24">
      <c r="D64" s="370"/>
      <c r="J64" s="381"/>
      <c r="L64" s="249"/>
      <c r="N64" s="388"/>
      <c r="O64" s="388"/>
      <c r="P64" s="389"/>
      <c r="Q64" s="389"/>
      <c r="R64" s="389"/>
    </row>
    <row r="65" spans="4:24">
      <c r="D65" s="370"/>
      <c r="J65" s="381"/>
      <c r="K65" s="381"/>
      <c r="P65" s="388"/>
      <c r="Q65" s="388"/>
      <c r="R65" s="388"/>
      <c r="S65" s="249"/>
      <c r="T65" s="249"/>
      <c r="U65" s="249"/>
      <c r="V65" s="249"/>
      <c r="W65" s="249"/>
      <c r="X65" s="249"/>
    </row>
    <row r="66" spans="4:24">
      <c r="D66" s="370"/>
      <c r="J66" s="381"/>
      <c r="K66" s="381"/>
      <c r="M66" s="249"/>
      <c r="N66" s="249"/>
      <c r="O66" s="249"/>
      <c r="S66" s="388"/>
      <c r="T66" s="388"/>
      <c r="U66" s="388"/>
      <c r="V66" s="388"/>
      <c r="W66" s="388"/>
      <c r="X66" s="388"/>
    </row>
    <row r="67" spans="4:24">
      <c r="D67" s="370"/>
      <c r="K67" s="381"/>
      <c r="L67" s="249"/>
      <c r="N67" s="388"/>
      <c r="O67" s="388"/>
      <c r="P67" s="249"/>
      <c r="Q67" s="249"/>
      <c r="R67" s="249"/>
    </row>
    <row r="68" spans="4:24">
      <c r="D68" s="345"/>
      <c r="E68" s="381"/>
      <c r="F68" s="381"/>
      <c r="G68" s="381"/>
      <c r="H68" s="381"/>
      <c r="I68" s="381"/>
      <c r="M68" s="389"/>
      <c r="N68" s="389"/>
      <c r="O68" s="389"/>
      <c r="P68" s="390"/>
      <c r="Q68" s="390"/>
      <c r="R68" s="390"/>
      <c r="S68" s="249"/>
      <c r="T68" s="249"/>
      <c r="U68" s="249"/>
      <c r="V68" s="249"/>
      <c r="W68" s="249"/>
      <c r="X68" s="249"/>
    </row>
    <row r="69" spans="4:24">
      <c r="D69" s="370"/>
      <c r="J69" s="381"/>
      <c r="L69" s="389"/>
      <c r="N69" s="388"/>
      <c r="O69" s="388"/>
      <c r="P69" s="249"/>
      <c r="Q69" s="249"/>
      <c r="R69" s="249"/>
      <c r="S69" s="388"/>
      <c r="T69" s="388"/>
      <c r="U69" s="388"/>
      <c r="V69" s="388"/>
      <c r="W69" s="388"/>
      <c r="X69" s="388"/>
    </row>
    <row r="70" spans="4:24">
      <c r="D70" s="370"/>
      <c r="J70" s="381"/>
      <c r="K70" s="381"/>
      <c r="P70" s="388"/>
      <c r="Q70" s="388"/>
      <c r="R70" s="388"/>
      <c r="S70" s="389"/>
      <c r="T70" s="389"/>
      <c r="U70" s="389"/>
      <c r="V70" s="389"/>
      <c r="W70" s="389"/>
      <c r="X70" s="389"/>
    </row>
    <row r="71" spans="4:24">
      <c r="D71" s="345"/>
      <c r="E71" s="381"/>
      <c r="F71" s="381"/>
      <c r="G71" s="381"/>
      <c r="H71" s="381"/>
      <c r="I71" s="381"/>
      <c r="K71" s="381"/>
      <c r="M71" s="249"/>
      <c r="N71" s="249"/>
      <c r="O71" s="249"/>
      <c r="P71" s="248"/>
      <c r="Q71" s="248"/>
      <c r="R71" s="248"/>
      <c r="S71" s="388"/>
      <c r="T71" s="388"/>
      <c r="U71" s="388"/>
      <c r="V71" s="388"/>
      <c r="W71" s="388"/>
      <c r="X71" s="388"/>
    </row>
    <row r="72" spans="4:24">
      <c r="D72" s="370"/>
      <c r="L72" s="249"/>
      <c r="N72" s="388"/>
      <c r="O72" s="388"/>
    </row>
    <row r="73" spans="4:24">
      <c r="D73" s="345"/>
      <c r="E73" s="381"/>
      <c r="F73" s="381"/>
      <c r="G73" s="381"/>
      <c r="H73" s="381"/>
      <c r="I73" s="381"/>
      <c r="M73" s="249"/>
      <c r="N73" s="249"/>
      <c r="O73" s="249"/>
      <c r="P73" s="247"/>
      <c r="Q73" s="247"/>
      <c r="R73" s="247"/>
      <c r="S73" s="249"/>
      <c r="T73" s="249"/>
      <c r="U73" s="249"/>
      <c r="V73" s="249"/>
      <c r="W73" s="249"/>
      <c r="X73" s="249"/>
    </row>
    <row r="74" spans="4:24">
      <c r="D74" s="370"/>
      <c r="E74" s="381"/>
      <c r="F74" s="381"/>
      <c r="G74" s="381"/>
      <c r="H74" s="381"/>
      <c r="I74" s="381"/>
      <c r="L74" s="249"/>
      <c r="N74" s="388"/>
      <c r="O74" s="388"/>
      <c r="P74" s="388"/>
      <c r="Q74" s="388"/>
      <c r="R74" s="388"/>
      <c r="S74" s="390"/>
      <c r="T74" s="390"/>
      <c r="U74" s="390"/>
      <c r="V74" s="390"/>
      <c r="W74" s="390"/>
      <c r="X74" s="390"/>
    </row>
    <row r="75" spans="4:24">
      <c r="D75" s="370"/>
      <c r="M75" s="248"/>
      <c r="N75" s="248"/>
      <c r="O75" s="248"/>
      <c r="S75" s="249"/>
      <c r="T75" s="249"/>
      <c r="U75" s="249"/>
      <c r="V75" s="249"/>
      <c r="W75" s="249"/>
      <c r="X75" s="249"/>
    </row>
    <row r="76" spans="4:24">
      <c r="D76" s="370"/>
      <c r="L76" s="248"/>
      <c r="P76" s="389"/>
      <c r="Q76" s="389"/>
      <c r="R76" s="389"/>
      <c r="S76" s="388"/>
      <c r="T76" s="388"/>
      <c r="U76" s="388"/>
      <c r="V76" s="388"/>
      <c r="W76" s="388"/>
      <c r="X76" s="388"/>
    </row>
    <row r="77" spans="4:24">
      <c r="D77" s="345"/>
      <c r="E77" s="381"/>
      <c r="F77" s="381"/>
      <c r="G77" s="381"/>
      <c r="H77" s="381"/>
      <c r="I77" s="381"/>
      <c r="M77" s="247"/>
      <c r="N77" s="247"/>
      <c r="O77" s="247"/>
      <c r="P77" s="388"/>
      <c r="Q77" s="388"/>
      <c r="R77" s="388"/>
      <c r="S77" s="248"/>
      <c r="T77" s="248"/>
      <c r="U77" s="248"/>
      <c r="V77" s="248"/>
      <c r="W77" s="248"/>
      <c r="X77" s="248"/>
    </row>
    <row r="78" spans="4:24">
      <c r="D78" s="370"/>
      <c r="E78" s="381"/>
      <c r="F78" s="381"/>
      <c r="G78" s="381"/>
      <c r="H78" s="381"/>
      <c r="I78" s="381"/>
      <c r="L78" s="247"/>
      <c r="N78" s="388"/>
      <c r="O78" s="388"/>
    </row>
    <row r="79" spans="4:24">
      <c r="D79" s="370"/>
      <c r="P79" s="391"/>
      <c r="Q79" s="391"/>
      <c r="R79" s="391"/>
      <c r="S79" s="247"/>
      <c r="T79" s="247"/>
      <c r="U79" s="247"/>
      <c r="V79" s="247"/>
      <c r="W79" s="247"/>
      <c r="X79" s="247"/>
    </row>
    <row r="80" spans="4:24">
      <c r="D80" s="345"/>
      <c r="E80" s="381"/>
      <c r="F80" s="381"/>
      <c r="G80" s="381"/>
      <c r="H80" s="381"/>
      <c r="I80" s="381"/>
      <c r="M80" s="389"/>
      <c r="N80" s="389"/>
      <c r="O80" s="389"/>
      <c r="P80" s="388"/>
      <c r="Q80" s="388"/>
      <c r="R80" s="388"/>
      <c r="S80" s="388"/>
      <c r="T80" s="388"/>
      <c r="U80" s="388"/>
      <c r="V80" s="388"/>
      <c r="W80" s="388"/>
      <c r="X80" s="388"/>
    </row>
    <row r="81" spans="4:24">
      <c r="D81" s="370"/>
      <c r="J81" s="381"/>
      <c r="L81" s="389"/>
      <c r="N81" s="388"/>
      <c r="O81" s="388"/>
      <c r="P81" s="248"/>
      <c r="Q81" s="248"/>
      <c r="R81" s="248"/>
    </row>
    <row r="82" spans="4:24">
      <c r="D82" s="370"/>
      <c r="J82" s="381"/>
      <c r="K82" s="381"/>
      <c r="S82" s="389"/>
      <c r="T82" s="389"/>
      <c r="U82" s="389"/>
      <c r="V82" s="389"/>
      <c r="W82" s="389"/>
      <c r="X82" s="389"/>
    </row>
    <row r="83" spans="4:24">
      <c r="D83" s="345"/>
      <c r="E83" s="381"/>
      <c r="F83" s="381"/>
      <c r="G83" s="381"/>
      <c r="H83" s="381"/>
      <c r="I83" s="381"/>
      <c r="K83" s="381"/>
      <c r="M83" s="391"/>
      <c r="N83" s="391"/>
      <c r="O83" s="391"/>
      <c r="P83" s="247"/>
      <c r="Q83" s="247"/>
      <c r="R83" s="247"/>
      <c r="S83" s="388"/>
      <c r="T83" s="388"/>
      <c r="U83" s="388"/>
      <c r="V83" s="388"/>
      <c r="W83" s="388"/>
      <c r="X83" s="388"/>
    </row>
    <row r="84" spans="4:24">
      <c r="D84" s="370"/>
      <c r="L84" s="391"/>
      <c r="N84" s="388"/>
      <c r="O84" s="388"/>
      <c r="P84" s="388"/>
      <c r="Q84" s="388"/>
      <c r="R84" s="388"/>
    </row>
    <row r="85" spans="4:24">
      <c r="D85" s="370"/>
      <c r="J85" s="381"/>
      <c r="N85" s="248"/>
      <c r="O85" s="248"/>
      <c r="P85" s="274"/>
      <c r="Q85" s="274"/>
      <c r="R85" s="274"/>
      <c r="S85" s="391"/>
      <c r="T85" s="391"/>
      <c r="U85" s="391"/>
      <c r="V85" s="391"/>
      <c r="W85" s="391"/>
      <c r="X85" s="391"/>
    </row>
    <row r="86" spans="4:24">
      <c r="D86" s="370"/>
      <c r="J86" s="381"/>
      <c r="K86" s="381"/>
      <c r="S86" s="388"/>
      <c r="T86" s="388"/>
      <c r="U86" s="388"/>
      <c r="V86" s="388"/>
      <c r="W86" s="388"/>
      <c r="X86" s="388"/>
    </row>
    <row r="87" spans="4:24">
      <c r="D87" s="345"/>
      <c r="E87" s="381"/>
      <c r="F87" s="381"/>
      <c r="G87" s="381"/>
      <c r="H87" s="381"/>
      <c r="I87" s="381"/>
      <c r="K87" s="381"/>
      <c r="M87" s="247"/>
      <c r="N87" s="247"/>
      <c r="O87" s="247"/>
      <c r="P87" s="389"/>
      <c r="Q87" s="389"/>
      <c r="R87" s="389"/>
      <c r="S87" s="248"/>
      <c r="T87" s="248"/>
      <c r="U87" s="248"/>
      <c r="V87" s="248"/>
      <c r="W87" s="248"/>
      <c r="X87" s="248"/>
    </row>
    <row r="88" spans="4:24">
      <c r="D88" s="370"/>
      <c r="L88" s="247"/>
      <c r="N88" s="388"/>
      <c r="O88" s="388"/>
      <c r="P88" s="388"/>
      <c r="Q88" s="388"/>
      <c r="R88" s="388"/>
    </row>
    <row r="89" spans="4:24">
      <c r="D89" s="370"/>
      <c r="E89" s="345"/>
      <c r="F89" s="345"/>
      <c r="G89" s="345"/>
      <c r="H89" s="345"/>
      <c r="I89" s="345"/>
      <c r="J89" s="381"/>
      <c r="M89" s="274"/>
      <c r="N89" s="274"/>
      <c r="O89" s="274"/>
      <c r="S89" s="247"/>
      <c r="T89" s="247"/>
      <c r="U89" s="247"/>
      <c r="V89" s="247"/>
      <c r="W89" s="247"/>
      <c r="X89" s="247"/>
    </row>
    <row r="90" spans="4:24">
      <c r="D90" s="370"/>
      <c r="E90" s="345"/>
      <c r="F90" s="345"/>
      <c r="G90" s="345"/>
      <c r="H90" s="345"/>
      <c r="I90" s="345"/>
      <c r="K90" s="381"/>
      <c r="L90" s="274"/>
      <c r="S90" s="388"/>
      <c r="T90" s="388"/>
      <c r="U90" s="388"/>
      <c r="V90" s="388"/>
      <c r="W90" s="388"/>
      <c r="X90" s="388"/>
    </row>
    <row r="91" spans="4:24">
      <c r="D91" s="370"/>
      <c r="M91" s="389"/>
      <c r="N91" s="389"/>
      <c r="O91" s="389"/>
      <c r="P91" s="249"/>
      <c r="Q91" s="249"/>
      <c r="R91" s="249"/>
      <c r="S91" s="274"/>
      <c r="T91" s="274"/>
      <c r="U91" s="274"/>
      <c r="V91" s="274"/>
      <c r="W91" s="274"/>
      <c r="X91" s="274"/>
    </row>
    <row r="92" spans="4:24">
      <c r="D92" s="370"/>
      <c r="L92" s="389"/>
      <c r="N92" s="388"/>
      <c r="O92" s="388"/>
      <c r="P92" s="388"/>
      <c r="Q92" s="388"/>
      <c r="R92" s="388"/>
    </row>
    <row r="93" spans="4:24">
      <c r="D93" s="370"/>
      <c r="S93" s="389"/>
      <c r="T93" s="389"/>
      <c r="U93" s="389"/>
      <c r="V93" s="389"/>
      <c r="W93" s="389"/>
      <c r="X93" s="389"/>
    </row>
    <row r="94" spans="4:24">
      <c r="D94" s="345"/>
      <c r="E94" s="381"/>
      <c r="F94" s="381"/>
      <c r="G94" s="381"/>
      <c r="H94" s="381"/>
      <c r="I94" s="381"/>
      <c r="P94" s="249"/>
      <c r="Q94" s="249"/>
      <c r="R94" s="249"/>
      <c r="S94" s="388"/>
      <c r="T94" s="388"/>
      <c r="U94" s="388"/>
      <c r="V94" s="388"/>
      <c r="W94" s="388"/>
      <c r="X94" s="388"/>
    </row>
    <row r="95" spans="4:24">
      <c r="D95" s="345"/>
      <c r="E95" s="381"/>
      <c r="F95" s="381"/>
      <c r="G95" s="381"/>
      <c r="H95" s="381"/>
      <c r="I95" s="381"/>
      <c r="M95" s="249"/>
      <c r="N95" s="249"/>
      <c r="O95" s="249"/>
      <c r="P95" s="390"/>
      <c r="Q95" s="390"/>
      <c r="R95" s="390"/>
    </row>
    <row r="96" spans="4:24">
      <c r="D96" s="370"/>
      <c r="E96" s="381"/>
      <c r="F96" s="381"/>
      <c r="G96" s="381"/>
      <c r="H96" s="381"/>
      <c r="I96" s="381"/>
      <c r="L96" s="249"/>
      <c r="N96" s="388"/>
      <c r="O96" s="388"/>
    </row>
    <row r="97" spans="4:24">
      <c r="D97" s="370"/>
      <c r="E97" s="381"/>
      <c r="F97" s="381"/>
      <c r="G97" s="381"/>
      <c r="H97" s="381"/>
      <c r="I97" s="381"/>
      <c r="P97" s="389"/>
      <c r="Q97" s="389"/>
      <c r="R97" s="389"/>
      <c r="S97" s="249"/>
      <c r="T97" s="249"/>
      <c r="U97" s="249"/>
      <c r="V97" s="249"/>
      <c r="W97" s="249"/>
      <c r="X97" s="249"/>
    </row>
    <row r="98" spans="4:24">
      <c r="D98" s="370"/>
      <c r="M98" s="249"/>
      <c r="N98" s="249"/>
      <c r="O98" s="249"/>
      <c r="P98" s="392"/>
      <c r="Q98" s="392"/>
      <c r="R98" s="392"/>
      <c r="S98" s="388"/>
      <c r="T98" s="388"/>
      <c r="U98" s="388"/>
      <c r="V98" s="388"/>
      <c r="W98" s="388"/>
      <c r="X98" s="388"/>
    </row>
    <row r="99" spans="4:24">
      <c r="D99" s="345"/>
      <c r="E99" s="381"/>
      <c r="F99" s="381"/>
      <c r="G99" s="381"/>
      <c r="H99" s="381"/>
      <c r="I99" s="381"/>
      <c r="L99" s="249"/>
      <c r="N99" s="388"/>
      <c r="O99" s="388"/>
      <c r="P99" s="392"/>
      <c r="Q99" s="392"/>
      <c r="R99" s="392"/>
    </row>
    <row r="100" spans="4:24">
      <c r="D100" s="370"/>
      <c r="E100" s="381"/>
      <c r="F100" s="381"/>
      <c r="G100" s="381"/>
      <c r="H100" s="381"/>
      <c r="I100" s="381"/>
      <c r="S100" s="249"/>
      <c r="T100" s="249"/>
      <c r="U100" s="249"/>
      <c r="V100" s="249"/>
      <c r="W100" s="249"/>
      <c r="X100" s="249"/>
    </row>
    <row r="101" spans="4:24">
      <c r="D101" s="370"/>
      <c r="E101" s="381"/>
      <c r="F101" s="381"/>
      <c r="G101" s="381"/>
      <c r="H101" s="381"/>
      <c r="I101" s="381"/>
      <c r="M101" s="389"/>
      <c r="N101" s="389"/>
      <c r="O101" s="389"/>
      <c r="P101" s="388"/>
      <c r="Q101" s="388"/>
      <c r="R101" s="388"/>
      <c r="S101" s="390"/>
      <c r="T101" s="390"/>
      <c r="U101" s="390"/>
      <c r="V101" s="390"/>
      <c r="W101" s="390"/>
      <c r="X101" s="390"/>
    </row>
    <row r="102" spans="4:24">
      <c r="D102" s="370"/>
      <c r="L102" s="389"/>
      <c r="N102" s="392"/>
      <c r="O102" s="392"/>
      <c r="P102" s="389"/>
      <c r="Q102" s="389"/>
      <c r="R102" s="389"/>
    </row>
    <row r="103" spans="4:24">
      <c r="D103" s="370"/>
      <c r="M103" s="392"/>
      <c r="N103" s="392"/>
      <c r="O103" s="392"/>
      <c r="R103" s="392"/>
      <c r="S103" s="389"/>
      <c r="T103" s="389"/>
      <c r="U103" s="389"/>
      <c r="V103" s="389"/>
      <c r="W103" s="389"/>
      <c r="X103" s="389"/>
    </row>
    <row r="104" spans="4:24">
      <c r="D104" s="370"/>
      <c r="J104" s="381"/>
      <c r="L104" s="392"/>
      <c r="S104" s="392"/>
      <c r="T104" s="392"/>
      <c r="U104" s="392"/>
      <c r="V104" s="392"/>
      <c r="W104" s="392"/>
      <c r="X104" s="392"/>
    </row>
    <row r="105" spans="4:24">
      <c r="D105" s="370"/>
      <c r="J105" s="381"/>
      <c r="K105" s="381"/>
      <c r="M105" s="388"/>
      <c r="N105" s="388"/>
      <c r="O105" s="388"/>
      <c r="P105" s="389"/>
      <c r="Q105" s="389"/>
      <c r="R105" s="389"/>
      <c r="S105" s="392"/>
      <c r="T105" s="392"/>
      <c r="U105" s="392"/>
      <c r="V105" s="392"/>
      <c r="W105" s="392"/>
      <c r="X105" s="392"/>
    </row>
    <row r="106" spans="4:24">
      <c r="D106" s="370"/>
      <c r="K106" s="381"/>
      <c r="L106" s="388"/>
      <c r="M106" s="389"/>
      <c r="N106" s="389"/>
      <c r="O106" s="389"/>
      <c r="P106" s="392"/>
      <c r="Q106" s="392"/>
      <c r="R106" s="392"/>
    </row>
    <row r="107" spans="4:24">
      <c r="D107" s="370"/>
      <c r="J107" s="381"/>
      <c r="L107" s="389"/>
      <c r="S107" s="388"/>
      <c r="T107" s="388"/>
      <c r="U107" s="388"/>
      <c r="V107" s="388"/>
      <c r="W107" s="388"/>
      <c r="X107" s="388"/>
    </row>
    <row r="108" spans="4:24">
      <c r="D108" s="370"/>
      <c r="J108" s="381"/>
      <c r="K108" s="381"/>
      <c r="S108" s="389"/>
      <c r="T108" s="389"/>
      <c r="U108" s="389"/>
      <c r="V108" s="389"/>
      <c r="W108" s="389"/>
      <c r="X108" s="389"/>
    </row>
    <row r="109" spans="4:24">
      <c r="D109" s="370"/>
      <c r="J109" s="381"/>
      <c r="K109" s="381"/>
      <c r="M109" s="389"/>
      <c r="N109" s="389"/>
      <c r="O109" s="389"/>
      <c r="S109" s="392"/>
      <c r="T109" s="392"/>
      <c r="U109" s="392"/>
      <c r="V109" s="392"/>
      <c r="W109" s="392"/>
      <c r="X109" s="392"/>
    </row>
    <row r="110" spans="4:24">
      <c r="D110" s="370"/>
      <c r="K110" s="381"/>
      <c r="L110" s="389"/>
      <c r="N110" s="392"/>
      <c r="O110" s="392"/>
    </row>
    <row r="111" spans="4:24">
      <c r="D111" s="345"/>
      <c r="E111" s="381"/>
      <c r="F111" s="381"/>
      <c r="G111" s="381"/>
      <c r="H111" s="381"/>
      <c r="I111" s="381"/>
      <c r="S111" s="389"/>
      <c r="T111" s="389"/>
      <c r="U111" s="389"/>
      <c r="V111" s="389"/>
      <c r="W111" s="389"/>
      <c r="X111" s="389"/>
    </row>
    <row r="112" spans="4:24">
      <c r="D112" s="370"/>
      <c r="J112" s="381"/>
      <c r="S112" s="392"/>
      <c r="T112" s="392"/>
      <c r="U112" s="392"/>
      <c r="V112" s="392"/>
      <c r="W112" s="392"/>
      <c r="X112" s="392"/>
    </row>
    <row r="113" spans="4:11">
      <c r="D113" s="370"/>
      <c r="J113" s="381"/>
      <c r="K113" s="381"/>
    </row>
    <row r="114" spans="4:11">
      <c r="D114" s="345"/>
      <c r="E114" s="381"/>
      <c r="F114" s="381"/>
      <c r="G114" s="381"/>
      <c r="H114" s="381"/>
      <c r="I114" s="381"/>
      <c r="K114" s="381"/>
    </row>
    <row r="115" spans="4:11">
      <c r="D115" s="370"/>
    </row>
    <row r="116" spans="4:11">
      <c r="D116" s="345"/>
      <c r="E116" s="381"/>
      <c r="F116" s="381"/>
      <c r="G116" s="381"/>
      <c r="H116" s="381"/>
      <c r="I116" s="381"/>
    </row>
    <row r="117" spans="4:11">
      <c r="D117" s="370"/>
      <c r="E117" s="381"/>
      <c r="F117" s="381"/>
      <c r="G117" s="381"/>
      <c r="H117" s="381"/>
      <c r="I117" s="381"/>
    </row>
    <row r="118" spans="4:11">
      <c r="D118" s="370"/>
    </row>
    <row r="119" spans="4:11">
      <c r="D119" s="370"/>
    </row>
    <row r="120" spans="4:11">
      <c r="D120" s="345"/>
      <c r="E120" s="381"/>
      <c r="F120" s="381"/>
      <c r="G120" s="381"/>
      <c r="H120" s="381"/>
      <c r="I120" s="381"/>
    </row>
    <row r="121" spans="4:11">
      <c r="D121" s="370"/>
      <c r="E121" s="381"/>
      <c r="F121" s="381"/>
      <c r="G121" s="381"/>
      <c r="H121" s="381"/>
      <c r="I121" s="381"/>
    </row>
    <row r="122" spans="4:11">
      <c r="D122" s="370"/>
    </row>
    <row r="123" spans="4:11">
      <c r="D123" s="345"/>
      <c r="E123" s="381"/>
      <c r="F123" s="381"/>
      <c r="G123" s="381"/>
      <c r="H123" s="381"/>
      <c r="I123" s="381"/>
    </row>
    <row r="124" spans="4:11">
      <c r="D124" s="370"/>
      <c r="J124" s="381"/>
    </row>
    <row r="125" spans="4:11">
      <c r="D125" s="370"/>
      <c r="J125" s="381"/>
      <c r="K125" s="381"/>
    </row>
    <row r="126" spans="4:11">
      <c r="D126" s="345"/>
      <c r="E126" s="381"/>
      <c r="F126" s="381"/>
      <c r="G126" s="381"/>
      <c r="H126" s="381"/>
      <c r="I126" s="381"/>
      <c r="K126" s="381"/>
    </row>
    <row r="127" spans="4:11">
      <c r="D127" s="370"/>
    </row>
    <row r="128" spans="4:11">
      <c r="D128" s="370"/>
      <c r="J128" s="381"/>
    </row>
    <row r="129" spans="4:11">
      <c r="D129" s="370"/>
      <c r="J129" s="381"/>
      <c r="K129" s="381"/>
    </row>
    <row r="130" spans="4:11">
      <c r="D130" s="345"/>
      <c r="E130" s="381"/>
      <c r="F130" s="381"/>
      <c r="G130" s="381"/>
      <c r="H130" s="381"/>
      <c r="I130" s="381"/>
      <c r="K130" s="381"/>
    </row>
    <row r="131" spans="4:11">
      <c r="D131" s="370"/>
    </row>
    <row r="132" spans="4:11">
      <c r="D132" s="370"/>
      <c r="E132" s="345"/>
      <c r="F132" s="345"/>
      <c r="G132" s="345"/>
      <c r="H132" s="345"/>
      <c r="I132" s="345"/>
      <c r="J132" s="381"/>
    </row>
    <row r="133" spans="4:11">
      <c r="D133" s="370"/>
      <c r="E133" s="345"/>
      <c r="F133" s="345"/>
      <c r="G133" s="345"/>
      <c r="H133" s="345"/>
      <c r="I133" s="345"/>
      <c r="K133" s="381"/>
    </row>
    <row r="134" spans="4:11">
      <c r="D134" s="370"/>
    </row>
    <row r="135" spans="4:11">
      <c r="D135" s="370"/>
    </row>
    <row r="137" spans="4:11">
      <c r="D137" s="345"/>
      <c r="E137" s="381"/>
      <c r="F137" s="381"/>
      <c r="G137" s="381"/>
      <c r="H137" s="381"/>
      <c r="I137" s="381"/>
    </row>
    <row r="138" spans="4:11">
      <c r="D138" s="345"/>
      <c r="E138" s="381"/>
      <c r="F138" s="381"/>
      <c r="G138" s="381"/>
      <c r="H138" s="381"/>
      <c r="I138" s="381"/>
    </row>
    <row r="139" spans="4:11">
      <c r="D139" s="370"/>
      <c r="E139" s="381"/>
      <c r="F139" s="381"/>
      <c r="G139" s="381"/>
      <c r="H139" s="381"/>
      <c r="I139" s="381"/>
    </row>
    <row r="140" spans="4:11">
      <c r="D140" s="370"/>
      <c r="E140" s="381"/>
      <c r="F140" s="381"/>
      <c r="G140" s="381"/>
      <c r="H140" s="381"/>
      <c r="I140" s="381"/>
    </row>
    <row r="141" spans="4:11">
      <c r="D141" s="370"/>
    </row>
    <row r="142" spans="4:11">
      <c r="D142" s="345"/>
      <c r="E142" s="381"/>
      <c r="F142" s="381"/>
      <c r="G142" s="381"/>
      <c r="H142" s="381"/>
      <c r="I142" s="381"/>
    </row>
    <row r="143" spans="4:11">
      <c r="D143" s="370"/>
      <c r="E143" s="381"/>
      <c r="F143" s="381"/>
      <c r="G143" s="381"/>
      <c r="H143" s="381"/>
      <c r="I143" s="381"/>
    </row>
    <row r="144" spans="4:11">
      <c r="D144" s="370"/>
      <c r="E144" s="381"/>
      <c r="F144" s="381"/>
      <c r="G144" s="381"/>
      <c r="H144" s="381"/>
      <c r="I144" s="381"/>
    </row>
    <row r="145" spans="4:11">
      <c r="D145" s="370"/>
    </row>
    <row r="146" spans="4:11">
      <c r="D146" s="370"/>
    </row>
    <row r="147" spans="4:11">
      <c r="D147" s="370"/>
      <c r="J147" s="381"/>
    </row>
    <row r="148" spans="4:11">
      <c r="D148" s="370"/>
      <c r="J148" s="381"/>
      <c r="K148" s="381"/>
    </row>
    <row r="149" spans="4:11">
      <c r="D149" s="370"/>
      <c r="K149" s="381"/>
    </row>
    <row r="150" spans="4:11">
      <c r="D150" s="370"/>
      <c r="J150" s="381"/>
    </row>
    <row r="151" spans="4:11">
      <c r="D151" s="370"/>
      <c r="J151" s="381"/>
      <c r="K151" s="381"/>
    </row>
    <row r="152" spans="4:11">
      <c r="D152" s="370"/>
      <c r="J152" s="381"/>
      <c r="K152" s="381"/>
    </row>
    <row r="153" spans="4:11">
      <c r="D153" s="370"/>
      <c r="K153" s="381"/>
    </row>
    <row r="154" spans="4:11">
      <c r="D154" s="345"/>
      <c r="E154" s="381"/>
      <c r="F154" s="381"/>
      <c r="G154" s="381"/>
      <c r="H154" s="381"/>
      <c r="I154" s="381"/>
    </row>
    <row r="155" spans="4:11">
      <c r="D155" s="370"/>
      <c r="J155" s="381"/>
    </row>
    <row r="156" spans="4:11">
      <c r="D156" s="370"/>
      <c r="J156" s="381"/>
      <c r="K156" s="381"/>
    </row>
    <row r="157" spans="4:11">
      <c r="D157" s="345"/>
      <c r="E157" s="381"/>
      <c r="F157" s="381"/>
      <c r="G157" s="381"/>
      <c r="H157" s="381"/>
      <c r="I157" s="381"/>
      <c r="K157" s="381"/>
    </row>
    <row r="158" spans="4:11">
      <c r="D158" s="370"/>
    </row>
    <row r="159" spans="4:11">
      <c r="D159" s="345"/>
      <c r="E159" s="381"/>
      <c r="F159" s="381"/>
      <c r="G159" s="381"/>
      <c r="H159" s="381"/>
      <c r="I159" s="381"/>
    </row>
    <row r="160" spans="4:11">
      <c r="D160" s="370"/>
      <c r="E160" s="381"/>
      <c r="F160" s="381"/>
      <c r="G160" s="381"/>
      <c r="H160" s="381"/>
      <c r="I160" s="381"/>
    </row>
    <row r="161" spans="4:11">
      <c r="D161" s="370"/>
    </row>
    <row r="162" spans="4:11">
      <c r="D162" s="370"/>
    </row>
    <row r="163" spans="4:11">
      <c r="D163" s="345"/>
      <c r="E163" s="381"/>
      <c r="F163" s="381"/>
      <c r="G163" s="381"/>
      <c r="H163" s="381"/>
      <c r="I163" s="381"/>
    </row>
    <row r="164" spans="4:11">
      <c r="D164" s="370"/>
      <c r="E164" s="381"/>
      <c r="F164" s="381"/>
      <c r="G164" s="381"/>
      <c r="H164" s="381"/>
      <c r="I164" s="381"/>
    </row>
    <row r="165" spans="4:11">
      <c r="D165" s="370"/>
    </row>
    <row r="166" spans="4:11">
      <c r="D166" s="345"/>
      <c r="E166" s="381"/>
      <c r="F166" s="381"/>
      <c r="G166" s="381"/>
      <c r="H166" s="381"/>
      <c r="I166" s="381"/>
    </row>
    <row r="167" spans="4:11">
      <c r="D167" s="370"/>
      <c r="J167" s="381"/>
    </row>
    <row r="168" spans="4:11">
      <c r="D168" s="370"/>
      <c r="J168" s="381"/>
      <c r="K168" s="381"/>
    </row>
    <row r="169" spans="4:11">
      <c r="D169" s="345"/>
      <c r="E169" s="381"/>
      <c r="F169" s="381"/>
      <c r="G169" s="381"/>
      <c r="H169" s="381"/>
      <c r="I169" s="381"/>
      <c r="K169" s="381"/>
    </row>
    <row r="170" spans="4:11">
      <c r="D170" s="370"/>
    </row>
    <row r="171" spans="4:11">
      <c r="D171" s="370"/>
      <c r="J171" s="381"/>
    </row>
    <row r="172" spans="4:11">
      <c r="D172" s="370"/>
      <c r="J172" s="381"/>
      <c r="K172" s="381"/>
    </row>
    <row r="173" spans="4:11">
      <c r="D173" s="345"/>
      <c r="E173" s="381"/>
      <c r="F173" s="381"/>
      <c r="G173" s="381"/>
      <c r="H173" s="381"/>
      <c r="I173" s="381"/>
      <c r="K173" s="381"/>
    </row>
    <row r="174" spans="4:11">
      <c r="D174" s="370"/>
    </row>
    <row r="175" spans="4:11">
      <c r="D175" s="370"/>
      <c r="E175" s="345"/>
      <c r="F175" s="345"/>
      <c r="G175" s="345"/>
      <c r="H175" s="345"/>
      <c r="I175" s="345"/>
      <c r="J175" s="381"/>
    </row>
    <row r="176" spans="4:11">
      <c r="D176" s="370"/>
      <c r="E176" s="345"/>
      <c r="F176" s="345"/>
      <c r="G176" s="345"/>
      <c r="H176" s="345"/>
      <c r="I176" s="345"/>
      <c r="K176" s="381"/>
    </row>
    <row r="177" spans="4:11">
      <c r="D177" s="370"/>
    </row>
    <row r="178" spans="4:11">
      <c r="D178" s="370"/>
    </row>
    <row r="179" spans="4:11">
      <c r="D179" s="370"/>
    </row>
    <row r="180" spans="4:11">
      <c r="D180" s="345"/>
      <c r="E180" s="381"/>
      <c r="F180" s="381"/>
      <c r="G180" s="381"/>
      <c r="H180" s="381"/>
      <c r="I180" s="381"/>
    </row>
    <row r="181" spans="4:11">
      <c r="D181" s="345"/>
      <c r="E181" s="381"/>
      <c r="F181" s="381"/>
      <c r="G181" s="381"/>
      <c r="H181" s="381"/>
      <c r="I181" s="381"/>
    </row>
    <row r="182" spans="4:11">
      <c r="D182" s="370"/>
      <c r="E182" s="381"/>
      <c r="F182" s="381"/>
      <c r="G182" s="381"/>
      <c r="H182" s="381"/>
      <c r="I182" s="381"/>
    </row>
    <row r="183" spans="4:11">
      <c r="D183" s="370"/>
      <c r="E183" s="381"/>
      <c r="F183" s="381"/>
      <c r="G183" s="381"/>
      <c r="H183" s="381"/>
      <c r="I183" s="381"/>
    </row>
    <row r="184" spans="4:11">
      <c r="D184" s="370"/>
    </row>
    <row r="185" spans="4:11">
      <c r="D185" s="345"/>
      <c r="E185" s="381"/>
      <c r="F185" s="381"/>
      <c r="G185" s="381"/>
      <c r="H185" s="381"/>
      <c r="I185" s="381"/>
    </row>
    <row r="186" spans="4:11">
      <c r="D186" s="370"/>
      <c r="E186" s="381"/>
      <c r="F186" s="381"/>
      <c r="G186" s="381"/>
      <c r="H186" s="381"/>
      <c r="I186" s="381"/>
    </row>
    <row r="187" spans="4:11">
      <c r="D187" s="370"/>
      <c r="E187" s="381"/>
      <c r="F187" s="381"/>
      <c r="G187" s="381"/>
      <c r="H187" s="381"/>
      <c r="I187" s="381"/>
    </row>
    <row r="188" spans="4:11">
      <c r="D188" s="370"/>
    </row>
    <row r="189" spans="4:11">
      <c r="D189" s="370"/>
    </row>
    <row r="190" spans="4:11">
      <c r="D190" s="370"/>
      <c r="J190" s="381"/>
    </row>
    <row r="191" spans="4:11">
      <c r="D191" s="370"/>
      <c r="J191" s="381"/>
      <c r="K191" s="381"/>
    </row>
    <row r="192" spans="4:11">
      <c r="D192" s="370"/>
      <c r="K192" s="381"/>
    </row>
    <row r="193" spans="4:11">
      <c r="D193" s="370"/>
      <c r="J193" s="381"/>
    </row>
    <row r="194" spans="4:11">
      <c r="D194" s="370"/>
      <c r="J194" s="381"/>
      <c r="K194" s="381"/>
    </row>
    <row r="195" spans="4:11">
      <c r="D195" s="370"/>
      <c r="J195" s="381"/>
      <c r="K195" s="381"/>
    </row>
    <row r="196" spans="4:11">
      <c r="D196" s="370"/>
      <c r="K196" s="381"/>
    </row>
    <row r="197" spans="4:11">
      <c r="D197" s="345"/>
      <c r="E197" s="381"/>
      <c r="F197" s="381"/>
      <c r="G197" s="381"/>
      <c r="H197" s="381"/>
      <c r="I197" s="381"/>
    </row>
    <row r="198" spans="4:11">
      <c r="D198" s="370"/>
      <c r="J198" s="381"/>
    </row>
    <row r="199" spans="4:11">
      <c r="D199" s="370"/>
      <c r="J199" s="381"/>
      <c r="K199" s="381"/>
    </row>
    <row r="200" spans="4:11">
      <c r="D200" s="345"/>
      <c r="E200" s="381"/>
      <c r="F200" s="381"/>
      <c r="G200" s="381"/>
      <c r="H200" s="381"/>
      <c r="I200" s="381"/>
      <c r="K200" s="381"/>
    </row>
    <row r="201" spans="4:11">
      <c r="D201" s="370"/>
    </row>
    <row r="202" spans="4:11">
      <c r="D202" s="345"/>
      <c r="E202" s="381"/>
      <c r="F202" s="381"/>
      <c r="G202" s="381"/>
      <c r="H202" s="381"/>
      <c r="I202" s="381"/>
    </row>
    <row r="203" spans="4:11">
      <c r="D203" s="370"/>
      <c r="E203" s="381"/>
      <c r="F203" s="381"/>
      <c r="G203" s="381"/>
      <c r="H203" s="381"/>
      <c r="I203" s="381"/>
    </row>
    <row r="204" spans="4:11">
      <c r="D204" s="370"/>
    </row>
    <row r="205" spans="4:11">
      <c r="D205" s="370"/>
    </row>
    <row r="206" spans="4:11">
      <c r="D206" s="345"/>
      <c r="E206" s="381"/>
      <c r="F206" s="381"/>
      <c r="G206" s="381"/>
      <c r="H206" s="381"/>
      <c r="I206" s="381"/>
    </row>
    <row r="207" spans="4:11">
      <c r="D207" s="370"/>
      <c r="E207" s="381"/>
      <c r="F207" s="381"/>
      <c r="G207" s="381"/>
      <c r="H207" s="381"/>
      <c r="I207" s="381"/>
    </row>
    <row r="208" spans="4:11">
      <c r="D208" s="370"/>
    </row>
    <row r="209" spans="4:11">
      <c r="D209" s="345"/>
      <c r="E209" s="381"/>
      <c r="F209" s="381"/>
      <c r="G209" s="381"/>
      <c r="H209" s="381"/>
      <c r="I209" s="381"/>
    </row>
    <row r="210" spans="4:11">
      <c r="D210" s="370"/>
      <c r="J210" s="381"/>
    </row>
    <row r="211" spans="4:11">
      <c r="D211" s="370"/>
      <c r="J211" s="381"/>
      <c r="K211" s="381"/>
    </row>
    <row r="212" spans="4:11">
      <c r="D212" s="345"/>
      <c r="E212" s="381"/>
      <c r="F212" s="381"/>
      <c r="G212" s="381"/>
      <c r="H212" s="381"/>
      <c r="I212" s="381"/>
      <c r="K212" s="381"/>
    </row>
    <row r="213" spans="4:11">
      <c r="D213" s="370"/>
    </row>
    <row r="214" spans="4:11">
      <c r="D214" s="370"/>
      <c r="J214" s="381"/>
    </row>
    <row r="215" spans="4:11">
      <c r="D215" s="370"/>
      <c r="J215" s="381"/>
      <c r="K215" s="381"/>
    </row>
    <row r="216" spans="4:11">
      <c r="D216" s="345"/>
      <c r="E216" s="381"/>
      <c r="F216" s="381"/>
      <c r="G216" s="381"/>
      <c r="H216" s="381"/>
      <c r="I216" s="381"/>
      <c r="K216" s="381"/>
    </row>
    <row r="217" spans="4:11">
      <c r="D217" s="370"/>
    </row>
    <row r="218" spans="4:11">
      <c r="D218" s="370"/>
      <c r="E218" s="345"/>
      <c r="F218" s="345"/>
      <c r="G218" s="345"/>
      <c r="H218" s="345"/>
      <c r="I218" s="345"/>
      <c r="J218" s="381"/>
    </row>
    <row r="219" spans="4:11">
      <c r="D219" s="370"/>
      <c r="E219" s="345"/>
      <c r="F219" s="345"/>
      <c r="G219" s="345"/>
      <c r="H219" s="345"/>
      <c r="I219" s="345"/>
      <c r="K219" s="381"/>
    </row>
    <row r="220" spans="4:11">
      <c r="D220" s="370"/>
    </row>
    <row r="221" spans="4:11">
      <c r="D221" s="370"/>
    </row>
    <row r="222" spans="4:11">
      <c r="D222" s="370"/>
    </row>
    <row r="223" spans="4:11">
      <c r="D223" s="345"/>
      <c r="E223" s="381"/>
      <c r="F223" s="381"/>
      <c r="G223" s="381"/>
      <c r="H223" s="381"/>
      <c r="I223" s="381"/>
    </row>
    <row r="224" spans="4:11">
      <c r="D224" s="345"/>
      <c r="E224" s="381"/>
      <c r="F224" s="381"/>
      <c r="G224" s="381"/>
      <c r="H224" s="381"/>
      <c r="I224" s="381"/>
    </row>
    <row r="225" spans="4:11">
      <c r="D225" s="370"/>
      <c r="E225" s="381"/>
      <c r="F225" s="381"/>
      <c r="G225" s="381"/>
      <c r="H225" s="381"/>
      <c r="I225" s="381"/>
    </row>
    <row r="226" spans="4:11">
      <c r="D226" s="370"/>
      <c r="E226" s="381"/>
      <c r="F226" s="381"/>
      <c r="G226" s="381"/>
      <c r="H226" s="381"/>
      <c r="I226" s="381"/>
    </row>
    <row r="227" spans="4:11">
      <c r="D227" s="370"/>
    </row>
    <row r="228" spans="4:11">
      <c r="D228" s="345"/>
      <c r="E228" s="381"/>
      <c r="F228" s="381"/>
      <c r="G228" s="381"/>
      <c r="H228" s="381"/>
      <c r="I228" s="381"/>
    </row>
    <row r="229" spans="4:11">
      <c r="D229" s="370"/>
      <c r="E229" s="381"/>
      <c r="F229" s="381"/>
      <c r="G229" s="381"/>
      <c r="H229" s="381"/>
      <c r="I229" s="381"/>
    </row>
    <row r="230" spans="4:11">
      <c r="D230" s="370"/>
      <c r="E230" s="381"/>
      <c r="F230" s="381"/>
      <c r="G230" s="381"/>
      <c r="H230" s="381"/>
      <c r="I230" s="381"/>
    </row>
    <row r="231" spans="4:11">
      <c r="D231" s="370"/>
    </row>
    <row r="232" spans="4:11">
      <c r="D232" s="370"/>
    </row>
    <row r="233" spans="4:11">
      <c r="D233" s="370"/>
      <c r="J233" s="381"/>
    </row>
    <row r="234" spans="4:11">
      <c r="D234" s="370"/>
      <c r="J234" s="381"/>
      <c r="K234" s="381"/>
    </row>
    <row r="235" spans="4:11">
      <c r="D235" s="370"/>
      <c r="K235" s="381"/>
    </row>
    <row r="236" spans="4:11">
      <c r="D236" s="370"/>
      <c r="J236" s="381"/>
    </row>
    <row r="237" spans="4:11">
      <c r="D237" s="370"/>
      <c r="J237" s="381"/>
      <c r="K237" s="381"/>
    </row>
    <row r="238" spans="4:11">
      <c r="D238" s="370"/>
      <c r="J238" s="381"/>
      <c r="K238" s="381"/>
    </row>
    <row r="239" spans="4:11">
      <c r="D239" s="370"/>
      <c r="K239" s="381"/>
    </row>
    <row r="240" spans="4:11">
      <c r="D240" s="345"/>
      <c r="E240" s="381"/>
      <c r="F240" s="381"/>
      <c r="G240" s="381"/>
      <c r="H240" s="381"/>
      <c r="I240" s="381"/>
    </row>
    <row r="241" spans="4:11">
      <c r="D241" s="370"/>
      <c r="J241" s="381"/>
    </row>
    <row r="242" spans="4:11">
      <c r="D242" s="370"/>
      <c r="J242" s="381"/>
      <c r="K242" s="381"/>
    </row>
    <row r="243" spans="4:11">
      <c r="D243" s="345"/>
      <c r="E243" s="381"/>
      <c r="F243" s="381"/>
      <c r="G243" s="381"/>
      <c r="H243" s="381"/>
      <c r="I243" s="381"/>
      <c r="K243" s="381"/>
    </row>
    <row r="244" spans="4:11">
      <c r="D244" s="370"/>
    </row>
    <row r="245" spans="4:11">
      <c r="D245" s="345"/>
      <c r="E245" s="381"/>
      <c r="F245" s="381"/>
      <c r="G245" s="381"/>
      <c r="H245" s="381"/>
      <c r="I245" s="381"/>
    </row>
    <row r="246" spans="4:11">
      <c r="D246" s="370"/>
      <c r="E246" s="381"/>
      <c r="F246" s="381"/>
      <c r="G246" s="381"/>
      <c r="H246" s="381"/>
      <c r="I246" s="381"/>
    </row>
    <row r="247" spans="4:11">
      <c r="D247" s="370"/>
    </row>
    <row r="248" spans="4:11">
      <c r="D248" s="370"/>
    </row>
    <row r="249" spans="4:11">
      <c r="D249" s="345"/>
      <c r="E249" s="381"/>
      <c r="F249" s="381"/>
      <c r="G249" s="381"/>
      <c r="H249" s="381"/>
      <c r="I249" s="381"/>
    </row>
    <row r="250" spans="4:11">
      <c r="D250" s="370"/>
      <c r="E250" s="381"/>
      <c r="F250" s="381"/>
      <c r="G250" s="381"/>
      <c r="H250" s="381"/>
      <c r="I250" s="381"/>
    </row>
    <row r="251" spans="4:11">
      <c r="D251" s="370"/>
    </row>
    <row r="252" spans="4:11">
      <c r="D252" s="345"/>
      <c r="E252" s="381"/>
      <c r="F252" s="381"/>
      <c r="G252" s="381"/>
      <c r="H252" s="381"/>
      <c r="I252" s="381"/>
    </row>
    <row r="253" spans="4:11">
      <c r="D253" s="370"/>
      <c r="J253" s="381"/>
    </row>
    <row r="254" spans="4:11">
      <c r="D254" s="370"/>
      <c r="J254" s="381"/>
      <c r="K254" s="381"/>
    </row>
    <row r="255" spans="4:11">
      <c r="D255" s="345"/>
      <c r="E255" s="381"/>
      <c r="F255" s="381"/>
      <c r="G255" s="381"/>
      <c r="H255" s="381"/>
      <c r="I255" s="381"/>
      <c r="K255" s="381"/>
    </row>
    <row r="256" spans="4:11">
      <c r="D256" s="370"/>
    </row>
    <row r="257" spans="4:11">
      <c r="D257" s="370"/>
      <c r="J257" s="381"/>
    </row>
    <row r="258" spans="4:11">
      <c r="D258" s="370"/>
      <c r="J258" s="381"/>
      <c r="K258" s="381"/>
    </row>
    <row r="259" spans="4:11">
      <c r="D259" s="345"/>
      <c r="E259" s="381"/>
      <c r="F259" s="381"/>
      <c r="G259" s="381"/>
      <c r="H259" s="381"/>
      <c r="I259" s="381"/>
      <c r="K259" s="381"/>
    </row>
    <row r="260" spans="4:11">
      <c r="D260" s="370"/>
    </row>
    <row r="261" spans="4:11">
      <c r="D261" s="370"/>
      <c r="E261" s="345"/>
      <c r="F261" s="345"/>
      <c r="G261" s="345"/>
      <c r="H261" s="345"/>
      <c r="I261" s="345"/>
      <c r="J261" s="381"/>
    </row>
    <row r="262" spans="4:11">
      <c r="D262" s="370"/>
      <c r="E262" s="345"/>
      <c r="F262" s="345"/>
      <c r="G262" s="345"/>
      <c r="H262" s="345"/>
      <c r="I262" s="345"/>
      <c r="K262" s="381"/>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sheetData>
  <phoneticPr fontId="26" type="noConversion"/>
  <pageMargins left="0.75" right="0.75" top="1" bottom="1" header="0.5" footer="0.5"/>
  <pageSetup scale="47" orientation="landscape"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39">
    <pageSetUpPr fitToPage="1"/>
  </sheetPr>
  <dimension ref="A1:AA462"/>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6" width="10" style="367" customWidth="1"/>
    <col min="27" max="16384" width="9.109375" style="367"/>
  </cols>
  <sheetData>
    <row r="1" spans="2:27" s="472" customFormat="1">
      <c r="E1" s="150"/>
    </row>
    <row r="2" spans="2:27" s="472" customFormat="1">
      <c r="E2" s="150"/>
    </row>
    <row r="3" spans="2:27" s="472" customFormat="1"/>
    <row r="4" spans="2:27" s="477" customFormat="1" ht="21">
      <c r="B4" s="129" t="s">
        <v>1447</v>
      </c>
      <c r="C4" s="129"/>
    </row>
    <row r="5" spans="2:27" s="472" customFormat="1">
      <c r="D5" s="132"/>
      <c r="E5" s="132"/>
      <c r="F5" s="132"/>
      <c r="G5" s="132"/>
      <c r="H5" s="132"/>
      <c r="I5" s="132"/>
      <c r="L5" s="473"/>
      <c r="M5" s="473"/>
      <c r="N5" s="473"/>
      <c r="O5" s="473"/>
      <c r="P5" s="473"/>
      <c r="Q5" s="473"/>
      <c r="R5" s="473"/>
      <c r="S5" s="473"/>
      <c r="T5" s="473"/>
      <c r="U5" s="473"/>
      <c r="V5" s="473"/>
      <c r="W5" s="473"/>
      <c r="X5" s="473"/>
    </row>
    <row r="6" spans="2:27">
      <c r="B6" s="456"/>
      <c r="C6" s="456"/>
      <c r="D6" s="456"/>
      <c r="E6" s="456"/>
      <c r="F6" s="456"/>
      <c r="G6" s="456"/>
      <c r="H6" s="456"/>
      <c r="I6" s="456"/>
      <c r="L6" s="440"/>
      <c r="M6" s="440"/>
      <c r="N6" s="440"/>
      <c r="O6" s="440"/>
      <c r="P6" s="440"/>
      <c r="Q6" s="440"/>
      <c r="R6" s="440"/>
      <c r="S6" s="440"/>
      <c r="T6" s="440"/>
      <c r="U6" s="440"/>
      <c r="V6" s="440"/>
      <c r="W6" s="440"/>
      <c r="X6" s="440"/>
    </row>
    <row r="7" spans="2:27" ht="12.6" thickBot="1">
      <c r="B7" s="306" t="s">
        <v>546</v>
      </c>
      <c r="C7" s="306"/>
      <c r="D7" s="368"/>
      <c r="E7" s="457"/>
      <c r="F7" s="457"/>
      <c r="G7" s="457"/>
      <c r="H7" s="457"/>
      <c r="I7" s="457"/>
      <c r="J7" s="368"/>
      <c r="K7" s="368"/>
      <c r="L7" s="368"/>
      <c r="M7" s="368"/>
      <c r="N7" s="368"/>
      <c r="O7" s="368"/>
      <c r="P7" s="368"/>
      <c r="Q7" s="368"/>
      <c r="R7" s="368"/>
      <c r="S7" s="368"/>
      <c r="T7" s="368"/>
      <c r="U7" s="368"/>
      <c r="V7" s="368"/>
      <c r="W7" s="368"/>
      <c r="X7" s="368"/>
    </row>
    <row r="8" spans="2:27" ht="12.6" thickTop="1">
      <c r="B8" s="345"/>
      <c r="C8" s="345"/>
      <c r="E8" s="345"/>
      <c r="F8" s="345"/>
      <c r="G8" s="345"/>
      <c r="H8" s="345"/>
      <c r="I8" s="345"/>
    </row>
    <row r="9" spans="2:27">
      <c r="D9" s="345"/>
      <c r="E9" s="382" t="s">
        <v>80</v>
      </c>
      <c r="F9" s="458" t="s">
        <v>81</v>
      </c>
      <c r="G9" s="458"/>
      <c r="H9" s="458" t="s">
        <v>82</v>
      </c>
      <c r="I9" s="458"/>
      <c r="J9" s="458" t="s">
        <v>83</v>
      </c>
      <c r="K9" s="458"/>
      <c r="L9" s="458" t="s">
        <v>84</v>
      </c>
      <c r="M9" s="458"/>
      <c r="N9" s="458" t="s">
        <v>127</v>
      </c>
      <c r="O9" s="458"/>
      <c r="P9" s="458" t="s">
        <v>128</v>
      </c>
      <c r="Q9" s="458"/>
      <c r="R9" s="458" t="s">
        <v>547</v>
      </c>
      <c r="S9" s="458"/>
      <c r="T9" s="458" t="s">
        <v>129</v>
      </c>
      <c r="U9" s="458"/>
      <c r="V9" s="458" t="s">
        <v>130</v>
      </c>
      <c r="W9" s="458"/>
      <c r="X9" s="458" t="s">
        <v>120</v>
      </c>
      <c r="Y9" s="458"/>
      <c r="Z9" s="458"/>
      <c r="AA9" s="458"/>
    </row>
    <row r="10" spans="2:27">
      <c r="D10" s="345"/>
      <c r="E10" s="382"/>
      <c r="F10" s="458"/>
      <c r="G10" s="458"/>
      <c r="H10" s="458"/>
      <c r="I10" s="458"/>
      <c r="J10" s="458"/>
      <c r="K10" s="458"/>
      <c r="L10" s="458"/>
      <c r="M10" s="458"/>
      <c r="N10" s="458"/>
      <c r="O10" s="458"/>
      <c r="P10" s="458"/>
      <c r="Q10" s="458"/>
      <c r="R10" s="458"/>
      <c r="S10" s="458"/>
      <c r="T10" s="458"/>
      <c r="U10" s="458"/>
      <c r="V10" s="458"/>
      <c r="W10" s="458"/>
      <c r="X10" s="458"/>
    </row>
    <row r="11" spans="2:27">
      <c r="B11" s="370" t="s">
        <v>444</v>
      </c>
      <c r="C11" s="370"/>
      <c r="E11" s="367" t="str">
        <f>"DCF, "&amp;TEXT(H11,"0.0")&amp;"x 21E OpFCF"</f>
        <v>DCF, 6.9x 21E OpFCF</v>
      </c>
      <c r="F11" s="484">
        <v>10067.333229133012</v>
      </c>
      <c r="G11" s="178" t="s">
        <v>133</v>
      </c>
      <c r="H11" s="487">
        <v>6.8697017455442593</v>
      </c>
      <c r="I11" s="178" t="s">
        <v>134</v>
      </c>
      <c r="J11" s="216">
        <f>F11*H11</f>
        <v>69159.57665715077</v>
      </c>
      <c r="K11" s="178" t="s">
        <v>135</v>
      </c>
      <c r="L11" s="484"/>
      <c r="M11" s="178" t="s">
        <v>134</v>
      </c>
      <c r="N11" s="216">
        <f>J11-L11</f>
        <v>69159.57665715077</v>
      </c>
      <c r="O11" s="178" t="s">
        <v>133</v>
      </c>
      <c r="P11" s="490">
        <v>1</v>
      </c>
      <c r="Q11" s="393" t="s">
        <v>134</v>
      </c>
      <c r="R11" s="216">
        <f>P11*N11</f>
        <v>69159.57665715077</v>
      </c>
      <c r="S11" s="216"/>
      <c r="T11" s="216">
        <f>N11-R11</f>
        <v>0</v>
      </c>
      <c r="U11" s="216"/>
      <c r="V11" s="394">
        <f>N11/$J$45</f>
        <v>0.45953516848907228</v>
      </c>
      <c r="W11" s="370"/>
      <c r="X11" s="373">
        <f>$J$49*V11</f>
        <v>13.869476648088508</v>
      </c>
    </row>
    <row r="12" spans="2:27">
      <c r="B12" s="370"/>
      <c r="C12" s="370"/>
      <c r="F12" s="216"/>
      <c r="G12" s="178"/>
      <c r="H12" s="373"/>
      <c r="I12" s="178"/>
      <c r="J12" s="216"/>
      <c r="K12" s="178"/>
      <c r="L12" s="216"/>
      <c r="M12" s="178"/>
      <c r="N12" s="216"/>
      <c r="O12" s="178"/>
      <c r="P12" s="215"/>
      <c r="Q12" s="393"/>
      <c r="R12" s="216"/>
      <c r="S12" s="216"/>
      <c r="T12" s="216"/>
      <c r="U12" s="216"/>
      <c r="V12" s="450"/>
      <c r="W12" s="370"/>
      <c r="X12" s="373"/>
    </row>
    <row r="13" spans="2:27">
      <c r="B13" s="370" t="s">
        <v>454</v>
      </c>
      <c r="C13" s="370"/>
      <c r="E13" s="367" t="s">
        <v>1135</v>
      </c>
      <c r="F13" s="484">
        <v>440</v>
      </c>
      <c r="G13" s="178" t="s">
        <v>133</v>
      </c>
      <c r="H13" s="488">
        <v>24</v>
      </c>
      <c r="I13" s="178" t="s">
        <v>134</v>
      </c>
      <c r="J13" s="216">
        <f>F13*H13+L13</f>
        <v>11028.5</v>
      </c>
      <c r="K13" s="178" t="s">
        <v>135</v>
      </c>
      <c r="L13" s="484">
        <v>468.50000000000006</v>
      </c>
      <c r="M13" s="178" t="s">
        <v>134</v>
      </c>
      <c r="N13" s="216">
        <f>J13-L13</f>
        <v>10560</v>
      </c>
      <c r="O13" s="178" t="s">
        <v>133</v>
      </c>
      <c r="P13" s="490">
        <v>0.5</v>
      </c>
      <c r="Q13" s="393" t="s">
        <v>134</v>
      </c>
      <c r="R13" s="216">
        <f>P13*N13</f>
        <v>5280</v>
      </c>
      <c r="S13" s="216"/>
      <c r="T13" s="216">
        <f t="shared" ref="T13:T20" si="0">N13-R13</f>
        <v>5280</v>
      </c>
      <c r="U13" s="216"/>
      <c r="V13" s="394">
        <f t="shared" ref="V13:V20" si="1">N13/$J$45</f>
        <v>7.0166585942264562E-2</v>
      </c>
      <c r="W13" s="370"/>
      <c r="X13" s="373">
        <f t="shared" ref="X13:X20" si="2">$J$49*V13</f>
        <v>2.1177352506056906</v>
      </c>
    </row>
    <row r="14" spans="2:27">
      <c r="B14" s="370" t="s">
        <v>448</v>
      </c>
      <c r="C14" s="370"/>
      <c r="E14" s="367" t="str">
        <f t="shared" ref="E14:E20" si="3">"DCF, "&amp;TEXT(H14,"0.0")&amp;"x 21E OpFCF"</f>
        <v>DCF, 20.1x 21E OpFCF</v>
      </c>
      <c r="F14" s="484">
        <v>194.06850394224881</v>
      </c>
      <c r="G14" s="178" t="s">
        <v>133</v>
      </c>
      <c r="H14" s="487">
        <v>20.082952261702907</v>
      </c>
      <c r="I14" s="178" t="s">
        <v>134</v>
      </c>
      <c r="J14" s="216">
        <f t="shared" ref="J14:J19" si="4">F14*H14</f>
        <v>3897.4685001722851</v>
      </c>
      <c r="K14" s="178" t="s">
        <v>135</v>
      </c>
      <c r="L14" s="484">
        <v>254.33805760779023</v>
      </c>
      <c r="M14" s="178" t="s">
        <v>134</v>
      </c>
      <c r="N14" s="216">
        <f>J14-L14</f>
        <v>3643.1304425644948</v>
      </c>
      <c r="O14" s="178" t="s">
        <v>133</v>
      </c>
      <c r="P14" s="490">
        <v>0.59299999999999997</v>
      </c>
      <c r="Q14" s="393" t="s">
        <v>134</v>
      </c>
      <c r="R14" s="216">
        <f>P14*N14</f>
        <v>2160.3763524407454</v>
      </c>
      <c r="S14" s="216"/>
      <c r="T14" s="216">
        <f t="shared" si="0"/>
        <v>1482.7540901237494</v>
      </c>
      <c r="U14" s="216"/>
      <c r="V14" s="394">
        <f t="shared" si="1"/>
        <v>2.4207009971314579E-2</v>
      </c>
      <c r="W14" s="370"/>
      <c r="X14" s="373">
        <f t="shared" si="2"/>
        <v>0.7306047121944641</v>
      </c>
    </row>
    <row r="15" spans="2:27">
      <c r="B15" s="370" t="s">
        <v>222</v>
      </c>
      <c r="E15" s="367" t="str">
        <f t="shared" si="3"/>
        <v>DCF, 15.5x 21E OpFCF</v>
      </c>
      <c r="F15" s="484">
        <v>98.913113379359743</v>
      </c>
      <c r="G15" s="178" t="s">
        <v>133</v>
      </c>
      <c r="H15" s="487">
        <v>15.488874758921598</v>
      </c>
      <c r="I15" s="178" t="s">
        <v>134</v>
      </c>
      <c r="J15" s="216">
        <f t="shared" si="4"/>
        <v>1532.0528251479154</v>
      </c>
      <c r="K15" s="178" t="s">
        <v>135</v>
      </c>
      <c r="L15" s="484"/>
      <c r="M15" s="178" t="s">
        <v>134</v>
      </c>
      <c r="N15" s="216">
        <f>J15-L15</f>
        <v>1532.0528251479154</v>
      </c>
      <c r="O15" s="178" t="s">
        <v>133</v>
      </c>
      <c r="P15" s="490">
        <v>1</v>
      </c>
      <c r="Q15" s="393" t="s">
        <v>134</v>
      </c>
      <c r="R15" s="216">
        <f>P15*N15</f>
        <v>1532.0528251479154</v>
      </c>
      <c r="S15" s="216"/>
      <c r="T15" s="216">
        <f t="shared" si="0"/>
        <v>0</v>
      </c>
      <c r="U15" s="216"/>
      <c r="V15" s="394">
        <f t="shared" si="1"/>
        <v>1.0179821612105153E-2</v>
      </c>
      <c r="W15" s="370"/>
      <c r="X15" s="373">
        <f t="shared" si="2"/>
        <v>0.30724263954600156</v>
      </c>
    </row>
    <row r="16" spans="2:27">
      <c r="B16" s="370" t="s">
        <v>534</v>
      </c>
      <c r="E16" s="367" t="str">
        <f t="shared" si="3"/>
        <v>DCF, 13.5x 21E OpFCF</v>
      </c>
      <c r="F16" s="484">
        <v>336.1638227107847</v>
      </c>
      <c r="G16" s="178" t="s">
        <v>133</v>
      </c>
      <c r="H16" s="487">
        <v>13.451051763790753</v>
      </c>
      <c r="I16" s="178" t="s">
        <v>134</v>
      </c>
      <c r="J16" s="216">
        <f t="shared" si="4"/>
        <v>4521.7569803965425</v>
      </c>
      <c r="K16" s="178" t="s">
        <v>135</v>
      </c>
      <c r="L16" s="484"/>
      <c r="M16" s="178" t="s">
        <v>134</v>
      </c>
      <c r="N16" s="178">
        <f t="shared" ref="N16:N17" si="5">J16-L16</f>
        <v>4521.7569803965425</v>
      </c>
      <c r="O16" s="178" t="s">
        <v>133</v>
      </c>
      <c r="P16" s="490">
        <v>1</v>
      </c>
      <c r="Q16" s="393" t="s">
        <v>134</v>
      </c>
      <c r="R16" s="216">
        <f>P16*N16</f>
        <v>4521.7569803965425</v>
      </c>
      <c r="S16" s="216"/>
      <c r="T16" s="216">
        <f t="shared" si="0"/>
        <v>0</v>
      </c>
      <c r="U16" s="216"/>
      <c r="V16" s="394">
        <f t="shared" si="1"/>
        <v>3.004509941051408E-2</v>
      </c>
      <c r="W16" s="370"/>
      <c r="X16" s="373">
        <f t="shared" si="2"/>
        <v>0.90680721136913844</v>
      </c>
    </row>
    <row r="17" spans="2:24">
      <c r="B17" s="370" t="s">
        <v>535</v>
      </c>
      <c r="E17" s="367" t="str">
        <f t="shared" si="3"/>
        <v>DCF, 13.2x 21E OpFCF</v>
      </c>
      <c r="F17" s="484">
        <v>180.86919538677657</v>
      </c>
      <c r="G17" s="178" t="s">
        <v>133</v>
      </c>
      <c r="H17" s="487">
        <v>13.233724862969654</v>
      </c>
      <c r="I17" s="178" t="s">
        <v>134</v>
      </c>
      <c r="J17" s="216">
        <f t="shared" si="4"/>
        <v>2393.5731679353012</v>
      </c>
      <c r="K17" s="178" t="s">
        <v>135</v>
      </c>
      <c r="L17" s="484"/>
      <c r="M17" s="178" t="s">
        <v>134</v>
      </c>
      <c r="N17" s="216">
        <f t="shared" si="5"/>
        <v>2393.5731679353012</v>
      </c>
      <c r="O17" s="178" t="s">
        <v>133</v>
      </c>
      <c r="P17" s="490">
        <v>0.51</v>
      </c>
      <c r="Q17" s="393" t="s">
        <v>134</v>
      </c>
      <c r="R17" s="216">
        <f t="shared" ref="R17:R20" si="6">P17*N17</f>
        <v>1220.7223156470036</v>
      </c>
      <c r="S17" s="216"/>
      <c r="T17" s="216">
        <f t="shared" si="0"/>
        <v>1172.8508522882976</v>
      </c>
      <c r="U17" s="216"/>
      <c r="V17" s="394">
        <f t="shared" si="1"/>
        <v>1.5904247859567306E-2</v>
      </c>
      <c r="W17" s="370"/>
      <c r="X17" s="373">
        <f t="shared" si="2"/>
        <v>0.48001460915156452</v>
      </c>
    </row>
    <row r="18" spans="2:24">
      <c r="B18" s="370" t="s">
        <v>516</v>
      </c>
      <c r="E18" s="367" t="str">
        <f t="shared" si="3"/>
        <v>DCF, 13.7x 21E OpFCF</v>
      </c>
      <c r="F18" s="484">
        <v>197.47661944906861</v>
      </c>
      <c r="G18" s="178" t="s">
        <v>133</v>
      </c>
      <c r="H18" s="487">
        <v>13.655609931656713</v>
      </c>
      <c r="I18" s="178" t="s">
        <v>134</v>
      </c>
      <c r="J18" s="216">
        <f t="shared" si="4"/>
        <v>2696.6636858186944</v>
      </c>
      <c r="K18" s="178" t="s">
        <v>135</v>
      </c>
      <c r="L18" s="484"/>
      <c r="M18" s="178" t="s">
        <v>134</v>
      </c>
      <c r="N18" s="216">
        <f>J18-L18</f>
        <v>2696.6636858186944</v>
      </c>
      <c r="O18" s="178" t="s">
        <v>133</v>
      </c>
      <c r="P18" s="490">
        <v>0.51</v>
      </c>
      <c r="Q18" s="393" t="s">
        <v>134</v>
      </c>
      <c r="R18" s="216">
        <f t="shared" si="6"/>
        <v>1375.2984797675342</v>
      </c>
      <c r="S18" s="216"/>
      <c r="T18" s="216">
        <f t="shared" si="0"/>
        <v>1321.3652060511602</v>
      </c>
      <c r="U18" s="216"/>
      <c r="V18" s="394">
        <f t="shared" si="1"/>
        <v>1.7918151919354294E-2</v>
      </c>
      <c r="W18" s="370"/>
      <c r="X18" s="373">
        <f t="shared" si="2"/>
        <v>0.54079732447788997</v>
      </c>
    </row>
    <row r="19" spans="2:24">
      <c r="B19" s="370" t="s">
        <v>431</v>
      </c>
      <c r="E19" s="367" t="str">
        <f t="shared" si="3"/>
        <v>DCF, 15.0x 21E OpFCF</v>
      </c>
      <c r="F19" s="484">
        <v>304.44310235081588</v>
      </c>
      <c r="G19" s="178" t="s">
        <v>133</v>
      </c>
      <c r="H19" s="487">
        <v>15.026755919430371</v>
      </c>
      <c r="I19" s="178" t="s">
        <v>134</v>
      </c>
      <c r="J19" s="216">
        <f t="shared" si="4"/>
        <v>4574.7921903798688</v>
      </c>
      <c r="K19" s="178" t="s">
        <v>135</v>
      </c>
      <c r="L19" s="484"/>
      <c r="M19" s="178" t="s">
        <v>134</v>
      </c>
      <c r="N19" s="216">
        <f>J19-L19</f>
        <v>4574.7921903798688</v>
      </c>
      <c r="O19" s="178" t="s">
        <v>133</v>
      </c>
      <c r="P19" s="490">
        <v>1</v>
      </c>
      <c r="Q19" s="393" t="s">
        <v>134</v>
      </c>
      <c r="R19" s="216">
        <f t="shared" si="6"/>
        <v>4574.7921903798688</v>
      </c>
      <c r="S19" s="216"/>
      <c r="T19" s="216">
        <f t="shared" si="0"/>
        <v>0</v>
      </c>
      <c r="U19" s="216"/>
      <c r="V19" s="394">
        <f t="shared" si="1"/>
        <v>3.0397495207792596E-2</v>
      </c>
      <c r="W19" s="370"/>
      <c r="X19" s="373">
        <f t="shared" si="2"/>
        <v>0.91744305736392684</v>
      </c>
    </row>
    <row r="20" spans="2:24">
      <c r="B20" s="370" t="s">
        <v>140</v>
      </c>
      <c r="E20" s="367" t="str">
        <f t="shared" si="3"/>
        <v>DCF, 4.2x 21E OpFCF</v>
      </c>
      <c r="F20" s="484">
        <v>60</v>
      </c>
      <c r="G20" s="178" t="s">
        <v>133</v>
      </c>
      <c r="H20" s="487">
        <v>4.2328042328042352</v>
      </c>
      <c r="I20" s="178" t="s">
        <v>134</v>
      </c>
      <c r="J20" s="216">
        <f>F20*H20</f>
        <v>253.96825396825412</v>
      </c>
      <c r="K20" s="178" t="s">
        <v>135</v>
      </c>
      <c r="L20" s="484"/>
      <c r="M20" s="178" t="s">
        <v>134</v>
      </c>
      <c r="N20" s="216">
        <f>J20-L20</f>
        <v>253.96825396825412</v>
      </c>
      <c r="O20" s="178" t="s">
        <v>133</v>
      </c>
      <c r="P20" s="490">
        <v>0.39019999999999999</v>
      </c>
      <c r="Q20" s="393" t="s">
        <v>134</v>
      </c>
      <c r="R20" s="216">
        <f t="shared" si="6"/>
        <v>99.098412698412758</v>
      </c>
      <c r="S20" s="216"/>
      <c r="T20" s="216">
        <f t="shared" si="0"/>
        <v>154.86984126984134</v>
      </c>
      <c r="U20" s="216"/>
      <c r="V20" s="394">
        <f t="shared" si="1"/>
        <v>1.6875080794195431E-3</v>
      </c>
      <c r="W20" s="370"/>
      <c r="X20" s="373">
        <f t="shared" si="2"/>
        <v>5.0931583708650599E-2</v>
      </c>
    </row>
    <row r="21" spans="2:24">
      <c r="B21" s="370" t="s">
        <v>107</v>
      </c>
      <c r="F21" s="216"/>
      <c r="G21" s="178"/>
      <c r="H21" s="373"/>
      <c r="I21" s="178"/>
      <c r="J21" s="495">
        <f>J13+J14+J15+J16+J17+J18+J19+J20</f>
        <v>30898.77560381886</v>
      </c>
      <c r="K21" s="178"/>
      <c r="L21" s="216"/>
      <c r="M21" s="178"/>
      <c r="N21" s="495">
        <f>N13+N14+N15+N16+N17+N18+N19+N20</f>
        <v>30175.937546211069</v>
      </c>
      <c r="O21" s="178"/>
      <c r="P21" s="215"/>
      <c r="Q21" s="393"/>
      <c r="R21" s="495">
        <f>R13+R14+R15+R16+R17+R18+R19+R20</f>
        <v>20764.097556478024</v>
      </c>
      <c r="S21" s="370"/>
      <c r="T21" s="495">
        <f>SUM(T13:T20)</f>
        <v>9411.8399897330492</v>
      </c>
      <c r="U21" s="370"/>
      <c r="V21" s="394"/>
      <c r="W21" s="370"/>
      <c r="X21" s="373"/>
    </row>
    <row r="22" spans="2:24">
      <c r="B22" s="370"/>
      <c r="F22" s="216"/>
      <c r="G22" s="178"/>
      <c r="H22" s="373"/>
      <c r="I22" s="178"/>
      <c r="J22" s="216"/>
      <c r="K22" s="178"/>
      <c r="L22" s="216"/>
      <c r="M22" s="178"/>
      <c r="N22" s="216"/>
      <c r="O22" s="178"/>
      <c r="P22" s="215"/>
      <c r="Q22" s="393"/>
      <c r="R22" s="216"/>
      <c r="S22" s="370"/>
      <c r="T22" s="216"/>
      <c r="U22" s="370"/>
      <c r="V22" s="394"/>
      <c r="W22" s="370"/>
      <c r="X22" s="373"/>
    </row>
    <row r="23" spans="2:24">
      <c r="B23" s="370" t="s">
        <v>687</v>
      </c>
      <c r="E23" s="367" t="s">
        <v>1135</v>
      </c>
      <c r="F23" s="484">
        <v>1204.4198399051115</v>
      </c>
      <c r="G23" s="178" t="s">
        <v>133</v>
      </c>
      <c r="H23" s="489">
        <v>181</v>
      </c>
      <c r="I23" s="178" t="s">
        <v>134</v>
      </c>
      <c r="J23" s="484">
        <v>279620.45250681887</v>
      </c>
      <c r="K23" s="178" t="s">
        <v>135</v>
      </c>
      <c r="L23" s="484">
        <v>76786.718405704349</v>
      </c>
      <c r="M23" s="178" t="s">
        <v>134</v>
      </c>
      <c r="N23" s="216">
        <f>J23-L23</f>
        <v>202833.7341011145</v>
      </c>
      <c r="O23" s="178" t="s">
        <v>133</v>
      </c>
      <c r="P23" s="490">
        <v>0.5228224262119886</v>
      </c>
      <c r="Q23" s="393" t="s">
        <v>134</v>
      </c>
      <c r="R23" s="216">
        <f t="shared" ref="R23:R26" si="7">P23*N23</f>
        <v>106046.02498038205</v>
      </c>
      <c r="S23" s="370"/>
      <c r="T23" s="216">
        <f>N23-R23</f>
        <v>96787.709120732456</v>
      </c>
      <c r="V23" s="394">
        <f>N23/$J$45</f>
        <v>1.3477415374807091</v>
      </c>
      <c r="X23" s="373">
        <f>$J$49*V23</f>
        <v>40.676908022529517</v>
      </c>
    </row>
    <row r="24" spans="2:24">
      <c r="B24" s="370" t="s">
        <v>1514</v>
      </c>
      <c r="E24" s="367" t="str">
        <f t="shared" ref="E24" si="8">"DCF, "&amp;TEXT(H24,"0.0")&amp;"x 21E OpFCF"</f>
        <v>DCF, 11.8x 21E OpFCF</v>
      </c>
      <c r="F24" s="484">
        <v>74.989999999999981</v>
      </c>
      <c r="G24" s="178" t="s">
        <v>133</v>
      </c>
      <c r="H24" s="487">
        <v>11.823430425644059</v>
      </c>
      <c r="I24" s="178" t="s">
        <v>134</v>
      </c>
      <c r="J24" s="216">
        <f>F24*H24</f>
        <v>886.63904761904769</v>
      </c>
      <c r="K24" s="178" t="s">
        <v>135</v>
      </c>
      <c r="L24" s="484"/>
      <c r="M24" s="178" t="s">
        <v>134</v>
      </c>
      <c r="N24" s="216">
        <f>J24-L24</f>
        <v>886.63904761904769</v>
      </c>
      <c r="O24" s="178" t="s">
        <v>133</v>
      </c>
      <c r="P24" s="490">
        <v>1</v>
      </c>
      <c r="Q24" s="393" t="s">
        <v>134</v>
      </c>
      <c r="R24" s="216">
        <f t="shared" si="7"/>
        <v>886.63904761904769</v>
      </c>
      <c r="T24" s="216">
        <f t="shared" ref="T24:T25" si="9">N24-R24</f>
        <v>0</v>
      </c>
      <c r="V24" s="394">
        <f>N24/$J$45</f>
        <v>5.8913290657698399E-3</v>
      </c>
      <c r="X24" s="373">
        <f>$J$49*V24</f>
        <v>0.17780935281309798</v>
      </c>
    </row>
    <row r="25" spans="2:24">
      <c r="B25" s="370" t="s">
        <v>1134</v>
      </c>
      <c r="E25" s="367" t="str">
        <f t="shared" ref="E25:E26" si="10">"DCF, "&amp;TEXT(H25,"0.0")&amp;"x 21E OpFCF"</f>
        <v>DCF, 8.7x 21E OpFCF</v>
      </c>
      <c r="F25" s="484">
        <v>-1448.93</v>
      </c>
      <c r="G25" s="178" t="s">
        <v>133</v>
      </c>
      <c r="H25" s="487">
        <v>8.705474585170359</v>
      </c>
      <c r="I25" s="178" t="s">
        <v>134</v>
      </c>
      <c r="J25" s="216">
        <f>F25*H25</f>
        <v>-12613.623290690888</v>
      </c>
      <c r="K25" s="178" t="s">
        <v>135</v>
      </c>
      <c r="L25" s="484"/>
      <c r="M25" s="178" t="s">
        <v>134</v>
      </c>
      <c r="N25" s="216">
        <f>J25-L25</f>
        <v>-12613.623290690888</v>
      </c>
      <c r="O25" s="178" t="s">
        <v>133</v>
      </c>
      <c r="P25" s="490">
        <v>1</v>
      </c>
      <c r="Q25" s="393" t="s">
        <v>134</v>
      </c>
      <c r="R25" s="216">
        <f t="shared" si="7"/>
        <v>-12613.623290690888</v>
      </c>
      <c r="T25" s="216">
        <f t="shared" si="9"/>
        <v>0</v>
      </c>
      <c r="V25" s="394">
        <f>N25/$J$45</f>
        <v>-8.3812015404319332E-2</v>
      </c>
      <c r="X25" s="373">
        <f>$J$49*V25</f>
        <v>-2.5295752538406293</v>
      </c>
    </row>
    <row r="26" spans="2:24">
      <c r="B26" s="370" t="s">
        <v>981</v>
      </c>
      <c r="E26" s="367" t="str">
        <f t="shared" si="10"/>
        <v>DCF, 58.3x 21E OpFCF</v>
      </c>
      <c r="F26" s="484">
        <v>-6</v>
      </c>
      <c r="G26" s="178" t="s">
        <v>133</v>
      </c>
      <c r="H26" s="487">
        <v>58.333333333333336</v>
      </c>
      <c r="I26" s="178" t="s">
        <v>134</v>
      </c>
      <c r="J26" s="216">
        <f>F26*H26</f>
        <v>-350</v>
      </c>
      <c r="K26" s="178" t="s">
        <v>135</v>
      </c>
      <c r="L26" s="484"/>
      <c r="M26" s="178" t="s">
        <v>134</v>
      </c>
      <c r="N26" s="216">
        <f t="shared" ref="N26" si="11">J26-L26</f>
        <v>-350</v>
      </c>
      <c r="O26" s="178" t="s">
        <v>133</v>
      </c>
      <c r="P26" s="490">
        <v>1</v>
      </c>
      <c r="Q26" s="393" t="s">
        <v>134</v>
      </c>
      <c r="R26" s="216">
        <f t="shared" si="7"/>
        <v>-350</v>
      </c>
      <c r="T26" s="216">
        <f>N26-R26</f>
        <v>0</v>
      </c>
      <c r="U26" s="370"/>
      <c r="V26" s="394">
        <f>N26/$J$45</f>
        <v>-2.3255970719500566E-3</v>
      </c>
      <c r="W26" s="370"/>
      <c r="X26" s="373">
        <f>$J$49*V26</f>
        <v>-7.0190088798484068E-2</v>
      </c>
    </row>
    <row r="27" spans="2:24">
      <c r="B27" s="345" t="s">
        <v>137</v>
      </c>
      <c r="C27" s="370"/>
      <c r="F27" s="210"/>
      <c r="G27" s="196"/>
      <c r="H27" s="372"/>
      <c r="I27" s="376"/>
      <c r="J27" s="210">
        <f>SUM(J11,J21,J23:J26)</f>
        <v>367601.82052471669</v>
      </c>
      <c r="K27" s="375"/>
      <c r="L27" s="210"/>
      <c r="M27" s="196"/>
      <c r="N27" s="210">
        <f>SUM(N11,N21,N23:N26)</f>
        <v>290092.26406140457</v>
      </c>
      <c r="P27" s="451"/>
      <c r="Q27" s="378"/>
      <c r="R27" s="210">
        <f>SUM(R11,R21,R23:R26)</f>
        <v>183892.714950939</v>
      </c>
      <c r="S27" s="370"/>
      <c r="T27" s="210">
        <f>SUM(T11,T21,T23:T26)</f>
        <v>106199.54911046551</v>
      </c>
      <c r="U27" s="370"/>
      <c r="V27" s="387">
        <f>N27/$J$45</f>
        <v>1.9275363425616143</v>
      </c>
      <c r="W27" s="370"/>
      <c r="X27" s="372">
        <f>$J$49*V27</f>
        <v>58.176005069209346</v>
      </c>
    </row>
    <row r="28" spans="2:24">
      <c r="B28" s="370"/>
      <c r="C28" s="370"/>
      <c r="F28" s="210"/>
      <c r="G28" s="196"/>
      <c r="H28" s="372"/>
      <c r="I28" s="376"/>
      <c r="J28" s="196"/>
      <c r="K28" s="375"/>
      <c r="L28" s="370"/>
      <c r="M28" s="196"/>
      <c r="N28" s="210"/>
      <c r="P28" s="377"/>
      <c r="Q28" s="378"/>
      <c r="R28" s="210"/>
      <c r="S28" s="370"/>
    </row>
    <row r="29" spans="2:24">
      <c r="B29" s="345"/>
      <c r="C29" s="345"/>
      <c r="F29" s="210"/>
      <c r="G29" s="196"/>
      <c r="H29" s="372"/>
      <c r="I29" s="376"/>
      <c r="J29" s="399"/>
      <c r="K29" s="375"/>
      <c r="L29" s="196"/>
      <c r="M29" s="196"/>
      <c r="N29" s="370"/>
      <c r="P29" s="377"/>
      <c r="Q29" s="378"/>
      <c r="R29" s="370"/>
      <c r="T29" s="196"/>
    </row>
    <row r="30" spans="2:24">
      <c r="B30" s="370" t="s">
        <v>1515</v>
      </c>
      <c r="C30" s="370"/>
      <c r="F30" s="216"/>
      <c r="G30" s="178"/>
      <c r="H30" s="178"/>
      <c r="I30" s="178"/>
      <c r="J30" s="484">
        <v>15991.720384734157</v>
      </c>
      <c r="K30" s="178" t="s">
        <v>135</v>
      </c>
      <c r="L30" s="178">
        <v>4100</v>
      </c>
      <c r="M30" s="178" t="s">
        <v>134</v>
      </c>
      <c r="N30" s="216">
        <f t="shared" ref="N30:N31" si="12">J30-L30</f>
        <v>11891.720384734157</v>
      </c>
      <c r="O30" s="178" t="s">
        <v>133</v>
      </c>
      <c r="P30" s="490">
        <v>0.49</v>
      </c>
      <c r="Q30" s="393" t="s">
        <v>134</v>
      </c>
      <c r="R30" s="484">
        <v>5826.9429885197369</v>
      </c>
      <c r="T30" s="496"/>
    </row>
    <row r="31" spans="2:24">
      <c r="B31" s="370" t="s">
        <v>1421</v>
      </c>
      <c r="C31" s="370"/>
      <c r="F31" s="216"/>
      <c r="G31" s="178"/>
      <c r="H31" s="178"/>
      <c r="I31" s="178"/>
      <c r="J31" s="484">
        <v>2431.0870751137068</v>
      </c>
      <c r="K31" s="178" t="s">
        <v>135</v>
      </c>
      <c r="L31" s="178">
        <v>265.65874999999994</v>
      </c>
      <c r="M31" s="178" t="s">
        <v>134</v>
      </c>
      <c r="N31" s="216">
        <f t="shared" si="12"/>
        <v>2165.4283251137067</v>
      </c>
      <c r="O31" s="178" t="s">
        <v>133</v>
      </c>
      <c r="P31" s="490">
        <v>0.5</v>
      </c>
      <c r="Q31" s="393" t="s">
        <v>134</v>
      </c>
      <c r="R31" s="484">
        <v>1082.7141625568534</v>
      </c>
      <c r="T31" s="496"/>
    </row>
    <row r="32" spans="2:24">
      <c r="B32" s="345" t="s">
        <v>1086</v>
      </c>
      <c r="C32" s="370"/>
      <c r="R32" s="210">
        <f>SUM(R30:R31)</f>
        <v>6909.6571510765898</v>
      </c>
    </row>
    <row r="36" spans="2:18">
      <c r="D36" s="345"/>
      <c r="E36" s="381"/>
      <c r="F36" s="381"/>
      <c r="G36" s="381"/>
      <c r="H36" s="381"/>
      <c r="I36" s="381"/>
      <c r="J36" s="381"/>
      <c r="K36" s="381"/>
      <c r="R36" s="370"/>
    </row>
    <row r="37" spans="2:18">
      <c r="B37" s="382" t="s">
        <v>141</v>
      </c>
      <c r="D37" s="345"/>
      <c r="E37" s="381"/>
      <c r="J37" s="374">
        <f>J27</f>
        <v>367601.82052471669</v>
      </c>
    </row>
    <row r="38" spans="2:18">
      <c r="B38" s="383" t="s">
        <v>1516</v>
      </c>
      <c r="C38" s="384"/>
      <c r="H38" s="380"/>
      <c r="J38" s="216">
        <v>-102809.33034494455</v>
      </c>
    </row>
    <row r="39" spans="2:18">
      <c r="B39" s="383" t="s">
        <v>1136</v>
      </c>
      <c r="C39" s="383"/>
      <c r="J39" s="484">
        <v>-7249.4497529572509</v>
      </c>
    </row>
    <row r="40" spans="2:18">
      <c r="B40" s="383" t="s">
        <v>966</v>
      </c>
      <c r="C40" s="383"/>
      <c r="J40" s="484">
        <v>-2829</v>
      </c>
    </row>
    <row r="41" spans="2:18">
      <c r="B41" s="383" t="s">
        <v>1137</v>
      </c>
      <c r="C41" s="383"/>
      <c r="J41" s="484">
        <v>-6184.9082041494794</v>
      </c>
    </row>
    <row r="42" spans="2:18">
      <c r="B42" s="383" t="s">
        <v>652</v>
      </c>
      <c r="C42" s="383"/>
      <c r="J42" s="484">
        <v>1259.7452323143029</v>
      </c>
    </row>
    <row r="43" spans="2:18">
      <c r="B43" s="384" t="s">
        <v>864</v>
      </c>
      <c r="J43" s="216">
        <f>-T27</f>
        <v>-106199.54911046551</v>
      </c>
    </row>
    <row r="44" spans="2:18">
      <c r="B44" s="384" t="s">
        <v>1033</v>
      </c>
      <c r="D44" s="345"/>
      <c r="E44" s="381"/>
      <c r="F44" s="381"/>
      <c r="G44" s="381"/>
      <c r="J44" s="385">
        <f>R32</f>
        <v>6909.6571510765898</v>
      </c>
    </row>
    <row r="45" spans="2:18">
      <c r="B45" s="382" t="s">
        <v>490</v>
      </c>
      <c r="D45" s="370"/>
      <c r="J45" s="210">
        <f>SUM(J37:J44)</f>
        <v>150498.98549559081</v>
      </c>
    </row>
    <row r="46" spans="2:18" ht="12.6" thickBot="1">
      <c r="B46" s="384" t="s">
        <v>491</v>
      </c>
      <c r="D46" s="370"/>
      <c r="J46" s="216">
        <f>DT!D10</f>
        <v>4986.4589999999998</v>
      </c>
    </row>
    <row r="47" spans="2:18" ht="12.6" thickBot="1">
      <c r="B47" s="382" t="s">
        <v>492</v>
      </c>
      <c r="J47" s="461">
        <f>J45/J46</f>
        <v>30.181534731477953</v>
      </c>
    </row>
    <row r="48" spans="2:18" ht="12.6" thickBot="1">
      <c r="B48" s="384" t="s">
        <v>742</v>
      </c>
      <c r="D48" s="345"/>
      <c r="E48" s="381"/>
      <c r="F48" s="381"/>
      <c r="G48" s="381"/>
      <c r="H48" s="381"/>
      <c r="I48" s="381"/>
      <c r="J48" s="486">
        <v>0</v>
      </c>
    </row>
    <row r="49" spans="1:18" ht="12.6" thickBot="1">
      <c r="B49" s="382" t="s">
        <v>61</v>
      </c>
      <c r="J49" s="469">
        <f>SUM(J47:J48)</f>
        <v>30.181534731477953</v>
      </c>
    </row>
    <row r="50" spans="1:18">
      <c r="B50" s="384" t="s">
        <v>493</v>
      </c>
      <c r="J50" s="452">
        <f>Prices!C9</f>
        <v>26.13</v>
      </c>
      <c r="K50" s="384"/>
      <c r="L50" s="384"/>
    </row>
    <row r="51" spans="1:18">
      <c r="B51" s="384" t="s">
        <v>96</v>
      </c>
      <c r="J51" s="453">
        <f>J49/J50-1</f>
        <v>0.15505299393333161</v>
      </c>
      <c r="K51" s="384"/>
      <c r="L51" s="384"/>
    </row>
    <row r="54" spans="1:18">
      <c r="B54" s="367" t="s">
        <v>371</v>
      </c>
      <c r="D54" s="386">
        <f>Prices!$C$155</f>
        <v>1.1113126</v>
      </c>
    </row>
    <row r="55" spans="1:18">
      <c r="A55" s="381"/>
      <c r="B55" s="367" t="s">
        <v>799</v>
      </c>
      <c r="D55" s="386">
        <f>Prices!F153</f>
        <v>0.84359701681371591</v>
      </c>
      <c r="E55" s="381"/>
      <c r="F55" s="381"/>
      <c r="G55" s="381"/>
      <c r="H55" s="381"/>
      <c r="I55" s="381"/>
      <c r="J55" s="381"/>
      <c r="K55" s="381"/>
    </row>
    <row r="57" spans="1:18">
      <c r="A57" s="470"/>
      <c r="B57" s="470"/>
      <c r="C57" s="470"/>
      <c r="D57" s="470"/>
      <c r="E57" s="470"/>
      <c r="F57" s="470"/>
      <c r="G57" s="470"/>
      <c r="H57" s="470"/>
      <c r="I57" s="470"/>
      <c r="J57" s="470"/>
      <c r="K57" s="470"/>
    </row>
    <row r="58" spans="1:18">
      <c r="A58" s="470"/>
      <c r="B58" s="470"/>
      <c r="C58" s="470"/>
      <c r="D58" s="470"/>
      <c r="E58" s="470"/>
      <c r="F58" s="470"/>
      <c r="G58" s="470"/>
      <c r="H58" s="470"/>
      <c r="I58" s="470"/>
      <c r="J58" s="470"/>
      <c r="K58" s="470"/>
    </row>
    <row r="59" spans="1:18">
      <c r="A59" s="470"/>
      <c r="B59" s="470"/>
      <c r="C59" s="470"/>
      <c r="D59" s="470"/>
      <c r="E59" s="470"/>
      <c r="F59" s="470"/>
      <c r="G59" s="470"/>
      <c r="H59" s="470"/>
      <c r="I59" s="470"/>
      <c r="J59" s="470"/>
      <c r="K59" s="470"/>
    </row>
    <row r="60" spans="1:18">
      <c r="A60" s="470"/>
      <c r="B60" s="470"/>
      <c r="C60" s="470"/>
      <c r="D60" s="470"/>
      <c r="E60" s="470"/>
      <c r="F60" s="470"/>
      <c r="G60" s="470"/>
      <c r="H60" s="470"/>
      <c r="I60" s="470"/>
      <c r="J60" s="470"/>
      <c r="K60" s="470"/>
    </row>
    <row r="61" spans="1:18">
      <c r="D61" s="345"/>
      <c r="E61" s="381"/>
      <c r="F61" s="381"/>
      <c r="G61" s="381"/>
      <c r="H61" s="381"/>
      <c r="I61" s="381"/>
    </row>
    <row r="63" spans="1:18">
      <c r="D63" s="370"/>
      <c r="E63" s="381"/>
      <c r="F63" s="381"/>
      <c r="G63" s="381"/>
      <c r="H63" s="381"/>
      <c r="I63" s="381"/>
      <c r="P63" s="249"/>
    </row>
    <row r="64" spans="1:18">
      <c r="D64" s="370"/>
      <c r="E64" s="381"/>
      <c r="F64" s="381"/>
      <c r="G64" s="381"/>
      <c r="H64" s="381"/>
      <c r="I64" s="381"/>
      <c r="P64" s="388"/>
      <c r="Q64" s="249"/>
      <c r="R64" s="249"/>
    </row>
    <row r="65" spans="4:24">
      <c r="D65" s="370"/>
      <c r="Q65" s="388"/>
      <c r="R65" s="388"/>
    </row>
    <row r="66" spans="4:24">
      <c r="D66" s="345"/>
      <c r="E66" s="381"/>
      <c r="F66" s="381"/>
      <c r="G66" s="381"/>
      <c r="H66" s="381"/>
      <c r="I66" s="381"/>
    </row>
    <row r="67" spans="4:24">
      <c r="D67" s="370"/>
      <c r="E67" s="381"/>
      <c r="F67" s="381"/>
      <c r="G67" s="381"/>
      <c r="H67" s="381"/>
      <c r="I67" s="381"/>
      <c r="L67" s="249"/>
      <c r="M67" s="249"/>
      <c r="N67" s="249"/>
      <c r="O67" s="249"/>
      <c r="P67" s="249"/>
    </row>
    <row r="68" spans="4:24">
      <c r="D68" s="370"/>
      <c r="E68" s="381"/>
      <c r="F68" s="381"/>
      <c r="G68" s="381"/>
      <c r="H68" s="381"/>
      <c r="I68" s="381"/>
      <c r="N68" s="388"/>
      <c r="O68" s="388"/>
      <c r="P68" s="388"/>
      <c r="Q68" s="249"/>
      <c r="R68" s="249"/>
    </row>
    <row r="69" spans="4:24">
      <c r="Q69" s="388"/>
      <c r="R69" s="388"/>
    </row>
    <row r="70" spans="4:24">
      <c r="D70" s="370"/>
      <c r="S70" s="249"/>
      <c r="T70" s="249"/>
      <c r="U70" s="249"/>
      <c r="V70" s="249"/>
      <c r="W70" s="249"/>
      <c r="X70" s="249"/>
    </row>
    <row r="71" spans="4:24">
      <c r="D71" s="370"/>
      <c r="P71" s="249"/>
      <c r="Q71" s="249"/>
      <c r="R71" s="249"/>
      <c r="S71" s="388"/>
      <c r="T71" s="388"/>
      <c r="U71" s="388"/>
      <c r="V71" s="388"/>
      <c r="W71" s="388"/>
      <c r="X71" s="388"/>
    </row>
    <row r="72" spans="4:24">
      <c r="D72" s="370"/>
      <c r="J72" s="381"/>
      <c r="L72" s="249"/>
      <c r="M72" s="249"/>
      <c r="N72" s="249"/>
      <c r="O72" s="249"/>
      <c r="P72" s="388"/>
      <c r="Q72" s="388"/>
      <c r="R72" s="388"/>
    </row>
    <row r="73" spans="4:24">
      <c r="D73" s="370"/>
      <c r="J73" s="381"/>
      <c r="N73" s="388"/>
      <c r="O73" s="388"/>
    </row>
    <row r="74" spans="4:24">
      <c r="D74" s="370"/>
      <c r="P74" s="249"/>
      <c r="Q74" s="249"/>
      <c r="R74" s="249"/>
      <c r="S74" s="249"/>
      <c r="T74" s="249"/>
      <c r="U74" s="249"/>
      <c r="V74" s="249"/>
      <c r="W74" s="249"/>
      <c r="X74" s="249"/>
    </row>
    <row r="75" spans="4:24">
      <c r="D75" s="370"/>
      <c r="J75" s="381"/>
      <c r="L75" s="249"/>
      <c r="M75" s="249"/>
      <c r="N75" s="249"/>
      <c r="O75" s="249"/>
      <c r="P75" s="388"/>
      <c r="Q75" s="388"/>
      <c r="R75" s="388"/>
      <c r="S75" s="388"/>
      <c r="T75" s="388"/>
      <c r="U75" s="388"/>
      <c r="V75" s="388"/>
      <c r="W75" s="388"/>
      <c r="X75" s="388"/>
    </row>
    <row r="76" spans="4:24">
      <c r="D76" s="370"/>
      <c r="J76" s="381"/>
      <c r="K76" s="381"/>
      <c r="N76" s="388"/>
      <c r="O76" s="388"/>
    </row>
    <row r="77" spans="4:24">
      <c r="D77" s="370"/>
      <c r="J77" s="381"/>
      <c r="K77" s="381"/>
      <c r="P77" s="249"/>
      <c r="Q77" s="249"/>
      <c r="R77" s="249"/>
      <c r="S77" s="249"/>
      <c r="T77" s="249"/>
      <c r="U77" s="249"/>
      <c r="V77" s="249"/>
      <c r="W77" s="249"/>
      <c r="X77" s="249"/>
    </row>
    <row r="78" spans="4:24">
      <c r="D78" s="370"/>
      <c r="L78" s="249"/>
      <c r="M78" s="249"/>
      <c r="N78" s="249"/>
      <c r="O78" s="249"/>
      <c r="P78" s="388"/>
      <c r="Q78" s="388"/>
      <c r="R78" s="388"/>
      <c r="S78" s="388"/>
      <c r="T78" s="388"/>
      <c r="U78" s="388"/>
      <c r="V78" s="388"/>
      <c r="W78" s="388"/>
      <c r="X78" s="388"/>
    </row>
    <row r="79" spans="4:24">
      <c r="D79" s="345"/>
      <c r="E79" s="381"/>
      <c r="F79" s="381"/>
      <c r="G79" s="381"/>
      <c r="H79" s="381"/>
      <c r="I79" s="381"/>
      <c r="K79" s="381"/>
      <c r="N79" s="388"/>
      <c r="O79" s="388"/>
      <c r="P79" s="389"/>
      <c r="Q79" s="389"/>
      <c r="R79" s="389"/>
    </row>
    <row r="80" spans="4:24">
      <c r="D80" s="370"/>
      <c r="J80" s="381"/>
      <c r="K80" s="381"/>
      <c r="P80" s="388"/>
      <c r="Q80" s="388"/>
      <c r="R80" s="388"/>
      <c r="S80" s="249"/>
      <c r="T80" s="249"/>
      <c r="U80" s="249"/>
      <c r="V80" s="249"/>
      <c r="W80" s="249"/>
      <c r="X80" s="249"/>
    </row>
    <row r="81" spans="4:24">
      <c r="D81" s="370"/>
      <c r="J81" s="381"/>
      <c r="K81" s="381"/>
      <c r="L81" s="249"/>
      <c r="M81" s="249"/>
      <c r="N81" s="249"/>
      <c r="O81" s="249"/>
      <c r="S81" s="388"/>
      <c r="T81" s="388"/>
      <c r="U81" s="388"/>
      <c r="V81" s="388"/>
      <c r="W81" s="388"/>
      <c r="X81" s="388"/>
    </row>
    <row r="82" spans="4:24">
      <c r="D82" s="345"/>
      <c r="E82" s="381"/>
      <c r="F82" s="381"/>
      <c r="G82" s="381"/>
      <c r="H82" s="381"/>
      <c r="I82" s="381"/>
      <c r="N82" s="388"/>
      <c r="O82" s="388"/>
      <c r="P82" s="249"/>
      <c r="Q82" s="249"/>
      <c r="R82" s="249"/>
    </row>
    <row r="83" spans="4:24">
      <c r="D83" s="370"/>
      <c r="L83" s="389"/>
      <c r="M83" s="389"/>
      <c r="N83" s="389"/>
      <c r="O83" s="389"/>
      <c r="P83" s="390"/>
      <c r="Q83" s="390"/>
      <c r="R83" s="390"/>
      <c r="S83" s="249"/>
      <c r="T83" s="249"/>
      <c r="U83" s="249"/>
      <c r="V83" s="249"/>
      <c r="W83" s="249"/>
      <c r="X83" s="249"/>
    </row>
    <row r="84" spans="4:24">
      <c r="D84" s="345"/>
      <c r="E84" s="381"/>
      <c r="F84" s="381"/>
      <c r="G84" s="381"/>
      <c r="H84" s="381"/>
      <c r="I84" s="381"/>
      <c r="K84" s="381"/>
      <c r="N84" s="388"/>
      <c r="O84" s="388"/>
      <c r="P84" s="249"/>
      <c r="Q84" s="249"/>
      <c r="R84" s="249"/>
      <c r="S84" s="388"/>
      <c r="T84" s="388"/>
      <c r="U84" s="388"/>
      <c r="V84" s="388"/>
      <c r="W84" s="388"/>
      <c r="X84" s="388"/>
    </row>
    <row r="85" spans="4:24">
      <c r="D85" s="370"/>
      <c r="E85" s="381"/>
      <c r="F85" s="381"/>
      <c r="G85" s="381"/>
      <c r="H85" s="381"/>
      <c r="I85" s="381"/>
      <c r="K85" s="381"/>
      <c r="P85" s="388"/>
      <c r="Q85" s="388"/>
      <c r="R85" s="388"/>
      <c r="S85" s="389"/>
      <c r="T85" s="389"/>
      <c r="U85" s="389"/>
      <c r="V85" s="389"/>
      <c r="W85" s="389"/>
      <c r="X85" s="389"/>
    </row>
    <row r="86" spans="4:24">
      <c r="D86" s="370"/>
      <c r="L86" s="249"/>
      <c r="M86" s="249"/>
      <c r="N86" s="249"/>
      <c r="O86" s="249"/>
      <c r="P86" s="248"/>
      <c r="Q86" s="248"/>
      <c r="R86" s="248"/>
      <c r="S86" s="388"/>
      <c r="T86" s="388"/>
      <c r="U86" s="388"/>
      <c r="V86" s="388"/>
      <c r="W86" s="388"/>
      <c r="X86" s="388"/>
    </row>
    <row r="87" spans="4:24">
      <c r="D87" s="370"/>
      <c r="N87" s="388"/>
      <c r="O87" s="388"/>
    </row>
    <row r="88" spans="4:24">
      <c r="D88" s="345"/>
      <c r="E88" s="381"/>
      <c r="F88" s="381"/>
      <c r="G88" s="381"/>
      <c r="H88" s="381"/>
      <c r="I88" s="381"/>
      <c r="L88" s="249"/>
      <c r="M88" s="249"/>
      <c r="N88" s="249"/>
      <c r="O88" s="249"/>
      <c r="P88" s="247"/>
      <c r="Q88" s="247"/>
      <c r="R88" s="247"/>
      <c r="S88" s="249"/>
      <c r="T88" s="249"/>
      <c r="U88" s="249"/>
      <c r="V88" s="249"/>
      <c r="W88" s="249"/>
      <c r="X88" s="249"/>
    </row>
    <row r="89" spans="4:24">
      <c r="D89" s="370"/>
      <c r="E89" s="381"/>
      <c r="F89" s="381"/>
      <c r="G89" s="381"/>
      <c r="H89" s="381"/>
      <c r="I89" s="381"/>
      <c r="N89" s="388"/>
      <c r="O89" s="388"/>
      <c r="P89" s="388"/>
      <c r="Q89" s="388"/>
      <c r="R89" s="388"/>
      <c r="S89" s="390"/>
      <c r="T89" s="390"/>
      <c r="U89" s="390"/>
      <c r="V89" s="390"/>
      <c r="W89" s="390"/>
      <c r="X89" s="390"/>
    </row>
    <row r="90" spans="4:24">
      <c r="D90" s="370"/>
      <c r="L90" s="248"/>
      <c r="M90" s="248"/>
      <c r="N90" s="248"/>
      <c r="O90" s="248"/>
      <c r="S90" s="249"/>
      <c r="T90" s="249"/>
      <c r="U90" s="249"/>
      <c r="V90" s="249"/>
      <c r="W90" s="249"/>
      <c r="X90" s="249"/>
    </row>
    <row r="91" spans="4:24">
      <c r="D91" s="345"/>
      <c r="E91" s="381"/>
      <c r="F91" s="381"/>
      <c r="G91" s="381"/>
      <c r="H91" s="381"/>
      <c r="I91" s="381"/>
      <c r="P91" s="389"/>
      <c r="Q91" s="389"/>
      <c r="R91" s="389"/>
      <c r="S91" s="388"/>
      <c r="T91" s="388"/>
      <c r="U91" s="388"/>
      <c r="V91" s="388"/>
      <c r="W91" s="388"/>
      <c r="X91" s="388"/>
    </row>
    <row r="92" spans="4:24">
      <c r="D92" s="370"/>
      <c r="J92" s="381"/>
      <c r="L92" s="247"/>
      <c r="M92" s="247"/>
      <c r="N92" s="247"/>
      <c r="O92" s="247"/>
      <c r="P92" s="388"/>
      <c r="Q92" s="388"/>
      <c r="R92" s="388"/>
      <c r="S92" s="248"/>
      <c r="T92" s="248"/>
      <c r="U92" s="248"/>
      <c r="V92" s="248"/>
      <c r="W92" s="248"/>
      <c r="X92" s="248"/>
    </row>
    <row r="93" spans="4:24">
      <c r="D93" s="370"/>
      <c r="J93" s="381"/>
      <c r="N93" s="388"/>
      <c r="O93" s="388"/>
    </row>
    <row r="94" spans="4:24">
      <c r="D94" s="345"/>
      <c r="E94" s="381"/>
      <c r="F94" s="381"/>
      <c r="G94" s="381"/>
      <c r="H94" s="381"/>
      <c r="I94" s="381"/>
      <c r="P94" s="391"/>
      <c r="Q94" s="391"/>
      <c r="R94" s="391"/>
      <c r="S94" s="247"/>
      <c r="T94" s="247"/>
      <c r="U94" s="247"/>
      <c r="V94" s="247"/>
      <c r="W94" s="247"/>
      <c r="X94" s="247"/>
    </row>
    <row r="95" spans="4:24">
      <c r="D95" s="370"/>
      <c r="L95" s="389"/>
      <c r="M95" s="389"/>
      <c r="N95" s="389"/>
      <c r="O95" s="389"/>
      <c r="P95" s="388"/>
      <c r="Q95" s="388"/>
      <c r="R95" s="388"/>
      <c r="S95" s="388"/>
      <c r="T95" s="388"/>
      <c r="U95" s="388"/>
      <c r="V95" s="388"/>
      <c r="W95" s="388"/>
      <c r="X95" s="388"/>
    </row>
    <row r="96" spans="4:24">
      <c r="D96" s="370"/>
      <c r="J96" s="381"/>
      <c r="K96" s="381"/>
      <c r="N96" s="388"/>
      <c r="O96" s="388"/>
      <c r="P96" s="248"/>
      <c r="Q96" s="248"/>
      <c r="R96" s="248"/>
    </row>
    <row r="97" spans="4:24">
      <c r="D97" s="370"/>
      <c r="J97" s="381"/>
      <c r="K97" s="381"/>
      <c r="S97" s="389"/>
      <c r="T97" s="389"/>
      <c r="U97" s="389"/>
      <c r="V97" s="389"/>
      <c r="W97" s="389"/>
      <c r="X97" s="389"/>
    </row>
    <row r="98" spans="4:24">
      <c r="D98" s="345"/>
      <c r="E98" s="381"/>
      <c r="F98" s="381"/>
      <c r="G98" s="381"/>
      <c r="H98" s="381"/>
      <c r="I98" s="381"/>
      <c r="L98" s="391"/>
      <c r="M98" s="391"/>
      <c r="N98" s="391"/>
      <c r="O98" s="391"/>
      <c r="P98" s="247"/>
      <c r="Q98" s="247"/>
      <c r="R98" s="247"/>
      <c r="S98" s="388"/>
      <c r="T98" s="388"/>
      <c r="U98" s="388"/>
      <c r="V98" s="388"/>
      <c r="W98" s="388"/>
      <c r="X98" s="388"/>
    </row>
    <row r="99" spans="4:24">
      <c r="D99" s="370"/>
      <c r="N99" s="388"/>
      <c r="O99" s="388"/>
      <c r="P99" s="388"/>
      <c r="Q99" s="388"/>
      <c r="R99" s="388"/>
    </row>
    <row r="100" spans="4:24">
      <c r="D100" s="370"/>
      <c r="E100" s="345"/>
      <c r="F100" s="345"/>
      <c r="G100" s="345"/>
      <c r="H100" s="345"/>
      <c r="I100" s="345"/>
      <c r="J100" s="381"/>
      <c r="K100" s="381"/>
      <c r="N100" s="248"/>
      <c r="O100" s="248"/>
      <c r="P100" s="274"/>
      <c r="Q100" s="274"/>
      <c r="R100" s="274"/>
      <c r="S100" s="391"/>
      <c r="T100" s="391"/>
      <c r="U100" s="391"/>
      <c r="V100" s="391"/>
      <c r="W100" s="391"/>
      <c r="X100" s="391"/>
    </row>
    <row r="101" spans="4:24">
      <c r="D101" s="370"/>
      <c r="E101" s="345"/>
      <c r="F101" s="345"/>
      <c r="G101" s="345"/>
      <c r="H101" s="345"/>
      <c r="I101" s="345"/>
      <c r="K101" s="381"/>
      <c r="S101" s="388"/>
      <c r="T101" s="388"/>
      <c r="U101" s="388"/>
      <c r="V101" s="388"/>
      <c r="W101" s="388"/>
      <c r="X101" s="388"/>
    </row>
    <row r="102" spans="4:24">
      <c r="D102" s="370"/>
      <c r="L102" s="247"/>
      <c r="M102" s="247"/>
      <c r="N102" s="247"/>
      <c r="O102" s="247"/>
      <c r="P102" s="389"/>
      <c r="Q102" s="389"/>
      <c r="R102" s="389"/>
      <c r="S102" s="248"/>
      <c r="T102" s="248"/>
      <c r="U102" s="248"/>
      <c r="V102" s="248"/>
      <c r="W102" s="248"/>
      <c r="X102" s="248"/>
    </row>
    <row r="103" spans="4:24">
      <c r="D103" s="370"/>
      <c r="N103" s="388"/>
      <c r="O103" s="388"/>
      <c r="P103" s="388"/>
      <c r="Q103" s="388"/>
      <c r="R103" s="388"/>
    </row>
    <row r="104" spans="4:24">
      <c r="D104" s="370"/>
      <c r="K104" s="381"/>
      <c r="L104" s="274"/>
      <c r="M104" s="274"/>
      <c r="N104" s="274"/>
      <c r="O104" s="274"/>
      <c r="S104" s="247"/>
      <c r="T104" s="247"/>
      <c r="U104" s="247"/>
      <c r="V104" s="247"/>
      <c r="W104" s="247"/>
      <c r="X104" s="247"/>
    </row>
    <row r="105" spans="4:24">
      <c r="D105" s="345"/>
      <c r="E105" s="381"/>
      <c r="F105" s="381"/>
      <c r="G105" s="381"/>
      <c r="H105" s="381"/>
      <c r="I105" s="381"/>
      <c r="S105" s="388"/>
      <c r="T105" s="388"/>
      <c r="U105" s="388"/>
      <c r="V105" s="388"/>
      <c r="W105" s="388"/>
      <c r="X105" s="388"/>
    </row>
    <row r="106" spans="4:24">
      <c r="D106" s="345"/>
      <c r="E106" s="381"/>
      <c r="F106" s="381"/>
      <c r="G106" s="381"/>
      <c r="H106" s="381"/>
      <c r="I106" s="381"/>
      <c r="L106" s="389"/>
      <c r="M106" s="389"/>
      <c r="N106" s="389"/>
      <c r="O106" s="389"/>
      <c r="P106" s="249"/>
      <c r="Q106" s="249"/>
      <c r="R106" s="249"/>
      <c r="S106" s="274"/>
      <c r="T106" s="274"/>
      <c r="U106" s="274"/>
      <c r="V106" s="274"/>
      <c r="W106" s="274"/>
      <c r="X106" s="274"/>
    </row>
    <row r="107" spans="4:24">
      <c r="D107" s="370"/>
      <c r="E107" s="381"/>
      <c r="F107" s="381"/>
      <c r="G107" s="381"/>
      <c r="H107" s="381"/>
      <c r="I107" s="381"/>
      <c r="N107" s="388"/>
      <c r="O107" s="388"/>
      <c r="P107" s="388"/>
      <c r="Q107" s="388"/>
      <c r="R107" s="388"/>
    </row>
    <row r="108" spans="4:24">
      <c r="D108" s="370"/>
      <c r="E108" s="381"/>
      <c r="F108" s="381"/>
      <c r="G108" s="381"/>
      <c r="H108" s="381"/>
      <c r="I108" s="381"/>
      <c r="S108" s="389"/>
      <c r="T108" s="389"/>
      <c r="U108" s="389"/>
      <c r="V108" s="389"/>
      <c r="W108" s="389"/>
      <c r="X108" s="389"/>
    </row>
    <row r="109" spans="4:24">
      <c r="D109" s="370"/>
      <c r="P109" s="249"/>
      <c r="Q109" s="249"/>
      <c r="R109" s="249"/>
      <c r="S109" s="388"/>
      <c r="T109" s="388"/>
      <c r="U109" s="388"/>
      <c r="V109" s="388"/>
      <c r="W109" s="388"/>
      <c r="X109" s="388"/>
    </row>
    <row r="110" spans="4:24">
      <c r="D110" s="345"/>
      <c r="E110" s="381"/>
      <c r="F110" s="381"/>
      <c r="G110" s="381"/>
      <c r="H110" s="381"/>
      <c r="I110" s="381"/>
      <c r="L110" s="249"/>
      <c r="M110" s="249"/>
      <c r="N110" s="249"/>
      <c r="O110" s="249"/>
      <c r="P110" s="390"/>
      <c r="Q110" s="390"/>
      <c r="R110" s="390"/>
    </row>
    <row r="111" spans="4:24">
      <c r="D111" s="370"/>
      <c r="E111" s="381"/>
      <c r="F111" s="381"/>
      <c r="G111" s="381"/>
      <c r="H111" s="381"/>
      <c r="I111" s="381"/>
      <c r="N111" s="388"/>
      <c r="O111" s="388"/>
    </row>
    <row r="112" spans="4:24">
      <c r="D112" s="370"/>
      <c r="E112" s="381"/>
      <c r="F112" s="381"/>
      <c r="G112" s="381"/>
      <c r="H112" s="381"/>
      <c r="I112" s="381"/>
      <c r="P112" s="389"/>
      <c r="Q112" s="389"/>
      <c r="R112" s="389"/>
      <c r="S112" s="249"/>
      <c r="T112" s="249"/>
      <c r="U112" s="249"/>
      <c r="V112" s="249"/>
      <c r="W112" s="249"/>
      <c r="X112" s="249"/>
    </row>
    <row r="113" spans="4:24">
      <c r="D113" s="370"/>
      <c r="L113" s="249"/>
      <c r="M113" s="249"/>
      <c r="N113" s="249"/>
      <c r="O113" s="249"/>
      <c r="P113" s="392"/>
      <c r="Q113" s="392"/>
      <c r="R113" s="392"/>
      <c r="S113" s="388"/>
      <c r="T113" s="388"/>
      <c r="U113" s="388"/>
      <c r="V113" s="388"/>
      <c r="W113" s="388"/>
      <c r="X113" s="388"/>
    </row>
    <row r="114" spans="4:24">
      <c r="D114" s="370"/>
      <c r="N114" s="388"/>
      <c r="O114" s="388"/>
      <c r="P114" s="392"/>
      <c r="Q114" s="392"/>
      <c r="R114" s="392"/>
    </row>
    <row r="115" spans="4:24">
      <c r="D115" s="370"/>
      <c r="J115" s="381"/>
      <c r="S115" s="249"/>
      <c r="T115" s="249"/>
      <c r="U115" s="249"/>
      <c r="V115" s="249"/>
      <c r="W115" s="249"/>
      <c r="X115" s="249"/>
    </row>
    <row r="116" spans="4:24">
      <c r="D116" s="370"/>
      <c r="J116" s="381"/>
      <c r="L116" s="389"/>
      <c r="M116" s="389"/>
      <c r="N116" s="389"/>
      <c r="O116" s="389"/>
      <c r="P116" s="388"/>
      <c r="Q116" s="388"/>
      <c r="R116" s="388"/>
      <c r="S116" s="390"/>
      <c r="T116" s="390"/>
      <c r="U116" s="390"/>
      <c r="V116" s="390"/>
      <c r="W116" s="390"/>
      <c r="X116" s="390"/>
    </row>
    <row r="117" spans="4:24">
      <c r="D117" s="370"/>
      <c r="N117" s="392"/>
      <c r="O117" s="392"/>
      <c r="P117" s="389"/>
      <c r="Q117" s="389"/>
      <c r="R117" s="389"/>
    </row>
    <row r="118" spans="4:24">
      <c r="D118" s="370"/>
      <c r="J118" s="381"/>
      <c r="L118" s="392"/>
      <c r="M118" s="392"/>
      <c r="N118" s="392"/>
      <c r="O118" s="392"/>
      <c r="R118" s="392"/>
      <c r="S118" s="389"/>
      <c r="T118" s="389"/>
      <c r="U118" s="389"/>
      <c r="V118" s="389"/>
      <c r="W118" s="389"/>
      <c r="X118" s="389"/>
    </row>
    <row r="119" spans="4:24">
      <c r="D119" s="370"/>
      <c r="J119" s="381"/>
      <c r="K119" s="381"/>
      <c r="S119" s="392"/>
      <c r="T119" s="392"/>
      <c r="U119" s="392"/>
      <c r="V119" s="392"/>
      <c r="W119" s="392"/>
      <c r="X119" s="392"/>
    </row>
    <row r="120" spans="4:24">
      <c r="D120" s="370"/>
      <c r="J120" s="381"/>
      <c r="K120" s="381"/>
      <c r="L120" s="388"/>
      <c r="M120" s="388"/>
      <c r="N120" s="388"/>
      <c r="O120" s="388"/>
      <c r="P120" s="389"/>
      <c r="Q120" s="389"/>
      <c r="R120" s="389"/>
      <c r="S120" s="392"/>
      <c r="T120" s="392"/>
      <c r="U120" s="392"/>
      <c r="V120" s="392"/>
      <c r="W120" s="392"/>
      <c r="X120" s="392"/>
    </row>
    <row r="121" spans="4:24">
      <c r="D121" s="370"/>
      <c r="L121" s="389"/>
      <c r="M121" s="389"/>
      <c r="N121" s="389"/>
      <c r="O121" s="389"/>
      <c r="P121" s="392"/>
      <c r="Q121" s="392"/>
      <c r="R121" s="392"/>
    </row>
    <row r="122" spans="4:24">
      <c r="D122" s="345"/>
      <c r="E122" s="381"/>
      <c r="F122" s="381"/>
      <c r="G122" s="381"/>
      <c r="H122" s="381"/>
      <c r="I122" s="381"/>
      <c r="K122" s="381"/>
      <c r="S122" s="388"/>
      <c r="T122" s="388"/>
      <c r="U122" s="388"/>
      <c r="V122" s="388"/>
      <c r="W122" s="388"/>
      <c r="X122" s="388"/>
    </row>
    <row r="123" spans="4:24">
      <c r="D123" s="370"/>
      <c r="J123" s="381"/>
      <c r="K123" s="381"/>
      <c r="S123" s="389"/>
      <c r="T123" s="389"/>
      <c r="U123" s="389"/>
      <c r="V123" s="389"/>
      <c r="W123" s="389"/>
      <c r="X123" s="389"/>
    </row>
    <row r="124" spans="4:24">
      <c r="D124" s="370"/>
      <c r="J124" s="381"/>
      <c r="K124" s="381"/>
      <c r="L124" s="389"/>
      <c r="M124" s="389"/>
      <c r="N124" s="389"/>
      <c r="O124" s="389"/>
      <c r="S124" s="392"/>
      <c r="T124" s="392"/>
      <c r="U124" s="392"/>
      <c r="V124" s="392"/>
      <c r="W124" s="392"/>
      <c r="X124" s="392"/>
    </row>
    <row r="125" spans="4:24">
      <c r="D125" s="345"/>
      <c r="E125" s="381"/>
      <c r="F125" s="381"/>
      <c r="G125" s="381"/>
      <c r="H125" s="381"/>
      <c r="I125" s="381"/>
      <c r="N125" s="392"/>
      <c r="O125" s="392"/>
    </row>
    <row r="126" spans="4:24">
      <c r="D126" s="370"/>
      <c r="S126" s="389"/>
      <c r="T126" s="389"/>
      <c r="U126" s="389"/>
      <c r="V126" s="389"/>
      <c r="W126" s="389"/>
      <c r="X126" s="389"/>
    </row>
    <row r="127" spans="4:24">
      <c r="D127" s="345"/>
      <c r="E127" s="381"/>
      <c r="F127" s="381"/>
      <c r="G127" s="381"/>
      <c r="H127" s="381"/>
      <c r="I127" s="381"/>
      <c r="K127" s="381"/>
      <c r="S127" s="392"/>
      <c r="T127" s="392"/>
      <c r="U127" s="392"/>
      <c r="V127" s="392"/>
      <c r="W127" s="392"/>
      <c r="X127" s="392"/>
    </row>
    <row r="128" spans="4:24">
      <c r="D128" s="370"/>
      <c r="E128" s="381"/>
      <c r="F128" s="381"/>
      <c r="G128" s="381"/>
      <c r="H128" s="381"/>
      <c r="I128" s="381"/>
      <c r="K128" s="381"/>
    </row>
    <row r="129" spans="4:11">
      <c r="D129" s="370"/>
    </row>
    <row r="130" spans="4:11">
      <c r="D130" s="370"/>
    </row>
    <row r="131" spans="4:11">
      <c r="D131" s="345"/>
      <c r="E131" s="381"/>
      <c r="F131" s="381"/>
      <c r="G131" s="381"/>
      <c r="H131" s="381"/>
      <c r="I131" s="381"/>
    </row>
    <row r="132" spans="4:11">
      <c r="D132" s="370"/>
      <c r="E132" s="381"/>
      <c r="F132" s="381"/>
      <c r="G132" s="381"/>
      <c r="H132" s="381"/>
      <c r="I132" s="381"/>
    </row>
    <row r="133" spans="4:11">
      <c r="D133" s="370"/>
    </row>
    <row r="134" spans="4:11">
      <c r="D134" s="345"/>
      <c r="E134" s="381"/>
      <c r="F134" s="381"/>
      <c r="G134" s="381"/>
      <c r="H134" s="381"/>
      <c r="I134" s="381"/>
    </row>
    <row r="135" spans="4:11">
      <c r="D135" s="370"/>
      <c r="J135" s="381"/>
    </row>
    <row r="136" spans="4:11">
      <c r="D136" s="370"/>
      <c r="J136" s="381"/>
    </row>
    <row r="137" spans="4:11">
      <c r="D137" s="345"/>
      <c r="E137" s="381"/>
      <c r="F137" s="381"/>
      <c r="G137" s="381"/>
      <c r="H137" s="381"/>
      <c r="I137" s="381"/>
    </row>
    <row r="138" spans="4:11">
      <c r="D138" s="370"/>
    </row>
    <row r="139" spans="4:11">
      <c r="D139" s="370"/>
      <c r="J139" s="381"/>
      <c r="K139" s="381"/>
    </row>
    <row r="140" spans="4:11">
      <c r="D140" s="370"/>
      <c r="J140" s="381"/>
      <c r="K140" s="381"/>
    </row>
    <row r="141" spans="4:11">
      <c r="D141" s="345"/>
      <c r="E141" s="381"/>
      <c r="F141" s="381"/>
      <c r="G141" s="381"/>
      <c r="H141" s="381"/>
      <c r="I141" s="381"/>
    </row>
    <row r="142" spans="4:11">
      <c r="D142" s="370"/>
    </row>
    <row r="143" spans="4:11">
      <c r="D143" s="370"/>
      <c r="E143" s="345"/>
      <c r="F143" s="345"/>
      <c r="G143" s="345"/>
      <c r="H143" s="345"/>
      <c r="I143" s="345"/>
      <c r="J143" s="381"/>
      <c r="K143" s="381"/>
    </row>
    <row r="144" spans="4:11">
      <c r="D144" s="370"/>
      <c r="E144" s="345"/>
      <c r="F144" s="345"/>
      <c r="G144" s="345"/>
      <c r="H144" s="345"/>
      <c r="I144" s="345"/>
      <c r="K144" s="381"/>
    </row>
    <row r="145" spans="4:11">
      <c r="D145" s="370"/>
    </row>
    <row r="146" spans="4:11">
      <c r="D146" s="370"/>
    </row>
    <row r="147" spans="4:11">
      <c r="K147" s="381"/>
    </row>
    <row r="148" spans="4:11">
      <c r="D148" s="345"/>
      <c r="E148" s="381"/>
      <c r="F148" s="381"/>
      <c r="G148" s="381"/>
      <c r="H148" s="381"/>
      <c r="I148" s="381"/>
    </row>
    <row r="149" spans="4:11">
      <c r="D149" s="345"/>
      <c r="E149" s="381"/>
      <c r="F149" s="381"/>
      <c r="G149" s="381"/>
      <c r="H149" s="381"/>
      <c r="I149" s="381"/>
    </row>
    <row r="150" spans="4:11">
      <c r="D150" s="370"/>
      <c r="E150" s="381"/>
      <c r="F150" s="381"/>
      <c r="G150" s="381"/>
      <c r="H150" s="381"/>
      <c r="I150" s="381"/>
    </row>
    <row r="151" spans="4:11">
      <c r="D151" s="370"/>
      <c r="E151" s="381"/>
      <c r="F151" s="381"/>
      <c r="G151" s="381"/>
      <c r="H151" s="381"/>
      <c r="I151" s="381"/>
    </row>
    <row r="152" spans="4:11">
      <c r="D152" s="370"/>
    </row>
    <row r="153" spans="4:11">
      <c r="D153" s="345"/>
      <c r="E153" s="381"/>
      <c r="F153" s="381"/>
      <c r="G153" s="381"/>
      <c r="H153" s="381"/>
      <c r="I153" s="381"/>
    </row>
    <row r="154" spans="4:11">
      <c r="D154" s="370"/>
      <c r="E154" s="381"/>
      <c r="F154" s="381"/>
      <c r="G154" s="381"/>
      <c r="H154" s="381"/>
      <c r="I154" s="381"/>
    </row>
    <row r="155" spans="4:11">
      <c r="D155" s="370"/>
      <c r="E155" s="381"/>
      <c r="F155" s="381"/>
      <c r="G155" s="381"/>
      <c r="H155" s="381"/>
      <c r="I155" s="381"/>
    </row>
    <row r="156" spans="4:11">
      <c r="D156" s="370"/>
    </row>
    <row r="157" spans="4:11">
      <c r="D157" s="370"/>
    </row>
    <row r="158" spans="4:11">
      <c r="D158" s="370"/>
      <c r="J158" s="381"/>
    </row>
    <row r="159" spans="4:11">
      <c r="D159" s="370"/>
      <c r="J159" s="381"/>
    </row>
    <row r="160" spans="4:11">
      <c r="D160" s="370"/>
    </row>
    <row r="161" spans="4:11">
      <c r="D161" s="370"/>
      <c r="J161" s="381"/>
    </row>
    <row r="162" spans="4:11">
      <c r="D162" s="370"/>
      <c r="J162" s="381"/>
      <c r="K162" s="381"/>
    </row>
    <row r="163" spans="4:11">
      <c r="D163" s="370"/>
      <c r="J163" s="381"/>
      <c r="K163" s="381"/>
    </row>
    <row r="164" spans="4:11">
      <c r="D164" s="370"/>
    </row>
    <row r="165" spans="4:11">
      <c r="D165" s="345"/>
      <c r="E165" s="381"/>
      <c r="F165" s="381"/>
      <c r="G165" s="381"/>
      <c r="H165" s="381"/>
      <c r="I165" s="381"/>
      <c r="K165" s="381"/>
    </row>
    <row r="166" spans="4:11">
      <c r="D166" s="370"/>
      <c r="J166" s="381"/>
      <c r="K166" s="381"/>
    </row>
    <row r="167" spans="4:11">
      <c r="D167" s="370"/>
      <c r="J167" s="381"/>
      <c r="K167" s="381"/>
    </row>
    <row r="168" spans="4:11">
      <c r="D168" s="345"/>
      <c r="E168" s="381"/>
      <c r="F168" s="381"/>
      <c r="G168" s="381"/>
      <c r="H168" s="381"/>
      <c r="I168" s="381"/>
    </row>
    <row r="169" spans="4:11">
      <c r="D169" s="370"/>
    </row>
    <row r="170" spans="4:11">
      <c r="D170" s="345"/>
      <c r="E170" s="381"/>
      <c r="F170" s="381"/>
      <c r="G170" s="381"/>
      <c r="H170" s="381"/>
      <c r="I170" s="381"/>
      <c r="K170" s="381"/>
    </row>
    <row r="171" spans="4:11">
      <c r="D171" s="370"/>
      <c r="E171" s="381"/>
      <c r="F171" s="381"/>
      <c r="G171" s="381"/>
      <c r="H171" s="381"/>
      <c r="I171" s="381"/>
      <c r="K171" s="381"/>
    </row>
    <row r="172" spans="4:11">
      <c r="D172" s="370"/>
    </row>
    <row r="173" spans="4:11">
      <c r="D173" s="370"/>
    </row>
    <row r="174" spans="4:11">
      <c r="D174" s="345"/>
      <c r="E174" s="381"/>
      <c r="F174" s="381"/>
      <c r="G174" s="381"/>
      <c r="H174" s="381"/>
      <c r="I174" s="381"/>
    </row>
    <row r="175" spans="4:11">
      <c r="D175" s="370"/>
      <c r="E175" s="381"/>
      <c r="F175" s="381"/>
      <c r="G175" s="381"/>
      <c r="H175" s="381"/>
      <c r="I175" s="381"/>
    </row>
    <row r="176" spans="4:11">
      <c r="D176" s="370"/>
    </row>
    <row r="177" spans="4:11">
      <c r="D177" s="345"/>
      <c r="E177" s="381"/>
      <c r="F177" s="381"/>
      <c r="G177" s="381"/>
      <c r="H177" s="381"/>
      <c r="I177" s="381"/>
    </row>
    <row r="178" spans="4:11">
      <c r="D178" s="370"/>
      <c r="J178" s="381"/>
    </row>
    <row r="179" spans="4:11">
      <c r="D179" s="370"/>
      <c r="J179" s="381"/>
    </row>
    <row r="180" spans="4:11">
      <c r="D180" s="345"/>
      <c r="E180" s="381"/>
      <c r="F180" s="381"/>
      <c r="G180" s="381"/>
      <c r="H180" s="381"/>
      <c r="I180" s="381"/>
    </row>
    <row r="181" spans="4:11">
      <c r="D181" s="370"/>
    </row>
    <row r="182" spans="4:11">
      <c r="D182" s="370"/>
      <c r="J182" s="381"/>
      <c r="K182" s="381"/>
    </row>
    <row r="183" spans="4:11">
      <c r="D183" s="370"/>
      <c r="J183" s="381"/>
      <c r="K183" s="381"/>
    </row>
    <row r="184" spans="4:11">
      <c r="D184" s="345"/>
      <c r="E184" s="381"/>
      <c r="F184" s="381"/>
      <c r="G184" s="381"/>
      <c r="H184" s="381"/>
      <c r="I184" s="381"/>
    </row>
    <row r="185" spans="4:11">
      <c r="D185" s="370"/>
    </row>
    <row r="186" spans="4:11">
      <c r="D186" s="370"/>
      <c r="E186" s="345"/>
      <c r="F186" s="345"/>
      <c r="G186" s="345"/>
      <c r="H186" s="345"/>
      <c r="I186" s="345"/>
      <c r="J186" s="381"/>
      <c r="K186" s="381"/>
    </row>
    <row r="187" spans="4:11">
      <c r="D187" s="370"/>
      <c r="E187" s="345"/>
      <c r="F187" s="345"/>
      <c r="G187" s="345"/>
      <c r="H187" s="345"/>
      <c r="I187" s="345"/>
      <c r="K187" s="381"/>
    </row>
    <row r="188" spans="4:11">
      <c r="D188" s="370"/>
    </row>
    <row r="189" spans="4:11">
      <c r="D189" s="370"/>
    </row>
    <row r="190" spans="4:11">
      <c r="D190" s="370"/>
      <c r="K190" s="381"/>
    </row>
    <row r="191" spans="4:11">
      <c r="D191" s="345"/>
      <c r="E191" s="381"/>
      <c r="F191" s="381"/>
      <c r="G191" s="381"/>
      <c r="H191" s="381"/>
      <c r="I191" s="381"/>
    </row>
    <row r="192" spans="4:11">
      <c r="D192" s="345"/>
      <c r="E192" s="381"/>
      <c r="F192" s="381"/>
      <c r="G192" s="381"/>
      <c r="H192" s="381"/>
      <c r="I192" s="381"/>
    </row>
    <row r="193" spans="4:11">
      <c r="D193" s="370"/>
      <c r="E193" s="381"/>
      <c r="F193" s="381"/>
      <c r="G193" s="381"/>
      <c r="H193" s="381"/>
      <c r="I193" s="381"/>
    </row>
    <row r="194" spans="4:11">
      <c r="D194" s="370"/>
      <c r="E194" s="381"/>
      <c r="F194" s="381"/>
      <c r="G194" s="381"/>
      <c r="H194" s="381"/>
      <c r="I194" s="381"/>
    </row>
    <row r="195" spans="4:11">
      <c r="D195" s="370"/>
    </row>
    <row r="196" spans="4:11">
      <c r="D196" s="345"/>
      <c r="E196" s="381"/>
      <c r="F196" s="381"/>
      <c r="G196" s="381"/>
      <c r="H196" s="381"/>
      <c r="I196" s="381"/>
    </row>
    <row r="197" spans="4:11">
      <c r="D197" s="370"/>
      <c r="E197" s="381"/>
      <c r="F197" s="381"/>
      <c r="G197" s="381"/>
      <c r="H197" s="381"/>
      <c r="I197" s="381"/>
    </row>
    <row r="198" spans="4:11">
      <c r="D198" s="370"/>
      <c r="E198" s="381"/>
      <c r="F198" s="381"/>
      <c r="G198" s="381"/>
      <c r="H198" s="381"/>
      <c r="I198" s="381"/>
    </row>
    <row r="199" spans="4:11">
      <c r="D199" s="370"/>
    </row>
    <row r="200" spans="4:11">
      <c r="D200" s="370"/>
    </row>
    <row r="201" spans="4:11">
      <c r="D201" s="370"/>
      <c r="J201" s="381"/>
    </row>
    <row r="202" spans="4:11">
      <c r="D202" s="370"/>
      <c r="J202" s="381"/>
    </row>
    <row r="203" spans="4:11">
      <c r="D203" s="370"/>
    </row>
    <row r="204" spans="4:11">
      <c r="D204" s="370"/>
      <c r="J204" s="381"/>
    </row>
    <row r="205" spans="4:11">
      <c r="D205" s="370"/>
      <c r="J205" s="381"/>
      <c r="K205" s="381"/>
    </row>
    <row r="206" spans="4:11">
      <c r="D206" s="370"/>
      <c r="J206" s="381"/>
      <c r="K206" s="381"/>
    </row>
    <row r="207" spans="4:11">
      <c r="D207" s="370"/>
    </row>
    <row r="208" spans="4:11">
      <c r="D208" s="345"/>
      <c r="E208" s="381"/>
      <c r="F208" s="381"/>
      <c r="G208" s="381"/>
      <c r="H208" s="381"/>
      <c r="I208" s="381"/>
      <c r="K208" s="381"/>
    </row>
    <row r="209" spans="4:11">
      <c r="D209" s="370"/>
      <c r="J209" s="381"/>
      <c r="K209" s="381"/>
    </row>
    <row r="210" spans="4:11">
      <c r="D210" s="370"/>
      <c r="J210" s="381"/>
      <c r="K210" s="381"/>
    </row>
    <row r="211" spans="4:11">
      <c r="D211" s="345"/>
      <c r="E211" s="381"/>
      <c r="F211" s="381"/>
      <c r="G211" s="381"/>
      <c r="H211" s="381"/>
      <c r="I211" s="381"/>
    </row>
    <row r="212" spans="4:11">
      <c r="D212" s="370"/>
    </row>
    <row r="213" spans="4:11">
      <c r="D213" s="345"/>
      <c r="E213" s="381"/>
      <c r="F213" s="381"/>
      <c r="G213" s="381"/>
      <c r="H213" s="381"/>
      <c r="I213" s="381"/>
      <c r="K213" s="381"/>
    </row>
    <row r="214" spans="4:11">
      <c r="D214" s="370"/>
      <c r="E214" s="381"/>
      <c r="F214" s="381"/>
      <c r="G214" s="381"/>
      <c r="H214" s="381"/>
      <c r="I214" s="381"/>
      <c r="K214" s="381"/>
    </row>
    <row r="215" spans="4:11">
      <c r="D215" s="370"/>
    </row>
    <row r="216" spans="4:11">
      <c r="D216" s="370"/>
    </row>
    <row r="217" spans="4:11">
      <c r="D217" s="345"/>
      <c r="E217" s="381"/>
      <c r="F217" s="381"/>
      <c r="G217" s="381"/>
      <c r="H217" s="381"/>
      <c r="I217" s="381"/>
    </row>
    <row r="218" spans="4:11">
      <c r="D218" s="370"/>
      <c r="E218" s="381"/>
      <c r="F218" s="381"/>
      <c r="G218" s="381"/>
      <c r="H218" s="381"/>
      <c r="I218" s="381"/>
    </row>
    <row r="219" spans="4:11">
      <c r="D219" s="370"/>
    </row>
    <row r="220" spans="4:11">
      <c r="D220" s="345"/>
      <c r="E220" s="381"/>
      <c r="F220" s="381"/>
      <c r="G220" s="381"/>
      <c r="H220" s="381"/>
      <c r="I220" s="381"/>
    </row>
    <row r="221" spans="4:11">
      <c r="D221" s="370"/>
      <c r="J221" s="381"/>
    </row>
    <row r="222" spans="4:11">
      <c r="D222" s="370"/>
      <c r="J222" s="381"/>
    </row>
    <row r="223" spans="4:11">
      <c r="D223" s="345"/>
      <c r="E223" s="381"/>
      <c r="F223" s="381"/>
      <c r="G223" s="381"/>
      <c r="H223" s="381"/>
      <c r="I223" s="381"/>
    </row>
    <row r="224" spans="4:11">
      <c r="D224" s="370"/>
    </row>
    <row r="225" spans="4:11">
      <c r="D225" s="370"/>
      <c r="J225" s="381"/>
      <c r="K225" s="381"/>
    </row>
    <row r="226" spans="4:11">
      <c r="D226" s="370"/>
      <c r="J226" s="381"/>
      <c r="K226" s="381"/>
    </row>
    <row r="227" spans="4:11">
      <c r="D227" s="345"/>
      <c r="E227" s="381"/>
      <c r="F227" s="381"/>
      <c r="G227" s="381"/>
      <c r="H227" s="381"/>
      <c r="I227" s="381"/>
    </row>
    <row r="228" spans="4:11">
      <c r="D228" s="370"/>
    </row>
    <row r="229" spans="4:11">
      <c r="D229" s="370"/>
      <c r="E229" s="345"/>
      <c r="F229" s="345"/>
      <c r="G229" s="345"/>
      <c r="H229" s="345"/>
      <c r="I229" s="345"/>
      <c r="J229" s="381"/>
      <c r="K229" s="381"/>
    </row>
    <row r="230" spans="4:11">
      <c r="D230" s="370"/>
      <c r="E230" s="345"/>
      <c r="F230" s="345"/>
      <c r="G230" s="345"/>
      <c r="H230" s="345"/>
      <c r="I230" s="345"/>
      <c r="K230" s="381"/>
    </row>
    <row r="231" spans="4:11">
      <c r="D231" s="370"/>
    </row>
    <row r="232" spans="4:11">
      <c r="D232" s="370"/>
    </row>
    <row r="233" spans="4:11">
      <c r="D233" s="370"/>
      <c r="K233" s="381"/>
    </row>
    <row r="234" spans="4:11">
      <c r="D234" s="345"/>
      <c r="E234" s="381"/>
      <c r="F234" s="381"/>
      <c r="G234" s="381"/>
      <c r="H234" s="381"/>
      <c r="I234" s="381"/>
    </row>
    <row r="235" spans="4:11">
      <c r="D235" s="345"/>
      <c r="E235" s="381"/>
      <c r="F235" s="381"/>
      <c r="G235" s="381"/>
      <c r="H235" s="381"/>
      <c r="I235" s="381"/>
    </row>
    <row r="236" spans="4:11">
      <c r="D236" s="370"/>
      <c r="E236" s="381"/>
      <c r="F236" s="381"/>
      <c r="G236" s="381"/>
      <c r="H236" s="381"/>
      <c r="I236" s="381"/>
    </row>
    <row r="237" spans="4:11">
      <c r="D237" s="370"/>
      <c r="E237" s="381"/>
      <c r="F237" s="381"/>
      <c r="G237" s="381"/>
      <c r="H237" s="381"/>
      <c r="I237" s="381"/>
    </row>
    <row r="238" spans="4:11">
      <c r="D238" s="370"/>
    </row>
    <row r="239" spans="4:11">
      <c r="D239" s="345"/>
      <c r="E239" s="381"/>
      <c r="F239" s="381"/>
      <c r="G239" s="381"/>
      <c r="H239" s="381"/>
      <c r="I239" s="381"/>
    </row>
    <row r="240" spans="4:11">
      <c r="D240" s="370"/>
      <c r="E240" s="381"/>
      <c r="F240" s="381"/>
      <c r="G240" s="381"/>
      <c r="H240" s="381"/>
      <c r="I240" s="381"/>
    </row>
    <row r="241" spans="4:11">
      <c r="D241" s="370"/>
      <c r="E241" s="381"/>
      <c r="F241" s="381"/>
      <c r="G241" s="381"/>
      <c r="H241" s="381"/>
      <c r="I241" s="381"/>
    </row>
    <row r="242" spans="4:11">
      <c r="D242" s="370"/>
    </row>
    <row r="243" spans="4:11">
      <c r="D243" s="370"/>
    </row>
    <row r="244" spans="4:11">
      <c r="D244" s="370"/>
      <c r="J244" s="381"/>
    </row>
    <row r="245" spans="4:11">
      <c r="D245" s="370"/>
      <c r="J245" s="381"/>
    </row>
    <row r="246" spans="4:11">
      <c r="D246" s="370"/>
    </row>
    <row r="247" spans="4:11">
      <c r="D247" s="370"/>
      <c r="J247" s="381"/>
    </row>
    <row r="248" spans="4:11">
      <c r="D248" s="370"/>
      <c r="J248" s="381"/>
      <c r="K248" s="381"/>
    </row>
    <row r="249" spans="4:11">
      <c r="D249" s="370"/>
      <c r="J249" s="381"/>
      <c r="K249" s="381"/>
    </row>
    <row r="250" spans="4:11">
      <c r="D250" s="370"/>
    </row>
    <row r="251" spans="4:11">
      <c r="D251" s="345"/>
      <c r="E251" s="381"/>
      <c r="F251" s="381"/>
      <c r="G251" s="381"/>
      <c r="H251" s="381"/>
      <c r="I251" s="381"/>
      <c r="K251" s="381"/>
    </row>
    <row r="252" spans="4:11">
      <c r="D252" s="370"/>
      <c r="J252" s="381"/>
      <c r="K252" s="381"/>
    </row>
    <row r="253" spans="4:11">
      <c r="D253" s="370"/>
      <c r="J253" s="381"/>
      <c r="K253" s="381"/>
    </row>
    <row r="254" spans="4:11">
      <c r="D254" s="345"/>
      <c r="E254" s="381"/>
      <c r="F254" s="381"/>
      <c r="G254" s="381"/>
      <c r="H254" s="381"/>
      <c r="I254" s="381"/>
    </row>
    <row r="255" spans="4:11">
      <c r="D255" s="370"/>
    </row>
    <row r="256" spans="4:11">
      <c r="D256" s="345"/>
      <c r="E256" s="381"/>
      <c r="F256" s="381"/>
      <c r="G256" s="381"/>
      <c r="H256" s="381"/>
      <c r="I256" s="381"/>
      <c r="K256" s="381"/>
    </row>
    <row r="257" spans="4:11">
      <c r="D257" s="370"/>
      <c r="E257" s="381"/>
      <c r="F257" s="381"/>
      <c r="G257" s="381"/>
      <c r="H257" s="381"/>
      <c r="I257" s="381"/>
      <c r="K257" s="381"/>
    </row>
    <row r="258" spans="4:11">
      <c r="D258" s="370"/>
    </row>
    <row r="259" spans="4:11">
      <c r="D259" s="370"/>
    </row>
    <row r="260" spans="4:11">
      <c r="D260" s="345"/>
      <c r="E260" s="381"/>
      <c r="F260" s="381"/>
      <c r="G260" s="381"/>
      <c r="H260" s="381"/>
      <c r="I260" s="381"/>
    </row>
    <row r="261" spans="4:11">
      <c r="D261" s="370"/>
      <c r="E261" s="381"/>
      <c r="F261" s="381"/>
      <c r="G261" s="381"/>
      <c r="H261" s="381"/>
      <c r="I261" s="381"/>
    </row>
    <row r="262" spans="4:11">
      <c r="D262" s="370"/>
    </row>
    <row r="263" spans="4:11">
      <c r="D263" s="345"/>
      <c r="E263" s="381"/>
      <c r="F263" s="381"/>
      <c r="G263" s="381"/>
      <c r="H263" s="381"/>
      <c r="I263" s="381"/>
    </row>
    <row r="264" spans="4:11">
      <c r="D264" s="370"/>
      <c r="J264" s="381"/>
    </row>
    <row r="265" spans="4:11">
      <c r="D265" s="370"/>
      <c r="J265" s="381"/>
    </row>
    <row r="266" spans="4:11">
      <c r="D266" s="345"/>
      <c r="E266" s="381"/>
      <c r="F266" s="381"/>
      <c r="G266" s="381"/>
      <c r="H266" s="381"/>
      <c r="I266" s="381"/>
    </row>
    <row r="267" spans="4:11">
      <c r="D267" s="370"/>
    </row>
    <row r="268" spans="4:11">
      <c r="D268" s="370"/>
      <c r="J268" s="381"/>
      <c r="K268" s="381"/>
    </row>
    <row r="269" spans="4:11">
      <c r="D269" s="370"/>
      <c r="J269" s="381"/>
      <c r="K269" s="381"/>
    </row>
    <row r="270" spans="4:11">
      <c r="D270" s="345"/>
      <c r="E270" s="381"/>
      <c r="F270" s="381"/>
      <c r="G270" s="381"/>
      <c r="H270" s="381"/>
      <c r="I270" s="381"/>
    </row>
    <row r="271" spans="4:11">
      <c r="D271" s="370"/>
    </row>
    <row r="272" spans="4:11">
      <c r="D272" s="370"/>
      <c r="E272" s="345"/>
      <c r="F272" s="345"/>
      <c r="G272" s="345"/>
      <c r="H272" s="345"/>
      <c r="I272" s="345"/>
      <c r="J272" s="381"/>
      <c r="K272" s="381"/>
    </row>
    <row r="273" spans="4:11">
      <c r="D273" s="370"/>
      <c r="E273" s="345"/>
      <c r="F273" s="345"/>
      <c r="G273" s="345"/>
      <c r="H273" s="345"/>
      <c r="I273" s="345"/>
      <c r="K273" s="381"/>
    </row>
    <row r="274" spans="4:11">
      <c r="D274" s="370"/>
    </row>
    <row r="275" spans="4:11">
      <c r="D275" s="370"/>
    </row>
    <row r="276" spans="4:11">
      <c r="D276" s="370"/>
      <c r="K276" s="381"/>
    </row>
    <row r="277" spans="4:11">
      <c r="D277" s="370"/>
    </row>
    <row r="278" spans="4:11">
      <c r="D278" s="370"/>
    </row>
    <row r="279" spans="4:11">
      <c r="D279" s="370"/>
    </row>
    <row r="280" spans="4:11">
      <c r="D280" s="370"/>
    </row>
    <row r="281" spans="4:11">
      <c r="D281" s="370"/>
    </row>
    <row r="282" spans="4:11">
      <c r="D282" s="370"/>
    </row>
    <row r="283" spans="4:11">
      <c r="D283" s="370"/>
    </row>
    <row r="284" spans="4:11">
      <c r="D284" s="370"/>
    </row>
    <row r="285" spans="4:11">
      <c r="D285" s="370"/>
    </row>
    <row r="286" spans="4:11">
      <c r="D286" s="370"/>
    </row>
    <row r="287" spans="4:11">
      <c r="D287" s="370"/>
    </row>
    <row r="288" spans="4:11">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sheetData>
  <phoneticPr fontId="26" type="noConversion"/>
  <pageMargins left="0.75" right="0.75" top="1" bottom="1" header="0.5" footer="0.5"/>
  <pageSetup scale="45"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51">
    <pageSetUpPr fitToPage="1"/>
  </sheetPr>
  <dimension ref="B1:X444"/>
  <sheetViews>
    <sheetView showGridLines="0" zoomScale="80" zoomScaleNormal="80" workbookViewId="0">
      <selection activeCell="J21" sqref="J21"/>
    </sheetView>
  </sheetViews>
  <sheetFormatPr defaultColWidth="9.109375" defaultRowHeight="12"/>
  <cols>
    <col min="1" max="1" width="2.33203125" style="367" customWidth="1"/>
    <col min="2" max="4" width="10" style="367" customWidth="1"/>
    <col min="5" max="5" width="21.332031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1448</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348</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8" t="s">
        <v>127</v>
      </c>
      <c r="O9" s="458"/>
      <c r="P9" s="458" t="s">
        <v>128</v>
      </c>
      <c r="Q9" s="458"/>
      <c r="R9" s="458" t="s">
        <v>124</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0</v>
      </c>
      <c r="C11" s="370"/>
      <c r="E11" s="367" t="str">
        <f>"DCF, "&amp;TEXT(H11,"0.0")&amp;"x 21E OpFCF"</f>
        <v>DCF, 25.3x 21E OpFCF</v>
      </c>
      <c r="F11" s="484">
        <v>279.50340586099321</v>
      </c>
      <c r="G11" s="178" t="s">
        <v>133</v>
      </c>
      <c r="H11" s="487">
        <v>25.307893489318392</v>
      </c>
      <c r="I11" s="178" t="s">
        <v>134</v>
      </c>
      <c r="J11" s="216">
        <f>(H11*F11)</f>
        <v>7073.6424254317462</v>
      </c>
      <c r="K11" s="178" t="s">
        <v>135</v>
      </c>
      <c r="L11" s="216">
        <v>0</v>
      </c>
      <c r="M11" s="178" t="s">
        <v>134</v>
      </c>
      <c r="N11" s="216">
        <f>J11-L11</f>
        <v>7073.6424254317462</v>
      </c>
      <c r="O11" s="178" t="s">
        <v>133</v>
      </c>
      <c r="P11" s="490">
        <v>1</v>
      </c>
      <c r="Q11" s="393" t="s">
        <v>134</v>
      </c>
      <c r="R11" s="216">
        <f>P11*N11</f>
        <v>7073.6424254317462</v>
      </c>
      <c r="S11" s="216"/>
      <c r="T11" s="216">
        <f>N11-R11</f>
        <v>0</v>
      </c>
      <c r="U11" s="216"/>
      <c r="V11" s="394">
        <f>N11/$J$26</f>
        <v>0.82915788706603233</v>
      </c>
      <c r="W11" s="370"/>
      <c r="X11" s="373">
        <f>$J$30*V11</f>
        <v>44.103199405137509</v>
      </c>
    </row>
    <row r="12" spans="2:24">
      <c r="B12" s="370" t="s">
        <v>969</v>
      </c>
      <c r="C12" s="370"/>
      <c r="E12" s="367" t="str">
        <f>"DCF, "&amp;TEXT(H12,"0.0")&amp;"x 21E OpFCF"</f>
        <v>DCF, 18.0x 21E OpFCF</v>
      </c>
      <c r="F12" s="484">
        <v>136.69659413900681</v>
      </c>
      <c r="G12" s="178" t="s">
        <v>133</v>
      </c>
      <c r="H12" s="487">
        <v>17.954293923346313</v>
      </c>
      <c r="I12" s="178" t="s">
        <v>134</v>
      </c>
      <c r="J12" s="385">
        <f>(H12*F12)</f>
        <v>2454.2908294921072</v>
      </c>
      <c r="K12" s="178" t="s">
        <v>135</v>
      </c>
      <c r="L12" s="216">
        <v>0</v>
      </c>
      <c r="M12" s="178" t="s">
        <v>134</v>
      </c>
      <c r="N12" s="216">
        <f>J12-L12</f>
        <v>2454.2908294921072</v>
      </c>
      <c r="O12" s="178" t="s">
        <v>133</v>
      </c>
      <c r="P12" s="490">
        <v>1</v>
      </c>
      <c r="Q12" s="393" t="s">
        <v>134</v>
      </c>
      <c r="R12" s="216">
        <f>P12*N12</f>
        <v>2454.2908294921072</v>
      </c>
      <c r="S12" s="216"/>
      <c r="T12" s="216">
        <f>N12-R12</f>
        <v>0</v>
      </c>
      <c r="U12" s="216"/>
      <c r="V12" s="397">
        <f>N12/$J$26</f>
        <v>0.28768694769060338</v>
      </c>
      <c r="W12" s="370"/>
      <c r="X12" s="373">
        <f>$J$30*V12</f>
        <v>15.302169849882413</v>
      </c>
    </row>
    <row r="13" spans="2:24">
      <c r="B13" s="345" t="s">
        <v>1088</v>
      </c>
      <c r="J13" s="210">
        <f>J12+J11</f>
        <v>9527.9332549238534</v>
      </c>
      <c r="U13" s="210"/>
      <c r="V13" s="387"/>
      <c r="W13" s="370"/>
      <c r="X13" s="372"/>
    </row>
    <row r="14" spans="2:24">
      <c r="B14" s="345"/>
      <c r="C14" s="345"/>
      <c r="U14" s="210"/>
      <c r="V14" s="387"/>
      <c r="W14" s="370"/>
      <c r="X14" s="372"/>
    </row>
    <row r="15" spans="2:24">
      <c r="B15" s="370" t="s">
        <v>1092</v>
      </c>
      <c r="C15" s="370"/>
      <c r="E15" s="367" t="str">
        <f>"DCF, "&amp;TEXT(H15,"0.0")&amp;"x 21E OpFCF"</f>
        <v>DCF, 20.9x 21E OpFCF</v>
      </c>
      <c r="F15" s="484">
        <v>42.3</v>
      </c>
      <c r="G15" s="178" t="s">
        <v>133</v>
      </c>
      <c r="H15" s="487">
        <v>20.917387792726657</v>
      </c>
      <c r="I15" s="178" t="s">
        <v>134</v>
      </c>
      <c r="J15" s="216">
        <f>(H15*F15)</f>
        <v>884.8055036323376</v>
      </c>
      <c r="L15" s="379"/>
      <c r="N15" s="379"/>
      <c r="R15" s="379"/>
      <c r="V15" s="379"/>
      <c r="X15" s="379"/>
    </row>
    <row r="16" spans="2:24">
      <c r="B16" s="345" t="s">
        <v>137</v>
      </c>
      <c r="C16" s="370"/>
      <c r="F16" s="210"/>
      <c r="G16" s="196"/>
      <c r="H16" s="372"/>
      <c r="I16" s="376"/>
      <c r="J16" s="210">
        <f>J15+J13</f>
        <v>10412.738758556192</v>
      </c>
      <c r="K16" s="375"/>
      <c r="L16" s="210">
        <f>-J20</f>
        <v>1317.2523896869441</v>
      </c>
      <c r="M16" s="196"/>
      <c r="N16" s="210">
        <f>SUM(N11:N14)</f>
        <v>9527.9332549238534</v>
      </c>
      <c r="P16" s="377"/>
      <c r="Q16" s="378"/>
      <c r="R16" s="210">
        <f>SUM(R11:R14)</f>
        <v>9527.9332549238534</v>
      </c>
      <c r="S16" s="370"/>
      <c r="T16" s="210">
        <f>SUM(T11:T15)</f>
        <v>0</v>
      </c>
      <c r="U16" s="370"/>
      <c r="V16" s="387">
        <f>N16/$J$26</f>
        <v>1.1168448347566358</v>
      </c>
      <c r="W16" s="370"/>
      <c r="X16" s="372">
        <f>$J$30*V16</f>
        <v>59.405369255019927</v>
      </c>
    </row>
    <row r="17" spans="2:24">
      <c r="B17" s="345"/>
      <c r="C17" s="345"/>
      <c r="K17" s="375"/>
      <c r="L17" s="196"/>
      <c r="M17" s="196"/>
      <c r="N17" s="370"/>
      <c r="P17" s="377"/>
      <c r="Q17" s="378"/>
      <c r="R17" s="370"/>
      <c r="T17" s="196"/>
    </row>
    <row r="19" spans="2:24" ht="12.6" thickBot="1">
      <c r="B19" s="382" t="s">
        <v>141</v>
      </c>
      <c r="D19" s="345"/>
      <c r="E19" s="381"/>
      <c r="H19" s="381"/>
      <c r="I19" s="381"/>
      <c r="J19" s="374">
        <f>J16</f>
        <v>10412.738758556192</v>
      </c>
      <c r="T19" s="460" t="s">
        <v>544</v>
      </c>
      <c r="U19" s="368"/>
      <c r="V19" s="368"/>
      <c r="W19" s="368"/>
      <c r="X19" s="368"/>
    </row>
    <row r="20" spans="2:24" ht="12.6" thickTop="1">
      <c r="B20" s="384" t="s">
        <v>1367</v>
      </c>
      <c r="D20" s="424"/>
      <c r="J20" s="216">
        <f>-ELISA!E12</f>
        <v>-1317.2523896869441</v>
      </c>
    </row>
    <row r="21" spans="2:24">
      <c r="B21" s="384" t="s">
        <v>1117</v>
      </c>
      <c r="F21" s="381"/>
      <c r="G21" s="381"/>
      <c r="I21" s="381"/>
      <c r="J21" s="484">
        <v>-271.45235671296814</v>
      </c>
      <c r="K21" s="381"/>
    </row>
    <row r="22" spans="2:24">
      <c r="B22" s="384" t="s">
        <v>1118</v>
      </c>
      <c r="J22" s="484">
        <v>-330.00698230875508</v>
      </c>
    </row>
    <row r="23" spans="2:24">
      <c r="B23" s="384" t="s">
        <v>1023</v>
      </c>
      <c r="J23" s="484">
        <v>37.089342284886605</v>
      </c>
    </row>
    <row r="24" spans="2:24">
      <c r="B24" s="384" t="s">
        <v>370</v>
      </c>
      <c r="J24" s="216">
        <f>-T16</f>
        <v>0</v>
      </c>
      <c r="K24" s="381"/>
    </row>
    <row r="25" spans="2:24">
      <c r="B25" s="384" t="s">
        <v>372</v>
      </c>
      <c r="J25" s="484">
        <v>0</v>
      </c>
      <c r="K25" s="381"/>
    </row>
    <row r="26" spans="2:24">
      <c r="B26" s="382" t="s">
        <v>490</v>
      </c>
      <c r="D26" s="345"/>
      <c r="E26" s="381"/>
      <c r="F26" s="381"/>
      <c r="G26" s="381"/>
      <c r="H26" s="381"/>
      <c r="I26" s="381"/>
      <c r="J26" s="210">
        <f>SUM(J19:J25)</f>
        <v>8531.1163721324119</v>
      </c>
      <c r="K26" s="381"/>
    </row>
    <row r="27" spans="2:24" ht="12.6" thickBot="1">
      <c r="B27" s="384" t="s">
        <v>491</v>
      </c>
      <c r="D27" s="370"/>
      <c r="J27" s="216">
        <f>ELISA!E10</f>
        <v>160.388419</v>
      </c>
      <c r="K27" s="381"/>
    </row>
    <row r="28" spans="2:24" ht="12.6" thickBot="1">
      <c r="B28" s="382" t="s">
        <v>492</v>
      </c>
      <c r="D28" s="370"/>
      <c r="J28" s="461">
        <f>J26/J27</f>
        <v>53.190351431373685</v>
      </c>
      <c r="K28" s="381"/>
    </row>
    <row r="29" spans="2:24" ht="12.6" thickBot="1">
      <c r="B29" s="384" t="s">
        <v>691</v>
      </c>
      <c r="D29" s="370"/>
      <c r="J29" s="485">
        <v>0</v>
      </c>
      <c r="K29" s="381"/>
    </row>
    <row r="30" spans="2:24" ht="12.6" thickBot="1">
      <c r="B30" s="382" t="s">
        <v>61</v>
      </c>
      <c r="D30" s="370"/>
      <c r="J30" s="461">
        <f>J28+J29</f>
        <v>53.190351431373685</v>
      </c>
      <c r="K30" s="381"/>
      <c r="L30" s="380"/>
    </row>
    <row r="31" spans="2:24">
      <c r="B31" s="384" t="s">
        <v>493</v>
      </c>
      <c r="D31" s="370"/>
      <c r="J31" s="373">
        <f>Prices!C23</f>
        <v>46.56</v>
      </c>
    </row>
    <row r="32" spans="2:24">
      <c r="B32" s="382" t="s">
        <v>96</v>
      </c>
      <c r="D32" s="345"/>
      <c r="E32" s="381"/>
      <c r="F32" s="381"/>
      <c r="G32" s="381"/>
      <c r="H32" s="381"/>
      <c r="I32" s="381"/>
      <c r="J32" s="387">
        <f>J30/J31-1</f>
        <v>0.14240445514118738</v>
      </c>
      <c r="K32" s="381"/>
    </row>
    <row r="33" spans="4:24">
      <c r="K33" s="381"/>
    </row>
    <row r="34" spans="4:24">
      <c r="D34" s="386"/>
      <c r="E34" s="381"/>
      <c r="F34" s="381"/>
      <c r="G34" s="381"/>
      <c r="H34" s="381"/>
      <c r="I34" s="381"/>
      <c r="J34" s="381"/>
      <c r="K34" s="381"/>
    </row>
    <row r="35" spans="4:24">
      <c r="D35" s="376"/>
      <c r="E35" s="345"/>
      <c r="H35" s="381"/>
      <c r="I35" s="381"/>
      <c r="K35" s="381"/>
    </row>
    <row r="36" spans="4:24">
      <c r="K36" s="381"/>
    </row>
    <row r="37" spans="4:24">
      <c r="D37" s="345"/>
      <c r="E37" s="345"/>
      <c r="F37" s="345"/>
      <c r="G37" s="345"/>
      <c r="H37" s="345"/>
      <c r="I37" s="345"/>
    </row>
    <row r="38" spans="4:24" ht="12.6" thickBot="1">
      <c r="D38" s="345"/>
      <c r="E38" s="345"/>
      <c r="F38" s="345"/>
      <c r="G38" s="345"/>
      <c r="H38" s="345"/>
      <c r="I38" s="345"/>
      <c r="T38" s="460" t="s">
        <v>544</v>
      </c>
      <c r="U38" s="368"/>
      <c r="V38" s="368"/>
      <c r="W38" s="368"/>
      <c r="X38" s="368"/>
    </row>
    <row r="39" spans="4:24" ht="12.6" thickTop="1">
      <c r="D39" s="345"/>
      <c r="E39" s="345"/>
      <c r="F39" s="345"/>
      <c r="G39" s="345"/>
      <c r="H39" s="345"/>
      <c r="I39" s="345"/>
      <c r="T39" s="370" t="s">
        <v>0</v>
      </c>
      <c r="X39" s="394">
        <f>(R11)/($R$16)</f>
        <v>0.74241099682097622</v>
      </c>
    </row>
    <row r="40" spans="4:24">
      <c r="D40" s="345"/>
      <c r="E40" s="345"/>
      <c r="F40" s="345"/>
      <c r="G40" s="345"/>
      <c r="H40" s="345"/>
      <c r="I40" s="345"/>
      <c r="T40" s="370" t="s">
        <v>1</v>
      </c>
      <c r="X40" s="394">
        <f>J15/($R$16)</f>
        <v>9.2864368374441231E-2</v>
      </c>
    </row>
    <row r="41" spans="4:24">
      <c r="D41" s="345"/>
      <c r="E41" s="345"/>
      <c r="F41" s="345"/>
      <c r="G41" s="345"/>
      <c r="H41" s="345"/>
      <c r="I41" s="345"/>
      <c r="T41" s="370" t="s">
        <v>2</v>
      </c>
      <c r="X41" s="394">
        <f>(R12)/($R$16)</f>
        <v>0.25758900317902383</v>
      </c>
    </row>
    <row r="42" spans="4:24">
      <c r="D42" s="345"/>
      <c r="E42" s="345"/>
      <c r="F42" s="345"/>
      <c r="G42" s="345"/>
      <c r="H42" s="345"/>
      <c r="I42" s="345"/>
    </row>
    <row r="43" spans="4:24">
      <c r="D43" s="345"/>
      <c r="E43" s="345"/>
      <c r="F43" s="345"/>
      <c r="G43" s="345"/>
      <c r="H43" s="345"/>
      <c r="I43" s="345"/>
    </row>
    <row r="44" spans="4:24">
      <c r="D44" s="345"/>
      <c r="E44" s="381"/>
      <c r="F44" s="381"/>
      <c r="G44" s="381"/>
      <c r="H44" s="381"/>
      <c r="I44" s="381"/>
      <c r="T44" s="249"/>
    </row>
    <row r="45" spans="4:24">
      <c r="D45" s="345"/>
      <c r="E45" s="381"/>
      <c r="F45" s="381"/>
      <c r="G45" s="381"/>
      <c r="H45" s="381"/>
      <c r="I45" s="381"/>
      <c r="T45" s="388"/>
    </row>
    <row r="46" spans="4:24">
      <c r="D46" s="370"/>
      <c r="E46" s="381"/>
      <c r="F46" s="381"/>
      <c r="G46" s="381"/>
      <c r="H46" s="381"/>
      <c r="I46" s="381"/>
    </row>
    <row r="47" spans="4:24">
      <c r="D47" s="370"/>
      <c r="E47" s="381"/>
      <c r="F47" s="381"/>
      <c r="G47" s="381"/>
      <c r="H47" s="381"/>
      <c r="I47" s="381"/>
      <c r="Q47" s="249"/>
    </row>
    <row r="48" spans="4:24">
      <c r="D48" s="370"/>
      <c r="M48" s="249"/>
      <c r="Q48" s="388"/>
      <c r="T48" s="249"/>
    </row>
    <row r="49" spans="4:24">
      <c r="D49" s="345"/>
      <c r="E49" s="381"/>
      <c r="F49" s="381"/>
      <c r="G49" s="381"/>
      <c r="H49" s="381"/>
      <c r="I49" s="381"/>
      <c r="L49" s="249"/>
      <c r="N49" s="249"/>
      <c r="O49" s="249"/>
      <c r="P49" s="249"/>
      <c r="T49" s="388"/>
    </row>
    <row r="50" spans="4:24">
      <c r="D50" s="370"/>
      <c r="E50" s="381"/>
      <c r="F50" s="381"/>
      <c r="G50" s="381"/>
      <c r="H50" s="381"/>
      <c r="I50" s="381"/>
      <c r="N50" s="388"/>
      <c r="O50" s="388"/>
      <c r="P50" s="388"/>
    </row>
    <row r="51" spans="4:24">
      <c r="D51" s="370"/>
      <c r="E51" s="381"/>
      <c r="F51" s="381"/>
      <c r="G51" s="381"/>
      <c r="H51" s="381"/>
      <c r="I51" s="381"/>
      <c r="Q51" s="249"/>
    </row>
    <row r="52" spans="4:24">
      <c r="D52" s="370"/>
      <c r="M52" s="249"/>
      <c r="Q52" s="388"/>
    </row>
    <row r="53" spans="4:24">
      <c r="D53" s="370"/>
      <c r="L53" s="249"/>
      <c r="N53" s="249"/>
      <c r="O53" s="249"/>
      <c r="P53" s="249"/>
    </row>
    <row r="54" spans="4:24">
      <c r="D54" s="370"/>
      <c r="J54" s="381"/>
      <c r="N54" s="388"/>
      <c r="O54" s="388"/>
      <c r="P54" s="388"/>
      <c r="Q54" s="249"/>
      <c r="R54" s="249"/>
    </row>
    <row r="55" spans="4:24">
      <c r="D55" s="370"/>
      <c r="J55" s="381"/>
      <c r="M55" s="249"/>
      <c r="Q55" s="388"/>
      <c r="R55" s="388"/>
    </row>
    <row r="56" spans="4:24">
      <c r="D56" s="370"/>
      <c r="L56" s="249"/>
      <c r="N56" s="249"/>
      <c r="O56" s="249"/>
      <c r="P56" s="249"/>
    </row>
    <row r="57" spans="4:24">
      <c r="D57" s="370"/>
      <c r="J57" s="381"/>
      <c r="K57" s="381"/>
      <c r="N57" s="388"/>
      <c r="O57" s="388"/>
      <c r="P57" s="388"/>
      <c r="Q57" s="249"/>
      <c r="R57" s="249"/>
      <c r="S57" s="249"/>
      <c r="T57" s="249"/>
      <c r="U57" s="249"/>
      <c r="V57" s="249"/>
      <c r="W57" s="249"/>
      <c r="X57" s="249"/>
    </row>
    <row r="58" spans="4:24">
      <c r="D58" s="370"/>
      <c r="J58" s="381"/>
      <c r="K58" s="381"/>
      <c r="M58" s="249"/>
      <c r="Q58" s="388"/>
      <c r="R58" s="388"/>
      <c r="S58" s="388"/>
      <c r="T58" s="388"/>
      <c r="U58" s="388"/>
      <c r="V58" s="388"/>
      <c r="W58" s="388"/>
      <c r="X58" s="388"/>
    </row>
    <row r="59" spans="4:24">
      <c r="D59" s="370"/>
      <c r="J59" s="381"/>
      <c r="L59" s="249"/>
      <c r="N59" s="249"/>
      <c r="O59" s="249"/>
      <c r="P59" s="249"/>
    </row>
    <row r="60" spans="4:24">
      <c r="D60" s="370"/>
      <c r="K60" s="381"/>
      <c r="N60" s="388"/>
      <c r="O60" s="388"/>
      <c r="P60" s="388"/>
      <c r="Q60" s="249"/>
      <c r="R60" s="249"/>
    </row>
    <row r="61" spans="4:24">
      <c r="D61" s="345"/>
      <c r="E61" s="381"/>
      <c r="F61" s="381"/>
      <c r="G61" s="381"/>
      <c r="H61" s="381"/>
      <c r="I61" s="381"/>
      <c r="K61" s="381"/>
      <c r="M61" s="249"/>
      <c r="Q61" s="388"/>
      <c r="R61" s="388"/>
      <c r="S61" s="249"/>
      <c r="T61" s="249"/>
      <c r="U61" s="249"/>
      <c r="V61" s="249"/>
      <c r="W61" s="249"/>
      <c r="X61" s="249"/>
    </row>
    <row r="62" spans="4:24">
      <c r="D62" s="370"/>
      <c r="J62" s="381"/>
      <c r="K62" s="381"/>
      <c r="L62" s="249"/>
      <c r="N62" s="249"/>
      <c r="O62" s="249"/>
      <c r="P62" s="249"/>
      <c r="Q62" s="389"/>
      <c r="R62" s="389"/>
      <c r="S62" s="388"/>
      <c r="T62" s="388"/>
      <c r="U62" s="388"/>
      <c r="V62" s="388"/>
      <c r="W62" s="388"/>
      <c r="X62" s="388"/>
    </row>
    <row r="63" spans="4:24">
      <c r="D63" s="370"/>
      <c r="J63" s="381"/>
      <c r="M63" s="389"/>
      <c r="N63" s="388"/>
      <c r="O63" s="388"/>
      <c r="P63" s="388"/>
      <c r="Q63" s="388"/>
      <c r="R63" s="388"/>
    </row>
    <row r="64" spans="4:24">
      <c r="D64" s="345"/>
      <c r="E64" s="381"/>
      <c r="F64" s="381"/>
      <c r="G64" s="381"/>
      <c r="H64" s="381"/>
      <c r="I64" s="381"/>
      <c r="L64" s="389"/>
      <c r="N64" s="389"/>
      <c r="O64" s="389"/>
      <c r="P64" s="389"/>
      <c r="S64" s="249"/>
      <c r="T64" s="249"/>
      <c r="U64" s="249"/>
      <c r="V64" s="249"/>
      <c r="W64" s="249"/>
      <c r="X64" s="249"/>
    </row>
    <row r="65" spans="4:24">
      <c r="D65" s="370"/>
      <c r="K65" s="381"/>
      <c r="N65" s="388"/>
      <c r="O65" s="388"/>
      <c r="P65" s="388"/>
      <c r="Q65" s="249"/>
      <c r="R65" s="249"/>
      <c r="S65" s="388"/>
      <c r="T65" s="388"/>
      <c r="U65" s="388"/>
      <c r="V65" s="388"/>
      <c r="W65" s="388"/>
      <c r="X65" s="388"/>
    </row>
    <row r="66" spans="4:24">
      <c r="D66" s="345"/>
      <c r="E66" s="381"/>
      <c r="F66" s="381"/>
      <c r="G66" s="381"/>
      <c r="H66" s="381"/>
      <c r="I66" s="381"/>
      <c r="K66" s="381"/>
      <c r="M66" s="249"/>
      <c r="Q66" s="390"/>
      <c r="R66" s="390"/>
    </row>
    <row r="67" spans="4:24">
      <c r="D67" s="370"/>
      <c r="E67" s="381"/>
      <c r="F67" s="381"/>
      <c r="G67" s="381"/>
      <c r="H67" s="381"/>
      <c r="I67" s="381"/>
      <c r="L67" s="249"/>
      <c r="N67" s="249"/>
      <c r="O67" s="249"/>
      <c r="P67" s="249"/>
      <c r="Q67" s="249"/>
      <c r="R67" s="249"/>
      <c r="S67" s="249"/>
      <c r="T67" s="249"/>
      <c r="U67" s="249"/>
      <c r="V67" s="249"/>
      <c r="W67" s="249"/>
      <c r="X67" s="249"/>
    </row>
    <row r="68" spans="4:24">
      <c r="D68" s="370"/>
      <c r="M68" s="249"/>
      <c r="N68" s="388"/>
      <c r="O68" s="388"/>
      <c r="P68" s="390"/>
      <c r="Q68" s="388"/>
      <c r="R68" s="388"/>
      <c r="S68" s="388"/>
      <c r="T68" s="388"/>
      <c r="U68" s="388"/>
      <c r="V68" s="388"/>
      <c r="W68" s="388"/>
      <c r="X68" s="388"/>
    </row>
    <row r="69" spans="4:24">
      <c r="D69" s="370"/>
      <c r="L69" s="249"/>
      <c r="N69" s="249"/>
      <c r="O69" s="249"/>
      <c r="P69" s="249"/>
      <c r="Q69" s="248"/>
      <c r="R69" s="248"/>
    </row>
    <row r="70" spans="4:24">
      <c r="D70" s="345"/>
      <c r="E70" s="381"/>
      <c r="F70" s="381"/>
      <c r="G70" s="381"/>
      <c r="H70" s="381"/>
      <c r="I70" s="381"/>
      <c r="M70" s="248"/>
      <c r="N70" s="388"/>
      <c r="O70" s="388"/>
      <c r="P70" s="388"/>
      <c r="S70" s="249"/>
      <c r="T70" s="249"/>
      <c r="U70" s="249"/>
      <c r="V70" s="249"/>
      <c r="W70" s="249"/>
      <c r="X70" s="249"/>
    </row>
    <row r="71" spans="4:24">
      <c r="D71" s="370"/>
      <c r="E71" s="381"/>
      <c r="F71" s="381"/>
      <c r="G71" s="381"/>
      <c r="H71" s="381"/>
      <c r="I71" s="381"/>
      <c r="L71" s="248"/>
      <c r="N71" s="248"/>
      <c r="O71" s="248"/>
      <c r="P71" s="248"/>
      <c r="Q71" s="247"/>
      <c r="R71" s="247"/>
      <c r="S71" s="388"/>
      <c r="T71" s="388"/>
      <c r="U71" s="388"/>
      <c r="V71" s="388"/>
      <c r="W71" s="388"/>
      <c r="X71" s="388"/>
    </row>
    <row r="72" spans="4:24">
      <c r="D72" s="370"/>
      <c r="M72" s="247"/>
      <c r="Q72" s="388"/>
      <c r="R72" s="388"/>
      <c r="S72" s="389"/>
      <c r="T72" s="389"/>
      <c r="U72" s="389"/>
      <c r="V72" s="389"/>
      <c r="W72" s="389"/>
      <c r="X72" s="389"/>
    </row>
    <row r="73" spans="4:24">
      <c r="D73" s="345"/>
      <c r="E73" s="381"/>
      <c r="F73" s="381"/>
      <c r="G73" s="381"/>
      <c r="H73" s="381"/>
      <c r="I73" s="381"/>
      <c r="L73" s="247"/>
      <c r="N73" s="247"/>
      <c r="O73" s="247"/>
      <c r="P73" s="247"/>
      <c r="S73" s="388"/>
      <c r="T73" s="388"/>
      <c r="U73" s="388"/>
      <c r="V73" s="388"/>
      <c r="W73" s="388"/>
      <c r="X73" s="388"/>
    </row>
    <row r="74" spans="4:24">
      <c r="D74" s="370"/>
      <c r="J74" s="381"/>
      <c r="N74" s="388"/>
      <c r="O74" s="388"/>
      <c r="P74" s="388"/>
      <c r="Q74" s="389"/>
      <c r="R74" s="389"/>
    </row>
    <row r="75" spans="4:24">
      <c r="D75" s="370"/>
      <c r="J75" s="381"/>
      <c r="M75" s="389"/>
      <c r="Q75" s="388"/>
      <c r="R75" s="388"/>
      <c r="S75" s="249"/>
      <c r="T75" s="249"/>
      <c r="U75" s="249"/>
      <c r="V75" s="249"/>
      <c r="W75" s="249"/>
      <c r="X75" s="249"/>
    </row>
    <row r="76" spans="4:24">
      <c r="D76" s="345"/>
      <c r="E76" s="381"/>
      <c r="F76" s="381"/>
      <c r="G76" s="381"/>
      <c r="H76" s="381"/>
      <c r="I76" s="381"/>
      <c r="L76" s="389"/>
      <c r="N76" s="389"/>
      <c r="O76" s="389"/>
      <c r="P76" s="389"/>
      <c r="S76" s="390"/>
      <c r="T76" s="390"/>
      <c r="U76" s="390"/>
      <c r="V76" s="390"/>
      <c r="W76" s="390"/>
      <c r="X76" s="390"/>
    </row>
    <row r="77" spans="4:24">
      <c r="D77" s="370"/>
      <c r="K77" s="381"/>
      <c r="N77" s="388"/>
      <c r="O77" s="388"/>
      <c r="P77" s="388"/>
      <c r="Q77" s="391"/>
      <c r="R77" s="391"/>
      <c r="S77" s="249"/>
      <c r="T77" s="249"/>
      <c r="U77" s="249"/>
      <c r="V77" s="249"/>
      <c r="W77" s="249"/>
      <c r="X77" s="249"/>
    </row>
    <row r="78" spans="4:24">
      <c r="D78" s="370"/>
      <c r="J78" s="381"/>
      <c r="K78" s="381"/>
      <c r="M78" s="391"/>
      <c r="Q78" s="388"/>
      <c r="R78" s="388"/>
      <c r="S78" s="388"/>
      <c r="T78" s="388"/>
      <c r="U78" s="388"/>
      <c r="V78" s="388"/>
      <c r="W78" s="388"/>
      <c r="X78" s="388"/>
    </row>
    <row r="79" spans="4:24">
      <c r="D79" s="370"/>
      <c r="J79" s="381"/>
      <c r="L79" s="391"/>
      <c r="N79" s="391"/>
      <c r="O79" s="391"/>
      <c r="P79" s="391"/>
      <c r="Q79" s="248"/>
      <c r="R79" s="248"/>
      <c r="S79" s="248"/>
      <c r="T79" s="248"/>
      <c r="U79" s="248"/>
      <c r="V79" s="248"/>
      <c r="W79" s="248"/>
      <c r="X79" s="248"/>
    </row>
    <row r="80" spans="4:24">
      <c r="D80" s="370"/>
      <c r="F80" s="381"/>
      <c r="G80" s="381"/>
      <c r="H80" s="381"/>
      <c r="I80" s="381"/>
      <c r="N80" s="388"/>
      <c r="O80" s="388"/>
      <c r="P80" s="388"/>
    </row>
    <row r="81" spans="4:24">
      <c r="D81" s="370"/>
      <c r="K81" s="381"/>
      <c r="N81" s="248"/>
      <c r="O81" s="248"/>
      <c r="P81" s="248"/>
      <c r="Q81" s="247"/>
      <c r="R81" s="247"/>
      <c r="S81" s="247"/>
      <c r="T81" s="247"/>
      <c r="U81" s="247"/>
      <c r="V81" s="247"/>
      <c r="W81" s="247"/>
      <c r="X81" s="247"/>
    </row>
    <row r="82" spans="4:24">
      <c r="D82" s="370"/>
      <c r="F82" s="345"/>
      <c r="G82" s="345"/>
      <c r="H82" s="345"/>
      <c r="I82" s="345"/>
      <c r="J82" s="381"/>
      <c r="K82" s="381"/>
      <c r="M82" s="247"/>
      <c r="Q82" s="388"/>
      <c r="R82" s="388"/>
      <c r="S82" s="388"/>
      <c r="T82" s="388"/>
      <c r="U82" s="388"/>
      <c r="V82" s="388"/>
      <c r="W82" s="388"/>
      <c r="X82" s="388"/>
    </row>
    <row r="83" spans="4:24">
      <c r="D83" s="370"/>
      <c r="E83" s="345"/>
      <c r="F83" s="345"/>
      <c r="G83" s="345"/>
      <c r="H83" s="345"/>
      <c r="I83" s="345"/>
      <c r="L83" s="247"/>
      <c r="N83" s="247"/>
      <c r="O83" s="247"/>
      <c r="P83" s="247"/>
      <c r="Q83" s="274"/>
      <c r="R83" s="274"/>
    </row>
    <row r="84" spans="4:24">
      <c r="D84" s="370"/>
      <c r="M84" s="274"/>
      <c r="N84" s="388"/>
      <c r="O84" s="388"/>
      <c r="P84" s="388"/>
      <c r="S84" s="389"/>
      <c r="T84" s="389"/>
      <c r="U84" s="389"/>
      <c r="V84" s="389"/>
      <c r="W84" s="389"/>
      <c r="X84" s="389"/>
    </row>
    <row r="85" spans="4:24">
      <c r="D85" s="370"/>
      <c r="K85" s="381"/>
      <c r="L85" s="274"/>
      <c r="N85" s="274"/>
      <c r="O85" s="274"/>
      <c r="P85" s="274"/>
      <c r="Q85" s="389"/>
      <c r="R85" s="389"/>
      <c r="S85" s="388"/>
      <c r="T85" s="388"/>
      <c r="U85" s="388"/>
      <c r="V85" s="388"/>
      <c r="W85" s="388"/>
      <c r="X85" s="388"/>
    </row>
    <row r="86" spans="4:24">
      <c r="D86" s="370"/>
      <c r="M86" s="389"/>
      <c r="Q86" s="388"/>
      <c r="R86" s="388"/>
    </row>
    <row r="87" spans="4:24">
      <c r="D87" s="345"/>
      <c r="E87" s="381"/>
      <c r="F87" s="381"/>
      <c r="G87" s="381"/>
      <c r="H87" s="381"/>
      <c r="I87" s="381"/>
      <c r="L87" s="389"/>
      <c r="N87" s="389"/>
      <c r="O87" s="389"/>
      <c r="P87" s="389"/>
      <c r="S87" s="391"/>
      <c r="T87" s="391"/>
      <c r="U87" s="391"/>
      <c r="V87" s="391"/>
      <c r="W87" s="391"/>
      <c r="X87" s="391"/>
    </row>
    <row r="88" spans="4:24">
      <c r="D88" s="345"/>
      <c r="E88" s="381"/>
      <c r="F88" s="381"/>
      <c r="G88" s="381"/>
      <c r="H88" s="381"/>
      <c r="I88" s="381"/>
      <c r="N88" s="388"/>
      <c r="O88" s="388"/>
      <c r="P88" s="388"/>
      <c r="S88" s="388"/>
      <c r="T88" s="388"/>
      <c r="U88" s="388"/>
      <c r="V88" s="388"/>
      <c r="W88" s="388"/>
      <c r="X88" s="388"/>
    </row>
    <row r="89" spans="4:24">
      <c r="D89" s="370"/>
      <c r="E89" s="381"/>
      <c r="F89" s="381"/>
      <c r="G89" s="381"/>
      <c r="H89" s="381"/>
      <c r="I89" s="381"/>
      <c r="Q89" s="249"/>
      <c r="R89" s="249"/>
      <c r="S89" s="248"/>
      <c r="T89" s="248"/>
      <c r="U89" s="248"/>
      <c r="V89" s="248"/>
      <c r="W89" s="248"/>
      <c r="X89" s="248"/>
    </row>
    <row r="90" spans="4:24">
      <c r="D90" s="370"/>
      <c r="E90" s="381"/>
      <c r="F90" s="381"/>
      <c r="G90" s="381"/>
      <c r="H90" s="381"/>
      <c r="I90" s="381"/>
      <c r="M90" s="249"/>
      <c r="Q90" s="388"/>
      <c r="R90" s="388"/>
    </row>
    <row r="91" spans="4:24">
      <c r="D91" s="370"/>
      <c r="L91" s="249"/>
      <c r="N91" s="249"/>
      <c r="O91" s="249"/>
      <c r="P91" s="249"/>
      <c r="S91" s="247"/>
      <c r="T91" s="247"/>
      <c r="U91" s="247"/>
      <c r="V91" s="247"/>
      <c r="W91" s="247"/>
      <c r="X91" s="247"/>
    </row>
    <row r="92" spans="4:24">
      <c r="D92" s="345"/>
      <c r="E92" s="381"/>
      <c r="F92" s="381"/>
      <c r="G92" s="381"/>
      <c r="H92" s="381"/>
      <c r="I92" s="381"/>
      <c r="N92" s="388"/>
      <c r="O92" s="388"/>
      <c r="P92" s="388"/>
      <c r="Q92" s="249"/>
      <c r="R92" s="249"/>
      <c r="S92" s="388"/>
      <c r="T92" s="388"/>
      <c r="U92" s="388"/>
      <c r="V92" s="388"/>
      <c r="W92" s="388"/>
      <c r="X92" s="388"/>
    </row>
    <row r="93" spans="4:24">
      <c r="D93" s="370"/>
      <c r="E93" s="381"/>
      <c r="F93" s="381"/>
      <c r="G93" s="381"/>
      <c r="H93" s="381"/>
      <c r="I93" s="381"/>
      <c r="M93" s="249"/>
      <c r="Q93" s="390"/>
      <c r="R93" s="390"/>
      <c r="S93" s="274"/>
      <c r="T93" s="274"/>
      <c r="U93" s="274"/>
      <c r="V93" s="274"/>
      <c r="W93" s="274"/>
      <c r="X93" s="274"/>
    </row>
    <row r="94" spans="4:24">
      <c r="D94" s="370"/>
      <c r="E94" s="381"/>
      <c r="F94" s="381"/>
      <c r="G94" s="381"/>
      <c r="H94" s="381"/>
      <c r="I94" s="381"/>
      <c r="L94" s="249"/>
      <c r="N94" s="249"/>
      <c r="O94" s="249"/>
      <c r="P94" s="249"/>
    </row>
    <row r="95" spans="4:24">
      <c r="D95" s="370"/>
      <c r="N95" s="388"/>
      <c r="O95" s="388"/>
      <c r="P95" s="390"/>
      <c r="Q95" s="389"/>
      <c r="R95" s="389"/>
      <c r="S95" s="389"/>
      <c r="T95" s="389"/>
      <c r="U95" s="389"/>
      <c r="V95" s="389"/>
      <c r="W95" s="389"/>
      <c r="X95" s="389"/>
    </row>
    <row r="96" spans="4:24">
      <c r="D96" s="370"/>
      <c r="M96" s="389"/>
      <c r="Q96" s="392"/>
      <c r="R96" s="392"/>
      <c r="S96" s="388"/>
      <c r="T96" s="388"/>
      <c r="U96" s="388"/>
      <c r="V96" s="388"/>
      <c r="W96" s="388"/>
      <c r="X96" s="388"/>
    </row>
    <row r="97" spans="4:24">
      <c r="D97" s="370"/>
      <c r="J97" s="381"/>
      <c r="L97" s="389"/>
      <c r="N97" s="389"/>
      <c r="O97" s="389"/>
      <c r="P97" s="389"/>
      <c r="Q97" s="392"/>
      <c r="R97" s="392"/>
    </row>
    <row r="98" spans="4:24">
      <c r="D98" s="370"/>
      <c r="J98" s="381"/>
      <c r="M98" s="392"/>
      <c r="N98" s="392"/>
      <c r="O98" s="392"/>
      <c r="P98" s="392"/>
    </row>
    <row r="99" spans="4:24">
      <c r="D99" s="370"/>
      <c r="L99" s="392"/>
      <c r="N99" s="392"/>
      <c r="O99" s="392"/>
      <c r="P99" s="392"/>
      <c r="Q99" s="388"/>
      <c r="R99" s="388"/>
      <c r="S99" s="249"/>
      <c r="T99" s="249"/>
      <c r="U99" s="249"/>
      <c r="V99" s="249"/>
      <c r="W99" s="249"/>
      <c r="X99" s="249"/>
    </row>
    <row r="100" spans="4:24">
      <c r="D100" s="370"/>
      <c r="J100" s="381"/>
      <c r="K100" s="381"/>
      <c r="M100" s="388"/>
      <c r="Q100" s="389"/>
      <c r="R100" s="389"/>
      <c r="S100" s="388"/>
      <c r="T100" s="388"/>
      <c r="U100" s="388"/>
      <c r="V100" s="388"/>
      <c r="W100" s="388"/>
      <c r="X100" s="388"/>
    </row>
    <row r="101" spans="4:24">
      <c r="D101" s="370"/>
      <c r="J101" s="381"/>
      <c r="K101" s="381"/>
      <c r="L101" s="388"/>
      <c r="M101" s="389"/>
      <c r="N101" s="388"/>
      <c r="O101" s="388"/>
      <c r="P101" s="388"/>
      <c r="R101" s="392"/>
    </row>
    <row r="102" spans="4:24">
      <c r="D102" s="370"/>
      <c r="J102" s="381"/>
      <c r="L102" s="389"/>
      <c r="N102" s="389"/>
      <c r="O102" s="389"/>
      <c r="P102" s="389"/>
      <c r="S102" s="249"/>
      <c r="T102" s="249"/>
      <c r="U102" s="249"/>
      <c r="V102" s="249"/>
      <c r="W102" s="249"/>
      <c r="X102" s="249"/>
    </row>
    <row r="103" spans="4:24">
      <c r="D103" s="370"/>
      <c r="K103" s="381"/>
      <c r="Q103" s="389"/>
      <c r="R103" s="389"/>
      <c r="S103" s="390"/>
      <c r="T103" s="390"/>
      <c r="U103" s="390"/>
      <c r="V103" s="390"/>
      <c r="W103" s="390"/>
      <c r="X103" s="390"/>
    </row>
    <row r="104" spans="4:24">
      <c r="D104" s="345"/>
      <c r="E104" s="381"/>
      <c r="F104" s="381"/>
      <c r="G104" s="381"/>
      <c r="H104" s="381"/>
      <c r="I104" s="381"/>
      <c r="K104" s="381"/>
      <c r="M104" s="389"/>
      <c r="Q104" s="392"/>
      <c r="R104" s="392"/>
    </row>
    <row r="105" spans="4:24">
      <c r="D105" s="370"/>
      <c r="J105" s="381"/>
      <c r="K105" s="381"/>
      <c r="L105" s="389"/>
      <c r="N105" s="389"/>
      <c r="O105" s="389"/>
      <c r="P105" s="389"/>
      <c r="S105" s="389"/>
      <c r="T105" s="389"/>
      <c r="U105" s="389"/>
      <c r="V105" s="389"/>
      <c r="W105" s="389"/>
      <c r="X105" s="389"/>
    </row>
    <row r="106" spans="4:24">
      <c r="D106" s="370"/>
      <c r="J106" s="381"/>
      <c r="N106" s="392"/>
      <c r="O106" s="392"/>
      <c r="P106" s="392"/>
      <c r="S106" s="392"/>
      <c r="T106" s="392"/>
      <c r="U106" s="392"/>
      <c r="V106" s="392"/>
      <c r="W106" s="392"/>
      <c r="X106" s="392"/>
    </row>
    <row r="107" spans="4:24">
      <c r="D107" s="345"/>
      <c r="E107" s="381"/>
      <c r="F107" s="381"/>
      <c r="G107" s="381"/>
      <c r="H107" s="381"/>
      <c r="I107" s="381"/>
      <c r="S107" s="392"/>
      <c r="T107" s="392"/>
      <c r="U107" s="392"/>
      <c r="V107" s="392"/>
      <c r="W107" s="392"/>
      <c r="X107" s="392"/>
    </row>
    <row r="108" spans="4:24">
      <c r="D108" s="370"/>
      <c r="K108" s="381"/>
    </row>
    <row r="109" spans="4:24">
      <c r="D109" s="345"/>
      <c r="E109" s="381"/>
      <c r="F109" s="381"/>
      <c r="G109" s="381"/>
      <c r="H109" s="381"/>
      <c r="I109" s="381"/>
      <c r="K109" s="381"/>
      <c r="S109" s="388"/>
      <c r="T109" s="388"/>
      <c r="U109" s="388"/>
      <c r="V109" s="388"/>
      <c r="W109" s="388"/>
      <c r="X109" s="388"/>
    </row>
    <row r="110" spans="4:24">
      <c r="D110" s="370"/>
      <c r="E110" s="381"/>
      <c r="F110" s="381"/>
      <c r="G110" s="381"/>
      <c r="H110" s="381"/>
      <c r="I110" s="381"/>
      <c r="S110" s="389"/>
      <c r="T110" s="389"/>
      <c r="U110" s="389"/>
      <c r="V110" s="389"/>
      <c r="W110" s="389"/>
      <c r="X110" s="389"/>
    </row>
    <row r="111" spans="4:24">
      <c r="D111" s="370"/>
      <c r="S111" s="392"/>
      <c r="T111" s="392"/>
      <c r="U111" s="392"/>
      <c r="V111" s="392"/>
      <c r="W111" s="392"/>
      <c r="X111" s="392"/>
    </row>
    <row r="112" spans="4:24">
      <c r="D112" s="370"/>
    </row>
    <row r="113" spans="4:24">
      <c r="D113" s="345"/>
      <c r="E113" s="381"/>
      <c r="F113" s="381"/>
      <c r="G113" s="381"/>
      <c r="H113" s="381"/>
      <c r="I113" s="381"/>
      <c r="S113" s="389"/>
      <c r="T113" s="389"/>
      <c r="U113" s="389"/>
      <c r="V113" s="389"/>
      <c r="W113" s="389"/>
      <c r="X113" s="389"/>
    </row>
    <row r="114" spans="4:24">
      <c r="D114" s="370"/>
      <c r="E114" s="381"/>
      <c r="F114" s="381"/>
      <c r="G114" s="381"/>
      <c r="H114" s="381"/>
      <c r="I114" s="381"/>
      <c r="S114" s="392"/>
      <c r="T114" s="392"/>
      <c r="U114" s="392"/>
      <c r="V114" s="392"/>
      <c r="W114" s="392"/>
      <c r="X114" s="392"/>
    </row>
    <row r="115" spans="4:24">
      <c r="D115" s="370"/>
    </row>
    <row r="116" spans="4:24">
      <c r="D116" s="345"/>
      <c r="E116" s="381"/>
      <c r="F116" s="381"/>
      <c r="G116" s="381"/>
      <c r="H116" s="381"/>
      <c r="I116" s="381"/>
    </row>
    <row r="117" spans="4:24">
      <c r="D117" s="370"/>
      <c r="J117" s="381"/>
    </row>
    <row r="118" spans="4:24">
      <c r="D118" s="370"/>
      <c r="J118" s="381"/>
    </row>
    <row r="119" spans="4:24">
      <c r="D119" s="345"/>
      <c r="E119" s="381"/>
      <c r="F119" s="381"/>
      <c r="G119" s="381"/>
      <c r="H119" s="381"/>
      <c r="I119" s="381"/>
    </row>
    <row r="120" spans="4:24">
      <c r="D120" s="370"/>
      <c r="K120" s="381"/>
    </row>
    <row r="121" spans="4:24">
      <c r="D121" s="370"/>
      <c r="J121" s="381"/>
      <c r="K121" s="381"/>
    </row>
    <row r="122" spans="4:24">
      <c r="D122" s="370"/>
      <c r="J122" s="381"/>
    </row>
    <row r="123" spans="4:24">
      <c r="D123" s="345"/>
      <c r="E123" s="381"/>
      <c r="F123" s="381"/>
      <c r="G123" s="381"/>
      <c r="H123" s="381"/>
      <c r="I123" s="381"/>
    </row>
    <row r="124" spans="4:24">
      <c r="D124" s="370"/>
      <c r="K124" s="381"/>
    </row>
    <row r="125" spans="4:24">
      <c r="D125" s="370"/>
      <c r="E125" s="345"/>
      <c r="F125" s="345"/>
      <c r="G125" s="345"/>
      <c r="H125" s="345"/>
      <c r="I125" s="345"/>
      <c r="J125" s="381"/>
      <c r="K125" s="381"/>
    </row>
    <row r="126" spans="4:24">
      <c r="D126" s="370"/>
      <c r="E126" s="345"/>
      <c r="F126" s="345"/>
      <c r="G126" s="345"/>
      <c r="H126" s="345"/>
      <c r="I126" s="345"/>
    </row>
    <row r="127" spans="4:24">
      <c r="D127" s="370"/>
    </row>
    <row r="128" spans="4:24">
      <c r="D128" s="370"/>
      <c r="K128" s="381"/>
    </row>
    <row r="130" spans="4:11">
      <c r="D130" s="345"/>
      <c r="E130" s="381"/>
      <c r="F130" s="381"/>
      <c r="G130" s="381"/>
      <c r="H130" s="381"/>
      <c r="I130" s="381"/>
    </row>
    <row r="131" spans="4:11">
      <c r="D131" s="345"/>
      <c r="E131" s="381"/>
      <c r="F131" s="381"/>
      <c r="G131" s="381"/>
      <c r="H131" s="381"/>
      <c r="I131" s="381"/>
    </row>
    <row r="132" spans="4:11">
      <c r="D132" s="370"/>
      <c r="E132" s="381"/>
      <c r="F132" s="381"/>
      <c r="G132" s="381"/>
      <c r="H132" s="381"/>
      <c r="I132" s="381"/>
    </row>
    <row r="133" spans="4:11">
      <c r="D133" s="370"/>
      <c r="E133" s="381"/>
      <c r="F133" s="381"/>
      <c r="G133" s="381"/>
      <c r="H133" s="381"/>
      <c r="I133" s="381"/>
    </row>
    <row r="134" spans="4:11">
      <c r="D134" s="370"/>
    </row>
    <row r="135" spans="4:11">
      <c r="D135" s="345"/>
      <c r="E135" s="381"/>
      <c r="F135" s="381"/>
      <c r="G135" s="381"/>
      <c r="H135" s="381"/>
      <c r="I135" s="381"/>
    </row>
    <row r="136" spans="4:11">
      <c r="D136" s="370"/>
      <c r="E136" s="381"/>
      <c r="F136" s="381"/>
      <c r="G136" s="381"/>
      <c r="H136" s="381"/>
      <c r="I136" s="381"/>
    </row>
    <row r="137" spans="4:11">
      <c r="D137" s="370"/>
      <c r="E137" s="381"/>
      <c r="F137" s="381"/>
      <c r="G137" s="381"/>
      <c r="H137" s="381"/>
      <c r="I137" s="381"/>
    </row>
    <row r="138" spans="4:11">
      <c r="D138" s="370"/>
    </row>
    <row r="139" spans="4:11">
      <c r="D139" s="370"/>
    </row>
    <row r="140" spans="4:11">
      <c r="D140" s="370"/>
      <c r="J140" s="381"/>
    </row>
    <row r="141" spans="4:11">
      <c r="D141" s="370"/>
      <c r="J141" s="381"/>
    </row>
    <row r="142" spans="4:11">
      <c r="D142" s="370"/>
    </row>
    <row r="143" spans="4:11">
      <c r="D143" s="370"/>
      <c r="J143" s="381"/>
      <c r="K143" s="381"/>
    </row>
    <row r="144" spans="4:11">
      <c r="D144" s="370"/>
      <c r="J144" s="381"/>
      <c r="K144" s="381"/>
    </row>
    <row r="145" spans="4:11">
      <c r="D145" s="370"/>
      <c r="J145" s="381"/>
    </row>
    <row r="146" spans="4:11">
      <c r="D146" s="370"/>
      <c r="K146" s="381"/>
    </row>
    <row r="147" spans="4:11">
      <c r="D147" s="345"/>
      <c r="E147" s="381"/>
      <c r="F147" s="381"/>
      <c r="G147" s="381"/>
      <c r="H147" s="381"/>
      <c r="I147" s="381"/>
      <c r="K147" s="381"/>
    </row>
    <row r="148" spans="4:11">
      <c r="D148" s="370"/>
      <c r="J148" s="381"/>
      <c r="K148" s="381"/>
    </row>
    <row r="149" spans="4:11">
      <c r="D149" s="370"/>
      <c r="J149" s="381"/>
    </row>
    <row r="150" spans="4:11">
      <c r="D150" s="345"/>
      <c r="E150" s="381"/>
      <c r="F150" s="381"/>
      <c r="G150" s="381"/>
      <c r="H150" s="381"/>
      <c r="I150" s="381"/>
    </row>
    <row r="151" spans="4:11">
      <c r="D151" s="370"/>
      <c r="K151" s="381"/>
    </row>
    <row r="152" spans="4:11">
      <c r="D152" s="345"/>
      <c r="E152" s="381"/>
      <c r="F152" s="381"/>
      <c r="G152" s="381"/>
      <c r="H152" s="381"/>
      <c r="I152" s="381"/>
      <c r="K152" s="381"/>
    </row>
    <row r="153" spans="4:11">
      <c r="D153" s="370"/>
      <c r="E153" s="381"/>
      <c r="F153" s="381"/>
      <c r="G153" s="381"/>
      <c r="H153" s="381"/>
      <c r="I153" s="381"/>
    </row>
    <row r="154" spans="4:11">
      <c r="D154" s="370"/>
    </row>
    <row r="155" spans="4:11">
      <c r="D155" s="370"/>
    </row>
    <row r="156" spans="4:11">
      <c r="D156" s="345"/>
      <c r="E156" s="381"/>
      <c r="F156" s="381"/>
      <c r="G156" s="381"/>
      <c r="H156" s="381"/>
      <c r="I156" s="381"/>
    </row>
    <row r="157" spans="4:11">
      <c r="D157" s="370"/>
      <c r="E157" s="381"/>
      <c r="F157" s="381"/>
      <c r="G157" s="381"/>
      <c r="H157" s="381"/>
      <c r="I157" s="381"/>
    </row>
    <row r="158" spans="4:11">
      <c r="D158" s="370"/>
    </row>
    <row r="159" spans="4:11">
      <c r="D159" s="345"/>
      <c r="E159" s="381"/>
      <c r="F159" s="381"/>
      <c r="G159" s="381"/>
      <c r="H159" s="381"/>
      <c r="I159" s="381"/>
    </row>
    <row r="160" spans="4:11">
      <c r="D160" s="370"/>
      <c r="J160" s="381"/>
    </row>
    <row r="161" spans="4:11">
      <c r="D161" s="370"/>
      <c r="J161" s="381"/>
    </row>
    <row r="162" spans="4:11">
      <c r="D162" s="345"/>
      <c r="E162" s="381"/>
      <c r="F162" s="381"/>
      <c r="G162" s="381"/>
      <c r="H162" s="381"/>
      <c r="I162" s="381"/>
    </row>
    <row r="163" spans="4:11">
      <c r="D163" s="370"/>
      <c r="K163" s="381"/>
    </row>
    <row r="164" spans="4:11">
      <c r="D164" s="370"/>
      <c r="J164" s="381"/>
      <c r="K164" s="381"/>
    </row>
    <row r="165" spans="4:11">
      <c r="D165" s="370"/>
      <c r="J165" s="381"/>
    </row>
    <row r="166" spans="4:11">
      <c r="D166" s="345"/>
      <c r="E166" s="381"/>
      <c r="F166" s="381"/>
      <c r="G166" s="381"/>
      <c r="H166" s="381"/>
      <c r="I166" s="381"/>
    </row>
    <row r="167" spans="4:11">
      <c r="D167" s="370"/>
      <c r="K167" s="381"/>
    </row>
    <row r="168" spans="4:11">
      <c r="D168" s="370"/>
      <c r="E168" s="345"/>
      <c r="F168" s="345"/>
      <c r="G168" s="345"/>
      <c r="H168" s="345"/>
      <c r="I168" s="345"/>
      <c r="J168" s="381"/>
      <c r="K168" s="381"/>
    </row>
    <row r="169" spans="4:11">
      <c r="D169" s="370"/>
      <c r="E169" s="345"/>
      <c r="F169" s="345"/>
      <c r="G169" s="345"/>
      <c r="H169" s="345"/>
      <c r="I169" s="345"/>
    </row>
    <row r="170" spans="4:11">
      <c r="D170" s="370"/>
    </row>
    <row r="171" spans="4:11">
      <c r="D171" s="370"/>
      <c r="K171" s="381"/>
    </row>
    <row r="172" spans="4:11">
      <c r="D172" s="370"/>
    </row>
    <row r="173" spans="4:11">
      <c r="D173" s="345"/>
      <c r="E173" s="381"/>
      <c r="F173" s="381"/>
      <c r="G173" s="381"/>
      <c r="H173" s="381"/>
      <c r="I173" s="381"/>
    </row>
    <row r="174" spans="4:11">
      <c r="D174" s="345"/>
      <c r="E174" s="381"/>
      <c r="F174" s="381"/>
      <c r="G174" s="381"/>
      <c r="H174" s="381"/>
      <c r="I174" s="381"/>
    </row>
    <row r="175" spans="4:11">
      <c r="D175" s="370"/>
      <c r="E175" s="381"/>
      <c r="F175" s="381"/>
      <c r="G175" s="381"/>
      <c r="H175" s="381"/>
      <c r="I175" s="381"/>
    </row>
    <row r="176" spans="4:11">
      <c r="D176" s="370"/>
      <c r="E176" s="381"/>
      <c r="F176" s="381"/>
      <c r="G176" s="381"/>
      <c r="H176" s="381"/>
      <c r="I176" s="381"/>
    </row>
    <row r="177" spans="4:11">
      <c r="D177" s="370"/>
    </row>
    <row r="178" spans="4:11">
      <c r="D178" s="345"/>
      <c r="E178" s="381"/>
      <c r="F178" s="381"/>
      <c r="G178" s="381"/>
      <c r="H178" s="381"/>
      <c r="I178" s="381"/>
    </row>
    <row r="179" spans="4:11">
      <c r="D179" s="370"/>
      <c r="E179" s="381"/>
      <c r="F179" s="381"/>
      <c r="G179" s="381"/>
      <c r="H179" s="381"/>
      <c r="I179" s="381"/>
    </row>
    <row r="180" spans="4:11">
      <c r="D180" s="370"/>
      <c r="E180" s="381"/>
      <c r="F180" s="381"/>
      <c r="G180" s="381"/>
      <c r="H180" s="381"/>
      <c r="I180" s="381"/>
    </row>
    <row r="181" spans="4:11">
      <c r="D181" s="370"/>
    </row>
    <row r="182" spans="4:11">
      <c r="D182" s="370"/>
    </row>
    <row r="183" spans="4:11">
      <c r="D183" s="370"/>
      <c r="J183" s="381"/>
    </row>
    <row r="184" spans="4:11">
      <c r="D184" s="370"/>
      <c r="J184" s="381"/>
    </row>
    <row r="185" spans="4:11">
      <c r="D185" s="370"/>
    </row>
    <row r="186" spans="4:11">
      <c r="D186" s="370"/>
      <c r="J186" s="381"/>
      <c r="K186" s="381"/>
    </row>
    <row r="187" spans="4:11">
      <c r="D187" s="370"/>
      <c r="J187" s="381"/>
      <c r="K187" s="381"/>
    </row>
    <row r="188" spans="4:11">
      <c r="D188" s="370"/>
      <c r="J188" s="381"/>
    </row>
    <row r="189" spans="4:11">
      <c r="D189" s="370"/>
      <c r="K189" s="381"/>
    </row>
    <row r="190" spans="4:11">
      <c r="D190" s="345"/>
      <c r="E190" s="381"/>
      <c r="F190" s="381"/>
      <c r="G190" s="381"/>
      <c r="H190" s="381"/>
      <c r="I190" s="381"/>
      <c r="K190" s="381"/>
    </row>
    <row r="191" spans="4:11">
      <c r="D191" s="370"/>
      <c r="J191" s="381"/>
      <c r="K191" s="381"/>
    </row>
    <row r="192" spans="4:11">
      <c r="D192" s="370"/>
      <c r="J192" s="381"/>
    </row>
    <row r="193" spans="4:11">
      <c r="D193" s="345"/>
      <c r="E193" s="381"/>
      <c r="F193" s="381"/>
      <c r="G193" s="381"/>
      <c r="H193" s="381"/>
      <c r="I193" s="381"/>
    </row>
    <row r="194" spans="4:11">
      <c r="D194" s="370"/>
      <c r="K194" s="381"/>
    </row>
    <row r="195" spans="4:11">
      <c r="D195" s="345"/>
      <c r="E195" s="381"/>
      <c r="F195" s="381"/>
      <c r="G195" s="381"/>
      <c r="H195" s="381"/>
      <c r="I195" s="381"/>
      <c r="K195" s="381"/>
    </row>
    <row r="196" spans="4:11">
      <c r="D196" s="370"/>
      <c r="E196" s="381"/>
      <c r="F196" s="381"/>
      <c r="G196" s="381"/>
      <c r="H196" s="381"/>
      <c r="I196" s="381"/>
    </row>
    <row r="197" spans="4:11">
      <c r="D197" s="370"/>
    </row>
    <row r="198" spans="4:11">
      <c r="D198" s="370"/>
    </row>
    <row r="199" spans="4:11">
      <c r="D199" s="345"/>
      <c r="E199" s="381"/>
      <c r="F199" s="381"/>
      <c r="G199" s="381"/>
      <c r="H199" s="381"/>
      <c r="I199" s="381"/>
    </row>
    <row r="200" spans="4:11">
      <c r="D200" s="370"/>
      <c r="E200" s="381"/>
      <c r="F200" s="381"/>
      <c r="G200" s="381"/>
      <c r="H200" s="381"/>
      <c r="I200" s="381"/>
    </row>
    <row r="201" spans="4:11">
      <c r="D201" s="370"/>
    </row>
    <row r="202" spans="4:11">
      <c r="D202" s="345"/>
      <c r="E202" s="381"/>
      <c r="F202" s="381"/>
      <c r="G202" s="381"/>
      <c r="H202" s="381"/>
      <c r="I202" s="381"/>
    </row>
    <row r="203" spans="4:11">
      <c r="D203" s="370"/>
      <c r="J203" s="381"/>
    </row>
    <row r="204" spans="4:11">
      <c r="D204" s="370"/>
      <c r="J204" s="381"/>
    </row>
    <row r="205" spans="4:11">
      <c r="D205" s="345"/>
      <c r="E205" s="381"/>
      <c r="F205" s="381"/>
      <c r="G205" s="381"/>
      <c r="H205" s="381"/>
      <c r="I205" s="381"/>
    </row>
    <row r="206" spans="4:11">
      <c r="D206" s="370"/>
      <c r="K206" s="381"/>
    </row>
    <row r="207" spans="4:11">
      <c r="D207" s="370"/>
      <c r="J207" s="381"/>
      <c r="K207" s="381"/>
    </row>
    <row r="208" spans="4:11">
      <c r="D208" s="370"/>
      <c r="J208" s="381"/>
    </row>
    <row r="209" spans="4:11">
      <c r="D209" s="345"/>
      <c r="E209" s="381"/>
      <c r="F209" s="381"/>
      <c r="G209" s="381"/>
      <c r="H209" s="381"/>
      <c r="I209" s="381"/>
    </row>
    <row r="210" spans="4:11">
      <c r="D210" s="370"/>
      <c r="K210" s="381"/>
    </row>
    <row r="211" spans="4:11">
      <c r="D211" s="370"/>
      <c r="E211" s="345"/>
      <c r="F211" s="345"/>
      <c r="G211" s="345"/>
      <c r="H211" s="345"/>
      <c r="I211" s="345"/>
      <c r="J211" s="381"/>
      <c r="K211" s="381"/>
    </row>
    <row r="212" spans="4:11">
      <c r="D212" s="370"/>
      <c r="E212" s="345"/>
      <c r="F212" s="345"/>
      <c r="G212" s="345"/>
      <c r="H212" s="345"/>
      <c r="I212" s="345"/>
    </row>
    <row r="213" spans="4:11">
      <c r="D213" s="370"/>
    </row>
    <row r="214" spans="4:11">
      <c r="D214" s="370"/>
      <c r="K214" s="381"/>
    </row>
    <row r="215" spans="4:11">
      <c r="D215" s="370"/>
    </row>
    <row r="216" spans="4:11">
      <c r="D216" s="345"/>
      <c r="E216" s="381"/>
      <c r="F216" s="381"/>
      <c r="G216" s="381"/>
      <c r="H216" s="381"/>
      <c r="I216" s="381"/>
    </row>
    <row r="217" spans="4:11">
      <c r="D217" s="345"/>
      <c r="E217" s="381"/>
      <c r="F217" s="381"/>
      <c r="G217" s="381"/>
      <c r="H217" s="381"/>
      <c r="I217" s="381"/>
    </row>
    <row r="218" spans="4:11">
      <c r="D218" s="370"/>
      <c r="E218" s="381"/>
      <c r="F218" s="381"/>
      <c r="G218" s="381"/>
      <c r="H218" s="381"/>
      <c r="I218" s="381"/>
    </row>
    <row r="219" spans="4:11">
      <c r="D219" s="370"/>
      <c r="E219" s="381"/>
      <c r="F219" s="381"/>
      <c r="G219" s="381"/>
      <c r="H219" s="381"/>
      <c r="I219" s="381"/>
    </row>
    <row r="220" spans="4:11">
      <c r="D220" s="370"/>
    </row>
    <row r="221" spans="4:11">
      <c r="D221" s="345"/>
      <c r="E221" s="381"/>
      <c r="F221" s="381"/>
      <c r="G221" s="381"/>
      <c r="H221" s="381"/>
      <c r="I221" s="381"/>
    </row>
    <row r="222" spans="4:11">
      <c r="D222" s="370"/>
      <c r="E222" s="381"/>
      <c r="F222" s="381"/>
      <c r="G222" s="381"/>
      <c r="H222" s="381"/>
      <c r="I222" s="381"/>
    </row>
    <row r="223" spans="4:11">
      <c r="D223" s="370"/>
      <c r="E223" s="381"/>
      <c r="F223" s="381"/>
      <c r="G223" s="381"/>
      <c r="H223" s="381"/>
      <c r="I223" s="381"/>
    </row>
    <row r="224" spans="4:11">
      <c r="D224" s="370"/>
    </row>
    <row r="225" spans="4:11">
      <c r="D225" s="370"/>
    </row>
    <row r="226" spans="4:11">
      <c r="D226" s="370"/>
      <c r="J226" s="381"/>
    </row>
    <row r="227" spans="4:11">
      <c r="D227" s="370"/>
      <c r="J227" s="381"/>
    </row>
    <row r="228" spans="4:11">
      <c r="D228" s="370"/>
    </row>
    <row r="229" spans="4:11">
      <c r="D229" s="370"/>
      <c r="J229" s="381"/>
      <c r="K229" s="381"/>
    </row>
    <row r="230" spans="4:11">
      <c r="D230" s="370"/>
      <c r="J230" s="381"/>
      <c r="K230" s="381"/>
    </row>
    <row r="231" spans="4:11">
      <c r="D231" s="370"/>
      <c r="J231" s="381"/>
    </row>
    <row r="232" spans="4:11">
      <c r="D232" s="370"/>
      <c r="K232" s="381"/>
    </row>
    <row r="233" spans="4:11">
      <c r="D233" s="345"/>
      <c r="E233" s="381"/>
      <c r="F233" s="381"/>
      <c r="G233" s="381"/>
      <c r="H233" s="381"/>
      <c r="I233" s="381"/>
      <c r="K233" s="381"/>
    </row>
    <row r="234" spans="4:11">
      <c r="D234" s="370"/>
      <c r="J234" s="381"/>
      <c r="K234" s="381"/>
    </row>
    <row r="235" spans="4:11">
      <c r="D235" s="370"/>
      <c r="J235" s="381"/>
    </row>
    <row r="236" spans="4:11">
      <c r="D236" s="345"/>
      <c r="E236" s="381"/>
      <c r="F236" s="381"/>
      <c r="G236" s="381"/>
      <c r="H236" s="381"/>
      <c r="I236" s="381"/>
    </row>
    <row r="237" spans="4:11">
      <c r="D237" s="370"/>
      <c r="K237" s="381"/>
    </row>
    <row r="238" spans="4:11">
      <c r="D238" s="345"/>
      <c r="E238" s="381"/>
      <c r="F238" s="381"/>
      <c r="G238" s="381"/>
      <c r="H238" s="381"/>
      <c r="I238" s="381"/>
      <c r="K238" s="381"/>
    </row>
    <row r="239" spans="4:11">
      <c r="D239" s="370"/>
      <c r="E239" s="381"/>
      <c r="F239" s="381"/>
      <c r="G239" s="381"/>
      <c r="H239" s="381"/>
      <c r="I239" s="381"/>
    </row>
    <row r="240" spans="4:11">
      <c r="D240" s="370"/>
    </row>
    <row r="241" spans="4:11">
      <c r="D241" s="370"/>
    </row>
    <row r="242" spans="4:11">
      <c r="D242" s="345"/>
      <c r="E242" s="381"/>
      <c r="F242" s="381"/>
      <c r="G242" s="381"/>
      <c r="H242" s="381"/>
      <c r="I242" s="381"/>
    </row>
    <row r="243" spans="4:11">
      <c r="D243" s="370"/>
      <c r="E243" s="381"/>
      <c r="F243" s="381"/>
      <c r="G243" s="381"/>
      <c r="H243" s="381"/>
      <c r="I243" s="381"/>
    </row>
    <row r="244" spans="4:11">
      <c r="D244" s="370"/>
    </row>
    <row r="245" spans="4:11">
      <c r="D245" s="345"/>
      <c r="E245" s="381"/>
      <c r="F245" s="381"/>
      <c r="G245" s="381"/>
      <c r="H245" s="381"/>
      <c r="I245" s="381"/>
    </row>
    <row r="246" spans="4:11">
      <c r="D246" s="370"/>
      <c r="J246" s="381"/>
    </row>
    <row r="247" spans="4:11">
      <c r="D247" s="370"/>
      <c r="J247" s="381"/>
    </row>
    <row r="248" spans="4:11">
      <c r="D248" s="345"/>
      <c r="E248" s="381"/>
      <c r="F248" s="381"/>
      <c r="G248" s="381"/>
      <c r="H248" s="381"/>
      <c r="I248" s="381"/>
    </row>
    <row r="249" spans="4:11">
      <c r="D249" s="370"/>
      <c r="K249" s="381"/>
    </row>
    <row r="250" spans="4:11">
      <c r="D250" s="370"/>
      <c r="J250" s="381"/>
      <c r="K250" s="381"/>
    </row>
    <row r="251" spans="4:11">
      <c r="D251" s="370"/>
      <c r="J251" s="381"/>
    </row>
    <row r="252" spans="4:11">
      <c r="D252" s="345"/>
      <c r="E252" s="381"/>
      <c r="F252" s="381"/>
      <c r="G252" s="381"/>
      <c r="H252" s="381"/>
      <c r="I252" s="381"/>
    </row>
    <row r="253" spans="4:11">
      <c r="D253" s="370"/>
      <c r="K253" s="381"/>
    </row>
    <row r="254" spans="4:11">
      <c r="D254" s="370"/>
      <c r="E254" s="345"/>
      <c r="F254" s="345"/>
      <c r="G254" s="345"/>
      <c r="H254" s="345"/>
      <c r="I254" s="345"/>
      <c r="J254" s="381"/>
      <c r="K254" s="381"/>
    </row>
    <row r="255" spans="4:11">
      <c r="D255" s="370"/>
      <c r="E255" s="345"/>
      <c r="F255" s="345"/>
      <c r="G255" s="345"/>
      <c r="H255" s="345"/>
      <c r="I255" s="345"/>
    </row>
    <row r="256" spans="4:11">
      <c r="D256" s="370"/>
    </row>
    <row r="257" spans="4:11">
      <c r="D257" s="370"/>
      <c r="K257" s="381"/>
    </row>
    <row r="258" spans="4:11">
      <c r="D258" s="370"/>
    </row>
    <row r="259" spans="4:11">
      <c r="D259" s="370"/>
    </row>
    <row r="260" spans="4:11">
      <c r="D260" s="370"/>
    </row>
    <row r="261" spans="4:11">
      <c r="D261" s="370"/>
    </row>
    <row r="262" spans="4:11">
      <c r="D262" s="370"/>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sheetData>
  <phoneticPr fontId="26" type="noConversion"/>
  <pageMargins left="0.75" right="0.75" top="1" bottom="1" header="0.5" footer="0.5"/>
  <pageSetup scale="47" orientation="landscape" r:id="rId1"/>
  <headerFooter alignWithMargins="0"/>
  <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12">
    <pageSetUpPr fitToPage="1"/>
  </sheetPr>
  <dimension ref="B1:X444"/>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1449</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68</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748</v>
      </c>
      <c r="M9" s="458"/>
      <c r="N9" s="459" t="s">
        <v>127</v>
      </c>
      <c r="O9" s="459"/>
      <c r="P9" s="458" t="s">
        <v>128</v>
      </c>
      <c r="Q9" s="458"/>
      <c r="R9" s="458" t="s">
        <v>792</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139</v>
      </c>
      <c r="C11" s="370"/>
      <c r="E11" s="367" t="str">
        <f>"DCF, "&amp;TEXT(H11,"0.0")&amp;"x FY19E EBITDA"</f>
        <v>DCF, 6.6x FY19E EBITDA</v>
      </c>
      <c r="F11" s="484">
        <v>90068.372076608983</v>
      </c>
      <c r="G11" s="178" t="s">
        <v>133</v>
      </c>
      <c r="H11" s="487">
        <v>6.6317896243918719</v>
      </c>
      <c r="I11" s="178" t="s">
        <v>134</v>
      </c>
      <c r="J11" s="484">
        <f>F11*H11</f>
        <v>597314.49542352208</v>
      </c>
      <c r="K11" s="178" t="s">
        <v>135</v>
      </c>
      <c r="L11" s="484"/>
      <c r="M11" s="178" t="s">
        <v>134</v>
      </c>
      <c r="N11" s="178">
        <f>J11-L11</f>
        <v>597314.49542352208</v>
      </c>
      <c r="O11" s="178" t="s">
        <v>133</v>
      </c>
      <c r="P11" s="490">
        <v>1</v>
      </c>
      <c r="Q11" s="393" t="s">
        <v>134</v>
      </c>
      <c r="R11" s="216">
        <f>P11*N11-T11</f>
        <v>597314.49542352208</v>
      </c>
      <c r="S11" s="216"/>
      <c r="T11" s="208"/>
      <c r="U11" s="216"/>
      <c r="V11" s="394">
        <f>N11/$J$23</f>
        <v>-0.41873743936330904</v>
      </c>
      <c r="W11" s="370"/>
      <c r="X11" s="373">
        <f>$J$28*V11</f>
        <v>-60.716928707679813</v>
      </c>
    </row>
    <row r="12" spans="2:24">
      <c r="B12" s="370" t="s">
        <v>189</v>
      </c>
      <c r="C12" s="370"/>
      <c r="E12" s="367" t="str">
        <f>"DCF, "&amp;TEXT(H12,"0.0")&amp;"x FY19E EBITDA"</f>
        <v>DCF, 5.9x FY19E EBITDA</v>
      </c>
      <c r="F12" s="484">
        <v>77583.380569970599</v>
      </c>
      <c r="G12" s="178" t="s">
        <v>133</v>
      </c>
      <c r="H12" s="487">
        <v>5.8773210193748815</v>
      </c>
      <c r="I12" s="178" t="s">
        <v>134</v>
      </c>
      <c r="J12" s="484">
        <f>F12*H12</f>
        <v>455982.433378049</v>
      </c>
      <c r="K12" s="178" t="s">
        <v>135</v>
      </c>
      <c r="L12" s="484"/>
      <c r="M12" s="178" t="s">
        <v>134</v>
      </c>
      <c r="N12" s="497">
        <f>J12-L12</f>
        <v>455982.433378049</v>
      </c>
      <c r="O12" s="178" t="s">
        <v>133</v>
      </c>
      <c r="P12" s="490">
        <v>0.1115</v>
      </c>
      <c r="Q12" s="393" t="s">
        <v>134</v>
      </c>
      <c r="R12" s="385">
        <f>P12*N12</f>
        <v>50842.041321652461</v>
      </c>
      <c r="S12" s="216"/>
      <c r="T12" s="385">
        <f>N12-R12</f>
        <v>405140.39205639652</v>
      </c>
      <c r="U12" s="216"/>
      <c r="V12" s="395">
        <f>N12/$J$23</f>
        <v>-0.31965893680847685</v>
      </c>
      <c r="W12" s="370"/>
      <c r="X12" s="396">
        <f>$J$28*V12</f>
        <v>-46.350545837229141</v>
      </c>
    </row>
    <row r="13" spans="2:24">
      <c r="B13" s="345" t="s">
        <v>137</v>
      </c>
      <c r="C13" s="370"/>
      <c r="F13" s="210"/>
      <c r="G13" s="196"/>
      <c r="H13" s="372"/>
      <c r="I13" s="376"/>
      <c r="J13" s="210">
        <f>SUM(J11:J12)</f>
        <v>1053296.928801571</v>
      </c>
      <c r="K13" s="375"/>
      <c r="L13" s="210">
        <f>-J20</f>
        <v>2074622.0000000002</v>
      </c>
      <c r="M13" s="196"/>
      <c r="N13" s="210">
        <f>SUM(N11:N12)</f>
        <v>1053296.928801571</v>
      </c>
      <c r="P13" s="377"/>
      <c r="Q13" s="378"/>
      <c r="R13" s="210">
        <f>SUM(R11:R12)</f>
        <v>648156.53674517456</v>
      </c>
      <c r="S13" s="370"/>
      <c r="T13" s="210">
        <f>SUM(T11:T12)</f>
        <v>405140.39205639652</v>
      </c>
      <c r="U13" s="370"/>
      <c r="V13" s="387">
        <f>N13/$J$23</f>
        <v>-0.73839637617178588</v>
      </c>
      <c r="W13" s="370"/>
      <c r="X13" s="372">
        <f>$J$28*V13</f>
        <v>-107.06747454490895</v>
      </c>
    </row>
    <row r="14" spans="2:24">
      <c r="B14" s="370"/>
      <c r="C14" s="370"/>
      <c r="F14" s="210"/>
      <c r="G14" s="196"/>
      <c r="H14" s="372"/>
      <c r="I14" s="376"/>
      <c r="J14" s="196"/>
      <c r="K14" s="375"/>
      <c r="L14" s="370"/>
      <c r="M14" s="196"/>
      <c r="N14" s="210"/>
      <c r="P14" s="377"/>
      <c r="Q14" s="378"/>
      <c r="R14" s="210"/>
      <c r="T14" s="196"/>
    </row>
    <row r="15" spans="2:24">
      <c r="B15" s="370" t="s">
        <v>138</v>
      </c>
      <c r="C15" s="370"/>
      <c r="F15" s="216"/>
      <c r="G15" s="178"/>
      <c r="H15" s="373"/>
      <c r="I15" s="403"/>
      <c r="J15" s="414"/>
      <c r="K15" s="414"/>
      <c r="L15" s="178"/>
      <c r="M15" s="178"/>
      <c r="N15" s="370"/>
      <c r="P15" s="493"/>
      <c r="Q15" s="494"/>
      <c r="R15" s="448"/>
    </row>
    <row r="16" spans="2:24">
      <c r="B16" s="345" t="s">
        <v>137</v>
      </c>
      <c r="C16" s="370"/>
      <c r="R16" s="210">
        <v>0</v>
      </c>
    </row>
    <row r="17" spans="2:24">
      <c r="D17" s="345"/>
      <c r="E17" s="381"/>
      <c r="F17" s="381"/>
      <c r="G17" s="381"/>
      <c r="H17" s="381"/>
      <c r="I17" s="381"/>
      <c r="J17" s="381"/>
      <c r="K17" s="381"/>
      <c r="R17" s="370"/>
    </row>
    <row r="18" spans="2:24">
      <c r="D18" s="345"/>
      <c r="E18" s="381"/>
      <c r="F18" s="381"/>
      <c r="G18" s="381"/>
      <c r="H18" s="381"/>
      <c r="I18" s="381"/>
      <c r="J18" s="381"/>
      <c r="K18" s="381"/>
      <c r="R18" s="370"/>
    </row>
    <row r="19" spans="2:24" ht="12.6" thickBot="1">
      <c r="B19" s="382" t="s">
        <v>141</v>
      </c>
      <c r="D19" s="345"/>
      <c r="E19" s="381"/>
      <c r="I19" s="381"/>
      <c r="J19" s="374">
        <f>J13</f>
        <v>1053296.928801571</v>
      </c>
      <c r="T19" s="460" t="s">
        <v>544</v>
      </c>
      <c r="U19" s="368"/>
      <c r="V19" s="368"/>
      <c r="W19" s="368"/>
      <c r="X19" s="368"/>
    </row>
    <row r="20" spans="2:24" ht="12.6" thickTop="1">
      <c r="B20" s="383" t="s">
        <v>999</v>
      </c>
      <c r="J20" s="216">
        <f>-IDEA!D12</f>
        <v>-2074622.0000000002</v>
      </c>
    </row>
    <row r="21" spans="2:24">
      <c r="B21" s="384" t="s">
        <v>438</v>
      </c>
      <c r="J21" s="216">
        <f>-T13</f>
        <v>-405140.39205639652</v>
      </c>
    </row>
    <row r="22" spans="2:24">
      <c r="B22" s="384" t="s">
        <v>372</v>
      </c>
      <c r="D22" s="370"/>
      <c r="J22" s="385">
        <f>R16</f>
        <v>0</v>
      </c>
      <c r="K22" s="381"/>
    </row>
    <row r="23" spans="2:24">
      <c r="B23" s="382" t="s">
        <v>490</v>
      </c>
      <c r="D23" s="345"/>
      <c r="E23" s="381"/>
      <c r="F23" s="381"/>
      <c r="G23" s="381"/>
      <c r="H23" s="381"/>
      <c r="I23" s="381"/>
      <c r="J23" s="210">
        <f>J19+J20+J21+J22</f>
        <v>-1426465.4632548257</v>
      </c>
    </row>
    <row r="24" spans="2:24" ht="12.6" thickBot="1">
      <c r="B24" s="384" t="s">
        <v>491</v>
      </c>
      <c r="D24" s="370"/>
      <c r="J24" s="216">
        <f>IDEA!D10</f>
        <v>50119.8</v>
      </c>
      <c r="K24" s="381"/>
    </row>
    <row r="25" spans="2:24" ht="12.6" thickBot="1">
      <c r="B25" s="382" t="s">
        <v>992</v>
      </c>
      <c r="D25" s="370"/>
      <c r="J25" s="462">
        <f>J23/J24</f>
        <v>-28.46111643012992</v>
      </c>
      <c r="K25" s="381"/>
    </row>
    <row r="26" spans="2:24">
      <c r="B26" s="384" t="s">
        <v>691</v>
      </c>
      <c r="J26" s="486">
        <v>0.6</v>
      </c>
      <c r="K26" s="381"/>
    </row>
    <row r="27" spans="2:24" ht="12.6" thickBot="1">
      <c r="B27" s="384" t="s">
        <v>993</v>
      </c>
      <c r="J27" s="486">
        <f>145-J26-J25</f>
        <v>172.86111643012993</v>
      </c>
      <c r="K27" s="381"/>
    </row>
    <row r="28" spans="2:24" ht="12.6" thickBot="1">
      <c r="B28" s="382" t="s">
        <v>61</v>
      </c>
      <c r="D28" s="345"/>
      <c r="E28" s="381"/>
      <c r="H28" s="381"/>
      <c r="I28" s="381"/>
      <c r="J28" s="462">
        <f>J25+J26+J27</f>
        <v>145</v>
      </c>
      <c r="K28" s="381"/>
    </row>
    <row r="29" spans="2:24">
      <c r="B29" s="384" t="s">
        <v>493</v>
      </c>
      <c r="D29" s="370"/>
      <c r="J29" s="400">
        <f>Prices!C86</f>
        <v>13.36</v>
      </c>
      <c r="L29" s="380"/>
    </row>
    <row r="30" spans="2:24">
      <c r="B30" s="382" t="s">
        <v>96</v>
      </c>
      <c r="D30" s="345"/>
      <c r="E30" s="381"/>
      <c r="F30" s="381"/>
      <c r="G30" s="381"/>
      <c r="H30" s="381"/>
      <c r="I30" s="381"/>
      <c r="J30" s="387">
        <f>J28/J29-1</f>
        <v>9.8532934131736525</v>
      </c>
      <c r="K30" s="381"/>
    </row>
    <row r="31" spans="2:24">
      <c r="K31" s="381"/>
    </row>
    <row r="32" spans="2:24">
      <c r="D32" s="345"/>
      <c r="E32" s="381"/>
      <c r="H32" s="381"/>
      <c r="I32" s="381"/>
    </row>
    <row r="33" spans="4:24">
      <c r="D33" s="345"/>
      <c r="E33" s="381"/>
      <c r="F33" s="381"/>
      <c r="G33" s="381"/>
      <c r="H33" s="381"/>
      <c r="I33" s="381"/>
      <c r="J33" s="381"/>
    </row>
    <row r="34" spans="4:24">
      <c r="D34" s="386"/>
      <c r="E34" s="345"/>
      <c r="H34" s="381"/>
      <c r="I34" s="381"/>
      <c r="K34" s="381"/>
    </row>
    <row r="35" spans="4:24" ht="12.6" thickBot="1">
      <c r="D35" s="345"/>
      <c r="E35" s="345"/>
      <c r="F35" s="345"/>
      <c r="G35" s="345"/>
      <c r="H35" s="345"/>
      <c r="I35" s="345"/>
      <c r="T35" s="460" t="s">
        <v>544</v>
      </c>
      <c r="U35" s="460"/>
      <c r="V35" s="460"/>
      <c r="W35" s="460"/>
      <c r="X35" s="460"/>
    </row>
    <row r="36" spans="4:24" ht="12.6" thickTop="1">
      <c r="D36" s="345"/>
      <c r="E36" s="345"/>
      <c r="F36" s="345"/>
      <c r="G36" s="345"/>
      <c r="H36" s="345"/>
      <c r="I36" s="345"/>
      <c r="T36" s="370" t="s">
        <v>139</v>
      </c>
      <c r="X36" s="394">
        <f>(J11)/($J$13)</f>
        <v>0.56709032286189187</v>
      </c>
    </row>
    <row r="37" spans="4:24">
      <c r="D37" s="345"/>
      <c r="E37" s="345"/>
      <c r="F37" s="345"/>
      <c r="G37" s="345"/>
      <c r="H37" s="345"/>
      <c r="I37" s="345"/>
      <c r="T37" s="370" t="s">
        <v>189</v>
      </c>
      <c r="X37" s="394">
        <f>J12/J13</f>
        <v>0.43290967713810813</v>
      </c>
    </row>
    <row r="38" spans="4:24">
      <c r="D38" s="345"/>
      <c r="E38" s="345"/>
      <c r="F38" s="345"/>
      <c r="G38" s="345"/>
      <c r="H38" s="345"/>
      <c r="I38" s="345"/>
    </row>
    <row r="39" spans="4:24">
      <c r="D39" s="345"/>
      <c r="E39" s="345"/>
      <c r="F39" s="345"/>
      <c r="G39" s="345"/>
      <c r="H39" s="345"/>
      <c r="I39" s="345"/>
    </row>
    <row r="40" spans="4:24">
      <c r="D40" s="345"/>
      <c r="E40" s="345"/>
      <c r="F40" s="345"/>
      <c r="G40" s="345"/>
      <c r="H40" s="345"/>
      <c r="I40" s="345"/>
    </row>
    <row r="41" spans="4:24">
      <c r="D41" s="345"/>
      <c r="E41" s="345"/>
      <c r="F41" s="345"/>
      <c r="G41" s="345"/>
      <c r="H41" s="345"/>
      <c r="I41" s="345"/>
    </row>
    <row r="42" spans="4:24">
      <c r="D42" s="345"/>
      <c r="E42" s="345"/>
      <c r="F42" s="345"/>
      <c r="G42" s="345"/>
      <c r="H42" s="345"/>
      <c r="I42" s="345"/>
    </row>
    <row r="43" spans="4:24">
      <c r="D43" s="345"/>
      <c r="E43" s="345"/>
      <c r="F43" s="345"/>
      <c r="G43" s="345"/>
      <c r="H43" s="345"/>
      <c r="I43" s="345"/>
      <c r="P43" s="249"/>
      <c r="Q43" s="249"/>
      <c r="R43" s="249"/>
    </row>
    <row r="44" spans="4:24">
      <c r="D44" s="345"/>
      <c r="E44" s="381"/>
      <c r="F44" s="381"/>
      <c r="G44" s="381"/>
      <c r="H44" s="381"/>
      <c r="I44" s="381"/>
      <c r="P44" s="388"/>
      <c r="Q44" s="388"/>
      <c r="R44" s="388"/>
    </row>
    <row r="45" spans="4:24">
      <c r="D45" s="345"/>
      <c r="E45" s="381"/>
      <c r="F45" s="381"/>
      <c r="G45" s="381"/>
      <c r="H45" s="381"/>
      <c r="I45" s="381"/>
    </row>
    <row r="46" spans="4:24">
      <c r="D46" s="370"/>
      <c r="E46" s="381"/>
      <c r="F46" s="381"/>
      <c r="G46" s="381"/>
      <c r="H46" s="381"/>
      <c r="I46" s="381"/>
    </row>
    <row r="47" spans="4:24">
      <c r="D47" s="370"/>
      <c r="E47" s="381"/>
      <c r="F47" s="381"/>
      <c r="G47" s="381"/>
      <c r="H47" s="381"/>
      <c r="I47" s="381"/>
      <c r="L47" s="249"/>
      <c r="M47" s="249"/>
      <c r="N47" s="249"/>
      <c r="O47" s="249"/>
      <c r="P47" s="249"/>
      <c r="Q47" s="249"/>
      <c r="R47" s="249"/>
    </row>
    <row r="48" spans="4:24">
      <c r="D48" s="370"/>
      <c r="N48" s="388"/>
      <c r="O48" s="388"/>
      <c r="P48" s="388"/>
      <c r="Q48" s="388"/>
      <c r="R48" s="388"/>
    </row>
    <row r="49" spans="4:24">
      <c r="D49" s="345"/>
      <c r="E49" s="381"/>
      <c r="F49" s="381"/>
      <c r="G49" s="381"/>
      <c r="H49" s="381"/>
      <c r="I49" s="381"/>
    </row>
    <row r="50" spans="4:24">
      <c r="D50" s="370"/>
      <c r="E50" s="381"/>
      <c r="F50" s="381"/>
      <c r="G50" s="381"/>
      <c r="H50" s="381"/>
      <c r="I50" s="381"/>
      <c r="P50" s="249"/>
      <c r="Q50" s="249"/>
      <c r="R50" s="249"/>
      <c r="S50" s="249"/>
    </row>
    <row r="51" spans="4:24">
      <c r="D51" s="370"/>
      <c r="E51" s="381"/>
      <c r="F51" s="381"/>
      <c r="G51" s="381"/>
      <c r="H51" s="381"/>
      <c r="I51" s="381"/>
      <c r="L51" s="249"/>
      <c r="M51" s="249"/>
      <c r="N51" s="249"/>
      <c r="O51" s="249"/>
      <c r="P51" s="388"/>
      <c r="Q51" s="388"/>
      <c r="R51" s="388"/>
      <c r="S51" s="388"/>
      <c r="T51" s="249"/>
      <c r="U51" s="249"/>
      <c r="V51" s="249"/>
      <c r="W51" s="249"/>
      <c r="X51" s="249"/>
    </row>
    <row r="52" spans="4:24">
      <c r="D52" s="370"/>
      <c r="N52" s="388"/>
      <c r="O52" s="388"/>
      <c r="T52" s="388"/>
      <c r="U52" s="388"/>
      <c r="V52" s="388"/>
      <c r="W52" s="388"/>
      <c r="X52" s="388"/>
    </row>
    <row r="53" spans="4:24">
      <c r="D53" s="370"/>
      <c r="P53" s="249"/>
      <c r="Q53" s="249"/>
      <c r="R53" s="249"/>
    </row>
    <row r="54" spans="4:24">
      <c r="D54" s="370"/>
      <c r="J54" s="381"/>
      <c r="L54" s="249"/>
      <c r="M54" s="249"/>
      <c r="N54" s="249"/>
      <c r="O54" s="249"/>
      <c r="P54" s="388"/>
      <c r="Q54" s="388"/>
      <c r="R54" s="388"/>
      <c r="S54" s="249"/>
      <c r="T54" s="249"/>
      <c r="U54" s="249"/>
      <c r="V54" s="249"/>
      <c r="W54" s="249"/>
      <c r="X54" s="249"/>
    </row>
    <row r="55" spans="4:24">
      <c r="D55" s="370"/>
      <c r="J55" s="381"/>
      <c r="K55" s="381"/>
      <c r="N55" s="388"/>
      <c r="O55" s="388"/>
      <c r="S55" s="388"/>
      <c r="T55" s="388"/>
      <c r="U55" s="388"/>
      <c r="V55" s="388"/>
      <c r="W55" s="388"/>
      <c r="X55" s="388"/>
    </row>
    <row r="56" spans="4:24">
      <c r="D56" s="370"/>
      <c r="K56" s="381"/>
      <c r="P56" s="249"/>
      <c r="Q56" s="249"/>
      <c r="R56" s="249"/>
    </row>
    <row r="57" spans="4:24">
      <c r="D57" s="370"/>
      <c r="J57" s="381"/>
      <c r="L57" s="249"/>
      <c r="M57" s="249"/>
      <c r="N57" s="249"/>
      <c r="O57" s="249"/>
      <c r="P57" s="388"/>
      <c r="Q57" s="388"/>
      <c r="R57" s="388"/>
      <c r="S57" s="249"/>
      <c r="T57" s="249"/>
      <c r="U57" s="249"/>
      <c r="V57" s="249"/>
      <c r="W57" s="249"/>
      <c r="X57" s="249"/>
    </row>
    <row r="58" spans="4:24">
      <c r="D58" s="370"/>
      <c r="J58" s="381"/>
      <c r="K58" s="381"/>
      <c r="N58" s="388"/>
      <c r="O58" s="388"/>
      <c r="P58" s="389"/>
      <c r="Q58" s="389"/>
      <c r="R58" s="389"/>
      <c r="S58" s="388"/>
      <c r="T58" s="388"/>
      <c r="U58" s="388"/>
      <c r="V58" s="388"/>
      <c r="W58" s="388"/>
      <c r="X58" s="388"/>
    </row>
    <row r="59" spans="4:24">
      <c r="D59" s="370"/>
      <c r="J59" s="381"/>
      <c r="K59" s="381"/>
      <c r="P59" s="388"/>
      <c r="Q59" s="388"/>
      <c r="R59" s="388"/>
    </row>
    <row r="60" spans="4:24">
      <c r="D60" s="370"/>
      <c r="K60" s="381"/>
      <c r="L60" s="249"/>
      <c r="M60" s="249"/>
      <c r="N60" s="249"/>
      <c r="O60" s="249"/>
      <c r="S60" s="249"/>
      <c r="T60" s="249"/>
      <c r="U60" s="249"/>
      <c r="V60" s="249"/>
      <c r="W60" s="249"/>
      <c r="X60" s="249"/>
    </row>
    <row r="61" spans="4:24">
      <c r="D61" s="345"/>
      <c r="E61" s="381"/>
      <c r="F61" s="381"/>
      <c r="G61" s="381"/>
      <c r="H61" s="381"/>
      <c r="I61" s="381"/>
      <c r="N61" s="388"/>
      <c r="O61" s="388"/>
      <c r="P61" s="249"/>
      <c r="Q61" s="249"/>
      <c r="R61" s="249"/>
      <c r="S61" s="388"/>
      <c r="T61" s="388"/>
      <c r="U61" s="388"/>
      <c r="V61" s="388"/>
      <c r="W61" s="388"/>
      <c r="X61" s="388"/>
    </row>
    <row r="62" spans="4:24">
      <c r="D62" s="370"/>
      <c r="J62" s="381"/>
      <c r="L62" s="389"/>
      <c r="M62" s="389"/>
      <c r="N62" s="389"/>
      <c r="O62" s="389"/>
      <c r="P62" s="390"/>
      <c r="Q62" s="390"/>
      <c r="R62" s="390"/>
    </row>
    <row r="63" spans="4:24">
      <c r="D63" s="370"/>
      <c r="J63" s="381"/>
      <c r="K63" s="381"/>
      <c r="N63" s="388"/>
      <c r="O63" s="388"/>
      <c r="P63" s="249"/>
      <c r="Q63" s="249"/>
      <c r="R63" s="249"/>
      <c r="S63" s="249"/>
      <c r="T63" s="249"/>
      <c r="U63" s="249"/>
      <c r="V63" s="249"/>
      <c r="W63" s="249"/>
      <c r="X63" s="249"/>
    </row>
    <row r="64" spans="4:24">
      <c r="D64" s="345"/>
      <c r="E64" s="381"/>
      <c r="F64" s="381"/>
      <c r="G64" s="381"/>
      <c r="H64" s="381"/>
      <c r="I64" s="381"/>
      <c r="K64" s="381"/>
      <c r="P64" s="388"/>
      <c r="Q64" s="388"/>
      <c r="R64" s="388"/>
      <c r="S64" s="388"/>
      <c r="T64" s="388"/>
      <c r="U64" s="388"/>
      <c r="V64" s="388"/>
      <c r="W64" s="388"/>
      <c r="X64" s="388"/>
    </row>
    <row r="65" spans="4:24">
      <c r="D65" s="370"/>
      <c r="L65" s="249"/>
      <c r="M65" s="249"/>
      <c r="N65" s="249"/>
      <c r="O65" s="249"/>
      <c r="P65" s="248"/>
      <c r="Q65" s="248"/>
      <c r="R65" s="248"/>
      <c r="S65" s="389"/>
      <c r="T65" s="389"/>
      <c r="U65" s="389"/>
      <c r="V65" s="389"/>
      <c r="W65" s="389"/>
      <c r="X65" s="389"/>
    </row>
    <row r="66" spans="4:24">
      <c r="D66" s="345"/>
      <c r="E66" s="381"/>
      <c r="F66" s="381"/>
      <c r="G66" s="381"/>
      <c r="H66" s="381"/>
      <c r="I66" s="381"/>
      <c r="N66" s="388"/>
      <c r="O66" s="388"/>
      <c r="S66" s="388"/>
      <c r="T66" s="388"/>
      <c r="U66" s="388"/>
      <c r="V66" s="388"/>
      <c r="W66" s="388"/>
      <c r="X66" s="388"/>
    </row>
    <row r="67" spans="4:24">
      <c r="D67" s="370"/>
      <c r="E67" s="381"/>
      <c r="F67" s="381"/>
      <c r="G67" s="381"/>
      <c r="H67" s="381"/>
      <c r="I67" s="381"/>
      <c r="L67" s="249"/>
      <c r="M67" s="249"/>
      <c r="N67" s="249"/>
      <c r="O67" s="249"/>
      <c r="P67" s="247"/>
      <c r="Q67" s="247"/>
      <c r="R67" s="247"/>
    </row>
    <row r="68" spans="4:24">
      <c r="D68" s="370"/>
      <c r="N68" s="388"/>
      <c r="O68" s="388"/>
      <c r="P68" s="388"/>
      <c r="Q68" s="388"/>
      <c r="R68" s="388"/>
      <c r="S68" s="249"/>
      <c r="T68" s="249"/>
      <c r="U68" s="249"/>
      <c r="V68" s="249"/>
      <c r="W68" s="249"/>
      <c r="X68" s="249"/>
    </row>
    <row r="69" spans="4:24">
      <c r="D69" s="370"/>
      <c r="L69" s="248"/>
      <c r="M69" s="248"/>
      <c r="N69" s="248"/>
      <c r="O69" s="248"/>
      <c r="S69" s="390"/>
      <c r="T69" s="390"/>
      <c r="U69" s="390"/>
      <c r="V69" s="390"/>
      <c r="W69" s="390"/>
      <c r="X69" s="390"/>
    </row>
    <row r="70" spans="4:24">
      <c r="D70" s="345"/>
      <c r="E70" s="381"/>
      <c r="F70" s="381"/>
      <c r="G70" s="381"/>
      <c r="H70" s="381"/>
      <c r="I70" s="381"/>
      <c r="P70" s="389"/>
      <c r="Q70" s="389"/>
      <c r="R70" s="389"/>
      <c r="S70" s="249"/>
      <c r="T70" s="249"/>
      <c r="U70" s="249"/>
      <c r="V70" s="249"/>
      <c r="W70" s="249"/>
      <c r="X70" s="249"/>
    </row>
    <row r="71" spans="4:24">
      <c r="D71" s="370"/>
      <c r="E71" s="381"/>
      <c r="F71" s="381"/>
      <c r="G71" s="381"/>
      <c r="H71" s="381"/>
      <c r="I71" s="381"/>
      <c r="L71" s="247"/>
      <c r="M71" s="247"/>
      <c r="N71" s="247"/>
      <c r="O71" s="247"/>
      <c r="P71" s="388"/>
      <c r="Q71" s="388"/>
      <c r="R71" s="388"/>
      <c r="S71" s="388"/>
      <c r="T71" s="388"/>
      <c r="U71" s="388"/>
      <c r="V71" s="388"/>
      <c r="W71" s="388"/>
      <c r="X71" s="388"/>
    </row>
    <row r="72" spans="4:24">
      <c r="D72" s="370"/>
      <c r="N72" s="388"/>
      <c r="O72" s="388"/>
      <c r="S72" s="248"/>
      <c r="T72" s="248"/>
      <c r="U72" s="248"/>
      <c r="V72" s="248"/>
      <c r="W72" s="248"/>
      <c r="X72" s="248"/>
    </row>
    <row r="73" spans="4:24">
      <c r="D73" s="345"/>
      <c r="E73" s="381"/>
      <c r="F73" s="381"/>
      <c r="G73" s="381"/>
      <c r="H73" s="381"/>
      <c r="I73" s="381"/>
      <c r="P73" s="391"/>
      <c r="Q73" s="391"/>
      <c r="R73" s="391"/>
    </row>
    <row r="74" spans="4:24">
      <c r="D74" s="370"/>
      <c r="J74" s="381"/>
      <c r="L74" s="389"/>
      <c r="M74" s="389"/>
      <c r="N74" s="389"/>
      <c r="O74" s="389"/>
      <c r="P74" s="388"/>
      <c r="Q74" s="388"/>
      <c r="R74" s="388"/>
      <c r="S74" s="247"/>
      <c r="T74" s="247"/>
      <c r="U74" s="247"/>
      <c r="V74" s="247"/>
      <c r="W74" s="247"/>
      <c r="X74" s="247"/>
    </row>
    <row r="75" spans="4:24">
      <c r="D75" s="370"/>
      <c r="J75" s="381"/>
      <c r="K75" s="381"/>
      <c r="N75" s="388"/>
      <c r="O75" s="388"/>
      <c r="P75" s="248"/>
      <c r="Q75" s="248"/>
      <c r="R75" s="248"/>
      <c r="S75" s="388"/>
      <c r="T75" s="388"/>
      <c r="U75" s="388"/>
      <c r="V75" s="388"/>
      <c r="W75" s="388"/>
      <c r="X75" s="388"/>
    </row>
    <row r="76" spans="4:24">
      <c r="D76" s="345"/>
      <c r="E76" s="381"/>
      <c r="F76" s="381"/>
      <c r="G76" s="381"/>
      <c r="H76" s="381"/>
      <c r="I76" s="381"/>
      <c r="K76" s="381"/>
    </row>
    <row r="77" spans="4:24">
      <c r="D77" s="370"/>
      <c r="L77" s="391"/>
      <c r="M77" s="391"/>
      <c r="N77" s="391"/>
      <c r="O77" s="391"/>
      <c r="P77" s="247"/>
      <c r="Q77" s="247"/>
      <c r="R77" s="247"/>
      <c r="S77" s="389"/>
      <c r="T77" s="389"/>
      <c r="U77" s="389"/>
      <c r="V77" s="389"/>
      <c r="W77" s="389"/>
      <c r="X77" s="389"/>
    </row>
    <row r="78" spans="4:24">
      <c r="D78" s="370"/>
      <c r="J78" s="381"/>
      <c r="N78" s="388"/>
      <c r="O78" s="388"/>
      <c r="P78" s="388"/>
      <c r="Q78" s="388"/>
      <c r="R78" s="388"/>
      <c r="S78" s="388"/>
      <c r="T78" s="388"/>
      <c r="U78" s="388"/>
      <c r="V78" s="388"/>
      <c r="W78" s="388"/>
      <c r="X78" s="388"/>
    </row>
    <row r="79" spans="4:24">
      <c r="D79" s="370"/>
      <c r="J79" s="381"/>
      <c r="K79" s="381"/>
      <c r="N79" s="248"/>
      <c r="O79" s="248"/>
      <c r="P79" s="274"/>
      <c r="Q79" s="274"/>
      <c r="R79" s="274"/>
    </row>
    <row r="80" spans="4:24">
      <c r="D80" s="345"/>
      <c r="E80" s="381"/>
      <c r="F80" s="381"/>
      <c r="G80" s="381"/>
      <c r="H80" s="381"/>
      <c r="I80" s="381"/>
      <c r="K80" s="381"/>
      <c r="S80" s="391"/>
      <c r="T80" s="391"/>
      <c r="U80" s="391"/>
      <c r="V80" s="391"/>
      <c r="W80" s="391"/>
      <c r="X80" s="391"/>
    </row>
    <row r="81" spans="4:24">
      <c r="D81" s="370"/>
      <c r="L81" s="247"/>
      <c r="M81" s="247"/>
      <c r="N81" s="247"/>
      <c r="O81" s="247"/>
      <c r="P81" s="389"/>
      <c r="Q81" s="389"/>
      <c r="R81" s="389"/>
      <c r="S81" s="388"/>
      <c r="T81" s="388"/>
      <c r="U81" s="388"/>
      <c r="V81" s="388"/>
      <c r="W81" s="388"/>
      <c r="X81" s="388"/>
    </row>
    <row r="82" spans="4:24">
      <c r="D82" s="370"/>
      <c r="E82" s="345"/>
      <c r="F82" s="345"/>
      <c r="G82" s="345"/>
      <c r="H82" s="345"/>
      <c r="I82" s="345"/>
      <c r="J82" s="381"/>
      <c r="N82" s="388"/>
      <c r="O82" s="388"/>
      <c r="P82" s="388"/>
      <c r="Q82" s="388"/>
      <c r="R82" s="388"/>
      <c r="S82" s="248"/>
      <c r="T82" s="248"/>
      <c r="U82" s="248"/>
      <c r="V82" s="248"/>
      <c r="W82" s="248"/>
      <c r="X82" s="248"/>
    </row>
    <row r="83" spans="4:24">
      <c r="D83" s="370"/>
      <c r="E83" s="345"/>
      <c r="F83" s="345"/>
      <c r="G83" s="345"/>
      <c r="H83" s="345"/>
      <c r="I83" s="345"/>
      <c r="K83" s="381"/>
      <c r="L83" s="274"/>
      <c r="M83" s="274"/>
      <c r="N83" s="274"/>
      <c r="O83" s="274"/>
    </row>
    <row r="84" spans="4:24">
      <c r="D84" s="370"/>
      <c r="S84" s="247"/>
      <c r="T84" s="247"/>
      <c r="U84" s="247"/>
      <c r="V84" s="247"/>
      <c r="W84" s="247"/>
      <c r="X84" s="247"/>
    </row>
    <row r="85" spans="4:24">
      <c r="D85" s="370"/>
      <c r="L85" s="389"/>
      <c r="M85" s="389"/>
      <c r="N85" s="389"/>
      <c r="O85" s="389"/>
      <c r="P85" s="249"/>
      <c r="Q85" s="249"/>
      <c r="R85" s="249"/>
      <c r="S85" s="388"/>
      <c r="T85" s="388"/>
      <c r="U85" s="388"/>
      <c r="V85" s="388"/>
      <c r="W85" s="388"/>
      <c r="X85" s="388"/>
    </row>
    <row r="86" spans="4:24">
      <c r="D86" s="370"/>
      <c r="N86" s="388"/>
      <c r="O86" s="388"/>
      <c r="P86" s="388"/>
      <c r="Q86" s="388"/>
      <c r="R86" s="388"/>
      <c r="S86" s="274"/>
      <c r="T86" s="274"/>
      <c r="U86" s="274"/>
      <c r="V86" s="274"/>
      <c r="W86" s="274"/>
      <c r="X86" s="274"/>
    </row>
    <row r="87" spans="4:24">
      <c r="D87" s="345"/>
      <c r="E87" s="381"/>
      <c r="F87" s="381"/>
      <c r="G87" s="381"/>
      <c r="H87" s="381"/>
      <c r="I87" s="381"/>
    </row>
    <row r="88" spans="4:24">
      <c r="D88" s="345"/>
      <c r="E88" s="381"/>
      <c r="F88" s="381"/>
      <c r="G88" s="381"/>
      <c r="H88" s="381"/>
      <c r="I88" s="381"/>
      <c r="P88" s="249"/>
      <c r="Q88" s="249"/>
      <c r="R88" s="249"/>
      <c r="S88" s="389"/>
      <c r="T88" s="389"/>
      <c r="U88" s="389"/>
      <c r="V88" s="389"/>
      <c r="W88" s="389"/>
      <c r="X88" s="389"/>
    </row>
    <row r="89" spans="4:24">
      <c r="D89" s="370"/>
      <c r="E89" s="381"/>
      <c r="F89" s="381"/>
      <c r="G89" s="381"/>
      <c r="H89" s="381"/>
      <c r="I89" s="381"/>
      <c r="L89" s="249"/>
      <c r="M89" s="249"/>
      <c r="N89" s="249"/>
      <c r="O89" s="249"/>
      <c r="P89" s="390"/>
      <c r="Q89" s="390"/>
      <c r="R89" s="390"/>
      <c r="S89" s="388"/>
      <c r="T89" s="388"/>
      <c r="U89" s="388"/>
      <c r="V89" s="388"/>
      <c r="W89" s="388"/>
      <c r="X89" s="388"/>
    </row>
    <row r="90" spans="4:24">
      <c r="D90" s="370"/>
      <c r="E90" s="381"/>
      <c r="F90" s="381"/>
      <c r="G90" s="381"/>
      <c r="H90" s="381"/>
      <c r="I90" s="381"/>
      <c r="N90" s="388"/>
      <c r="O90" s="388"/>
    </row>
    <row r="91" spans="4:24">
      <c r="D91" s="370"/>
      <c r="P91" s="389"/>
      <c r="Q91" s="389"/>
      <c r="R91" s="389"/>
    </row>
    <row r="92" spans="4:24">
      <c r="D92" s="345"/>
      <c r="E92" s="381"/>
      <c r="F92" s="381"/>
      <c r="G92" s="381"/>
      <c r="H92" s="381"/>
      <c r="I92" s="381"/>
      <c r="L92" s="249"/>
      <c r="M92" s="249"/>
      <c r="N92" s="249"/>
      <c r="O92" s="249"/>
      <c r="P92" s="392"/>
      <c r="Q92" s="392"/>
      <c r="R92" s="392"/>
      <c r="S92" s="249"/>
      <c r="T92" s="249"/>
      <c r="U92" s="249"/>
      <c r="V92" s="249"/>
      <c r="W92" s="249"/>
      <c r="X92" s="249"/>
    </row>
    <row r="93" spans="4:24">
      <c r="D93" s="370"/>
      <c r="E93" s="381"/>
      <c r="F93" s="381"/>
      <c r="G93" s="381"/>
      <c r="H93" s="381"/>
      <c r="I93" s="381"/>
      <c r="N93" s="388"/>
      <c r="O93" s="388"/>
      <c r="P93" s="392"/>
      <c r="Q93" s="392"/>
      <c r="R93" s="392"/>
      <c r="S93" s="388"/>
      <c r="T93" s="388"/>
      <c r="U93" s="388"/>
      <c r="V93" s="388"/>
      <c r="W93" s="388"/>
      <c r="X93" s="388"/>
    </row>
    <row r="94" spans="4:24">
      <c r="D94" s="370"/>
      <c r="E94" s="381"/>
      <c r="F94" s="381"/>
      <c r="G94" s="381"/>
      <c r="H94" s="381"/>
      <c r="I94" s="381"/>
    </row>
    <row r="95" spans="4:24">
      <c r="D95" s="370"/>
      <c r="L95" s="389"/>
      <c r="M95" s="389"/>
      <c r="N95" s="389"/>
      <c r="O95" s="389"/>
      <c r="P95" s="388"/>
      <c r="Q95" s="388"/>
      <c r="R95" s="388"/>
      <c r="S95" s="249"/>
      <c r="T95" s="249"/>
      <c r="U95" s="249"/>
      <c r="V95" s="249"/>
      <c r="W95" s="249"/>
      <c r="X95" s="249"/>
    </row>
    <row r="96" spans="4:24">
      <c r="D96" s="370"/>
      <c r="N96" s="392"/>
      <c r="O96" s="392"/>
      <c r="P96" s="389"/>
      <c r="Q96" s="389"/>
      <c r="R96" s="389"/>
      <c r="S96" s="390"/>
      <c r="T96" s="390"/>
      <c r="U96" s="390"/>
      <c r="V96" s="390"/>
      <c r="W96" s="390"/>
      <c r="X96" s="390"/>
    </row>
    <row r="97" spans="4:24">
      <c r="D97" s="370"/>
      <c r="J97" s="381"/>
      <c r="L97" s="392"/>
      <c r="M97" s="392"/>
      <c r="N97" s="392"/>
      <c r="O97" s="392"/>
      <c r="R97" s="392"/>
    </row>
    <row r="98" spans="4:24">
      <c r="D98" s="370"/>
      <c r="J98" s="381"/>
      <c r="K98" s="381"/>
      <c r="S98" s="389"/>
      <c r="T98" s="389"/>
      <c r="U98" s="389"/>
      <c r="V98" s="389"/>
      <c r="W98" s="389"/>
      <c r="X98" s="389"/>
    </row>
    <row r="99" spans="4:24">
      <c r="D99" s="370"/>
      <c r="K99" s="381"/>
      <c r="L99" s="388"/>
      <c r="M99" s="388"/>
      <c r="N99" s="388"/>
      <c r="O99" s="388"/>
      <c r="P99" s="389"/>
      <c r="Q99" s="389"/>
      <c r="R99" s="389"/>
      <c r="S99" s="392"/>
      <c r="T99" s="392"/>
      <c r="U99" s="392"/>
      <c r="V99" s="392"/>
      <c r="W99" s="392"/>
      <c r="X99" s="392"/>
    </row>
    <row r="100" spans="4:24">
      <c r="D100" s="370"/>
      <c r="J100" s="381"/>
      <c r="L100" s="389"/>
      <c r="M100" s="389"/>
      <c r="N100" s="389"/>
      <c r="O100" s="389"/>
      <c r="P100" s="392"/>
      <c r="Q100" s="392"/>
      <c r="R100" s="392"/>
      <c r="S100" s="392"/>
      <c r="T100" s="392"/>
      <c r="U100" s="392"/>
      <c r="V100" s="392"/>
      <c r="W100" s="392"/>
      <c r="X100" s="392"/>
    </row>
    <row r="101" spans="4:24">
      <c r="D101" s="370"/>
      <c r="J101" s="381"/>
      <c r="K101" s="381"/>
    </row>
    <row r="102" spans="4:24">
      <c r="D102" s="370"/>
      <c r="J102" s="381"/>
      <c r="K102" s="381"/>
      <c r="S102" s="388"/>
      <c r="T102" s="388"/>
      <c r="U102" s="388"/>
      <c r="V102" s="388"/>
      <c r="W102" s="388"/>
      <c r="X102" s="388"/>
    </row>
    <row r="103" spans="4:24">
      <c r="D103" s="370"/>
      <c r="K103" s="381"/>
      <c r="L103" s="389"/>
      <c r="M103" s="389"/>
      <c r="N103" s="389"/>
      <c r="O103" s="389"/>
      <c r="S103" s="389"/>
      <c r="T103" s="389"/>
      <c r="U103" s="389"/>
      <c r="V103" s="389"/>
      <c r="W103" s="389"/>
      <c r="X103" s="389"/>
    </row>
    <row r="104" spans="4:24">
      <c r="D104" s="345"/>
      <c r="E104" s="381"/>
      <c r="F104" s="381"/>
      <c r="G104" s="381"/>
      <c r="H104" s="381"/>
      <c r="I104" s="381"/>
      <c r="N104" s="392"/>
      <c r="O104" s="392"/>
      <c r="S104" s="392"/>
      <c r="T104" s="392"/>
      <c r="U104" s="392"/>
      <c r="V104" s="392"/>
      <c r="W104" s="392"/>
      <c r="X104" s="392"/>
    </row>
    <row r="105" spans="4:24">
      <c r="D105" s="370"/>
      <c r="J105" s="381"/>
    </row>
    <row r="106" spans="4:24">
      <c r="D106" s="370"/>
      <c r="J106" s="381"/>
      <c r="K106" s="381"/>
      <c r="S106" s="389"/>
      <c r="T106" s="389"/>
      <c r="U106" s="389"/>
      <c r="V106" s="389"/>
      <c r="W106" s="389"/>
      <c r="X106" s="389"/>
    </row>
    <row r="107" spans="4:24">
      <c r="D107" s="345"/>
      <c r="E107" s="381"/>
      <c r="F107" s="381"/>
      <c r="G107" s="381"/>
      <c r="H107" s="381"/>
      <c r="I107" s="381"/>
      <c r="K107" s="381"/>
      <c r="S107" s="392"/>
      <c r="T107" s="392"/>
      <c r="U107" s="392"/>
      <c r="V107" s="392"/>
      <c r="W107" s="392"/>
      <c r="X107" s="392"/>
    </row>
    <row r="108" spans="4:24">
      <c r="D108" s="370"/>
    </row>
    <row r="109" spans="4:24">
      <c r="D109" s="345"/>
      <c r="E109" s="381"/>
      <c r="F109" s="381"/>
      <c r="G109" s="381"/>
      <c r="H109" s="381"/>
      <c r="I109" s="381"/>
    </row>
    <row r="110" spans="4:24">
      <c r="D110" s="370"/>
      <c r="E110" s="381"/>
      <c r="F110" s="381"/>
      <c r="G110" s="381"/>
      <c r="H110" s="381"/>
      <c r="I110" s="381"/>
    </row>
    <row r="111" spans="4:24">
      <c r="D111" s="370"/>
    </row>
    <row r="112" spans="4:24">
      <c r="D112" s="370"/>
    </row>
    <row r="113" spans="4:11">
      <c r="D113" s="345"/>
      <c r="E113" s="381"/>
      <c r="F113" s="381"/>
      <c r="G113" s="381"/>
      <c r="H113" s="381"/>
      <c r="I113" s="381"/>
    </row>
    <row r="114" spans="4:11">
      <c r="D114" s="370"/>
      <c r="E114" s="381"/>
      <c r="F114" s="381"/>
      <c r="G114" s="381"/>
      <c r="H114" s="381"/>
      <c r="I114" s="381"/>
    </row>
    <row r="115" spans="4:11">
      <c r="D115" s="370"/>
    </row>
    <row r="116" spans="4:11">
      <c r="D116" s="345"/>
      <c r="E116" s="381"/>
      <c r="F116" s="381"/>
      <c r="G116" s="381"/>
      <c r="H116" s="381"/>
      <c r="I116" s="381"/>
    </row>
    <row r="117" spans="4:11">
      <c r="D117" s="370"/>
      <c r="J117" s="381"/>
    </row>
    <row r="118" spans="4:11">
      <c r="D118" s="370"/>
      <c r="J118" s="381"/>
      <c r="K118" s="381"/>
    </row>
    <row r="119" spans="4:11">
      <c r="D119" s="345"/>
      <c r="E119" s="381"/>
      <c r="F119" s="381"/>
      <c r="G119" s="381"/>
      <c r="H119" s="381"/>
      <c r="I119" s="381"/>
      <c r="K119" s="381"/>
    </row>
    <row r="120" spans="4:11">
      <c r="D120" s="370"/>
    </row>
    <row r="121" spans="4:11">
      <c r="D121" s="370"/>
      <c r="J121" s="381"/>
    </row>
    <row r="122" spans="4:11">
      <c r="D122" s="370"/>
      <c r="J122" s="381"/>
      <c r="K122" s="381"/>
    </row>
    <row r="123" spans="4:11">
      <c r="D123" s="345"/>
      <c r="E123" s="381"/>
      <c r="F123" s="381"/>
      <c r="G123" s="381"/>
      <c r="H123" s="381"/>
      <c r="I123" s="381"/>
      <c r="K123" s="381"/>
    </row>
    <row r="124" spans="4:11">
      <c r="D124" s="370"/>
    </row>
    <row r="125" spans="4:11">
      <c r="D125" s="370"/>
      <c r="E125" s="345"/>
      <c r="F125" s="345"/>
      <c r="G125" s="345"/>
      <c r="H125" s="345"/>
      <c r="I125" s="345"/>
      <c r="J125" s="381"/>
    </row>
    <row r="126" spans="4:11">
      <c r="D126" s="370"/>
      <c r="E126" s="345"/>
      <c r="F126" s="345"/>
      <c r="G126" s="345"/>
      <c r="H126" s="345"/>
      <c r="I126" s="345"/>
      <c r="K126" s="381"/>
    </row>
    <row r="127" spans="4:11">
      <c r="D127" s="370"/>
    </row>
    <row r="128" spans="4:11">
      <c r="D128" s="370"/>
    </row>
    <row r="130" spans="4:11">
      <c r="D130" s="345"/>
      <c r="E130" s="381"/>
      <c r="F130" s="381"/>
      <c r="G130" s="381"/>
      <c r="H130" s="381"/>
      <c r="I130" s="381"/>
    </row>
    <row r="131" spans="4:11">
      <c r="D131" s="345"/>
      <c r="E131" s="381"/>
      <c r="F131" s="381"/>
      <c r="G131" s="381"/>
      <c r="H131" s="381"/>
      <c r="I131" s="381"/>
    </row>
    <row r="132" spans="4:11">
      <c r="D132" s="370"/>
      <c r="E132" s="381"/>
      <c r="F132" s="381"/>
      <c r="G132" s="381"/>
      <c r="H132" s="381"/>
      <c r="I132" s="381"/>
    </row>
    <row r="133" spans="4:11">
      <c r="D133" s="370"/>
      <c r="E133" s="381"/>
      <c r="F133" s="381"/>
      <c r="G133" s="381"/>
      <c r="H133" s="381"/>
      <c r="I133" s="381"/>
    </row>
    <row r="134" spans="4:11">
      <c r="D134" s="370"/>
    </row>
    <row r="135" spans="4:11">
      <c r="D135" s="345"/>
      <c r="E135" s="381"/>
      <c r="F135" s="381"/>
      <c r="G135" s="381"/>
      <c r="H135" s="381"/>
      <c r="I135" s="381"/>
    </row>
    <row r="136" spans="4:11">
      <c r="D136" s="370"/>
      <c r="E136" s="381"/>
      <c r="F136" s="381"/>
      <c r="G136" s="381"/>
      <c r="H136" s="381"/>
      <c r="I136" s="381"/>
    </row>
    <row r="137" spans="4:11">
      <c r="D137" s="370"/>
      <c r="E137" s="381"/>
      <c r="F137" s="381"/>
      <c r="G137" s="381"/>
      <c r="H137" s="381"/>
      <c r="I137" s="381"/>
    </row>
    <row r="138" spans="4:11">
      <c r="D138" s="370"/>
    </row>
    <row r="139" spans="4:11">
      <c r="D139" s="370"/>
    </row>
    <row r="140" spans="4:11">
      <c r="D140" s="370"/>
      <c r="J140" s="381"/>
    </row>
    <row r="141" spans="4:11">
      <c r="D141" s="370"/>
      <c r="J141" s="381"/>
      <c r="K141" s="381"/>
    </row>
    <row r="142" spans="4:11">
      <c r="D142" s="370"/>
      <c r="K142" s="381"/>
    </row>
    <row r="143" spans="4:11">
      <c r="D143" s="370"/>
      <c r="J143" s="381"/>
    </row>
    <row r="144" spans="4:11">
      <c r="D144" s="370"/>
      <c r="J144" s="381"/>
      <c r="K144" s="381"/>
    </row>
    <row r="145" spans="4:11">
      <c r="D145" s="370"/>
      <c r="J145" s="381"/>
      <c r="K145" s="381"/>
    </row>
    <row r="146" spans="4:11">
      <c r="D146" s="370"/>
      <c r="K146" s="381"/>
    </row>
    <row r="147" spans="4:11">
      <c r="D147" s="345"/>
      <c r="E147" s="381"/>
      <c r="F147" s="381"/>
      <c r="G147" s="381"/>
      <c r="H147" s="381"/>
      <c r="I147" s="381"/>
    </row>
    <row r="148" spans="4:11">
      <c r="D148" s="370"/>
      <c r="J148" s="381"/>
    </row>
    <row r="149" spans="4:11">
      <c r="D149" s="370"/>
      <c r="J149" s="381"/>
      <c r="K149" s="381"/>
    </row>
    <row r="150" spans="4:11">
      <c r="D150" s="345"/>
      <c r="E150" s="381"/>
      <c r="F150" s="381"/>
      <c r="G150" s="381"/>
      <c r="H150" s="381"/>
      <c r="I150" s="381"/>
      <c r="K150" s="381"/>
    </row>
    <row r="151" spans="4:11">
      <c r="D151" s="370"/>
    </row>
    <row r="152" spans="4:11">
      <c r="D152" s="345"/>
      <c r="E152" s="381"/>
      <c r="F152" s="381"/>
      <c r="G152" s="381"/>
      <c r="H152" s="381"/>
      <c r="I152" s="381"/>
    </row>
    <row r="153" spans="4:11">
      <c r="D153" s="370"/>
      <c r="E153" s="381"/>
      <c r="F153" s="381"/>
      <c r="G153" s="381"/>
      <c r="H153" s="381"/>
      <c r="I153" s="381"/>
    </row>
    <row r="154" spans="4:11">
      <c r="D154" s="370"/>
    </row>
    <row r="155" spans="4:11">
      <c r="D155" s="370"/>
    </row>
    <row r="156" spans="4:11">
      <c r="D156" s="345"/>
      <c r="E156" s="381"/>
      <c r="F156" s="381"/>
      <c r="G156" s="381"/>
      <c r="H156" s="381"/>
      <c r="I156" s="381"/>
    </row>
    <row r="157" spans="4:11">
      <c r="D157" s="370"/>
      <c r="E157" s="381"/>
      <c r="F157" s="381"/>
      <c r="G157" s="381"/>
      <c r="H157" s="381"/>
      <c r="I157" s="381"/>
    </row>
    <row r="158" spans="4:11">
      <c r="D158" s="370"/>
    </row>
    <row r="159" spans="4:11">
      <c r="D159" s="345"/>
      <c r="E159" s="381"/>
      <c r="F159" s="381"/>
      <c r="G159" s="381"/>
      <c r="H159" s="381"/>
      <c r="I159" s="381"/>
    </row>
    <row r="160" spans="4:11">
      <c r="D160" s="370"/>
      <c r="J160" s="381"/>
    </row>
    <row r="161" spans="4:11">
      <c r="D161" s="370"/>
      <c r="J161" s="381"/>
      <c r="K161" s="381"/>
    </row>
    <row r="162" spans="4:11">
      <c r="D162" s="345"/>
      <c r="E162" s="381"/>
      <c r="F162" s="381"/>
      <c r="G162" s="381"/>
      <c r="H162" s="381"/>
      <c r="I162" s="381"/>
      <c r="K162" s="381"/>
    </row>
    <row r="163" spans="4:11">
      <c r="D163" s="370"/>
    </row>
    <row r="164" spans="4:11">
      <c r="D164" s="370"/>
      <c r="J164" s="381"/>
    </row>
    <row r="165" spans="4:11">
      <c r="D165" s="370"/>
      <c r="J165" s="381"/>
      <c r="K165" s="381"/>
    </row>
    <row r="166" spans="4:11">
      <c r="D166" s="345"/>
      <c r="E166" s="381"/>
      <c r="F166" s="381"/>
      <c r="G166" s="381"/>
      <c r="H166" s="381"/>
      <c r="I166" s="381"/>
      <c r="K166" s="381"/>
    </row>
    <row r="167" spans="4:11">
      <c r="D167" s="370"/>
    </row>
    <row r="168" spans="4:11">
      <c r="D168" s="370"/>
      <c r="E168" s="345"/>
      <c r="F168" s="345"/>
      <c r="G168" s="345"/>
      <c r="H168" s="345"/>
      <c r="I168" s="345"/>
      <c r="J168" s="381"/>
    </row>
    <row r="169" spans="4:11">
      <c r="D169" s="370"/>
      <c r="E169" s="345"/>
      <c r="F169" s="345"/>
      <c r="G169" s="345"/>
      <c r="H169" s="345"/>
      <c r="I169" s="345"/>
      <c r="K169" s="381"/>
    </row>
    <row r="170" spans="4:11">
      <c r="D170" s="370"/>
    </row>
    <row r="171" spans="4:11">
      <c r="D171" s="370"/>
    </row>
    <row r="172" spans="4:11">
      <c r="D172" s="370"/>
    </row>
    <row r="173" spans="4:11">
      <c r="D173" s="345"/>
      <c r="E173" s="381"/>
      <c r="F173" s="381"/>
      <c r="G173" s="381"/>
      <c r="H173" s="381"/>
      <c r="I173" s="381"/>
    </row>
    <row r="174" spans="4:11">
      <c r="D174" s="345"/>
      <c r="E174" s="381"/>
      <c r="F174" s="381"/>
      <c r="G174" s="381"/>
      <c r="H174" s="381"/>
      <c r="I174" s="381"/>
    </row>
    <row r="175" spans="4:11">
      <c r="D175" s="370"/>
      <c r="E175" s="381"/>
      <c r="F175" s="381"/>
      <c r="G175" s="381"/>
      <c r="H175" s="381"/>
      <c r="I175" s="381"/>
    </row>
    <row r="176" spans="4:11">
      <c r="D176" s="370"/>
      <c r="E176" s="381"/>
      <c r="F176" s="381"/>
      <c r="G176" s="381"/>
      <c r="H176" s="381"/>
      <c r="I176" s="381"/>
    </row>
    <row r="177" spans="4:11">
      <c r="D177" s="370"/>
    </row>
    <row r="178" spans="4:11">
      <c r="D178" s="345"/>
      <c r="E178" s="381"/>
      <c r="F178" s="381"/>
      <c r="G178" s="381"/>
      <c r="H178" s="381"/>
      <c r="I178" s="381"/>
    </row>
    <row r="179" spans="4:11">
      <c r="D179" s="370"/>
      <c r="E179" s="381"/>
      <c r="F179" s="381"/>
      <c r="G179" s="381"/>
      <c r="H179" s="381"/>
      <c r="I179" s="381"/>
    </row>
    <row r="180" spans="4:11">
      <c r="D180" s="370"/>
      <c r="E180" s="381"/>
      <c r="F180" s="381"/>
      <c r="G180" s="381"/>
      <c r="H180" s="381"/>
      <c r="I180" s="381"/>
    </row>
    <row r="181" spans="4:11">
      <c r="D181" s="370"/>
    </row>
    <row r="182" spans="4:11">
      <c r="D182" s="370"/>
    </row>
    <row r="183" spans="4:11">
      <c r="D183" s="370"/>
      <c r="J183" s="381"/>
    </row>
    <row r="184" spans="4:11">
      <c r="D184" s="370"/>
      <c r="J184" s="381"/>
      <c r="K184" s="381"/>
    </row>
    <row r="185" spans="4:11">
      <c r="D185" s="370"/>
      <c r="K185" s="381"/>
    </row>
    <row r="186" spans="4:11">
      <c r="D186" s="370"/>
      <c r="J186" s="381"/>
    </row>
    <row r="187" spans="4:11">
      <c r="D187" s="370"/>
      <c r="J187" s="381"/>
      <c r="K187" s="381"/>
    </row>
    <row r="188" spans="4:11">
      <c r="D188" s="370"/>
      <c r="J188" s="381"/>
      <c r="K188" s="381"/>
    </row>
    <row r="189" spans="4:11">
      <c r="D189" s="370"/>
      <c r="K189" s="381"/>
    </row>
    <row r="190" spans="4:11">
      <c r="D190" s="345"/>
      <c r="E190" s="381"/>
      <c r="F190" s="381"/>
      <c r="G190" s="381"/>
      <c r="H190" s="381"/>
      <c r="I190" s="381"/>
    </row>
    <row r="191" spans="4:11">
      <c r="D191" s="370"/>
      <c r="J191" s="381"/>
    </row>
    <row r="192" spans="4:11">
      <c r="D192" s="370"/>
      <c r="J192" s="381"/>
      <c r="K192" s="381"/>
    </row>
    <row r="193" spans="4:11">
      <c r="D193" s="345"/>
      <c r="E193" s="381"/>
      <c r="F193" s="381"/>
      <c r="G193" s="381"/>
      <c r="H193" s="381"/>
      <c r="I193" s="381"/>
      <c r="K193" s="381"/>
    </row>
    <row r="194" spans="4:11">
      <c r="D194" s="370"/>
    </row>
    <row r="195" spans="4:11">
      <c r="D195" s="345"/>
      <c r="E195" s="381"/>
      <c r="F195" s="381"/>
      <c r="G195" s="381"/>
      <c r="H195" s="381"/>
      <c r="I195" s="381"/>
    </row>
    <row r="196" spans="4:11">
      <c r="D196" s="370"/>
      <c r="E196" s="381"/>
      <c r="F196" s="381"/>
      <c r="G196" s="381"/>
      <c r="H196" s="381"/>
      <c r="I196" s="381"/>
    </row>
    <row r="197" spans="4:11">
      <c r="D197" s="370"/>
    </row>
    <row r="198" spans="4:11">
      <c r="D198" s="370"/>
    </row>
    <row r="199" spans="4:11">
      <c r="D199" s="345"/>
      <c r="E199" s="381"/>
      <c r="F199" s="381"/>
      <c r="G199" s="381"/>
      <c r="H199" s="381"/>
      <c r="I199" s="381"/>
    </row>
    <row r="200" spans="4:11">
      <c r="D200" s="370"/>
      <c r="E200" s="381"/>
      <c r="F200" s="381"/>
      <c r="G200" s="381"/>
      <c r="H200" s="381"/>
      <c r="I200" s="381"/>
    </row>
    <row r="201" spans="4:11">
      <c r="D201" s="370"/>
    </row>
    <row r="202" spans="4:11">
      <c r="D202" s="345"/>
      <c r="E202" s="381"/>
      <c r="F202" s="381"/>
      <c r="G202" s="381"/>
      <c r="H202" s="381"/>
      <c r="I202" s="381"/>
    </row>
    <row r="203" spans="4:11">
      <c r="D203" s="370"/>
      <c r="J203" s="381"/>
    </row>
    <row r="204" spans="4:11">
      <c r="D204" s="370"/>
      <c r="J204" s="381"/>
      <c r="K204" s="381"/>
    </row>
    <row r="205" spans="4:11">
      <c r="D205" s="345"/>
      <c r="E205" s="381"/>
      <c r="F205" s="381"/>
      <c r="G205" s="381"/>
      <c r="H205" s="381"/>
      <c r="I205" s="381"/>
      <c r="K205" s="381"/>
    </row>
    <row r="206" spans="4:11">
      <c r="D206" s="370"/>
    </row>
    <row r="207" spans="4:11">
      <c r="D207" s="370"/>
      <c r="J207" s="381"/>
    </row>
    <row r="208" spans="4:11">
      <c r="D208" s="370"/>
      <c r="J208" s="381"/>
      <c r="K208" s="381"/>
    </row>
    <row r="209" spans="4:11">
      <c r="D209" s="345"/>
      <c r="E209" s="381"/>
      <c r="F209" s="381"/>
      <c r="G209" s="381"/>
      <c r="H209" s="381"/>
      <c r="I209" s="381"/>
      <c r="K209" s="381"/>
    </row>
    <row r="210" spans="4:11">
      <c r="D210" s="370"/>
    </row>
    <row r="211" spans="4:11">
      <c r="D211" s="370"/>
      <c r="E211" s="345"/>
      <c r="F211" s="345"/>
      <c r="G211" s="345"/>
      <c r="H211" s="345"/>
      <c r="I211" s="345"/>
      <c r="J211" s="381"/>
    </row>
    <row r="212" spans="4:11">
      <c r="D212" s="370"/>
      <c r="E212" s="345"/>
      <c r="F212" s="345"/>
      <c r="G212" s="345"/>
      <c r="H212" s="345"/>
      <c r="I212" s="345"/>
      <c r="K212" s="381"/>
    </row>
    <row r="213" spans="4:11">
      <c r="D213" s="370"/>
    </row>
    <row r="214" spans="4:11">
      <c r="D214" s="370"/>
    </row>
    <row r="215" spans="4:11">
      <c r="D215" s="370"/>
    </row>
    <row r="216" spans="4:11">
      <c r="D216" s="345"/>
      <c r="E216" s="381"/>
      <c r="F216" s="381"/>
      <c r="G216" s="381"/>
      <c r="H216" s="381"/>
      <c r="I216" s="381"/>
    </row>
    <row r="217" spans="4:11">
      <c r="D217" s="345"/>
      <c r="E217" s="381"/>
      <c r="F217" s="381"/>
      <c r="G217" s="381"/>
      <c r="H217" s="381"/>
      <c r="I217" s="381"/>
    </row>
    <row r="218" spans="4:11">
      <c r="D218" s="370"/>
      <c r="E218" s="381"/>
      <c r="F218" s="381"/>
      <c r="G218" s="381"/>
      <c r="H218" s="381"/>
      <c r="I218" s="381"/>
    </row>
    <row r="219" spans="4:11">
      <c r="D219" s="370"/>
      <c r="E219" s="381"/>
      <c r="F219" s="381"/>
      <c r="G219" s="381"/>
      <c r="H219" s="381"/>
      <c r="I219" s="381"/>
    </row>
    <row r="220" spans="4:11">
      <c r="D220" s="370"/>
    </row>
    <row r="221" spans="4:11">
      <c r="D221" s="345"/>
      <c r="E221" s="381"/>
      <c r="F221" s="381"/>
      <c r="G221" s="381"/>
      <c r="H221" s="381"/>
      <c r="I221" s="381"/>
    </row>
    <row r="222" spans="4:11">
      <c r="D222" s="370"/>
      <c r="E222" s="381"/>
      <c r="F222" s="381"/>
      <c r="G222" s="381"/>
      <c r="H222" s="381"/>
      <c r="I222" s="381"/>
    </row>
    <row r="223" spans="4:11">
      <c r="D223" s="370"/>
      <c r="E223" s="381"/>
      <c r="F223" s="381"/>
      <c r="G223" s="381"/>
      <c r="H223" s="381"/>
      <c r="I223" s="381"/>
    </row>
    <row r="224" spans="4:11">
      <c r="D224" s="370"/>
    </row>
    <row r="225" spans="4:11">
      <c r="D225" s="370"/>
    </row>
    <row r="226" spans="4:11">
      <c r="D226" s="370"/>
      <c r="J226" s="381"/>
    </row>
    <row r="227" spans="4:11">
      <c r="D227" s="370"/>
      <c r="J227" s="381"/>
      <c r="K227" s="381"/>
    </row>
    <row r="228" spans="4:11">
      <c r="D228" s="370"/>
      <c r="K228" s="381"/>
    </row>
    <row r="229" spans="4:11">
      <c r="D229" s="370"/>
      <c r="J229" s="381"/>
    </row>
    <row r="230" spans="4:11">
      <c r="D230" s="370"/>
      <c r="J230" s="381"/>
      <c r="K230" s="381"/>
    </row>
    <row r="231" spans="4:11">
      <c r="D231" s="370"/>
      <c r="J231" s="381"/>
      <c r="K231" s="381"/>
    </row>
    <row r="232" spans="4:11">
      <c r="D232" s="370"/>
      <c r="K232" s="381"/>
    </row>
    <row r="233" spans="4:11">
      <c r="D233" s="345"/>
      <c r="E233" s="381"/>
      <c r="F233" s="381"/>
      <c r="G233" s="381"/>
      <c r="H233" s="381"/>
      <c r="I233" s="381"/>
    </row>
    <row r="234" spans="4:11">
      <c r="D234" s="370"/>
      <c r="J234" s="381"/>
    </row>
    <row r="235" spans="4:11">
      <c r="D235" s="370"/>
      <c r="J235" s="381"/>
      <c r="K235" s="381"/>
    </row>
    <row r="236" spans="4:11">
      <c r="D236" s="345"/>
      <c r="E236" s="381"/>
      <c r="F236" s="381"/>
      <c r="G236" s="381"/>
      <c r="H236" s="381"/>
      <c r="I236" s="381"/>
      <c r="K236" s="381"/>
    </row>
    <row r="237" spans="4:11">
      <c r="D237" s="370"/>
    </row>
    <row r="238" spans="4:11">
      <c r="D238" s="345"/>
      <c r="E238" s="381"/>
      <c r="F238" s="381"/>
      <c r="G238" s="381"/>
      <c r="H238" s="381"/>
      <c r="I238" s="381"/>
    </row>
    <row r="239" spans="4:11">
      <c r="D239" s="370"/>
      <c r="E239" s="381"/>
      <c r="F239" s="381"/>
      <c r="G239" s="381"/>
      <c r="H239" s="381"/>
      <c r="I239" s="381"/>
    </row>
    <row r="240" spans="4:11">
      <c r="D240" s="370"/>
    </row>
    <row r="241" spans="4:11">
      <c r="D241" s="370"/>
    </row>
    <row r="242" spans="4:11">
      <c r="D242" s="345"/>
      <c r="E242" s="381"/>
      <c r="F242" s="381"/>
      <c r="G242" s="381"/>
      <c r="H242" s="381"/>
      <c r="I242" s="381"/>
    </row>
    <row r="243" spans="4:11">
      <c r="D243" s="370"/>
      <c r="E243" s="381"/>
      <c r="F243" s="381"/>
      <c r="G243" s="381"/>
      <c r="H243" s="381"/>
      <c r="I243" s="381"/>
    </row>
    <row r="244" spans="4:11">
      <c r="D244" s="370"/>
    </row>
    <row r="245" spans="4:11">
      <c r="D245" s="345"/>
      <c r="E245" s="381"/>
      <c r="F245" s="381"/>
      <c r="G245" s="381"/>
      <c r="H245" s="381"/>
      <c r="I245" s="381"/>
    </row>
    <row r="246" spans="4:11">
      <c r="D246" s="370"/>
      <c r="J246" s="381"/>
    </row>
    <row r="247" spans="4:11">
      <c r="D247" s="370"/>
      <c r="J247" s="381"/>
      <c r="K247" s="381"/>
    </row>
    <row r="248" spans="4:11">
      <c r="D248" s="345"/>
      <c r="E248" s="381"/>
      <c r="F248" s="381"/>
      <c r="G248" s="381"/>
      <c r="H248" s="381"/>
      <c r="I248" s="381"/>
      <c r="K248" s="381"/>
    </row>
    <row r="249" spans="4:11">
      <c r="D249" s="370"/>
    </row>
    <row r="250" spans="4:11">
      <c r="D250" s="370"/>
      <c r="J250" s="381"/>
    </row>
    <row r="251" spans="4:11">
      <c r="D251" s="370"/>
      <c r="J251" s="381"/>
      <c r="K251" s="381"/>
    </row>
    <row r="252" spans="4:11">
      <c r="D252" s="345"/>
      <c r="E252" s="381"/>
      <c r="F252" s="381"/>
      <c r="G252" s="381"/>
      <c r="H252" s="381"/>
      <c r="I252" s="381"/>
      <c r="K252" s="381"/>
    </row>
    <row r="253" spans="4:11">
      <c r="D253" s="370"/>
    </row>
    <row r="254" spans="4:11">
      <c r="D254" s="370"/>
      <c r="E254" s="345"/>
      <c r="F254" s="345"/>
      <c r="G254" s="345"/>
      <c r="H254" s="345"/>
      <c r="I254" s="345"/>
      <c r="J254" s="381"/>
    </row>
    <row r="255" spans="4:11">
      <c r="D255" s="370"/>
      <c r="E255" s="345"/>
      <c r="F255" s="345"/>
      <c r="G255" s="345"/>
      <c r="H255" s="345"/>
      <c r="I255" s="345"/>
      <c r="K255" s="381"/>
    </row>
    <row r="256" spans="4:11">
      <c r="D256" s="370"/>
    </row>
    <row r="257" spans="4:4">
      <c r="D257" s="370"/>
    </row>
    <row r="258" spans="4:4">
      <c r="D258" s="370"/>
    </row>
    <row r="259" spans="4:4">
      <c r="D259" s="370"/>
    </row>
    <row r="260" spans="4:4">
      <c r="D260" s="370"/>
    </row>
    <row r="261" spans="4:4">
      <c r="D261" s="370"/>
    </row>
    <row r="262" spans="4:4">
      <c r="D262" s="370"/>
    </row>
    <row r="263" spans="4:4">
      <c r="D263" s="370"/>
    </row>
    <row r="264" spans="4:4">
      <c r="D264" s="370"/>
    </row>
    <row r="265" spans="4:4">
      <c r="D265" s="370"/>
    </row>
    <row r="266" spans="4:4">
      <c r="D266" s="370"/>
    </row>
    <row r="267" spans="4:4">
      <c r="D267" s="370"/>
    </row>
    <row r="268" spans="4:4">
      <c r="D268" s="370"/>
    </row>
    <row r="269" spans="4:4">
      <c r="D269" s="370"/>
    </row>
    <row r="270" spans="4:4">
      <c r="D270" s="370"/>
    </row>
    <row r="271" spans="4:4">
      <c r="D271" s="370"/>
    </row>
    <row r="272" spans="4:4">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sheetData>
  <phoneticPr fontId="26" type="noConversion"/>
  <pageMargins left="0.75" right="0.75" top="1" bottom="1" header="0.5" footer="0.5"/>
  <pageSetup scale="47" orientation="landscape" r:id="rId1"/>
  <headerFooter alignWithMargins="0"/>
  <drawing r:id="rId2"/>
  <legacy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40">
    <pageSetUpPr fitToPage="1"/>
  </sheetPr>
  <dimension ref="A1:X458"/>
  <sheetViews>
    <sheetView showGridLines="0" zoomScale="80" zoomScaleNormal="80" workbookViewId="0">
      <selection activeCell="J28" sqref="J28"/>
    </sheetView>
  </sheetViews>
  <sheetFormatPr defaultColWidth="9.109375" defaultRowHeight="12"/>
  <cols>
    <col min="1" max="1" width="2.33203125" style="367" customWidth="1"/>
    <col min="2" max="4" width="10" style="367" customWidth="1"/>
    <col min="5" max="5" width="20.441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1450</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103</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9" t="s">
        <v>127</v>
      </c>
      <c r="O9" s="459"/>
      <c r="P9" s="458" t="s">
        <v>128</v>
      </c>
      <c r="Q9" s="458"/>
      <c r="R9" s="458" t="s">
        <v>31</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479</v>
      </c>
      <c r="C11" s="370"/>
      <c r="E11" s="367" t="str">
        <f>"DCF, "&amp;TEXT(H11,"0.0")&amp;"x 22A OpFCF"</f>
        <v>DCF, 13.7x 22A OpFCF</v>
      </c>
      <c r="F11" s="484">
        <v>1754.694</v>
      </c>
      <c r="G11" s="178" t="s">
        <v>133</v>
      </c>
      <c r="H11" s="487">
        <v>13.690116187578822</v>
      </c>
      <c r="I11" s="178" t="s">
        <v>134</v>
      </c>
      <c r="J11" s="216">
        <f>(H11*F11)</f>
        <v>24021.964733647434</v>
      </c>
      <c r="K11" s="178" t="s">
        <v>135</v>
      </c>
      <c r="L11" s="484"/>
      <c r="M11" s="178" t="s">
        <v>134</v>
      </c>
      <c r="N11" s="216">
        <f>J11-L11</f>
        <v>24021.964733647434</v>
      </c>
      <c r="O11" s="178" t="s">
        <v>133</v>
      </c>
      <c r="P11" s="490">
        <v>1</v>
      </c>
      <c r="Q11" s="393" t="s">
        <v>134</v>
      </c>
      <c r="R11" s="216">
        <f>P11*N11</f>
        <v>24021.964733647434</v>
      </c>
      <c r="S11" s="216"/>
      <c r="T11" s="216">
        <f>N11-R11</f>
        <v>0</v>
      </c>
      <c r="U11" s="216"/>
      <c r="V11" s="394">
        <f t="shared" ref="V11:V16" si="0">N11/$J$38</f>
        <v>1.7276733679734626</v>
      </c>
      <c r="W11" s="370"/>
      <c r="X11" s="373">
        <f t="shared" ref="X11:X16" si="1">$J$43*V11</f>
        <v>6.1952247748292342</v>
      </c>
    </row>
    <row r="12" spans="2:24">
      <c r="B12" s="370" t="s">
        <v>480</v>
      </c>
      <c r="C12" s="370"/>
      <c r="E12" s="367" t="str">
        <f t="shared" ref="E12:E15" si="2">"DCF, "&amp;TEXT(H12,"0.0")&amp;"x 22A OpFCF"</f>
        <v>DCF, 13.4x 22A OpFCF</v>
      </c>
      <c r="F12" s="484">
        <v>1004.0031999999999</v>
      </c>
      <c r="G12" s="178" t="s">
        <v>133</v>
      </c>
      <c r="H12" s="487">
        <v>13.371983218763511</v>
      </c>
      <c r="I12" s="178" t="s">
        <v>134</v>
      </c>
      <c r="J12" s="216">
        <f t="shared" ref="J12:J15" si="3">(H12*F12)</f>
        <v>13425.513941984864</v>
      </c>
      <c r="K12" s="178" t="s">
        <v>135</v>
      </c>
      <c r="L12" s="484"/>
      <c r="M12" s="178" t="s">
        <v>134</v>
      </c>
      <c r="N12" s="216">
        <f t="shared" ref="N12:N16" si="4">J12-L12</f>
        <v>13425.513941984864</v>
      </c>
      <c r="O12" s="178" t="s">
        <v>133</v>
      </c>
      <c r="P12" s="490">
        <v>1</v>
      </c>
      <c r="Q12" s="393" t="s">
        <v>134</v>
      </c>
      <c r="R12" s="216">
        <f t="shared" ref="R12:R15" si="5">P12*N12</f>
        <v>13425.513941984864</v>
      </c>
      <c r="S12" s="216"/>
      <c r="T12" s="216">
        <f t="shared" ref="T12:T16" si="6">N12-R12</f>
        <v>0</v>
      </c>
      <c r="U12" s="216"/>
      <c r="V12" s="394">
        <f t="shared" si="0"/>
        <v>0.96557059949533164</v>
      </c>
      <c r="W12" s="370"/>
      <c r="X12" s="373">
        <f t="shared" si="1"/>
        <v>3.462417729374919</v>
      </c>
    </row>
    <row r="13" spans="2:24">
      <c r="B13" s="370" t="s">
        <v>100</v>
      </c>
      <c r="C13" s="370"/>
      <c r="E13" s="367" t="str">
        <f t="shared" si="2"/>
        <v>DCF, -2.7x 22A OpFCF</v>
      </c>
      <c r="F13" s="484">
        <v>-261.24</v>
      </c>
      <c r="G13" s="178" t="s">
        <v>133</v>
      </c>
      <c r="H13" s="487">
        <v>-2.7101147783308925</v>
      </c>
      <c r="I13" s="178" t="s">
        <v>134</v>
      </c>
      <c r="J13" s="216">
        <f t="shared" si="3"/>
        <v>707.99038469116238</v>
      </c>
      <c r="K13" s="178" t="s">
        <v>135</v>
      </c>
      <c r="L13" s="484"/>
      <c r="M13" s="178" t="s">
        <v>134</v>
      </c>
      <c r="N13" s="216">
        <f t="shared" si="4"/>
        <v>707.99038469116238</v>
      </c>
      <c r="O13" s="178" t="s">
        <v>133</v>
      </c>
      <c r="P13" s="490">
        <v>1</v>
      </c>
      <c r="Q13" s="393" t="s">
        <v>134</v>
      </c>
      <c r="R13" s="216">
        <f t="shared" si="5"/>
        <v>707.99038469116238</v>
      </c>
      <c r="S13" s="216"/>
      <c r="T13" s="216">
        <f t="shared" si="6"/>
        <v>0</v>
      </c>
      <c r="U13" s="216"/>
      <c r="V13" s="394">
        <f t="shared" si="0"/>
        <v>5.0919071190663759E-2</v>
      </c>
      <c r="W13" s="370"/>
      <c r="X13" s="373">
        <f t="shared" si="1"/>
        <v>0.18258954337052621</v>
      </c>
    </row>
    <row r="14" spans="2:24">
      <c r="B14" s="370" t="s">
        <v>901</v>
      </c>
      <c r="E14" s="367" t="str">
        <f t="shared" si="2"/>
        <v>DCF, 10.8x 22A OpFCF</v>
      </c>
      <c r="F14" s="484">
        <v>-920.80584549489731</v>
      </c>
      <c r="G14" s="178" t="s">
        <v>133</v>
      </c>
      <c r="H14" s="487">
        <v>10.824989048023767</v>
      </c>
      <c r="I14" s="178" t="s">
        <v>134</v>
      </c>
      <c r="J14" s="216">
        <f t="shared" si="3"/>
        <v>-9967.7131928385279</v>
      </c>
      <c r="K14" s="178"/>
      <c r="L14" s="484"/>
      <c r="M14" s="178" t="s">
        <v>134</v>
      </c>
      <c r="N14" s="216">
        <f t="shared" si="4"/>
        <v>-9967.7131928385279</v>
      </c>
      <c r="O14" s="178" t="s">
        <v>133</v>
      </c>
      <c r="P14" s="490">
        <v>1</v>
      </c>
      <c r="Q14" s="393" t="s">
        <v>134</v>
      </c>
      <c r="R14" s="216">
        <f t="shared" si="5"/>
        <v>-9967.7131928385279</v>
      </c>
      <c r="S14" s="216"/>
      <c r="T14" s="216">
        <f t="shared" si="6"/>
        <v>0</v>
      </c>
      <c r="U14" s="216"/>
      <c r="V14" s="394">
        <f t="shared" si="0"/>
        <v>-0.71688360272811325</v>
      </c>
      <c r="W14" s="370"/>
      <c r="X14" s="373">
        <f t="shared" si="1"/>
        <v>-2.5706566638227328</v>
      </c>
    </row>
    <row r="15" spans="2:24">
      <c r="B15" s="370" t="s">
        <v>140</v>
      </c>
      <c r="C15" s="370"/>
      <c r="E15" s="367" t="str">
        <f t="shared" si="2"/>
        <v>DCF, 19.0x 22A OpFCF</v>
      </c>
      <c r="F15" s="484">
        <v>-378.55534455510275</v>
      </c>
      <c r="G15" s="178" t="s">
        <v>133</v>
      </c>
      <c r="H15" s="487">
        <v>18.98500539250583</v>
      </c>
      <c r="I15" s="178" t="s">
        <v>134</v>
      </c>
      <c r="J15" s="216">
        <f t="shared" si="3"/>
        <v>-7186.8752577405285</v>
      </c>
      <c r="K15" s="178" t="s">
        <v>135</v>
      </c>
      <c r="L15" s="484"/>
      <c r="M15" s="178" t="s">
        <v>134</v>
      </c>
      <c r="N15" s="216">
        <f t="shared" si="4"/>
        <v>-7186.8752577405285</v>
      </c>
      <c r="O15" s="178" t="s">
        <v>133</v>
      </c>
      <c r="P15" s="490">
        <v>1</v>
      </c>
      <c r="Q15" s="393" t="s">
        <v>134</v>
      </c>
      <c r="R15" s="216">
        <f t="shared" si="5"/>
        <v>-7186.8752577405285</v>
      </c>
      <c r="T15" s="216">
        <f t="shared" si="6"/>
        <v>0</v>
      </c>
      <c r="V15" s="394">
        <f t="shared" si="0"/>
        <v>-0.51688415662162301</v>
      </c>
      <c r="X15" s="373">
        <f t="shared" si="1"/>
        <v>-1.8534831827471798</v>
      </c>
    </row>
    <row r="16" spans="2:24">
      <c r="B16" s="345" t="s">
        <v>16</v>
      </c>
      <c r="F16" s="210"/>
      <c r="G16" s="196"/>
      <c r="H16" s="372"/>
      <c r="I16" s="196"/>
      <c r="J16" s="398">
        <f>SUM(J11:J15)</f>
        <v>21000.880609744407</v>
      </c>
      <c r="K16" s="196"/>
      <c r="L16" s="398"/>
      <c r="M16" s="196"/>
      <c r="N16" s="398">
        <f t="shared" si="4"/>
        <v>21000.880609744407</v>
      </c>
      <c r="O16" s="196"/>
      <c r="P16" s="439"/>
      <c r="Q16" s="369"/>
      <c r="R16" s="398">
        <f>SUM(R11:R15)</f>
        <v>21000.880609744407</v>
      </c>
      <c r="S16" s="210"/>
      <c r="T16" s="398">
        <f t="shared" si="6"/>
        <v>0</v>
      </c>
      <c r="U16" s="210"/>
      <c r="V16" s="439">
        <f t="shared" si="0"/>
        <v>1.5103952793097217</v>
      </c>
      <c r="W16" s="370"/>
      <c r="X16" s="416">
        <f t="shared" si="1"/>
        <v>5.4160922010047665</v>
      </c>
    </row>
    <row r="17" spans="2:24">
      <c r="B17" s="370" t="s">
        <v>909</v>
      </c>
      <c r="C17" s="370"/>
      <c r="H17" s="214"/>
      <c r="J17" s="484">
        <v>13607.776022093149</v>
      </c>
      <c r="L17" s="216"/>
      <c r="P17" s="215"/>
      <c r="R17" s="216"/>
      <c r="S17" s="216"/>
      <c r="T17" s="216"/>
      <c r="U17" s="216"/>
      <c r="V17" s="215"/>
      <c r="W17" s="370"/>
      <c r="X17" s="373"/>
    </row>
    <row r="18" spans="2:24">
      <c r="B18" s="370" t="s">
        <v>910</v>
      </c>
      <c r="C18" s="370"/>
      <c r="G18" s="178"/>
      <c r="H18" s="373"/>
      <c r="I18" s="178"/>
      <c r="J18" s="484">
        <v>7393.104587651258</v>
      </c>
      <c r="K18" s="178"/>
      <c r="L18" s="216"/>
      <c r="M18" s="178"/>
      <c r="N18" s="216"/>
      <c r="O18" s="178"/>
      <c r="P18" s="215"/>
      <c r="Q18" s="393"/>
      <c r="R18" s="216"/>
      <c r="S18" s="370"/>
      <c r="T18" s="216"/>
      <c r="U18" s="370"/>
      <c r="V18" s="450"/>
      <c r="W18" s="370"/>
      <c r="X18" s="373"/>
    </row>
    <row r="19" spans="2:24">
      <c r="B19" s="345"/>
      <c r="C19" s="345"/>
      <c r="F19" s="210"/>
      <c r="G19" s="196"/>
      <c r="H19" s="372"/>
      <c r="I19" s="196"/>
      <c r="J19" s="210"/>
      <c r="K19" s="196"/>
      <c r="L19" s="210"/>
      <c r="M19" s="196"/>
      <c r="N19" s="210"/>
      <c r="O19" s="196"/>
      <c r="P19" s="211"/>
      <c r="Q19" s="369"/>
      <c r="R19" s="210"/>
      <c r="S19" s="370"/>
      <c r="T19" s="210"/>
      <c r="U19" s="370"/>
      <c r="V19" s="438"/>
      <c r="W19" s="370"/>
      <c r="X19" s="372"/>
    </row>
    <row r="20" spans="2:24">
      <c r="B20" s="345" t="s">
        <v>138</v>
      </c>
    </row>
    <row r="21" spans="2:24">
      <c r="B21" s="370" t="s">
        <v>746</v>
      </c>
      <c r="C21" s="370"/>
      <c r="E21" s="367" t="s">
        <v>723</v>
      </c>
      <c r="F21" s="484"/>
      <c r="G21" s="178" t="s">
        <v>133</v>
      </c>
      <c r="H21" s="487"/>
      <c r="I21" s="178" t="s">
        <v>134</v>
      </c>
      <c r="J21" s="216">
        <f>(H21*F21)</f>
        <v>0</v>
      </c>
      <c r="K21" s="178" t="s">
        <v>135</v>
      </c>
      <c r="L21" s="484"/>
      <c r="M21" s="178" t="s">
        <v>134</v>
      </c>
      <c r="N21" s="216">
        <f>J21-L21</f>
        <v>0</v>
      </c>
      <c r="O21" s="178" t="s">
        <v>133</v>
      </c>
      <c r="P21" s="490">
        <v>0</v>
      </c>
      <c r="Q21" s="393" t="s">
        <v>134</v>
      </c>
      <c r="R21" s="216">
        <f>P21*N21</f>
        <v>0</v>
      </c>
    </row>
    <row r="22" spans="2:24">
      <c r="B22" s="370"/>
      <c r="C22" s="370"/>
      <c r="D22" s="370"/>
      <c r="E22" s="370"/>
      <c r="F22" s="370"/>
      <c r="G22" s="370"/>
      <c r="H22" s="370"/>
      <c r="I22" s="370"/>
      <c r="J22" s="370"/>
      <c r="K22" s="370"/>
      <c r="L22" s="370"/>
      <c r="M22" s="370"/>
      <c r="N22" s="370"/>
      <c r="O22" s="370"/>
      <c r="P22" s="370"/>
      <c r="Q22" s="393"/>
      <c r="R22" s="216"/>
    </row>
    <row r="23" spans="2:24">
      <c r="B23" s="345"/>
      <c r="C23" s="345"/>
    </row>
    <row r="24" spans="2:24">
      <c r="B24" s="345" t="s">
        <v>724</v>
      </c>
      <c r="C24" s="345"/>
      <c r="E24" s="367" t="s">
        <v>725</v>
      </c>
      <c r="F24" s="196"/>
      <c r="G24" s="196"/>
      <c r="H24" s="376"/>
      <c r="I24" s="196"/>
      <c r="J24" s="375"/>
      <c r="K24" s="196"/>
      <c r="L24" s="196"/>
      <c r="M24" s="196"/>
      <c r="N24" s="480">
        <v>0</v>
      </c>
      <c r="O24" s="196" t="s">
        <v>133</v>
      </c>
      <c r="P24" s="483">
        <v>1</v>
      </c>
      <c r="Q24" s="369" t="s">
        <v>134</v>
      </c>
      <c r="R24" s="374">
        <f>P24*N24</f>
        <v>0</v>
      </c>
    </row>
    <row r="25" spans="2:24">
      <c r="B25" s="345" t="s">
        <v>137</v>
      </c>
      <c r="C25" s="370"/>
      <c r="R25" s="210">
        <f>SUM(R21:R24)</f>
        <v>0</v>
      </c>
    </row>
    <row r="27" spans="2:24" ht="12.6" thickBot="1">
      <c r="B27" s="382" t="s">
        <v>141</v>
      </c>
      <c r="D27" s="345"/>
      <c r="E27" s="381"/>
      <c r="H27" s="381"/>
      <c r="I27" s="381"/>
      <c r="J27" s="374">
        <f>J16</f>
        <v>21000.880609744407</v>
      </c>
      <c r="T27" s="460" t="s">
        <v>544</v>
      </c>
      <c r="U27" s="368"/>
      <c r="V27" s="368"/>
      <c r="W27" s="368"/>
      <c r="X27" s="368"/>
    </row>
    <row r="28" spans="2:24" ht="12.6" thickTop="1">
      <c r="B28" s="383" t="s">
        <v>1491</v>
      </c>
      <c r="D28" s="386"/>
      <c r="E28" s="381"/>
      <c r="G28" s="381"/>
      <c r="H28" s="381"/>
      <c r="I28" s="381"/>
      <c r="J28" s="216">
        <f>-KPN!E12</f>
        <v>-5848.3174354217172</v>
      </c>
    </row>
    <row r="29" spans="2:24">
      <c r="B29" s="384" t="s">
        <v>651</v>
      </c>
      <c r="D29" s="386"/>
      <c r="E29" s="381"/>
      <c r="G29" s="381"/>
      <c r="H29" s="381"/>
      <c r="I29" s="381"/>
      <c r="J29" s="484">
        <v>-1386.0928898940019</v>
      </c>
    </row>
    <row r="30" spans="2:24">
      <c r="B30" s="384" t="s">
        <v>1354</v>
      </c>
      <c r="D30" s="345"/>
      <c r="E30" s="381"/>
      <c r="G30" s="381"/>
      <c r="H30" s="381"/>
      <c r="I30" s="381"/>
      <c r="J30" s="484">
        <v>51.594746716697934</v>
      </c>
    </row>
    <row r="31" spans="2:24">
      <c r="B31" s="384" t="s">
        <v>1355</v>
      </c>
      <c r="D31" s="345"/>
      <c r="E31" s="381"/>
      <c r="G31" s="381"/>
      <c r="H31" s="381"/>
      <c r="I31" s="381"/>
      <c r="J31" s="484">
        <v>0</v>
      </c>
    </row>
    <row r="32" spans="2:24">
      <c r="B32" s="384" t="s">
        <v>997</v>
      </c>
      <c r="D32" s="345"/>
      <c r="E32" s="381"/>
      <c r="G32" s="381"/>
      <c r="H32" s="381"/>
      <c r="I32" s="381"/>
      <c r="J32" s="484">
        <v>-9.3808630393996246</v>
      </c>
    </row>
    <row r="33" spans="1:11">
      <c r="B33" s="384" t="s">
        <v>1433</v>
      </c>
      <c r="D33" s="345"/>
      <c r="E33" s="381"/>
      <c r="G33" s="381"/>
      <c r="H33" s="381"/>
      <c r="I33" s="381"/>
      <c r="J33" s="484">
        <v>-70.905596485608385</v>
      </c>
    </row>
    <row r="34" spans="1:11">
      <c r="B34" s="384" t="s">
        <v>955</v>
      </c>
      <c r="D34" s="345"/>
      <c r="E34" s="381"/>
      <c r="G34" s="381"/>
      <c r="H34" s="381"/>
      <c r="I34" s="381"/>
      <c r="J34" s="484">
        <v>189.67828863422594</v>
      </c>
    </row>
    <row r="35" spans="1:11">
      <c r="A35" s="384"/>
      <c r="B35" s="384" t="s">
        <v>743</v>
      </c>
      <c r="D35" s="345"/>
      <c r="E35" s="381"/>
      <c r="G35" s="381"/>
      <c r="H35" s="381"/>
      <c r="I35" s="381"/>
      <c r="J35" s="484">
        <v>-23.228677455863597</v>
      </c>
      <c r="K35" s="381"/>
    </row>
    <row r="36" spans="1:11">
      <c r="A36" s="384"/>
      <c r="B36" s="384" t="s">
        <v>370</v>
      </c>
      <c r="D36" s="345"/>
      <c r="E36" s="381"/>
      <c r="H36" s="381"/>
      <c r="I36" s="381"/>
      <c r="J36" s="216">
        <f>-T16</f>
        <v>0</v>
      </c>
      <c r="K36" s="381"/>
    </row>
    <row r="37" spans="1:11">
      <c r="A37" s="384"/>
      <c r="B37" s="384" t="s">
        <v>372</v>
      </c>
      <c r="J37" s="385">
        <f>R25</f>
        <v>0</v>
      </c>
    </row>
    <row r="38" spans="1:11">
      <c r="A38" s="384"/>
      <c r="B38" s="382" t="s">
        <v>490</v>
      </c>
      <c r="D38" s="345"/>
      <c r="E38" s="381"/>
      <c r="G38" s="381"/>
      <c r="H38" s="381"/>
      <c r="I38" s="381"/>
      <c r="J38" s="210">
        <f>SUM(J27:J37)</f>
        <v>13904.228182798739</v>
      </c>
      <c r="K38" s="381"/>
    </row>
    <row r="39" spans="1:11" ht="12.6" thickBot="1">
      <c r="A39" s="384"/>
      <c r="B39" s="384" t="s">
        <v>491</v>
      </c>
      <c r="D39" s="370"/>
      <c r="J39" s="216">
        <f>KPN!D10</f>
        <v>3943.4804039999999</v>
      </c>
      <c r="K39" s="381"/>
    </row>
    <row r="40" spans="1:11" ht="12.6" thickBot="1">
      <c r="A40" s="384"/>
      <c r="B40" s="382" t="s">
        <v>492</v>
      </c>
      <c r="D40" s="370"/>
      <c r="J40" s="461">
        <f>J38/J39</f>
        <v>3.5258773363486808</v>
      </c>
      <c r="K40" s="381"/>
    </row>
    <row r="41" spans="1:11">
      <c r="A41" s="384"/>
      <c r="B41" s="384" t="s">
        <v>742</v>
      </c>
      <c r="J41" s="485">
        <v>0.06</v>
      </c>
      <c r="K41" s="381"/>
    </row>
    <row r="42" spans="1:11" ht="12.6" thickBot="1">
      <c r="A42" s="384"/>
      <c r="B42" s="384" t="s">
        <v>961</v>
      </c>
      <c r="J42" s="485"/>
      <c r="K42" s="381"/>
    </row>
    <row r="43" spans="1:11" ht="12.6" thickBot="1">
      <c r="B43" s="382" t="s">
        <v>61</v>
      </c>
      <c r="D43" s="345"/>
      <c r="E43" s="381"/>
      <c r="F43" s="381"/>
      <c r="G43" s="381"/>
      <c r="H43" s="381"/>
      <c r="I43" s="381"/>
      <c r="J43" s="461">
        <f>J40+J41+J42</f>
        <v>3.5858773363486809</v>
      </c>
      <c r="K43" s="381"/>
    </row>
    <row r="44" spans="1:11">
      <c r="B44" s="384" t="s">
        <v>493</v>
      </c>
      <c r="D44" s="370"/>
      <c r="J44" s="427">
        <f>Prices!C10</f>
        <v>3.746</v>
      </c>
    </row>
    <row r="45" spans="1:11">
      <c r="B45" s="382" t="s">
        <v>96</v>
      </c>
      <c r="D45" s="345"/>
      <c r="E45" s="381"/>
      <c r="H45" s="381"/>
      <c r="I45" s="381"/>
      <c r="J45" s="387">
        <f>J43/J44-1</f>
        <v>-4.2744971610069182E-2</v>
      </c>
      <c r="K45" s="381"/>
    </row>
    <row r="46" spans="1:11">
      <c r="D46" s="345"/>
      <c r="E46" s="381"/>
      <c r="F46" s="381"/>
      <c r="G46" s="381"/>
      <c r="H46" s="381"/>
      <c r="I46" s="381"/>
      <c r="J46" s="381"/>
    </row>
    <row r="47" spans="1:11">
      <c r="D47" s="345"/>
      <c r="E47" s="381"/>
      <c r="F47" s="381"/>
      <c r="G47" s="381"/>
      <c r="H47" s="381"/>
      <c r="I47" s="381"/>
      <c r="J47" s="381"/>
      <c r="K47" s="381"/>
    </row>
    <row r="48" spans="1:11">
      <c r="B48" s="367" t="s">
        <v>371</v>
      </c>
      <c r="D48" s="386">
        <f>Prices!F155</f>
        <v>0.89983682359041017</v>
      </c>
      <c r="E48" s="381"/>
      <c r="F48" s="381"/>
      <c r="G48" s="381"/>
      <c r="H48" s="381"/>
      <c r="I48" s="381"/>
      <c r="J48" s="381"/>
    </row>
    <row r="51" spans="4:24">
      <c r="D51" s="345"/>
      <c r="E51" s="345"/>
      <c r="F51" s="345"/>
      <c r="G51" s="345"/>
      <c r="H51" s="345"/>
      <c r="I51" s="345"/>
      <c r="K51" s="381"/>
    </row>
    <row r="52" spans="4:24">
      <c r="D52" s="345"/>
      <c r="E52" s="345"/>
      <c r="F52" s="345"/>
      <c r="G52" s="345"/>
      <c r="H52" s="345"/>
      <c r="I52" s="345"/>
      <c r="K52" s="381"/>
    </row>
    <row r="53" spans="4:24" ht="12.6" thickBot="1">
      <c r="D53" s="345"/>
      <c r="E53" s="345"/>
      <c r="F53" s="345"/>
      <c r="G53" s="345"/>
      <c r="H53" s="345"/>
      <c r="I53" s="345"/>
      <c r="T53" s="460" t="s">
        <v>544</v>
      </c>
      <c r="U53" s="368"/>
      <c r="V53" s="368"/>
      <c r="W53" s="368"/>
      <c r="X53" s="368"/>
    </row>
    <row r="54" spans="4:24" ht="12.6" thickTop="1">
      <c r="D54" s="345"/>
      <c r="E54" s="345"/>
      <c r="F54" s="345"/>
      <c r="G54" s="345"/>
      <c r="H54" s="345"/>
      <c r="I54" s="345"/>
      <c r="T54" s="345" t="s">
        <v>686</v>
      </c>
      <c r="X54" s="387">
        <f>J18/J16</f>
        <v>0.35203783712864201</v>
      </c>
    </row>
    <row r="55" spans="4:24">
      <c r="D55" s="345"/>
      <c r="E55" s="345"/>
      <c r="F55" s="345"/>
      <c r="G55" s="345"/>
      <c r="H55" s="345"/>
      <c r="I55" s="345"/>
      <c r="T55" s="345" t="s">
        <v>132</v>
      </c>
      <c r="X55" s="387">
        <f>J17/J16</f>
        <v>0.64796216287135799</v>
      </c>
    </row>
    <row r="56" spans="4:24">
      <c r="D56" s="345"/>
      <c r="E56" s="345"/>
      <c r="F56" s="345"/>
      <c r="G56" s="345"/>
      <c r="H56" s="345"/>
      <c r="I56" s="345"/>
      <c r="T56" s="345" t="s">
        <v>140</v>
      </c>
      <c r="X56" s="387">
        <f>1-X55-X54</f>
        <v>0</v>
      </c>
    </row>
    <row r="57" spans="4:24">
      <c r="D57" s="345"/>
      <c r="E57" s="345"/>
      <c r="F57" s="345"/>
      <c r="G57" s="345"/>
      <c r="H57" s="345"/>
      <c r="I57" s="345"/>
    </row>
    <row r="58" spans="4:24">
      <c r="D58" s="345"/>
      <c r="E58" s="381"/>
      <c r="F58" s="381"/>
      <c r="G58" s="381"/>
      <c r="H58" s="381"/>
      <c r="I58" s="381"/>
    </row>
    <row r="59" spans="4:24">
      <c r="D59" s="345"/>
      <c r="E59" s="381"/>
      <c r="F59" s="381"/>
      <c r="G59" s="381"/>
      <c r="H59" s="381"/>
      <c r="I59" s="381"/>
    </row>
    <row r="60" spans="4:24">
      <c r="D60" s="370"/>
      <c r="E60" s="381"/>
      <c r="F60" s="381"/>
      <c r="G60" s="381"/>
      <c r="H60" s="381"/>
      <c r="I60" s="381"/>
    </row>
    <row r="61" spans="4:24">
      <c r="D61" s="370"/>
      <c r="E61" s="381"/>
      <c r="F61" s="381"/>
      <c r="G61" s="381"/>
      <c r="H61" s="381"/>
      <c r="I61" s="381"/>
    </row>
    <row r="62" spans="4:24">
      <c r="D62" s="370"/>
    </row>
    <row r="63" spans="4:24">
      <c r="D63" s="345"/>
      <c r="E63" s="381"/>
      <c r="F63" s="381"/>
      <c r="G63" s="381"/>
      <c r="H63" s="381"/>
      <c r="I63" s="381"/>
      <c r="Q63" s="249"/>
      <c r="R63" s="249"/>
    </row>
    <row r="64" spans="4:24">
      <c r="D64" s="370"/>
      <c r="E64" s="381"/>
      <c r="F64" s="381"/>
      <c r="G64" s="381"/>
      <c r="H64" s="381"/>
      <c r="I64" s="381"/>
      <c r="Q64" s="388"/>
      <c r="R64" s="388"/>
    </row>
    <row r="65" spans="4:24">
      <c r="D65" s="370"/>
      <c r="E65" s="381"/>
      <c r="F65" s="381"/>
      <c r="G65" s="381"/>
      <c r="H65" s="381"/>
      <c r="I65" s="381"/>
      <c r="L65" s="249"/>
      <c r="M65" s="249"/>
      <c r="N65" s="249"/>
      <c r="O65" s="249"/>
      <c r="P65" s="249"/>
    </row>
    <row r="66" spans="4:24">
      <c r="D66" s="370"/>
      <c r="N66" s="388"/>
      <c r="O66" s="388"/>
      <c r="P66" s="388"/>
    </row>
    <row r="67" spans="4:24">
      <c r="D67" s="370"/>
      <c r="Q67" s="249"/>
      <c r="R67" s="249"/>
    </row>
    <row r="68" spans="4:24">
      <c r="D68" s="370"/>
      <c r="J68" s="381"/>
      <c r="Q68" s="388"/>
      <c r="R68" s="388"/>
    </row>
    <row r="69" spans="4:24">
      <c r="D69" s="370"/>
      <c r="J69" s="381"/>
      <c r="L69" s="249"/>
      <c r="M69" s="249"/>
      <c r="N69" s="249"/>
      <c r="O69" s="249"/>
      <c r="P69" s="249"/>
    </row>
    <row r="70" spans="4:24">
      <c r="D70" s="370"/>
      <c r="N70" s="388"/>
      <c r="O70" s="388"/>
      <c r="P70" s="388"/>
      <c r="Q70" s="249"/>
      <c r="R70" s="249"/>
      <c r="S70" s="249"/>
      <c r="T70" s="249"/>
      <c r="U70" s="249"/>
      <c r="V70" s="249"/>
      <c r="W70" s="249"/>
      <c r="X70" s="249"/>
    </row>
    <row r="71" spans="4:24">
      <c r="D71" s="370"/>
      <c r="J71" s="381"/>
      <c r="Q71" s="388"/>
      <c r="R71" s="388"/>
      <c r="S71" s="388"/>
      <c r="T71" s="388"/>
      <c r="U71" s="388"/>
      <c r="V71" s="388"/>
      <c r="W71" s="388"/>
      <c r="X71" s="388"/>
    </row>
    <row r="72" spans="4:24">
      <c r="D72" s="370"/>
      <c r="J72" s="381"/>
      <c r="L72" s="249"/>
      <c r="M72" s="249"/>
      <c r="N72" s="249"/>
      <c r="O72" s="249"/>
      <c r="P72" s="249"/>
    </row>
    <row r="73" spans="4:24">
      <c r="D73" s="370"/>
      <c r="J73" s="381"/>
      <c r="K73" s="381"/>
      <c r="N73" s="388"/>
      <c r="O73" s="388"/>
      <c r="P73" s="388"/>
      <c r="Q73" s="249"/>
      <c r="R73" s="249"/>
    </row>
    <row r="74" spans="4:24">
      <c r="D74" s="370"/>
      <c r="K74" s="381"/>
      <c r="Q74" s="388"/>
      <c r="R74" s="388"/>
      <c r="S74" s="249"/>
      <c r="T74" s="249"/>
      <c r="U74" s="249"/>
      <c r="V74" s="249"/>
      <c r="W74" s="249"/>
      <c r="X74" s="249"/>
    </row>
    <row r="75" spans="4:24">
      <c r="D75" s="345"/>
      <c r="E75" s="381"/>
      <c r="F75" s="381"/>
      <c r="G75" s="381"/>
      <c r="H75" s="381"/>
      <c r="I75" s="381"/>
      <c r="L75" s="249"/>
      <c r="M75" s="249"/>
      <c r="N75" s="249"/>
      <c r="O75" s="249"/>
      <c r="P75" s="249"/>
      <c r="S75" s="388"/>
      <c r="T75" s="388"/>
      <c r="U75" s="388"/>
      <c r="V75" s="388"/>
      <c r="W75" s="388"/>
      <c r="X75" s="388"/>
    </row>
    <row r="76" spans="4:24">
      <c r="D76" s="370"/>
      <c r="J76" s="381"/>
      <c r="K76" s="381"/>
      <c r="N76" s="388"/>
      <c r="O76" s="388"/>
      <c r="P76" s="388"/>
      <c r="Q76" s="249"/>
      <c r="R76" s="249"/>
    </row>
    <row r="77" spans="4:24">
      <c r="D77" s="370"/>
      <c r="J77" s="381"/>
      <c r="K77" s="381"/>
      <c r="Q77" s="388"/>
      <c r="R77" s="388"/>
      <c r="S77" s="249"/>
      <c r="T77" s="249"/>
      <c r="U77" s="249"/>
      <c r="V77" s="249"/>
      <c r="W77" s="249"/>
      <c r="X77" s="249"/>
    </row>
    <row r="78" spans="4:24">
      <c r="D78" s="345"/>
      <c r="E78" s="381"/>
      <c r="F78" s="381"/>
      <c r="G78" s="381"/>
      <c r="H78" s="381"/>
      <c r="I78" s="381"/>
      <c r="K78" s="381"/>
      <c r="L78" s="249"/>
      <c r="M78" s="249"/>
      <c r="N78" s="249"/>
      <c r="O78" s="249"/>
      <c r="P78" s="249"/>
      <c r="Q78" s="389"/>
      <c r="R78" s="389"/>
      <c r="S78" s="388"/>
      <c r="T78" s="388"/>
      <c r="U78" s="388"/>
      <c r="V78" s="388"/>
      <c r="W78" s="388"/>
      <c r="X78" s="388"/>
    </row>
    <row r="79" spans="4:24">
      <c r="D79" s="370"/>
      <c r="N79" s="388"/>
      <c r="O79" s="388"/>
      <c r="P79" s="388"/>
      <c r="Q79" s="388"/>
      <c r="R79" s="388"/>
    </row>
    <row r="80" spans="4:24">
      <c r="D80" s="345"/>
      <c r="E80" s="381"/>
      <c r="F80" s="381"/>
      <c r="G80" s="381"/>
      <c r="H80" s="381"/>
      <c r="I80" s="381"/>
      <c r="L80" s="389"/>
      <c r="M80" s="389"/>
      <c r="N80" s="389"/>
      <c r="O80" s="389"/>
      <c r="P80" s="389"/>
      <c r="S80" s="249"/>
      <c r="T80" s="249"/>
      <c r="U80" s="249"/>
      <c r="V80" s="249"/>
      <c r="W80" s="249"/>
      <c r="X80" s="249"/>
    </row>
    <row r="81" spans="4:24">
      <c r="D81" s="370"/>
      <c r="E81" s="381"/>
      <c r="F81" s="381"/>
      <c r="G81" s="381"/>
      <c r="H81" s="381"/>
      <c r="I81" s="381"/>
      <c r="K81" s="381"/>
      <c r="N81" s="388"/>
      <c r="O81" s="388"/>
      <c r="P81" s="388"/>
      <c r="Q81" s="249"/>
      <c r="R81" s="249"/>
      <c r="S81" s="388"/>
      <c r="T81" s="388"/>
      <c r="U81" s="388"/>
      <c r="V81" s="388"/>
      <c r="W81" s="388"/>
      <c r="X81" s="388"/>
    </row>
    <row r="82" spans="4:24">
      <c r="D82" s="370"/>
      <c r="K82" s="381"/>
      <c r="Q82" s="390"/>
      <c r="R82" s="390"/>
    </row>
    <row r="83" spans="4:24">
      <c r="D83" s="370"/>
      <c r="L83" s="249"/>
      <c r="M83" s="249"/>
      <c r="N83" s="249"/>
      <c r="O83" s="249"/>
      <c r="P83" s="249"/>
      <c r="Q83" s="249"/>
      <c r="R83" s="249"/>
      <c r="S83" s="249"/>
      <c r="T83" s="249"/>
      <c r="U83" s="249"/>
      <c r="V83" s="249"/>
      <c r="W83" s="249"/>
      <c r="X83" s="249"/>
    </row>
    <row r="84" spans="4:24">
      <c r="D84" s="345"/>
      <c r="E84" s="381"/>
      <c r="F84" s="381"/>
      <c r="G84" s="381"/>
      <c r="H84" s="381"/>
      <c r="I84" s="381"/>
      <c r="N84" s="388"/>
      <c r="O84" s="388"/>
      <c r="P84" s="390"/>
      <c r="Q84" s="388"/>
      <c r="R84" s="388"/>
      <c r="S84" s="388"/>
      <c r="T84" s="388"/>
      <c r="U84" s="388"/>
      <c r="V84" s="388"/>
      <c r="W84" s="388"/>
      <c r="X84" s="388"/>
    </row>
    <row r="85" spans="4:24">
      <c r="D85" s="370"/>
      <c r="E85" s="381"/>
      <c r="F85" s="381"/>
      <c r="G85" s="381"/>
      <c r="H85" s="381"/>
      <c r="I85" s="381"/>
      <c r="L85" s="249"/>
      <c r="M85" s="249"/>
      <c r="N85" s="249"/>
      <c r="O85" s="249"/>
      <c r="P85" s="249"/>
      <c r="Q85" s="248"/>
      <c r="R85" s="248"/>
      <c r="S85" s="389"/>
      <c r="T85" s="389"/>
      <c r="U85" s="389"/>
      <c r="V85" s="389"/>
      <c r="W85" s="389"/>
      <c r="X85" s="389"/>
    </row>
    <row r="86" spans="4:24">
      <c r="D86" s="370"/>
      <c r="N86" s="388"/>
      <c r="O86" s="388"/>
      <c r="P86" s="388"/>
      <c r="S86" s="388"/>
      <c r="T86" s="388"/>
      <c r="U86" s="388"/>
      <c r="V86" s="388"/>
      <c r="W86" s="388"/>
      <c r="X86" s="388"/>
    </row>
    <row r="87" spans="4:24">
      <c r="D87" s="345"/>
      <c r="E87" s="381"/>
      <c r="F87" s="381"/>
      <c r="G87" s="381"/>
      <c r="H87" s="381"/>
      <c r="I87" s="381"/>
      <c r="L87" s="248"/>
      <c r="M87" s="248"/>
      <c r="N87" s="248"/>
      <c r="O87" s="248"/>
      <c r="P87" s="248"/>
      <c r="Q87" s="247"/>
      <c r="R87" s="247"/>
    </row>
    <row r="88" spans="4:24">
      <c r="D88" s="370"/>
      <c r="J88" s="381"/>
      <c r="Q88" s="388"/>
      <c r="R88" s="388"/>
      <c r="S88" s="249"/>
      <c r="T88" s="249"/>
      <c r="U88" s="249"/>
      <c r="V88" s="249"/>
      <c r="W88" s="249"/>
      <c r="X88" s="249"/>
    </row>
    <row r="89" spans="4:24">
      <c r="D89" s="370"/>
      <c r="J89" s="381"/>
      <c r="L89" s="247"/>
      <c r="M89" s="247"/>
      <c r="N89" s="247"/>
      <c r="O89" s="247"/>
      <c r="P89" s="247"/>
      <c r="S89" s="390"/>
      <c r="T89" s="390"/>
      <c r="U89" s="390"/>
      <c r="V89" s="390"/>
      <c r="W89" s="390"/>
      <c r="X89" s="390"/>
    </row>
    <row r="90" spans="4:24">
      <c r="D90" s="345"/>
      <c r="E90" s="381"/>
      <c r="F90" s="381"/>
      <c r="G90" s="381"/>
      <c r="H90" s="381"/>
      <c r="I90" s="381"/>
      <c r="N90" s="388"/>
      <c r="O90" s="388"/>
      <c r="P90" s="388"/>
      <c r="Q90" s="389"/>
      <c r="R90" s="389"/>
      <c r="S90" s="249"/>
      <c r="T90" s="249"/>
      <c r="U90" s="249"/>
      <c r="V90" s="249"/>
      <c r="W90" s="249"/>
      <c r="X90" s="249"/>
    </row>
    <row r="91" spans="4:24">
      <c r="D91" s="370"/>
      <c r="Q91" s="388"/>
      <c r="R91" s="388"/>
      <c r="S91" s="388"/>
      <c r="T91" s="388"/>
      <c r="U91" s="388"/>
      <c r="V91" s="388"/>
      <c r="W91" s="388"/>
      <c r="X91" s="388"/>
    </row>
    <row r="92" spans="4:24">
      <c r="D92" s="370"/>
      <c r="J92" s="381"/>
      <c r="L92" s="389"/>
      <c r="M92" s="389"/>
      <c r="N92" s="389"/>
      <c r="O92" s="389"/>
      <c r="P92" s="389"/>
      <c r="S92" s="248"/>
      <c r="T92" s="248"/>
      <c r="U92" s="248"/>
      <c r="V92" s="248"/>
      <c r="W92" s="248"/>
      <c r="X92" s="248"/>
    </row>
    <row r="93" spans="4:24">
      <c r="D93" s="370"/>
      <c r="J93" s="381"/>
      <c r="K93" s="381"/>
      <c r="N93" s="388"/>
      <c r="O93" s="388"/>
      <c r="P93" s="388"/>
      <c r="Q93" s="391"/>
      <c r="R93" s="391"/>
    </row>
    <row r="94" spans="4:24">
      <c r="D94" s="345"/>
      <c r="E94" s="381"/>
      <c r="F94" s="381"/>
      <c r="G94" s="381"/>
      <c r="H94" s="381"/>
      <c r="I94" s="381"/>
      <c r="K94" s="381"/>
      <c r="Q94" s="388"/>
      <c r="R94" s="388"/>
      <c r="S94" s="247"/>
      <c r="T94" s="247"/>
      <c r="U94" s="247"/>
      <c r="V94" s="247"/>
      <c r="W94" s="247"/>
      <c r="X94" s="247"/>
    </row>
    <row r="95" spans="4:24">
      <c r="D95" s="370"/>
      <c r="L95" s="391"/>
      <c r="M95" s="391"/>
      <c r="N95" s="391"/>
      <c r="O95" s="391"/>
      <c r="P95" s="391"/>
      <c r="Q95" s="248"/>
      <c r="R95" s="248"/>
      <c r="S95" s="388"/>
      <c r="T95" s="388"/>
      <c r="U95" s="388"/>
      <c r="V95" s="388"/>
      <c r="W95" s="388"/>
      <c r="X95" s="388"/>
    </row>
    <row r="96" spans="4:24">
      <c r="D96" s="370"/>
      <c r="E96" s="345"/>
      <c r="F96" s="345"/>
      <c r="G96" s="345"/>
      <c r="H96" s="345"/>
      <c r="I96" s="345"/>
      <c r="J96" s="381"/>
      <c r="N96" s="388"/>
      <c r="O96" s="388"/>
      <c r="P96" s="388"/>
    </row>
    <row r="97" spans="4:24">
      <c r="D97" s="370"/>
      <c r="E97" s="345"/>
      <c r="F97" s="345"/>
      <c r="G97" s="345"/>
      <c r="H97" s="345"/>
      <c r="I97" s="345"/>
      <c r="K97" s="381"/>
      <c r="N97" s="248"/>
      <c r="O97" s="248"/>
      <c r="P97" s="248"/>
      <c r="Q97" s="247"/>
      <c r="R97" s="247"/>
      <c r="S97" s="389"/>
      <c r="T97" s="389"/>
      <c r="U97" s="389"/>
      <c r="V97" s="389"/>
      <c r="W97" s="389"/>
      <c r="X97" s="389"/>
    </row>
    <row r="98" spans="4:24">
      <c r="D98" s="370"/>
      <c r="K98" s="381"/>
      <c r="Q98" s="388"/>
      <c r="R98" s="388"/>
      <c r="S98" s="388"/>
      <c r="T98" s="388"/>
      <c r="U98" s="388"/>
      <c r="V98" s="388"/>
      <c r="W98" s="388"/>
      <c r="X98" s="388"/>
    </row>
    <row r="99" spans="4:24">
      <c r="D99" s="370"/>
      <c r="L99" s="247"/>
      <c r="M99" s="247"/>
      <c r="N99" s="247"/>
      <c r="O99" s="247"/>
      <c r="P99" s="247"/>
      <c r="Q99" s="274"/>
      <c r="R99" s="274"/>
    </row>
    <row r="100" spans="4:24">
      <c r="D100" s="370"/>
      <c r="N100" s="388"/>
      <c r="O100" s="388"/>
      <c r="P100" s="388"/>
      <c r="S100" s="391"/>
      <c r="T100" s="391"/>
      <c r="U100" s="391"/>
      <c r="V100" s="391"/>
      <c r="W100" s="391"/>
      <c r="X100" s="391"/>
    </row>
    <row r="101" spans="4:24">
      <c r="D101" s="345"/>
      <c r="E101" s="381"/>
      <c r="F101" s="381"/>
      <c r="G101" s="381"/>
      <c r="H101" s="381"/>
      <c r="I101" s="381"/>
      <c r="K101" s="381"/>
      <c r="L101" s="274"/>
      <c r="M101" s="274"/>
      <c r="N101" s="274"/>
      <c r="O101" s="274"/>
      <c r="P101" s="274"/>
      <c r="Q101" s="389"/>
      <c r="R101" s="389"/>
      <c r="S101" s="388"/>
      <c r="T101" s="388"/>
      <c r="U101" s="388"/>
      <c r="V101" s="388"/>
      <c r="W101" s="388"/>
      <c r="X101" s="388"/>
    </row>
    <row r="102" spans="4:24">
      <c r="D102" s="345"/>
      <c r="E102" s="381"/>
      <c r="F102" s="381"/>
      <c r="G102" s="381"/>
      <c r="H102" s="381"/>
      <c r="I102" s="381"/>
      <c r="Q102" s="388"/>
      <c r="R102" s="388"/>
      <c r="S102" s="248"/>
      <c r="T102" s="248"/>
      <c r="U102" s="248"/>
      <c r="V102" s="248"/>
      <c r="W102" s="248"/>
      <c r="X102" s="248"/>
    </row>
    <row r="103" spans="4:24">
      <c r="D103" s="370"/>
      <c r="E103" s="381"/>
      <c r="F103" s="381"/>
      <c r="G103" s="381"/>
      <c r="H103" s="381"/>
      <c r="I103" s="381"/>
      <c r="L103" s="389"/>
      <c r="M103" s="389"/>
      <c r="N103" s="389"/>
      <c r="O103" s="389"/>
      <c r="P103" s="389"/>
    </row>
    <row r="104" spans="4:24">
      <c r="D104" s="370"/>
      <c r="E104" s="381"/>
      <c r="F104" s="381"/>
      <c r="G104" s="381"/>
      <c r="H104" s="381"/>
      <c r="I104" s="381"/>
      <c r="N104" s="388"/>
      <c r="O104" s="388"/>
      <c r="P104" s="388"/>
      <c r="S104" s="247"/>
      <c r="T104" s="247"/>
      <c r="U104" s="247"/>
      <c r="V104" s="247"/>
      <c r="W104" s="247"/>
      <c r="X104" s="247"/>
    </row>
    <row r="105" spans="4:24">
      <c r="D105" s="370"/>
      <c r="Q105" s="249"/>
      <c r="R105" s="249"/>
      <c r="S105" s="388"/>
      <c r="T105" s="388"/>
      <c r="U105" s="388"/>
      <c r="V105" s="388"/>
      <c r="W105" s="388"/>
      <c r="X105" s="388"/>
    </row>
    <row r="106" spans="4:24">
      <c r="D106" s="345"/>
      <c r="E106" s="381"/>
      <c r="F106" s="381"/>
      <c r="G106" s="381"/>
      <c r="H106" s="381"/>
      <c r="I106" s="381"/>
      <c r="Q106" s="388"/>
      <c r="R106" s="388"/>
      <c r="S106" s="274"/>
      <c r="T106" s="274"/>
      <c r="U106" s="274"/>
      <c r="V106" s="274"/>
      <c r="W106" s="274"/>
      <c r="X106" s="274"/>
    </row>
    <row r="107" spans="4:24">
      <c r="D107" s="370"/>
      <c r="E107" s="381"/>
      <c r="F107" s="381"/>
      <c r="G107" s="381"/>
      <c r="H107" s="381"/>
      <c r="I107" s="381"/>
      <c r="L107" s="249"/>
      <c r="M107" s="249"/>
      <c r="N107" s="249"/>
      <c r="O107" s="249"/>
      <c r="P107" s="249"/>
    </row>
    <row r="108" spans="4:24">
      <c r="D108" s="370"/>
      <c r="E108" s="381"/>
      <c r="F108" s="381"/>
      <c r="G108" s="381"/>
      <c r="H108" s="381"/>
      <c r="I108" s="381"/>
      <c r="N108" s="388"/>
      <c r="O108" s="388"/>
      <c r="P108" s="388"/>
      <c r="Q108" s="249"/>
      <c r="R108" s="249"/>
      <c r="S108" s="389"/>
      <c r="T108" s="389"/>
      <c r="U108" s="389"/>
      <c r="V108" s="389"/>
      <c r="W108" s="389"/>
      <c r="X108" s="389"/>
    </row>
    <row r="109" spans="4:24">
      <c r="D109" s="370"/>
      <c r="Q109" s="390"/>
      <c r="R109" s="390"/>
      <c r="S109" s="388"/>
      <c r="T109" s="388"/>
      <c r="U109" s="388"/>
      <c r="V109" s="388"/>
      <c r="W109" s="388"/>
      <c r="X109" s="388"/>
    </row>
    <row r="110" spans="4:24">
      <c r="D110" s="370"/>
      <c r="L110" s="249"/>
      <c r="M110" s="249"/>
      <c r="N110" s="249"/>
      <c r="O110" s="249"/>
      <c r="P110" s="249"/>
    </row>
    <row r="111" spans="4:24">
      <c r="D111" s="370"/>
      <c r="J111" s="381"/>
      <c r="N111" s="388"/>
      <c r="O111" s="388"/>
      <c r="P111" s="390"/>
      <c r="Q111" s="389"/>
      <c r="R111" s="389"/>
    </row>
    <row r="112" spans="4:24">
      <c r="D112" s="370"/>
      <c r="J112" s="381"/>
      <c r="Q112" s="392"/>
      <c r="R112" s="392"/>
      <c r="S112" s="249"/>
      <c r="T112" s="249"/>
      <c r="U112" s="249"/>
      <c r="V112" s="249"/>
      <c r="W112" s="249"/>
      <c r="X112" s="249"/>
    </row>
    <row r="113" spans="4:24">
      <c r="D113" s="370"/>
      <c r="L113" s="389"/>
      <c r="M113" s="389"/>
      <c r="N113" s="389"/>
      <c r="O113" s="389"/>
      <c r="P113" s="389"/>
      <c r="Q113" s="392"/>
      <c r="R113" s="392"/>
      <c r="S113" s="388"/>
      <c r="T113" s="388"/>
      <c r="U113" s="388"/>
      <c r="V113" s="388"/>
      <c r="W113" s="388"/>
      <c r="X113" s="388"/>
    </row>
    <row r="114" spans="4:24">
      <c r="D114" s="370"/>
      <c r="J114" s="381"/>
      <c r="N114" s="392"/>
      <c r="O114" s="392"/>
      <c r="P114" s="392"/>
    </row>
    <row r="115" spans="4:24">
      <c r="D115" s="370"/>
      <c r="J115" s="381"/>
      <c r="L115" s="392"/>
      <c r="M115" s="392"/>
      <c r="N115" s="392"/>
      <c r="O115" s="392"/>
      <c r="P115" s="392"/>
      <c r="Q115" s="388"/>
      <c r="R115" s="388"/>
      <c r="S115" s="249"/>
      <c r="T115" s="249"/>
      <c r="U115" s="249"/>
      <c r="V115" s="249"/>
      <c r="W115" s="249"/>
      <c r="X115" s="249"/>
    </row>
    <row r="116" spans="4:24">
      <c r="D116" s="370"/>
      <c r="J116" s="381"/>
      <c r="K116" s="381"/>
      <c r="Q116" s="389"/>
      <c r="R116" s="389"/>
      <c r="S116" s="390"/>
      <c r="T116" s="390"/>
      <c r="U116" s="390"/>
      <c r="V116" s="390"/>
      <c r="W116" s="390"/>
      <c r="X116" s="390"/>
    </row>
    <row r="117" spans="4:24">
      <c r="D117" s="370"/>
      <c r="K117" s="381"/>
      <c r="L117" s="388"/>
      <c r="M117" s="388"/>
      <c r="N117" s="388"/>
      <c r="O117" s="388"/>
      <c r="P117" s="388"/>
      <c r="R117" s="392"/>
    </row>
    <row r="118" spans="4:24">
      <c r="D118" s="345"/>
      <c r="E118" s="381"/>
      <c r="F118" s="381"/>
      <c r="G118" s="381"/>
      <c r="H118" s="381"/>
      <c r="I118" s="381"/>
      <c r="L118" s="389"/>
      <c r="M118" s="389"/>
      <c r="N118" s="389"/>
      <c r="O118" s="389"/>
      <c r="P118" s="389"/>
      <c r="S118" s="389"/>
      <c r="T118" s="389"/>
      <c r="U118" s="389"/>
      <c r="V118" s="389"/>
      <c r="W118" s="389"/>
      <c r="X118" s="389"/>
    </row>
    <row r="119" spans="4:24">
      <c r="D119" s="370"/>
      <c r="J119" s="381"/>
      <c r="K119" s="381"/>
      <c r="Q119" s="389"/>
      <c r="R119" s="389"/>
      <c r="S119" s="392"/>
      <c r="T119" s="392"/>
      <c r="U119" s="392"/>
      <c r="V119" s="392"/>
      <c r="W119" s="392"/>
      <c r="X119" s="392"/>
    </row>
    <row r="120" spans="4:24">
      <c r="D120" s="370"/>
      <c r="J120" s="381"/>
      <c r="K120" s="381"/>
      <c r="Q120" s="392"/>
      <c r="R120" s="392"/>
      <c r="S120" s="392"/>
      <c r="T120" s="392"/>
      <c r="U120" s="392"/>
      <c r="V120" s="392"/>
      <c r="W120" s="392"/>
      <c r="X120" s="392"/>
    </row>
    <row r="121" spans="4:24">
      <c r="D121" s="345"/>
      <c r="E121" s="381"/>
      <c r="F121" s="381"/>
      <c r="G121" s="381"/>
      <c r="H121" s="381"/>
      <c r="I121" s="381"/>
      <c r="K121" s="381"/>
      <c r="L121" s="389"/>
      <c r="M121" s="389"/>
      <c r="N121" s="389"/>
      <c r="O121" s="389"/>
      <c r="P121" s="389"/>
    </row>
    <row r="122" spans="4:24">
      <c r="D122" s="370"/>
      <c r="N122" s="392"/>
      <c r="O122" s="392"/>
      <c r="P122" s="392"/>
      <c r="S122" s="388"/>
      <c r="T122" s="388"/>
      <c r="U122" s="388"/>
      <c r="V122" s="388"/>
      <c r="W122" s="388"/>
      <c r="X122" s="388"/>
    </row>
    <row r="123" spans="4:24">
      <c r="D123" s="345"/>
      <c r="E123" s="381"/>
      <c r="F123" s="381"/>
      <c r="G123" s="381"/>
      <c r="H123" s="381"/>
      <c r="I123" s="381"/>
      <c r="S123" s="389"/>
      <c r="T123" s="389"/>
      <c r="U123" s="389"/>
      <c r="V123" s="389"/>
      <c r="W123" s="389"/>
      <c r="X123" s="389"/>
    </row>
    <row r="124" spans="4:24">
      <c r="D124" s="370"/>
      <c r="E124" s="381"/>
      <c r="F124" s="381"/>
      <c r="G124" s="381"/>
      <c r="H124" s="381"/>
      <c r="I124" s="381"/>
      <c r="K124" s="381"/>
      <c r="S124" s="392"/>
      <c r="T124" s="392"/>
      <c r="U124" s="392"/>
      <c r="V124" s="392"/>
      <c r="W124" s="392"/>
      <c r="X124" s="392"/>
    </row>
    <row r="125" spans="4:24">
      <c r="D125" s="370"/>
      <c r="K125" s="381"/>
    </row>
    <row r="126" spans="4:24">
      <c r="D126" s="370"/>
      <c r="S126" s="389"/>
      <c r="T126" s="389"/>
      <c r="U126" s="389"/>
      <c r="V126" s="389"/>
      <c r="W126" s="389"/>
      <c r="X126" s="389"/>
    </row>
    <row r="127" spans="4:24">
      <c r="D127" s="345"/>
      <c r="E127" s="381"/>
      <c r="F127" s="381"/>
      <c r="G127" s="381"/>
      <c r="H127" s="381"/>
      <c r="I127" s="381"/>
      <c r="S127" s="392"/>
      <c r="T127" s="392"/>
      <c r="U127" s="392"/>
      <c r="V127" s="392"/>
      <c r="W127" s="392"/>
      <c r="X127" s="392"/>
    </row>
    <row r="128" spans="4:24">
      <c r="D128" s="370"/>
      <c r="E128" s="381"/>
      <c r="F128" s="381"/>
      <c r="G128" s="381"/>
      <c r="H128" s="381"/>
      <c r="I128" s="381"/>
    </row>
    <row r="129" spans="4:11">
      <c r="D129" s="370"/>
    </row>
    <row r="130" spans="4:11">
      <c r="D130" s="345"/>
      <c r="E130" s="381"/>
      <c r="F130" s="381"/>
      <c r="G130" s="381"/>
      <c r="H130" s="381"/>
      <c r="I130" s="381"/>
    </row>
    <row r="131" spans="4:11">
      <c r="D131" s="370"/>
      <c r="J131" s="381"/>
    </row>
    <row r="132" spans="4:11">
      <c r="D132" s="370"/>
      <c r="J132" s="381"/>
    </row>
    <row r="133" spans="4:11">
      <c r="D133" s="345"/>
      <c r="E133" s="381"/>
      <c r="F133" s="381"/>
      <c r="G133" s="381"/>
      <c r="H133" s="381"/>
      <c r="I133" s="381"/>
    </row>
    <row r="134" spans="4:11">
      <c r="D134" s="370"/>
    </row>
    <row r="135" spans="4:11">
      <c r="D135" s="370"/>
      <c r="J135" s="381"/>
    </row>
    <row r="136" spans="4:11">
      <c r="D136" s="370"/>
      <c r="J136" s="381"/>
      <c r="K136" s="381"/>
    </row>
    <row r="137" spans="4:11">
      <c r="D137" s="345"/>
      <c r="E137" s="381"/>
      <c r="F137" s="381"/>
      <c r="G137" s="381"/>
      <c r="H137" s="381"/>
      <c r="I137" s="381"/>
      <c r="K137" s="381"/>
    </row>
    <row r="138" spans="4:11">
      <c r="D138" s="370"/>
    </row>
    <row r="139" spans="4:11">
      <c r="D139" s="370"/>
      <c r="E139" s="345"/>
      <c r="F139" s="345"/>
      <c r="G139" s="345"/>
      <c r="H139" s="345"/>
      <c r="I139" s="345"/>
      <c r="J139" s="381"/>
    </row>
    <row r="140" spans="4:11">
      <c r="D140" s="370"/>
      <c r="E140" s="345"/>
      <c r="F140" s="345"/>
      <c r="G140" s="345"/>
      <c r="H140" s="345"/>
      <c r="I140" s="345"/>
      <c r="K140" s="381"/>
    </row>
    <row r="141" spans="4:11">
      <c r="D141" s="370"/>
      <c r="K141" s="381"/>
    </row>
    <row r="142" spans="4:11">
      <c r="D142" s="370"/>
    </row>
    <row r="144" spans="4:11">
      <c r="D144" s="345"/>
      <c r="E144" s="381"/>
      <c r="F144" s="381"/>
      <c r="G144" s="381"/>
      <c r="H144" s="381"/>
      <c r="I144" s="381"/>
      <c r="K144" s="381"/>
    </row>
    <row r="145" spans="4:11">
      <c r="D145" s="345"/>
      <c r="E145" s="381"/>
      <c r="F145" s="381"/>
      <c r="G145" s="381"/>
      <c r="H145" s="381"/>
      <c r="I145" s="381"/>
    </row>
    <row r="146" spans="4:11">
      <c r="D146" s="370"/>
      <c r="E146" s="381"/>
      <c r="F146" s="381"/>
      <c r="G146" s="381"/>
      <c r="H146" s="381"/>
      <c r="I146" s="381"/>
    </row>
    <row r="147" spans="4:11">
      <c r="D147" s="370"/>
      <c r="E147" s="381"/>
      <c r="F147" s="381"/>
      <c r="G147" s="381"/>
      <c r="H147" s="381"/>
      <c r="I147" s="381"/>
    </row>
    <row r="148" spans="4:11">
      <c r="D148" s="370"/>
    </row>
    <row r="149" spans="4:11">
      <c r="D149" s="345"/>
      <c r="E149" s="381"/>
      <c r="F149" s="381"/>
      <c r="G149" s="381"/>
      <c r="H149" s="381"/>
      <c r="I149" s="381"/>
    </row>
    <row r="150" spans="4:11">
      <c r="D150" s="370"/>
      <c r="E150" s="381"/>
      <c r="F150" s="381"/>
      <c r="G150" s="381"/>
      <c r="H150" s="381"/>
      <c r="I150" s="381"/>
    </row>
    <row r="151" spans="4:11">
      <c r="D151" s="370"/>
      <c r="E151" s="381"/>
      <c r="F151" s="381"/>
      <c r="G151" s="381"/>
      <c r="H151" s="381"/>
      <c r="I151" s="381"/>
    </row>
    <row r="152" spans="4:11">
      <c r="D152" s="370"/>
    </row>
    <row r="153" spans="4:11">
      <c r="D153" s="370"/>
    </row>
    <row r="154" spans="4:11">
      <c r="D154" s="370"/>
      <c r="J154" s="381"/>
    </row>
    <row r="155" spans="4:11">
      <c r="D155" s="370"/>
      <c r="J155" s="381"/>
    </row>
    <row r="156" spans="4:11">
      <c r="D156" s="370"/>
    </row>
    <row r="157" spans="4:11">
      <c r="D157" s="370"/>
      <c r="J157" s="381"/>
    </row>
    <row r="158" spans="4:11">
      <c r="D158" s="370"/>
      <c r="J158" s="381"/>
    </row>
    <row r="159" spans="4:11">
      <c r="D159" s="370"/>
      <c r="J159" s="381"/>
      <c r="K159" s="381"/>
    </row>
    <row r="160" spans="4:11">
      <c r="D160" s="370"/>
      <c r="K160" s="381"/>
    </row>
    <row r="161" spans="4:11">
      <c r="D161" s="345"/>
      <c r="E161" s="381"/>
      <c r="F161" s="381"/>
      <c r="G161" s="381"/>
      <c r="H161" s="381"/>
      <c r="I161" s="381"/>
    </row>
    <row r="162" spans="4:11">
      <c r="D162" s="370"/>
      <c r="J162" s="381"/>
      <c r="K162" s="381"/>
    </row>
    <row r="163" spans="4:11">
      <c r="D163" s="370"/>
      <c r="J163" s="381"/>
      <c r="K163" s="381"/>
    </row>
    <row r="164" spans="4:11">
      <c r="D164" s="345"/>
      <c r="E164" s="381"/>
      <c r="F164" s="381"/>
      <c r="G164" s="381"/>
      <c r="H164" s="381"/>
      <c r="I164" s="381"/>
      <c r="K164" s="381"/>
    </row>
    <row r="165" spans="4:11">
      <c r="D165" s="370"/>
    </row>
    <row r="166" spans="4:11">
      <c r="D166" s="345"/>
      <c r="E166" s="381"/>
      <c r="F166" s="381"/>
      <c r="G166" s="381"/>
      <c r="H166" s="381"/>
      <c r="I166" s="381"/>
    </row>
    <row r="167" spans="4:11">
      <c r="D167" s="370"/>
      <c r="E167" s="381"/>
      <c r="F167" s="381"/>
      <c r="G167" s="381"/>
      <c r="H167" s="381"/>
      <c r="I167" s="381"/>
      <c r="K167" s="381"/>
    </row>
    <row r="168" spans="4:11">
      <c r="D168" s="370"/>
      <c r="K168" s="381"/>
    </row>
    <row r="169" spans="4:11">
      <c r="D169" s="370"/>
    </row>
    <row r="170" spans="4:11">
      <c r="D170" s="345"/>
      <c r="E170" s="381"/>
      <c r="F170" s="381"/>
      <c r="G170" s="381"/>
      <c r="H170" s="381"/>
      <c r="I170" s="381"/>
    </row>
    <row r="171" spans="4:11">
      <c r="D171" s="370"/>
      <c r="E171" s="381"/>
      <c r="F171" s="381"/>
      <c r="G171" s="381"/>
      <c r="H171" s="381"/>
      <c r="I171" s="381"/>
    </row>
    <row r="172" spans="4:11">
      <c r="D172" s="370"/>
    </row>
    <row r="173" spans="4:11">
      <c r="D173" s="345"/>
      <c r="E173" s="381"/>
      <c r="F173" s="381"/>
      <c r="G173" s="381"/>
      <c r="H173" s="381"/>
      <c r="I173" s="381"/>
    </row>
    <row r="174" spans="4:11">
      <c r="D174" s="370"/>
      <c r="J174" s="381"/>
    </row>
    <row r="175" spans="4:11">
      <c r="D175" s="370"/>
      <c r="J175" s="381"/>
    </row>
    <row r="176" spans="4:11">
      <c r="D176" s="345"/>
      <c r="E176" s="381"/>
      <c r="F176" s="381"/>
      <c r="G176" s="381"/>
      <c r="H176" s="381"/>
      <c r="I176" s="381"/>
    </row>
    <row r="177" spans="4:11">
      <c r="D177" s="370"/>
    </row>
    <row r="178" spans="4:11">
      <c r="D178" s="370"/>
      <c r="J178" s="381"/>
    </row>
    <row r="179" spans="4:11">
      <c r="D179" s="370"/>
      <c r="J179" s="381"/>
      <c r="K179" s="381"/>
    </row>
    <row r="180" spans="4:11">
      <c r="D180" s="345"/>
      <c r="E180" s="381"/>
      <c r="F180" s="381"/>
      <c r="G180" s="381"/>
      <c r="H180" s="381"/>
      <c r="I180" s="381"/>
      <c r="K180" s="381"/>
    </row>
    <row r="181" spans="4:11">
      <c r="D181" s="370"/>
    </row>
    <row r="182" spans="4:11">
      <c r="D182" s="370"/>
      <c r="E182" s="345"/>
      <c r="F182" s="345"/>
      <c r="G182" s="345"/>
      <c r="H182" s="345"/>
      <c r="I182" s="345"/>
      <c r="J182" s="381"/>
    </row>
    <row r="183" spans="4:11">
      <c r="D183" s="370"/>
      <c r="E183" s="345"/>
      <c r="F183" s="345"/>
      <c r="G183" s="345"/>
      <c r="H183" s="345"/>
      <c r="I183" s="345"/>
      <c r="K183" s="381"/>
    </row>
    <row r="184" spans="4:11">
      <c r="D184" s="370"/>
      <c r="K184" s="381"/>
    </row>
    <row r="185" spans="4:11">
      <c r="D185" s="370"/>
    </row>
    <row r="186" spans="4:11">
      <c r="D186" s="370"/>
    </row>
    <row r="187" spans="4:11">
      <c r="D187" s="345"/>
      <c r="E187" s="381"/>
      <c r="F187" s="381"/>
      <c r="G187" s="381"/>
      <c r="H187" s="381"/>
      <c r="I187" s="381"/>
      <c r="K187" s="381"/>
    </row>
    <row r="188" spans="4:11">
      <c r="D188" s="345"/>
      <c r="E188" s="381"/>
      <c r="F188" s="381"/>
      <c r="G188" s="381"/>
      <c r="H188" s="381"/>
      <c r="I188" s="381"/>
    </row>
    <row r="189" spans="4:11">
      <c r="D189" s="370"/>
      <c r="E189" s="381"/>
      <c r="F189" s="381"/>
      <c r="G189" s="381"/>
      <c r="H189" s="381"/>
      <c r="I189" s="381"/>
    </row>
    <row r="190" spans="4:11">
      <c r="D190" s="370"/>
      <c r="E190" s="381"/>
      <c r="F190" s="381"/>
      <c r="G190" s="381"/>
      <c r="H190" s="381"/>
      <c r="I190" s="381"/>
    </row>
    <row r="191" spans="4:11">
      <c r="D191" s="370"/>
    </row>
    <row r="192" spans="4:11">
      <c r="D192" s="345"/>
      <c r="E192" s="381"/>
      <c r="F192" s="381"/>
      <c r="G192" s="381"/>
      <c r="H192" s="381"/>
      <c r="I192" s="381"/>
    </row>
    <row r="193" spans="4:11">
      <c r="D193" s="370"/>
      <c r="E193" s="381"/>
      <c r="F193" s="381"/>
      <c r="G193" s="381"/>
      <c r="H193" s="381"/>
      <c r="I193" s="381"/>
    </row>
    <row r="194" spans="4:11">
      <c r="D194" s="370"/>
      <c r="E194" s="381"/>
      <c r="F194" s="381"/>
      <c r="G194" s="381"/>
      <c r="H194" s="381"/>
      <c r="I194" s="381"/>
    </row>
    <row r="195" spans="4:11">
      <c r="D195" s="370"/>
    </row>
    <row r="196" spans="4:11">
      <c r="D196" s="370"/>
    </row>
    <row r="197" spans="4:11">
      <c r="D197" s="370"/>
      <c r="J197" s="381"/>
    </row>
    <row r="198" spans="4:11">
      <c r="D198" s="370"/>
      <c r="J198" s="381"/>
    </row>
    <row r="199" spans="4:11">
      <c r="D199" s="370"/>
    </row>
    <row r="200" spans="4:11">
      <c r="D200" s="370"/>
      <c r="J200" s="381"/>
    </row>
    <row r="201" spans="4:11">
      <c r="D201" s="370"/>
      <c r="J201" s="381"/>
    </row>
    <row r="202" spans="4:11">
      <c r="D202" s="370"/>
      <c r="J202" s="381"/>
      <c r="K202" s="381"/>
    </row>
    <row r="203" spans="4:11">
      <c r="D203" s="370"/>
      <c r="K203" s="381"/>
    </row>
    <row r="204" spans="4:11">
      <c r="D204" s="345"/>
      <c r="E204" s="381"/>
      <c r="F204" s="381"/>
      <c r="G204" s="381"/>
      <c r="H204" s="381"/>
      <c r="I204" s="381"/>
    </row>
    <row r="205" spans="4:11">
      <c r="D205" s="370"/>
      <c r="J205" s="381"/>
      <c r="K205" s="381"/>
    </row>
    <row r="206" spans="4:11">
      <c r="D206" s="370"/>
      <c r="J206" s="381"/>
      <c r="K206" s="381"/>
    </row>
    <row r="207" spans="4:11">
      <c r="D207" s="345"/>
      <c r="E207" s="381"/>
      <c r="F207" s="381"/>
      <c r="G207" s="381"/>
      <c r="H207" s="381"/>
      <c r="I207" s="381"/>
      <c r="K207" s="381"/>
    </row>
    <row r="208" spans="4:11">
      <c r="D208" s="370"/>
    </row>
    <row r="209" spans="4:11">
      <c r="D209" s="345"/>
      <c r="E209" s="381"/>
      <c r="F209" s="381"/>
      <c r="G209" s="381"/>
      <c r="H209" s="381"/>
      <c r="I209" s="381"/>
    </row>
    <row r="210" spans="4:11">
      <c r="D210" s="370"/>
      <c r="E210" s="381"/>
      <c r="F210" s="381"/>
      <c r="G210" s="381"/>
      <c r="H210" s="381"/>
      <c r="I210" s="381"/>
      <c r="K210" s="381"/>
    </row>
    <row r="211" spans="4:11">
      <c r="D211" s="370"/>
      <c r="K211" s="381"/>
    </row>
    <row r="212" spans="4:11">
      <c r="D212" s="370"/>
    </row>
    <row r="213" spans="4:11">
      <c r="D213" s="345"/>
      <c r="E213" s="381"/>
      <c r="F213" s="381"/>
      <c r="G213" s="381"/>
      <c r="H213" s="381"/>
      <c r="I213" s="381"/>
    </row>
    <row r="214" spans="4:11">
      <c r="D214" s="370"/>
      <c r="E214" s="381"/>
      <c r="F214" s="381"/>
      <c r="G214" s="381"/>
      <c r="H214" s="381"/>
      <c r="I214" s="381"/>
    </row>
    <row r="215" spans="4:11">
      <c r="D215" s="370"/>
    </row>
    <row r="216" spans="4:11">
      <c r="D216" s="345"/>
      <c r="E216" s="381"/>
      <c r="F216" s="381"/>
      <c r="G216" s="381"/>
      <c r="H216" s="381"/>
      <c r="I216" s="381"/>
    </row>
    <row r="217" spans="4:11">
      <c r="D217" s="370"/>
      <c r="J217" s="381"/>
    </row>
    <row r="218" spans="4:11">
      <c r="D218" s="370"/>
      <c r="J218" s="381"/>
    </row>
    <row r="219" spans="4:11">
      <c r="D219" s="345"/>
      <c r="E219" s="381"/>
      <c r="F219" s="381"/>
      <c r="G219" s="381"/>
      <c r="H219" s="381"/>
      <c r="I219" s="381"/>
    </row>
    <row r="220" spans="4:11">
      <c r="D220" s="370"/>
    </row>
    <row r="221" spans="4:11">
      <c r="D221" s="370"/>
      <c r="J221" s="381"/>
    </row>
    <row r="222" spans="4:11">
      <c r="D222" s="370"/>
      <c r="J222" s="381"/>
      <c r="K222" s="381"/>
    </row>
    <row r="223" spans="4:11">
      <c r="D223" s="345"/>
      <c r="E223" s="381"/>
      <c r="F223" s="381"/>
      <c r="G223" s="381"/>
      <c r="H223" s="381"/>
      <c r="I223" s="381"/>
      <c r="K223" s="381"/>
    </row>
    <row r="224" spans="4:11">
      <c r="D224" s="370"/>
    </row>
    <row r="225" spans="4:11">
      <c r="D225" s="370"/>
      <c r="E225" s="345"/>
      <c r="F225" s="345"/>
      <c r="G225" s="345"/>
      <c r="H225" s="345"/>
      <c r="I225" s="345"/>
      <c r="J225" s="381"/>
    </row>
    <row r="226" spans="4:11">
      <c r="D226" s="370"/>
      <c r="E226" s="345"/>
      <c r="F226" s="345"/>
      <c r="G226" s="345"/>
      <c r="H226" s="345"/>
      <c r="I226" s="345"/>
      <c r="K226" s="381"/>
    </row>
    <row r="227" spans="4:11">
      <c r="D227" s="370"/>
      <c r="K227" s="381"/>
    </row>
    <row r="228" spans="4:11">
      <c r="D228" s="370"/>
    </row>
    <row r="229" spans="4:11">
      <c r="D229" s="370"/>
    </row>
    <row r="230" spans="4:11">
      <c r="D230" s="345"/>
      <c r="E230" s="381"/>
      <c r="F230" s="381"/>
      <c r="G230" s="381"/>
      <c r="H230" s="381"/>
      <c r="I230" s="381"/>
      <c r="K230" s="381"/>
    </row>
    <row r="231" spans="4:11">
      <c r="D231" s="345"/>
      <c r="E231" s="381"/>
      <c r="F231" s="381"/>
      <c r="G231" s="381"/>
      <c r="H231" s="381"/>
      <c r="I231" s="381"/>
    </row>
    <row r="232" spans="4:11">
      <c r="D232" s="370"/>
      <c r="E232" s="381"/>
      <c r="F232" s="381"/>
      <c r="G232" s="381"/>
      <c r="H232" s="381"/>
      <c r="I232" s="381"/>
    </row>
    <row r="233" spans="4:11">
      <c r="D233" s="370"/>
      <c r="E233" s="381"/>
      <c r="F233" s="381"/>
      <c r="G233" s="381"/>
      <c r="H233" s="381"/>
      <c r="I233" s="381"/>
    </row>
    <row r="234" spans="4:11">
      <c r="D234" s="370"/>
    </row>
    <row r="235" spans="4:11">
      <c r="D235" s="345"/>
      <c r="E235" s="381"/>
      <c r="F235" s="381"/>
      <c r="G235" s="381"/>
      <c r="H235" s="381"/>
      <c r="I235" s="381"/>
    </row>
    <row r="236" spans="4:11">
      <c r="D236" s="370"/>
      <c r="E236" s="381"/>
      <c r="F236" s="381"/>
      <c r="G236" s="381"/>
      <c r="H236" s="381"/>
      <c r="I236" s="381"/>
    </row>
    <row r="237" spans="4:11">
      <c r="D237" s="370"/>
      <c r="E237" s="381"/>
      <c r="F237" s="381"/>
      <c r="G237" s="381"/>
      <c r="H237" s="381"/>
      <c r="I237" s="381"/>
    </row>
    <row r="238" spans="4:11">
      <c r="D238" s="370"/>
    </row>
    <row r="239" spans="4:11">
      <c r="D239" s="370"/>
    </row>
    <row r="240" spans="4:11">
      <c r="D240" s="370"/>
      <c r="J240" s="381"/>
    </row>
    <row r="241" spans="4:11">
      <c r="D241" s="370"/>
      <c r="J241" s="381"/>
    </row>
    <row r="242" spans="4:11">
      <c r="D242" s="370"/>
    </row>
    <row r="243" spans="4:11">
      <c r="D243" s="370"/>
      <c r="J243" s="381"/>
    </row>
    <row r="244" spans="4:11">
      <c r="D244" s="370"/>
      <c r="J244" s="381"/>
    </row>
    <row r="245" spans="4:11">
      <c r="D245" s="370"/>
      <c r="J245" s="381"/>
      <c r="K245" s="381"/>
    </row>
    <row r="246" spans="4:11">
      <c r="D246" s="370"/>
      <c r="K246" s="381"/>
    </row>
    <row r="247" spans="4:11">
      <c r="D247" s="345"/>
      <c r="E247" s="381"/>
      <c r="F247" s="381"/>
      <c r="G247" s="381"/>
      <c r="H247" s="381"/>
      <c r="I247" s="381"/>
    </row>
    <row r="248" spans="4:11">
      <c r="D248" s="370"/>
      <c r="J248" s="381"/>
      <c r="K248" s="381"/>
    </row>
    <row r="249" spans="4:11">
      <c r="D249" s="370"/>
      <c r="J249" s="381"/>
      <c r="K249" s="381"/>
    </row>
    <row r="250" spans="4:11">
      <c r="D250" s="345"/>
      <c r="E250" s="381"/>
      <c r="F250" s="381"/>
      <c r="G250" s="381"/>
      <c r="H250" s="381"/>
      <c r="I250" s="381"/>
      <c r="K250" s="381"/>
    </row>
    <row r="251" spans="4:11">
      <c r="D251" s="370"/>
    </row>
    <row r="252" spans="4:11">
      <c r="D252" s="345"/>
      <c r="E252" s="381"/>
      <c r="F252" s="381"/>
      <c r="G252" s="381"/>
      <c r="H252" s="381"/>
      <c r="I252" s="381"/>
    </row>
    <row r="253" spans="4:11">
      <c r="D253" s="370"/>
      <c r="E253" s="381"/>
      <c r="F253" s="381"/>
      <c r="G253" s="381"/>
      <c r="H253" s="381"/>
      <c r="I253" s="381"/>
      <c r="K253" s="381"/>
    </row>
    <row r="254" spans="4:11">
      <c r="D254" s="370"/>
      <c r="K254" s="381"/>
    </row>
    <row r="255" spans="4:11">
      <c r="D255" s="370"/>
    </row>
    <row r="256" spans="4:11">
      <c r="D256" s="345"/>
      <c r="E256" s="381"/>
      <c r="F256" s="381"/>
      <c r="G256" s="381"/>
      <c r="H256" s="381"/>
      <c r="I256" s="381"/>
    </row>
    <row r="257" spans="4:11">
      <c r="D257" s="370"/>
      <c r="E257" s="381"/>
      <c r="F257" s="381"/>
      <c r="G257" s="381"/>
      <c r="H257" s="381"/>
      <c r="I257" s="381"/>
    </row>
    <row r="258" spans="4:11">
      <c r="D258" s="370"/>
    </row>
    <row r="259" spans="4:11">
      <c r="D259" s="345"/>
      <c r="E259" s="381"/>
      <c r="F259" s="381"/>
      <c r="G259" s="381"/>
      <c r="H259" s="381"/>
      <c r="I259" s="381"/>
    </row>
    <row r="260" spans="4:11">
      <c r="D260" s="370"/>
      <c r="J260" s="381"/>
    </row>
    <row r="261" spans="4:11">
      <c r="D261" s="370"/>
      <c r="J261" s="381"/>
    </row>
    <row r="262" spans="4:11">
      <c r="D262" s="345"/>
      <c r="E262" s="381"/>
      <c r="F262" s="381"/>
      <c r="G262" s="381"/>
      <c r="H262" s="381"/>
      <c r="I262" s="381"/>
    </row>
    <row r="263" spans="4:11">
      <c r="D263" s="370"/>
    </row>
    <row r="264" spans="4:11">
      <c r="D264" s="370"/>
      <c r="J264" s="381"/>
    </row>
    <row r="265" spans="4:11">
      <c r="D265" s="370"/>
      <c r="J265" s="381"/>
      <c r="K265" s="381"/>
    </row>
    <row r="266" spans="4:11">
      <c r="D266" s="345"/>
      <c r="E266" s="381"/>
      <c r="F266" s="381"/>
      <c r="G266" s="381"/>
      <c r="H266" s="381"/>
      <c r="I266" s="381"/>
      <c r="K266" s="381"/>
    </row>
    <row r="267" spans="4:11">
      <c r="D267" s="370"/>
    </row>
    <row r="268" spans="4:11">
      <c r="D268" s="370"/>
      <c r="E268" s="345"/>
      <c r="F268" s="345"/>
      <c r="G268" s="345"/>
      <c r="H268" s="345"/>
      <c r="I268" s="345"/>
      <c r="J268" s="381"/>
    </row>
    <row r="269" spans="4:11">
      <c r="D269" s="370"/>
      <c r="E269" s="345"/>
      <c r="F269" s="345"/>
      <c r="G269" s="345"/>
      <c r="H269" s="345"/>
      <c r="I269" s="345"/>
      <c r="K269" s="381"/>
    </row>
    <row r="270" spans="4:11">
      <c r="D270" s="370"/>
      <c r="K270" s="381"/>
    </row>
    <row r="271" spans="4:11">
      <c r="D271" s="370"/>
    </row>
    <row r="272" spans="4:11">
      <c r="D272" s="370"/>
    </row>
    <row r="273" spans="4:11">
      <c r="D273" s="370"/>
      <c r="K273" s="381"/>
    </row>
    <row r="274" spans="4:11">
      <c r="D274" s="370"/>
    </row>
    <row r="275" spans="4:11">
      <c r="D275" s="370"/>
    </row>
    <row r="276" spans="4:11">
      <c r="D276" s="370"/>
    </row>
    <row r="277" spans="4:11">
      <c r="D277" s="370"/>
    </row>
    <row r="278" spans="4:11">
      <c r="D278" s="370"/>
    </row>
    <row r="279" spans="4:11">
      <c r="D279" s="370"/>
    </row>
    <row r="280" spans="4:11">
      <c r="D280" s="370"/>
    </row>
    <row r="281" spans="4:11">
      <c r="D281" s="370"/>
    </row>
    <row r="282" spans="4:11">
      <c r="D282" s="370"/>
    </row>
    <row r="283" spans="4:11">
      <c r="D283" s="370"/>
    </row>
    <row r="284" spans="4:11">
      <c r="D284" s="370"/>
    </row>
    <row r="285" spans="4:11">
      <c r="D285" s="370"/>
    </row>
    <row r="286" spans="4:11">
      <c r="D286" s="370"/>
    </row>
    <row r="287" spans="4:11">
      <c r="D287" s="370"/>
    </row>
    <row r="288" spans="4:11">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sheetData>
  <phoneticPr fontId="26" type="noConversion"/>
  <pageMargins left="0.75" right="0.75" top="1" bottom="1" header="0.5" footer="0.5"/>
  <pageSetup scale="45" orientation="landscape" r:id="rId1"/>
  <headerFooter alignWithMargins="0"/>
  <drawing r:id="rId2"/>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86">
    <pageSetUpPr fitToPage="1"/>
  </sheetPr>
  <dimension ref="B1:X447"/>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1451</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399</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8" t="s">
        <v>127</v>
      </c>
      <c r="O9" s="459"/>
      <c r="P9" s="458" t="s">
        <v>128</v>
      </c>
      <c r="Q9" s="458"/>
      <c r="R9" s="458" t="s">
        <v>426</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449</v>
      </c>
      <c r="C11" s="370"/>
      <c r="E11" s="367" t="str">
        <f t="shared" ref="E11:E17" si="0">"DCF, "&amp;TEXT(H11,"0.0")&amp;"x 18E EBITDA"</f>
        <v>DCF, 5.9x 18E EBITDA</v>
      </c>
      <c r="F11" s="484">
        <v>15804.716904362995</v>
      </c>
      <c r="G11" s="178" t="s">
        <v>133</v>
      </c>
      <c r="H11" s="486">
        <v>5.8606297703744117</v>
      </c>
      <c r="I11" s="178" t="s">
        <v>134</v>
      </c>
      <c r="J11" s="216">
        <f>H11*F11</f>
        <v>92625.594402049479</v>
      </c>
      <c r="K11" s="178" t="s">
        <v>135</v>
      </c>
      <c r="L11" s="484"/>
      <c r="M11" s="178" t="s">
        <v>134</v>
      </c>
      <c r="N11" s="216">
        <f t="shared" ref="N11:N17" si="1">J11-L11</f>
        <v>92625.594402049479</v>
      </c>
      <c r="O11" s="178" t="s">
        <v>133</v>
      </c>
      <c r="P11" s="490">
        <v>1</v>
      </c>
      <c r="Q11" s="393" t="s">
        <v>134</v>
      </c>
      <c r="R11" s="216">
        <f t="shared" ref="R11:R17" si="2">P11*N11</f>
        <v>92625.594402049479</v>
      </c>
      <c r="S11" s="216"/>
      <c r="T11" s="216">
        <f>N11-R11</f>
        <v>0</v>
      </c>
      <c r="U11" s="216"/>
      <c r="V11" s="394">
        <f t="shared" ref="V11:V17" si="3">N11/$J$33</f>
        <v>0.63351119137149781</v>
      </c>
      <c r="W11" s="370"/>
      <c r="X11" s="373">
        <f t="shared" ref="X11:X17" si="4">$J$37*V11</f>
        <v>53.796964676959028</v>
      </c>
    </row>
    <row r="12" spans="2:24">
      <c r="B12" s="370" t="s">
        <v>427</v>
      </c>
      <c r="C12" s="370"/>
      <c r="E12" s="367" t="str">
        <f t="shared" si="0"/>
        <v>DCF, 5.4x 18E EBITDA</v>
      </c>
      <c r="F12" s="484">
        <v>12670.539019480544</v>
      </c>
      <c r="G12" s="178" t="s">
        <v>133</v>
      </c>
      <c r="H12" s="486">
        <v>5.4292838011539208</v>
      </c>
      <c r="I12" s="178" t="s">
        <v>134</v>
      </c>
      <c r="J12" s="216">
        <f>H12*F12</f>
        <v>68791.952250354399</v>
      </c>
      <c r="K12" s="178" t="s">
        <v>135</v>
      </c>
      <c r="L12" s="484"/>
      <c r="M12" s="178" t="s">
        <v>134</v>
      </c>
      <c r="N12" s="216">
        <f t="shared" si="1"/>
        <v>68791.952250354399</v>
      </c>
      <c r="O12" s="178" t="s">
        <v>133</v>
      </c>
      <c r="P12" s="490">
        <v>0.7883</v>
      </c>
      <c r="Q12" s="393" t="s">
        <v>134</v>
      </c>
      <c r="R12" s="216">
        <f t="shared" si="2"/>
        <v>54228.695958954377</v>
      </c>
      <c r="S12" s="216"/>
      <c r="T12" s="216">
        <f>N12-R12</f>
        <v>14563.256291400023</v>
      </c>
      <c r="U12" s="216"/>
      <c r="V12" s="394">
        <f t="shared" si="3"/>
        <v>0.47050139767771276</v>
      </c>
      <c r="W12" s="370"/>
      <c r="X12" s="373">
        <f t="shared" si="4"/>
        <v>39.954380310994068</v>
      </c>
    </row>
    <row r="13" spans="2:24">
      <c r="B13" s="370" t="s">
        <v>186</v>
      </c>
      <c r="C13" s="370"/>
      <c r="E13" s="367" t="str">
        <f t="shared" si="0"/>
        <v>DCF, 5.7x 18E EBITDA</v>
      </c>
      <c r="F13" s="484">
        <v>3709.2710422252185</v>
      </c>
      <c r="G13" s="178" t="s">
        <v>133</v>
      </c>
      <c r="H13" s="486">
        <v>5.6569454118415861</v>
      </c>
      <c r="I13" s="178" t="s">
        <v>134</v>
      </c>
      <c r="J13" s="216">
        <f>H13*F13</f>
        <v>20983.143803592808</v>
      </c>
      <c r="K13" s="178" t="s">
        <v>135</v>
      </c>
      <c r="L13" s="484"/>
      <c r="M13" s="178" t="s">
        <v>134</v>
      </c>
      <c r="N13" s="216">
        <f t="shared" si="1"/>
        <v>20983.143803592808</v>
      </c>
      <c r="O13" s="178" t="s">
        <v>133</v>
      </c>
      <c r="P13" s="490">
        <v>0.98</v>
      </c>
      <c r="Q13" s="393" t="s">
        <v>134</v>
      </c>
      <c r="R13" s="216">
        <f t="shared" si="2"/>
        <v>20563.480927520952</v>
      </c>
      <c r="S13" s="216"/>
      <c r="T13" s="216">
        <f>N13-R13</f>
        <v>419.66287607185586</v>
      </c>
      <c r="U13" s="216"/>
      <c r="V13" s="394">
        <f t="shared" si="3"/>
        <v>0.14351385829745794</v>
      </c>
      <c r="W13" s="370"/>
      <c r="X13" s="373">
        <f t="shared" si="4"/>
        <v>12.187014326878717</v>
      </c>
    </row>
    <row r="14" spans="2:24">
      <c r="B14" s="370" t="s">
        <v>450</v>
      </c>
      <c r="C14" s="370"/>
      <c r="E14" s="367" t="str">
        <f t="shared" si="0"/>
        <v>DCF, 5.2x 18E EBITDA</v>
      </c>
      <c r="F14" s="484">
        <v>13259.359535206489</v>
      </c>
      <c r="G14" s="178" t="s">
        <v>133</v>
      </c>
      <c r="H14" s="486">
        <v>5.2018719339676531</v>
      </c>
      <c r="I14" s="178" t="s">
        <v>134</v>
      </c>
      <c r="J14" s="216">
        <f>F14*H14</f>
        <v>68973.490228577022</v>
      </c>
      <c r="K14" s="178" t="s">
        <v>135</v>
      </c>
      <c r="L14" s="484"/>
      <c r="M14" s="178" t="s">
        <v>134</v>
      </c>
      <c r="N14" s="216">
        <f t="shared" si="1"/>
        <v>68973.490228577022</v>
      </c>
      <c r="O14" s="178" t="s">
        <v>133</v>
      </c>
      <c r="P14" s="490">
        <v>0.49</v>
      </c>
      <c r="Q14" s="393" t="s">
        <v>134</v>
      </c>
      <c r="R14" s="216">
        <f t="shared" si="2"/>
        <v>33797.010212002737</v>
      </c>
      <c r="S14" s="216"/>
      <c r="T14" s="216">
        <f>N14-R14</f>
        <v>35176.480016574285</v>
      </c>
      <c r="U14" s="216"/>
      <c r="V14" s="394">
        <f t="shared" si="3"/>
        <v>0.47174302361928344</v>
      </c>
      <c r="W14" s="370"/>
      <c r="X14" s="373">
        <f t="shared" si="4"/>
        <v>40.059817606862616</v>
      </c>
    </row>
    <row r="15" spans="2:24">
      <c r="B15" s="370" t="s">
        <v>185</v>
      </c>
      <c r="C15" s="370"/>
      <c r="E15" s="367" t="str">
        <f t="shared" si="0"/>
        <v>DCF, 9.3x 18E EBITDA</v>
      </c>
      <c r="F15" s="484">
        <v>748.17223387980562</v>
      </c>
      <c r="G15" s="178" t="s">
        <v>133</v>
      </c>
      <c r="H15" s="486">
        <v>9.2971441505860728</v>
      </c>
      <c r="I15" s="178" t="s">
        <v>134</v>
      </c>
      <c r="J15" s="216">
        <f>F15*H15*50%</f>
        <v>3477.932553923275</v>
      </c>
      <c r="K15" s="178" t="s">
        <v>135</v>
      </c>
      <c r="L15" s="484"/>
      <c r="M15" s="178" t="s">
        <v>134</v>
      </c>
      <c r="N15" s="216">
        <f t="shared" si="1"/>
        <v>3477.932553923275</v>
      </c>
      <c r="O15" s="178" t="s">
        <v>133</v>
      </c>
      <c r="P15" s="490">
        <v>0.75</v>
      </c>
      <c r="Q15" s="393" t="s">
        <v>134</v>
      </c>
      <c r="R15" s="216">
        <f t="shared" si="2"/>
        <v>2608.4494154424565</v>
      </c>
      <c r="S15" s="216"/>
      <c r="T15" s="216">
        <f>N15-R15</f>
        <v>869.48313848081852</v>
      </c>
      <c r="U15" s="216"/>
      <c r="V15" s="394">
        <f t="shared" si="3"/>
        <v>2.3787261069354051E-2</v>
      </c>
      <c r="W15" s="370"/>
      <c r="X15" s="373">
        <f t="shared" si="4"/>
        <v>2.0199839575670935</v>
      </c>
    </row>
    <row r="16" spans="2:24">
      <c r="B16" s="370" t="s">
        <v>664</v>
      </c>
      <c r="C16" s="370"/>
      <c r="E16" s="367" t="str">
        <f t="shared" si="0"/>
        <v>DCF, 5.5x 18E EBITDA</v>
      </c>
      <c r="F16" s="484">
        <v>6617.5809974314634</v>
      </c>
      <c r="G16" s="178" t="s">
        <v>133</v>
      </c>
      <c r="H16" s="486">
        <v>5.5220476771546352</v>
      </c>
      <c r="I16" s="178" t="s">
        <v>134</v>
      </c>
      <c r="J16" s="216">
        <f>(H16*F16)</f>
        <v>36542.597775249065</v>
      </c>
      <c r="K16" s="178" t="s">
        <v>135</v>
      </c>
      <c r="L16" s="484"/>
      <c r="M16" s="178" t="s">
        <v>134</v>
      </c>
      <c r="N16" s="216">
        <f t="shared" si="1"/>
        <v>36542.597775249065</v>
      </c>
      <c r="O16" s="178" t="s">
        <v>133</v>
      </c>
      <c r="P16" s="490">
        <v>0.77946578347199524</v>
      </c>
      <c r="Q16" s="393" t="s">
        <v>134</v>
      </c>
      <c r="R16" s="216">
        <f t="shared" si="2"/>
        <v>28483.704604986502</v>
      </c>
      <c r="S16" s="370"/>
      <c r="T16" s="216">
        <f>N16-R16+L16</f>
        <v>8058.8931702625632</v>
      </c>
      <c r="U16" s="370"/>
      <c r="V16" s="394">
        <f t="shared" si="3"/>
        <v>0.24993248142540667</v>
      </c>
      <c r="W16" s="370"/>
      <c r="X16" s="373">
        <f t="shared" si="4"/>
        <v>21.223948460576871</v>
      </c>
    </row>
    <row r="17" spans="2:24">
      <c r="B17" s="370" t="s">
        <v>665</v>
      </c>
      <c r="C17" s="370"/>
      <c r="E17" s="367" t="str">
        <f t="shared" si="0"/>
        <v>DCF, 1.4x 18E EBITDA</v>
      </c>
      <c r="F17" s="484">
        <v>4690.5586118949304</v>
      </c>
      <c r="G17" s="178" t="s">
        <v>133</v>
      </c>
      <c r="H17" s="486">
        <v>1.4375011843688219</v>
      </c>
      <c r="I17" s="178" t="s">
        <v>134</v>
      </c>
      <c r="J17" s="216">
        <f>(H17*F17)</f>
        <v>6742.6835599503402</v>
      </c>
      <c r="K17" s="178" t="s">
        <v>135</v>
      </c>
      <c r="L17" s="484"/>
      <c r="M17" s="178" t="s">
        <v>134</v>
      </c>
      <c r="N17" s="216">
        <f t="shared" si="1"/>
        <v>6742.6835599503402</v>
      </c>
      <c r="O17" s="178" t="s">
        <v>133</v>
      </c>
      <c r="P17" s="490">
        <v>0.80857170026626102</v>
      </c>
      <c r="Q17" s="393" t="s">
        <v>134</v>
      </c>
      <c r="R17" s="216">
        <f t="shared" si="2"/>
        <v>5451.9431104264122</v>
      </c>
      <c r="S17" s="370"/>
      <c r="T17" s="216">
        <f>N17-R17+L17</f>
        <v>1290.740449523928</v>
      </c>
      <c r="U17" s="370"/>
      <c r="V17" s="397">
        <f t="shared" si="3"/>
        <v>4.6116470535822414E-2</v>
      </c>
      <c r="W17" s="370"/>
      <c r="X17" s="373">
        <f t="shared" si="4"/>
        <v>3.9161520273551385</v>
      </c>
    </row>
    <row r="18" spans="2:24">
      <c r="B18" s="345" t="s">
        <v>137</v>
      </c>
      <c r="C18" s="370"/>
      <c r="F18" s="210"/>
      <c r="G18" s="196"/>
      <c r="H18" s="372"/>
      <c r="I18" s="376"/>
      <c r="J18" s="434">
        <f>SUM(J11:J17)</f>
        <v>298137.39457369637</v>
      </c>
      <c r="K18" s="375"/>
      <c r="L18" s="434">
        <f>-J22</f>
        <v>98910</v>
      </c>
      <c r="M18" s="196"/>
      <c r="N18" s="434">
        <f>SUM(N11:N17)</f>
        <v>298137.39457369637</v>
      </c>
      <c r="P18" s="377"/>
      <c r="Q18" s="378"/>
      <c r="R18" s="434">
        <f>SUM(R11:R17)</f>
        <v>237758.87863138292</v>
      </c>
      <c r="S18" s="370"/>
      <c r="T18" s="434">
        <f>SUM(T11:T17)</f>
        <v>60378.515942313476</v>
      </c>
      <c r="U18" s="370"/>
      <c r="V18" s="449">
        <f>N18/$J$33</f>
        <v>2.0391056839965351</v>
      </c>
      <c r="W18" s="370"/>
      <c r="X18" s="435">
        <f>$J$37*V18</f>
        <v>173.15826136719355</v>
      </c>
    </row>
    <row r="19" spans="2:24">
      <c r="B19" s="345"/>
      <c r="C19" s="370"/>
      <c r="F19" s="210"/>
      <c r="G19" s="196"/>
      <c r="H19" s="372"/>
      <c r="I19" s="376"/>
      <c r="J19" s="210"/>
      <c r="K19" s="375"/>
      <c r="L19" s="210"/>
      <c r="M19" s="196"/>
      <c r="N19" s="210"/>
      <c r="P19" s="377"/>
      <c r="Q19" s="378"/>
      <c r="R19" s="210"/>
      <c r="S19" s="370"/>
      <c r="T19" s="210"/>
      <c r="U19" s="370"/>
      <c r="V19" s="387"/>
      <c r="W19" s="370"/>
      <c r="X19" s="372"/>
    </row>
    <row r="20" spans="2:24">
      <c r="B20" s="370"/>
      <c r="C20" s="370"/>
      <c r="F20" s="210"/>
      <c r="G20" s="196"/>
      <c r="H20" s="372"/>
      <c r="I20" s="376"/>
      <c r="J20" s="196"/>
      <c r="K20" s="375"/>
      <c r="L20" s="370"/>
      <c r="M20" s="196"/>
      <c r="N20" s="210"/>
      <c r="P20" s="377"/>
      <c r="Q20" s="378"/>
      <c r="R20" s="210"/>
      <c r="T20" s="196"/>
    </row>
    <row r="21" spans="2:24" ht="12.6" thickBot="1">
      <c r="B21" s="382" t="s">
        <v>141</v>
      </c>
      <c r="D21" s="345"/>
      <c r="E21" s="381"/>
      <c r="H21" s="381"/>
      <c r="I21" s="381"/>
      <c r="J21" s="374">
        <f>J18</f>
        <v>298137.39457369637</v>
      </c>
      <c r="T21" s="460" t="s">
        <v>544</v>
      </c>
      <c r="U21" s="368"/>
      <c r="V21" s="368"/>
      <c r="W21" s="368"/>
      <c r="X21" s="368"/>
    </row>
    <row r="22" spans="2:24" ht="12.6" thickTop="1">
      <c r="B22" s="383" t="s">
        <v>1492</v>
      </c>
      <c r="E22" s="381"/>
      <c r="G22" s="381"/>
      <c r="I22" s="381"/>
      <c r="J22" s="216">
        <f>-MTN!D12</f>
        <v>-98910</v>
      </c>
    </row>
    <row r="23" spans="2:24">
      <c r="B23" s="384" t="s">
        <v>659</v>
      </c>
      <c r="I23" s="216"/>
      <c r="J23" s="484">
        <v>-16940</v>
      </c>
    </row>
    <row r="24" spans="2:24">
      <c r="B24" s="384" t="s">
        <v>660</v>
      </c>
      <c r="I24" s="216"/>
      <c r="J24" s="484">
        <v>1149</v>
      </c>
      <c r="K24" s="381"/>
    </row>
    <row r="25" spans="2:24">
      <c r="B25" s="383" t="s">
        <v>903</v>
      </c>
      <c r="I25" s="216"/>
      <c r="J25" s="484">
        <v>-3106</v>
      </c>
      <c r="K25" s="381"/>
      <c r="L25" s="380"/>
    </row>
    <row r="26" spans="2:24">
      <c r="B26" s="384" t="s">
        <v>954</v>
      </c>
      <c r="J26" s="484">
        <v>2629</v>
      </c>
    </row>
    <row r="27" spans="2:24">
      <c r="B27" s="383" t="s">
        <v>977</v>
      </c>
      <c r="J27" s="484">
        <v>6000</v>
      </c>
      <c r="K27" s="381"/>
    </row>
    <row r="28" spans="2:24">
      <c r="B28" s="383" t="s">
        <v>791</v>
      </c>
      <c r="J28" s="484">
        <v>17629</v>
      </c>
      <c r="K28" s="381"/>
    </row>
    <row r="29" spans="2:24">
      <c r="B29" s="383"/>
      <c r="J29" s="484"/>
      <c r="K29" s="381"/>
    </row>
    <row r="30" spans="2:24">
      <c r="B30" s="383"/>
      <c r="J30" s="484"/>
      <c r="K30" s="381"/>
    </row>
    <row r="31" spans="2:24">
      <c r="B31" s="384" t="s">
        <v>370</v>
      </c>
      <c r="J31" s="216">
        <f>-T18</f>
        <v>-60378.515942313476</v>
      </c>
    </row>
    <row r="32" spans="2:24">
      <c r="B32" s="384" t="s">
        <v>372</v>
      </c>
      <c r="J32" s="385">
        <v>0</v>
      </c>
      <c r="K32" s="381"/>
    </row>
    <row r="33" spans="2:24">
      <c r="B33" s="382" t="s">
        <v>490</v>
      </c>
      <c r="D33" s="345"/>
      <c r="E33" s="381"/>
      <c r="F33" s="381"/>
      <c r="G33" s="381"/>
      <c r="H33" s="381"/>
      <c r="I33" s="381"/>
      <c r="J33" s="210">
        <f>SUM(J21:J32)</f>
        <v>146209.87863138289</v>
      </c>
      <c r="K33" s="381"/>
    </row>
    <row r="34" spans="2:24" ht="12.6" thickBot="1">
      <c r="B34" s="384" t="s">
        <v>491</v>
      </c>
      <c r="D34" s="370"/>
      <c r="J34" s="484">
        <v>1841</v>
      </c>
      <c r="K34" s="381"/>
    </row>
    <row r="35" spans="2:24" ht="12.6" thickBot="1">
      <c r="B35" s="382" t="s">
        <v>492</v>
      </c>
      <c r="D35" s="370"/>
      <c r="J35" s="462">
        <f>J33/J34</f>
        <v>79.418728208247089</v>
      </c>
    </row>
    <row r="36" spans="2:24" ht="12.6" thickBot="1">
      <c r="B36" s="384" t="s">
        <v>126</v>
      </c>
      <c r="J36" s="486">
        <v>5.5</v>
      </c>
    </row>
    <row r="37" spans="2:24" ht="12.6" thickBot="1">
      <c r="B37" s="382" t="s">
        <v>61</v>
      </c>
      <c r="D37" s="370"/>
      <c r="J37" s="462">
        <f>J35+J36</f>
        <v>84.918728208247089</v>
      </c>
    </row>
    <row r="38" spans="2:24">
      <c r="B38" s="384" t="s">
        <v>493</v>
      </c>
      <c r="D38" s="370"/>
      <c r="J38" s="373">
        <f>Prices!C110/100</f>
        <v>92</v>
      </c>
    </row>
    <row r="39" spans="2:24">
      <c r="B39" s="382" t="s">
        <v>96</v>
      </c>
      <c r="D39" s="345"/>
      <c r="E39" s="381"/>
      <c r="F39" s="381"/>
      <c r="G39" s="381"/>
      <c r="H39" s="381"/>
      <c r="I39" s="381"/>
      <c r="J39" s="387">
        <f>J37/J38-1</f>
        <v>-7.6970345562531683E-2</v>
      </c>
    </row>
    <row r="40" spans="2:24">
      <c r="D40" s="345"/>
      <c r="E40" s="345"/>
      <c r="F40" s="345"/>
      <c r="G40" s="345"/>
      <c r="H40" s="345"/>
      <c r="I40" s="345"/>
    </row>
    <row r="41" spans="2:24">
      <c r="D41" s="345"/>
      <c r="E41" s="345"/>
      <c r="F41" s="345"/>
      <c r="G41" s="345"/>
      <c r="H41" s="345"/>
      <c r="I41" s="345"/>
    </row>
    <row r="42" spans="2:24">
      <c r="D42" s="345"/>
      <c r="E42" s="345"/>
      <c r="F42" s="345"/>
      <c r="G42" s="345"/>
      <c r="H42" s="345"/>
      <c r="I42" s="345"/>
    </row>
    <row r="43" spans="2:24">
      <c r="D43" s="345"/>
      <c r="E43" s="345"/>
      <c r="F43" s="345"/>
      <c r="G43" s="345"/>
      <c r="H43" s="345"/>
      <c r="I43" s="345"/>
    </row>
    <row r="44" spans="2:24" ht="12.6" thickBot="1">
      <c r="D44" s="345"/>
      <c r="E44" s="345"/>
      <c r="F44" s="345"/>
      <c r="G44" s="345"/>
      <c r="H44" s="345"/>
      <c r="I44" s="345"/>
      <c r="Q44" s="249"/>
      <c r="R44" s="249"/>
      <c r="T44" s="460" t="s">
        <v>544</v>
      </c>
      <c r="U44" s="368"/>
      <c r="V44" s="368"/>
      <c r="W44" s="368"/>
      <c r="X44" s="368"/>
    </row>
    <row r="45" spans="2:24" ht="12.6" thickTop="1">
      <c r="D45" s="345"/>
      <c r="E45" s="345"/>
      <c r="F45" s="345"/>
      <c r="G45" s="345"/>
      <c r="H45" s="345"/>
      <c r="I45" s="345"/>
      <c r="Q45" s="388"/>
      <c r="R45" s="388"/>
      <c r="T45" s="370" t="s">
        <v>449</v>
      </c>
      <c r="X45" s="394">
        <f t="shared" ref="X45:X51" si="5">R11/R$18</f>
        <v>0.3895778569247651</v>
      </c>
    </row>
    <row r="46" spans="2:24">
      <c r="D46" s="345"/>
      <c r="E46" s="345"/>
      <c r="F46" s="345"/>
      <c r="G46" s="345"/>
      <c r="H46" s="345"/>
      <c r="I46" s="345"/>
      <c r="M46" s="249"/>
      <c r="N46" s="249"/>
      <c r="O46" s="249"/>
      <c r="P46" s="249"/>
      <c r="T46" s="370" t="s">
        <v>427</v>
      </c>
      <c r="X46" s="394">
        <f t="shared" si="5"/>
        <v>0.2280827377346003</v>
      </c>
    </row>
    <row r="47" spans="2:24">
      <c r="D47" s="345"/>
      <c r="E47" s="345"/>
      <c r="F47" s="345"/>
      <c r="G47" s="345"/>
      <c r="H47" s="345"/>
      <c r="I47" s="345"/>
      <c r="L47" s="249"/>
      <c r="N47" s="388"/>
      <c r="O47" s="388"/>
      <c r="P47" s="388"/>
      <c r="T47" s="370" t="s">
        <v>186</v>
      </c>
      <c r="X47" s="394">
        <f t="shared" si="5"/>
        <v>8.6488803471361425E-2</v>
      </c>
    </row>
    <row r="48" spans="2:24">
      <c r="D48" s="345"/>
      <c r="E48" s="381"/>
      <c r="F48" s="381"/>
      <c r="G48" s="381"/>
      <c r="H48" s="381"/>
      <c r="I48" s="381"/>
      <c r="Q48" s="249"/>
      <c r="R48" s="249"/>
      <c r="T48" s="370" t="s">
        <v>663</v>
      </c>
      <c r="X48" s="394">
        <f t="shared" si="5"/>
        <v>0.14214825711893186</v>
      </c>
    </row>
    <row r="49" spans="4:24">
      <c r="D49" s="345"/>
      <c r="E49" s="381"/>
      <c r="F49" s="381"/>
      <c r="G49" s="381"/>
      <c r="H49" s="381"/>
      <c r="I49" s="381"/>
      <c r="Q49" s="388"/>
      <c r="R49" s="388"/>
      <c r="T49" s="370" t="s">
        <v>185</v>
      </c>
      <c r="X49" s="394">
        <f t="shared" si="5"/>
        <v>1.0970986364242361E-2</v>
      </c>
    </row>
    <row r="50" spans="4:24">
      <c r="D50" s="370"/>
      <c r="E50" s="381"/>
      <c r="F50" s="381"/>
      <c r="G50" s="381"/>
      <c r="H50" s="381"/>
      <c r="I50" s="381"/>
      <c r="M50" s="249"/>
      <c r="N50" s="249"/>
      <c r="O50" s="249"/>
      <c r="P50" s="249"/>
      <c r="T50" s="370" t="s">
        <v>664</v>
      </c>
      <c r="X50" s="394">
        <f t="shared" si="5"/>
        <v>0.11980080310332858</v>
      </c>
    </row>
    <row r="51" spans="4:24">
      <c r="D51" s="370"/>
      <c r="E51" s="381"/>
      <c r="F51" s="381"/>
      <c r="G51" s="381"/>
      <c r="H51" s="381"/>
      <c r="I51" s="381"/>
      <c r="L51" s="249"/>
      <c r="N51" s="388"/>
      <c r="O51" s="388"/>
      <c r="P51" s="388"/>
      <c r="Q51" s="249"/>
      <c r="R51" s="249"/>
      <c r="T51" s="370" t="s">
        <v>665</v>
      </c>
      <c r="X51" s="394">
        <f t="shared" si="5"/>
        <v>2.2930555282770351E-2</v>
      </c>
    </row>
    <row r="52" spans="4:24">
      <c r="D52" s="345"/>
      <c r="E52" s="381"/>
      <c r="F52" s="381"/>
      <c r="G52" s="381"/>
      <c r="H52" s="381"/>
      <c r="I52" s="381"/>
      <c r="M52" s="249"/>
      <c r="N52" s="249"/>
      <c r="O52" s="249"/>
      <c r="P52" s="249"/>
      <c r="T52" s="345"/>
      <c r="U52" s="387"/>
    </row>
    <row r="53" spans="4:24">
      <c r="D53" s="370"/>
      <c r="E53" s="381"/>
      <c r="F53" s="381"/>
      <c r="G53" s="381"/>
      <c r="H53" s="381"/>
      <c r="I53" s="381"/>
      <c r="L53" s="249"/>
      <c r="N53" s="388"/>
      <c r="O53" s="388"/>
      <c r="P53" s="388"/>
      <c r="Q53" s="249"/>
      <c r="R53" s="249"/>
      <c r="S53" s="249"/>
    </row>
    <row r="54" spans="4:24">
      <c r="D54" s="370"/>
      <c r="E54" s="381"/>
      <c r="F54" s="381"/>
      <c r="G54" s="381"/>
      <c r="H54" s="381"/>
      <c r="I54" s="381"/>
      <c r="K54" s="381"/>
      <c r="Q54" s="388"/>
      <c r="R54" s="388"/>
      <c r="S54" s="388"/>
      <c r="T54" s="388"/>
      <c r="U54" s="388"/>
      <c r="V54" s="388"/>
      <c r="W54" s="388"/>
      <c r="X54" s="388"/>
    </row>
    <row r="55" spans="4:24">
      <c r="D55" s="370"/>
      <c r="K55" s="381"/>
      <c r="M55" s="249"/>
      <c r="N55" s="249"/>
      <c r="O55" s="249"/>
      <c r="P55" s="249"/>
    </row>
    <row r="56" spans="4:24">
      <c r="D56" s="370"/>
      <c r="L56" s="249"/>
      <c r="N56" s="388"/>
      <c r="O56" s="388"/>
      <c r="P56" s="388"/>
      <c r="Q56" s="249"/>
      <c r="R56" s="249"/>
    </row>
    <row r="57" spans="4:24">
      <c r="D57" s="370"/>
      <c r="J57" s="381"/>
      <c r="K57" s="381"/>
      <c r="Q57" s="388"/>
      <c r="R57" s="388"/>
      <c r="S57" s="249"/>
      <c r="T57" s="249"/>
      <c r="U57" s="249"/>
      <c r="V57" s="249"/>
      <c r="W57" s="249"/>
      <c r="X57" s="249"/>
    </row>
    <row r="58" spans="4:24">
      <c r="D58" s="370"/>
      <c r="J58" s="381"/>
      <c r="K58" s="381"/>
      <c r="M58" s="249"/>
      <c r="N58" s="249"/>
      <c r="O58" s="249"/>
      <c r="P58" s="249"/>
      <c r="Q58" s="389"/>
      <c r="R58" s="389"/>
      <c r="S58" s="388"/>
      <c r="T58" s="388"/>
      <c r="U58" s="388"/>
      <c r="V58" s="388"/>
      <c r="W58" s="388"/>
      <c r="X58" s="388"/>
    </row>
    <row r="59" spans="4:24">
      <c r="D59" s="370"/>
      <c r="K59" s="381"/>
      <c r="L59" s="249"/>
      <c r="N59" s="388"/>
      <c r="O59" s="388"/>
      <c r="P59" s="388"/>
      <c r="Q59" s="388"/>
      <c r="R59" s="388"/>
    </row>
    <row r="60" spans="4:24">
      <c r="D60" s="370"/>
      <c r="J60" s="381"/>
      <c r="M60" s="389"/>
      <c r="N60" s="389"/>
      <c r="O60" s="389"/>
      <c r="P60" s="389"/>
      <c r="S60" s="249"/>
      <c r="T60" s="249"/>
      <c r="U60" s="249"/>
      <c r="V60" s="249"/>
      <c r="W60" s="249"/>
      <c r="X60" s="249"/>
    </row>
    <row r="61" spans="4:24">
      <c r="D61" s="370"/>
      <c r="J61" s="381"/>
      <c r="L61" s="389"/>
      <c r="N61" s="388"/>
      <c r="O61" s="388"/>
      <c r="P61" s="388"/>
      <c r="Q61" s="249"/>
      <c r="R61" s="249"/>
      <c r="S61" s="388"/>
      <c r="T61" s="388"/>
      <c r="U61" s="388"/>
      <c r="V61" s="388"/>
      <c r="W61" s="388"/>
      <c r="X61" s="388"/>
    </row>
    <row r="62" spans="4:24">
      <c r="D62" s="370"/>
      <c r="J62" s="381"/>
      <c r="K62" s="381"/>
      <c r="Q62" s="390"/>
      <c r="R62" s="390"/>
    </row>
    <row r="63" spans="4:24">
      <c r="D63" s="370"/>
      <c r="K63" s="381"/>
      <c r="M63" s="249"/>
      <c r="N63" s="249"/>
      <c r="O63" s="249"/>
      <c r="P63" s="249"/>
      <c r="Q63" s="249"/>
      <c r="R63" s="249"/>
      <c r="S63" s="249"/>
      <c r="T63" s="249"/>
      <c r="U63" s="249"/>
      <c r="V63" s="249"/>
      <c r="W63" s="249"/>
      <c r="X63" s="249"/>
    </row>
    <row r="64" spans="4:24">
      <c r="D64" s="345"/>
      <c r="E64" s="381"/>
      <c r="F64" s="381"/>
      <c r="G64" s="381"/>
      <c r="H64" s="381"/>
      <c r="I64" s="381"/>
      <c r="L64" s="249"/>
      <c r="N64" s="388"/>
      <c r="O64" s="388"/>
      <c r="P64" s="390"/>
      <c r="Q64" s="388"/>
      <c r="R64" s="388"/>
      <c r="S64" s="388"/>
      <c r="T64" s="388"/>
      <c r="U64" s="388"/>
      <c r="V64" s="388"/>
      <c r="W64" s="388"/>
      <c r="X64" s="388"/>
    </row>
    <row r="65" spans="4:24">
      <c r="D65" s="370"/>
      <c r="J65" s="381"/>
      <c r="M65" s="249"/>
      <c r="N65" s="249"/>
      <c r="O65" s="249"/>
      <c r="P65" s="249"/>
      <c r="Q65" s="248"/>
      <c r="R65" s="248"/>
    </row>
    <row r="66" spans="4:24">
      <c r="D66" s="370"/>
      <c r="J66" s="381"/>
      <c r="L66" s="249"/>
      <c r="N66" s="388"/>
      <c r="O66" s="388"/>
      <c r="P66" s="388"/>
      <c r="S66" s="249"/>
      <c r="T66" s="249"/>
      <c r="U66" s="249"/>
      <c r="V66" s="249"/>
      <c r="W66" s="249"/>
      <c r="X66" s="249"/>
    </row>
    <row r="67" spans="4:24">
      <c r="D67" s="345"/>
      <c r="E67" s="381"/>
      <c r="F67" s="381"/>
      <c r="G67" s="381"/>
      <c r="H67" s="381"/>
      <c r="I67" s="381"/>
      <c r="M67" s="248"/>
      <c r="N67" s="248"/>
      <c r="O67" s="248"/>
      <c r="P67" s="248"/>
      <c r="Q67" s="247"/>
      <c r="R67" s="247"/>
      <c r="S67" s="388"/>
      <c r="T67" s="388"/>
      <c r="U67" s="388"/>
      <c r="V67" s="388"/>
      <c r="W67" s="388"/>
      <c r="X67" s="388"/>
    </row>
    <row r="68" spans="4:24">
      <c r="D68" s="370"/>
      <c r="L68" s="248"/>
      <c r="Q68" s="388"/>
      <c r="R68" s="388"/>
      <c r="S68" s="389"/>
      <c r="T68" s="389"/>
      <c r="U68" s="389"/>
      <c r="V68" s="389"/>
      <c r="W68" s="389"/>
      <c r="X68" s="389"/>
    </row>
    <row r="69" spans="4:24">
      <c r="D69" s="345"/>
      <c r="E69" s="381"/>
      <c r="F69" s="381"/>
      <c r="G69" s="381"/>
      <c r="H69" s="381"/>
      <c r="I69" s="381"/>
      <c r="M69" s="247"/>
      <c r="N69" s="247"/>
      <c r="O69" s="247"/>
      <c r="P69" s="247"/>
      <c r="S69" s="388"/>
      <c r="T69" s="388"/>
      <c r="U69" s="388"/>
      <c r="V69" s="388"/>
      <c r="W69" s="388"/>
      <c r="X69" s="388"/>
    </row>
    <row r="70" spans="4:24">
      <c r="D70" s="370"/>
      <c r="E70" s="381"/>
      <c r="F70" s="381"/>
      <c r="G70" s="381"/>
      <c r="H70" s="381"/>
      <c r="I70" s="381"/>
      <c r="L70" s="247"/>
      <c r="N70" s="388"/>
      <c r="O70" s="388"/>
      <c r="P70" s="388"/>
      <c r="Q70" s="389"/>
      <c r="R70" s="389"/>
    </row>
    <row r="71" spans="4:24">
      <c r="D71" s="370"/>
      <c r="Q71" s="388"/>
      <c r="R71" s="388"/>
      <c r="S71" s="249"/>
      <c r="T71" s="249"/>
      <c r="U71" s="249"/>
      <c r="V71" s="249"/>
      <c r="W71" s="249"/>
      <c r="X71" s="249"/>
    </row>
    <row r="72" spans="4:24">
      <c r="D72" s="370"/>
      <c r="M72" s="389"/>
      <c r="N72" s="389"/>
      <c r="O72" s="389"/>
      <c r="P72" s="389"/>
      <c r="S72" s="390"/>
      <c r="T72" s="390"/>
      <c r="U72" s="390"/>
      <c r="V72" s="390"/>
      <c r="W72" s="390"/>
      <c r="X72" s="390"/>
    </row>
    <row r="73" spans="4:24">
      <c r="D73" s="345"/>
      <c r="E73" s="381"/>
      <c r="F73" s="381"/>
      <c r="G73" s="381"/>
      <c r="H73" s="381"/>
      <c r="I73" s="381"/>
      <c r="L73" s="389"/>
      <c r="N73" s="388"/>
      <c r="O73" s="388"/>
      <c r="P73" s="388"/>
      <c r="Q73" s="391"/>
      <c r="R73" s="391"/>
      <c r="S73" s="249"/>
      <c r="T73" s="249"/>
      <c r="U73" s="249"/>
      <c r="V73" s="249"/>
      <c r="W73" s="249"/>
      <c r="X73" s="249"/>
    </row>
    <row r="74" spans="4:24">
      <c r="D74" s="370"/>
      <c r="E74" s="381"/>
      <c r="F74" s="381"/>
      <c r="G74" s="381"/>
      <c r="H74" s="381"/>
      <c r="I74" s="381"/>
      <c r="K74" s="381"/>
      <c r="Q74" s="388"/>
      <c r="R74" s="388"/>
      <c r="S74" s="388"/>
      <c r="T74" s="388"/>
      <c r="U74" s="388"/>
      <c r="V74" s="388"/>
      <c r="W74" s="388"/>
      <c r="X74" s="388"/>
    </row>
    <row r="75" spans="4:24">
      <c r="D75" s="370"/>
      <c r="K75" s="381"/>
      <c r="M75" s="391"/>
      <c r="N75" s="391"/>
      <c r="O75" s="391"/>
      <c r="P75" s="391"/>
      <c r="Q75" s="248"/>
      <c r="R75" s="248"/>
      <c r="S75" s="248"/>
      <c r="T75" s="248"/>
      <c r="U75" s="248"/>
      <c r="V75" s="248"/>
      <c r="W75" s="248"/>
      <c r="X75" s="248"/>
    </row>
    <row r="76" spans="4:24">
      <c r="D76" s="345"/>
      <c r="E76" s="381"/>
      <c r="F76" s="381"/>
      <c r="G76" s="381"/>
      <c r="H76" s="381"/>
      <c r="I76" s="381"/>
      <c r="L76" s="391"/>
      <c r="N76" s="388"/>
      <c r="O76" s="388"/>
      <c r="P76" s="388"/>
    </row>
    <row r="77" spans="4:24">
      <c r="D77" s="370"/>
      <c r="J77" s="381"/>
      <c r="N77" s="248"/>
      <c r="O77" s="248"/>
      <c r="P77" s="248"/>
      <c r="Q77" s="247"/>
      <c r="R77" s="247"/>
      <c r="S77" s="247"/>
      <c r="T77" s="247"/>
      <c r="U77" s="247"/>
      <c r="V77" s="247"/>
      <c r="W77" s="247"/>
      <c r="X77" s="247"/>
    </row>
    <row r="78" spans="4:24">
      <c r="D78" s="370"/>
      <c r="J78" s="381"/>
      <c r="K78" s="381"/>
      <c r="Q78" s="388"/>
      <c r="R78" s="388"/>
      <c r="S78" s="388"/>
      <c r="T78" s="388"/>
      <c r="U78" s="388"/>
      <c r="V78" s="388"/>
      <c r="W78" s="388"/>
      <c r="X78" s="388"/>
    </row>
    <row r="79" spans="4:24">
      <c r="D79" s="345"/>
      <c r="E79" s="381"/>
      <c r="F79" s="381"/>
      <c r="G79" s="381"/>
      <c r="H79" s="381"/>
      <c r="I79" s="381"/>
      <c r="K79" s="381"/>
      <c r="M79" s="247"/>
      <c r="N79" s="247"/>
      <c r="O79" s="247"/>
      <c r="P79" s="247"/>
      <c r="Q79" s="274"/>
      <c r="R79" s="274"/>
    </row>
    <row r="80" spans="4:24">
      <c r="D80" s="370"/>
      <c r="L80" s="247"/>
      <c r="N80" s="388"/>
      <c r="O80" s="388"/>
      <c r="P80" s="388"/>
      <c r="S80" s="389"/>
      <c r="T80" s="389"/>
      <c r="U80" s="389"/>
      <c r="V80" s="389"/>
      <c r="W80" s="389"/>
      <c r="X80" s="389"/>
    </row>
    <row r="81" spans="4:24">
      <c r="D81" s="370"/>
      <c r="J81" s="381"/>
      <c r="M81" s="274"/>
      <c r="N81" s="274"/>
      <c r="O81" s="274"/>
      <c r="P81" s="274"/>
      <c r="Q81" s="389"/>
      <c r="R81" s="389"/>
      <c r="S81" s="388"/>
      <c r="T81" s="388"/>
      <c r="U81" s="388"/>
      <c r="V81" s="388"/>
      <c r="W81" s="388"/>
      <c r="X81" s="388"/>
    </row>
    <row r="82" spans="4:24">
      <c r="D82" s="370"/>
      <c r="J82" s="381"/>
      <c r="K82" s="381"/>
      <c r="L82" s="274"/>
      <c r="Q82" s="388"/>
      <c r="R82" s="388"/>
    </row>
    <row r="83" spans="4:24">
      <c r="D83" s="345"/>
      <c r="E83" s="381"/>
      <c r="F83" s="381"/>
      <c r="G83" s="381"/>
      <c r="H83" s="381"/>
      <c r="I83" s="381"/>
      <c r="M83" s="389"/>
      <c r="N83" s="389"/>
      <c r="O83" s="389"/>
      <c r="P83" s="389"/>
      <c r="S83" s="391"/>
      <c r="T83" s="391"/>
      <c r="U83" s="391"/>
      <c r="V83" s="391"/>
      <c r="W83" s="391"/>
      <c r="X83" s="391"/>
    </row>
    <row r="84" spans="4:24">
      <c r="D84" s="370"/>
      <c r="L84" s="389"/>
      <c r="N84" s="388"/>
      <c r="O84" s="388"/>
      <c r="P84" s="388"/>
      <c r="S84" s="388"/>
      <c r="T84" s="388"/>
      <c r="U84" s="388"/>
      <c r="V84" s="388"/>
      <c r="W84" s="388"/>
      <c r="X84" s="388"/>
    </row>
    <row r="85" spans="4:24">
      <c r="D85" s="370"/>
      <c r="E85" s="345"/>
      <c r="F85" s="345"/>
      <c r="G85" s="345"/>
      <c r="H85" s="345"/>
      <c r="I85" s="345"/>
      <c r="J85" s="381"/>
      <c r="Q85" s="249"/>
      <c r="R85" s="249"/>
      <c r="S85" s="248"/>
      <c r="T85" s="248"/>
      <c r="U85" s="248"/>
      <c r="V85" s="248"/>
      <c r="W85" s="248"/>
      <c r="X85" s="248"/>
    </row>
    <row r="86" spans="4:24">
      <c r="D86" s="370"/>
      <c r="E86" s="345"/>
      <c r="F86" s="345"/>
      <c r="G86" s="345"/>
      <c r="H86" s="345"/>
      <c r="I86" s="345"/>
      <c r="Q86" s="388"/>
      <c r="R86" s="388"/>
    </row>
    <row r="87" spans="4:24">
      <c r="D87" s="370"/>
      <c r="M87" s="249"/>
      <c r="N87" s="249"/>
      <c r="O87" s="249"/>
      <c r="P87" s="249"/>
      <c r="S87" s="247"/>
      <c r="T87" s="247"/>
      <c r="U87" s="247"/>
      <c r="V87" s="247"/>
      <c r="W87" s="247"/>
      <c r="X87" s="247"/>
    </row>
    <row r="88" spans="4:24">
      <c r="D88" s="370"/>
      <c r="L88" s="249"/>
      <c r="N88" s="388"/>
      <c r="O88" s="388"/>
      <c r="P88" s="388"/>
      <c r="Q88" s="249"/>
      <c r="R88" s="249"/>
      <c r="S88" s="388"/>
      <c r="T88" s="388"/>
      <c r="U88" s="388"/>
      <c r="V88" s="388"/>
      <c r="W88" s="388"/>
      <c r="X88" s="388"/>
    </row>
    <row r="89" spans="4:24">
      <c r="D89" s="370"/>
      <c r="Q89" s="390"/>
      <c r="R89" s="390"/>
      <c r="S89" s="274"/>
      <c r="T89" s="274"/>
      <c r="U89" s="274"/>
      <c r="V89" s="274"/>
      <c r="W89" s="274"/>
      <c r="X89" s="274"/>
    </row>
    <row r="90" spans="4:24">
      <c r="D90" s="345"/>
      <c r="E90" s="381"/>
      <c r="F90" s="381"/>
      <c r="G90" s="381"/>
      <c r="H90" s="381"/>
      <c r="I90" s="381"/>
      <c r="M90" s="249"/>
      <c r="N90" s="249"/>
      <c r="O90" s="249"/>
      <c r="P90" s="249"/>
    </row>
    <row r="91" spans="4:24">
      <c r="D91" s="345"/>
      <c r="E91" s="381"/>
      <c r="F91" s="381"/>
      <c r="G91" s="381"/>
      <c r="H91" s="381"/>
      <c r="I91" s="381"/>
      <c r="L91" s="249"/>
      <c r="N91" s="388"/>
      <c r="O91" s="388"/>
      <c r="P91" s="390"/>
      <c r="Q91" s="389"/>
      <c r="R91" s="389"/>
      <c r="S91" s="389"/>
      <c r="T91" s="389"/>
      <c r="U91" s="389"/>
      <c r="V91" s="389"/>
      <c r="W91" s="389"/>
      <c r="X91" s="389"/>
    </row>
    <row r="92" spans="4:24">
      <c r="D92" s="370"/>
      <c r="E92" s="381"/>
      <c r="F92" s="381"/>
      <c r="G92" s="381"/>
      <c r="H92" s="381"/>
      <c r="I92" s="381"/>
      <c r="Q92" s="392"/>
      <c r="R92" s="392"/>
      <c r="S92" s="388"/>
      <c r="T92" s="388"/>
      <c r="U92" s="388"/>
      <c r="V92" s="388"/>
      <c r="W92" s="388"/>
      <c r="X92" s="388"/>
    </row>
    <row r="93" spans="4:24">
      <c r="D93" s="370"/>
      <c r="E93" s="381"/>
      <c r="F93" s="381"/>
      <c r="G93" s="381"/>
      <c r="H93" s="381"/>
      <c r="I93" s="381"/>
      <c r="M93" s="389"/>
      <c r="N93" s="389"/>
      <c r="O93" s="389"/>
      <c r="P93" s="389"/>
      <c r="Q93" s="392"/>
      <c r="R93" s="392"/>
    </row>
    <row r="94" spans="4:24">
      <c r="D94" s="370"/>
      <c r="L94" s="389"/>
      <c r="N94" s="392"/>
      <c r="O94" s="392"/>
      <c r="P94" s="392"/>
    </row>
    <row r="95" spans="4:24">
      <c r="D95" s="345"/>
      <c r="E95" s="381"/>
      <c r="F95" s="381"/>
      <c r="G95" s="381"/>
      <c r="H95" s="381"/>
      <c r="I95" s="381"/>
      <c r="M95" s="392"/>
      <c r="N95" s="392"/>
      <c r="O95" s="392"/>
      <c r="P95" s="392"/>
      <c r="Q95" s="388"/>
      <c r="R95" s="388"/>
      <c r="S95" s="249"/>
      <c r="T95" s="249"/>
      <c r="U95" s="249"/>
      <c r="V95" s="249"/>
      <c r="W95" s="249"/>
      <c r="X95" s="249"/>
    </row>
    <row r="96" spans="4:24">
      <c r="D96" s="370"/>
      <c r="E96" s="381"/>
      <c r="F96" s="381"/>
      <c r="G96" s="381"/>
      <c r="H96" s="381"/>
      <c r="I96" s="381"/>
      <c r="L96" s="392"/>
      <c r="Q96" s="389"/>
      <c r="R96" s="389"/>
      <c r="S96" s="388"/>
      <c r="T96" s="388"/>
      <c r="U96" s="388"/>
      <c r="V96" s="388"/>
      <c r="W96" s="388"/>
      <c r="X96" s="388"/>
    </row>
    <row r="97" spans="4:24">
      <c r="D97" s="370"/>
      <c r="E97" s="381"/>
      <c r="F97" s="381"/>
      <c r="G97" s="381"/>
      <c r="H97" s="381"/>
      <c r="I97" s="381"/>
      <c r="K97" s="381"/>
      <c r="M97" s="388"/>
      <c r="N97" s="388"/>
      <c r="O97" s="388"/>
      <c r="P97" s="388"/>
      <c r="R97" s="392"/>
    </row>
    <row r="98" spans="4:24">
      <c r="D98" s="370"/>
      <c r="K98" s="381"/>
      <c r="L98" s="388"/>
      <c r="M98" s="389"/>
      <c r="N98" s="389"/>
      <c r="O98" s="389"/>
      <c r="P98" s="389"/>
      <c r="S98" s="249"/>
      <c r="T98" s="249"/>
      <c r="U98" s="249"/>
      <c r="V98" s="249"/>
      <c r="W98" s="249"/>
      <c r="X98" s="249"/>
    </row>
    <row r="99" spans="4:24">
      <c r="D99" s="370"/>
      <c r="L99" s="389"/>
      <c r="Q99" s="389"/>
      <c r="R99" s="389"/>
      <c r="S99" s="390"/>
      <c r="T99" s="390"/>
      <c r="U99" s="390"/>
      <c r="V99" s="390"/>
      <c r="W99" s="390"/>
      <c r="X99" s="390"/>
    </row>
    <row r="100" spans="4:24">
      <c r="D100" s="370"/>
      <c r="J100" s="381"/>
      <c r="K100" s="381"/>
      <c r="Q100" s="392"/>
      <c r="R100" s="392"/>
    </row>
    <row r="101" spans="4:24">
      <c r="D101" s="370"/>
      <c r="J101" s="381"/>
      <c r="K101" s="381"/>
      <c r="M101" s="389"/>
      <c r="N101" s="389"/>
      <c r="O101" s="389"/>
      <c r="P101" s="389"/>
      <c r="S101" s="389"/>
      <c r="T101" s="389"/>
      <c r="U101" s="389"/>
      <c r="V101" s="389"/>
      <c r="W101" s="389"/>
      <c r="X101" s="389"/>
    </row>
    <row r="102" spans="4:24">
      <c r="D102" s="370"/>
      <c r="K102" s="381"/>
      <c r="L102" s="389"/>
      <c r="N102" s="392"/>
      <c r="O102" s="392"/>
      <c r="P102" s="392"/>
      <c r="S102" s="392"/>
      <c r="T102" s="392"/>
      <c r="U102" s="392"/>
      <c r="V102" s="392"/>
      <c r="W102" s="392"/>
      <c r="X102" s="392"/>
    </row>
    <row r="103" spans="4:24">
      <c r="D103" s="370"/>
      <c r="J103" s="381"/>
      <c r="S103" s="392"/>
      <c r="T103" s="392"/>
      <c r="U103" s="392"/>
      <c r="V103" s="392"/>
      <c r="W103" s="392"/>
      <c r="X103" s="392"/>
    </row>
    <row r="104" spans="4:24">
      <c r="D104" s="370"/>
      <c r="J104" s="381"/>
    </row>
    <row r="105" spans="4:24">
      <c r="D105" s="370"/>
      <c r="J105" s="381"/>
      <c r="K105" s="381"/>
      <c r="S105" s="388"/>
      <c r="T105" s="388"/>
      <c r="U105" s="388"/>
      <c r="V105" s="388"/>
      <c r="W105" s="388"/>
      <c r="X105" s="388"/>
    </row>
    <row r="106" spans="4:24">
      <c r="D106" s="370"/>
      <c r="K106" s="381"/>
      <c r="S106" s="389"/>
      <c r="T106" s="389"/>
      <c r="U106" s="389"/>
      <c r="V106" s="389"/>
      <c r="W106" s="389"/>
      <c r="X106" s="389"/>
    </row>
    <row r="107" spans="4:24">
      <c r="D107" s="345"/>
      <c r="E107" s="381"/>
      <c r="F107" s="381"/>
      <c r="G107" s="381"/>
      <c r="H107" s="381"/>
      <c r="I107" s="381"/>
      <c r="S107" s="392"/>
      <c r="T107" s="392"/>
      <c r="U107" s="392"/>
      <c r="V107" s="392"/>
      <c r="W107" s="392"/>
      <c r="X107" s="392"/>
    </row>
    <row r="108" spans="4:24">
      <c r="D108" s="370"/>
      <c r="J108" s="381"/>
    </row>
    <row r="109" spans="4:24">
      <c r="D109" s="370"/>
      <c r="J109" s="381"/>
      <c r="S109" s="389"/>
      <c r="T109" s="389"/>
      <c r="U109" s="389"/>
      <c r="V109" s="389"/>
      <c r="W109" s="389"/>
      <c r="X109" s="389"/>
    </row>
    <row r="110" spans="4:24">
      <c r="D110" s="345"/>
      <c r="E110" s="381"/>
      <c r="F110" s="381"/>
      <c r="G110" s="381"/>
      <c r="H110" s="381"/>
      <c r="I110" s="381"/>
      <c r="S110" s="392"/>
      <c r="T110" s="392"/>
      <c r="U110" s="392"/>
      <c r="V110" s="392"/>
      <c r="W110" s="392"/>
      <c r="X110" s="392"/>
    </row>
    <row r="111" spans="4:24">
      <c r="D111" s="370"/>
    </row>
    <row r="112" spans="4:24">
      <c r="D112" s="345"/>
      <c r="E112" s="381"/>
      <c r="F112" s="381"/>
      <c r="G112" s="381"/>
      <c r="H112" s="381"/>
      <c r="I112" s="381"/>
    </row>
    <row r="113" spans="4:11">
      <c r="D113" s="370"/>
      <c r="E113" s="381"/>
      <c r="F113" s="381"/>
      <c r="G113" s="381"/>
      <c r="H113" s="381"/>
      <c r="I113" s="381"/>
    </row>
    <row r="114" spans="4:11">
      <c r="D114" s="370"/>
    </row>
    <row r="115" spans="4:11">
      <c r="D115" s="370"/>
    </row>
    <row r="116" spans="4:11">
      <c r="D116" s="345"/>
      <c r="E116" s="381"/>
      <c r="F116" s="381"/>
      <c r="G116" s="381"/>
      <c r="H116" s="381"/>
      <c r="I116" s="381"/>
    </row>
    <row r="117" spans="4:11">
      <c r="D117" s="370"/>
      <c r="E117" s="381"/>
      <c r="F117" s="381"/>
      <c r="G117" s="381"/>
      <c r="H117" s="381"/>
      <c r="I117" s="381"/>
      <c r="K117" s="381"/>
    </row>
    <row r="118" spans="4:11">
      <c r="D118" s="370"/>
      <c r="K118" s="381"/>
    </row>
    <row r="119" spans="4:11">
      <c r="D119" s="345"/>
      <c r="E119" s="381"/>
      <c r="F119" s="381"/>
      <c r="G119" s="381"/>
      <c r="H119" s="381"/>
      <c r="I119" s="381"/>
    </row>
    <row r="120" spans="4:11">
      <c r="D120" s="370"/>
      <c r="J120" s="381"/>
    </row>
    <row r="121" spans="4:11">
      <c r="D121" s="370"/>
      <c r="J121" s="381"/>
      <c r="K121" s="381"/>
    </row>
    <row r="122" spans="4:11">
      <c r="D122" s="345"/>
      <c r="E122" s="381"/>
      <c r="F122" s="381"/>
      <c r="G122" s="381"/>
      <c r="H122" s="381"/>
      <c r="I122" s="381"/>
      <c r="K122" s="381"/>
    </row>
    <row r="123" spans="4:11">
      <c r="D123" s="370"/>
    </row>
    <row r="124" spans="4:11">
      <c r="D124" s="370"/>
      <c r="J124" s="381"/>
    </row>
    <row r="125" spans="4:11">
      <c r="D125" s="370"/>
      <c r="J125" s="381"/>
      <c r="K125" s="381"/>
    </row>
    <row r="126" spans="4:11">
      <c r="D126" s="345"/>
      <c r="E126" s="381"/>
      <c r="F126" s="381"/>
      <c r="G126" s="381"/>
      <c r="H126" s="381"/>
      <c r="I126" s="381"/>
    </row>
    <row r="127" spans="4:11">
      <c r="D127" s="370"/>
    </row>
    <row r="128" spans="4:11">
      <c r="D128" s="370"/>
      <c r="E128" s="345"/>
      <c r="F128" s="345"/>
      <c r="G128" s="345"/>
      <c r="H128" s="345"/>
      <c r="I128" s="345"/>
      <c r="J128" s="381"/>
    </row>
    <row r="129" spans="4:11">
      <c r="D129" s="370"/>
      <c r="E129" s="345"/>
      <c r="F129" s="345"/>
      <c r="G129" s="345"/>
      <c r="H129" s="345"/>
      <c r="I129" s="345"/>
    </row>
    <row r="130" spans="4:11">
      <c r="D130" s="370"/>
    </row>
    <row r="131" spans="4:11">
      <c r="D131" s="370"/>
    </row>
    <row r="133" spans="4:11">
      <c r="D133" s="345"/>
      <c r="E133" s="381"/>
      <c r="F133" s="381"/>
      <c r="G133" s="381"/>
      <c r="H133" s="381"/>
      <c r="I133" s="381"/>
    </row>
    <row r="134" spans="4:11">
      <c r="D134" s="345"/>
      <c r="E134" s="381"/>
      <c r="F134" s="381"/>
      <c r="G134" s="381"/>
      <c r="H134" s="381"/>
      <c r="I134" s="381"/>
    </row>
    <row r="135" spans="4:11">
      <c r="D135" s="370"/>
      <c r="E135" s="381"/>
      <c r="F135" s="381"/>
      <c r="G135" s="381"/>
      <c r="H135" s="381"/>
      <c r="I135" s="381"/>
    </row>
    <row r="136" spans="4:11">
      <c r="D136" s="370"/>
      <c r="E136" s="381"/>
      <c r="F136" s="381"/>
      <c r="G136" s="381"/>
      <c r="H136" s="381"/>
      <c r="I136" s="381"/>
    </row>
    <row r="137" spans="4:11">
      <c r="D137" s="370"/>
    </row>
    <row r="138" spans="4:11">
      <c r="D138" s="345"/>
      <c r="E138" s="381"/>
      <c r="F138" s="381"/>
      <c r="G138" s="381"/>
      <c r="H138" s="381"/>
      <c r="I138" s="381"/>
    </row>
    <row r="139" spans="4:11">
      <c r="D139" s="370"/>
      <c r="E139" s="381"/>
      <c r="F139" s="381"/>
      <c r="G139" s="381"/>
      <c r="H139" s="381"/>
      <c r="I139" s="381"/>
    </row>
    <row r="140" spans="4:11">
      <c r="D140" s="370"/>
      <c r="E140" s="381"/>
      <c r="F140" s="381"/>
      <c r="G140" s="381"/>
      <c r="H140" s="381"/>
      <c r="I140" s="381"/>
      <c r="K140" s="381"/>
    </row>
    <row r="141" spans="4:11">
      <c r="D141" s="370"/>
      <c r="K141" s="381"/>
    </row>
    <row r="142" spans="4:11">
      <c r="D142" s="370"/>
    </row>
    <row r="143" spans="4:11">
      <c r="D143" s="370"/>
      <c r="J143" s="381"/>
      <c r="K143" s="381"/>
    </row>
    <row r="144" spans="4:11">
      <c r="D144" s="370"/>
      <c r="J144" s="381"/>
      <c r="K144" s="381"/>
    </row>
    <row r="145" spans="4:11">
      <c r="D145" s="370"/>
      <c r="K145" s="381"/>
    </row>
    <row r="146" spans="4:11">
      <c r="D146" s="370"/>
      <c r="J146" s="381"/>
    </row>
    <row r="147" spans="4:11">
      <c r="D147" s="370"/>
      <c r="J147" s="381"/>
    </row>
    <row r="148" spans="4:11">
      <c r="D148" s="370"/>
      <c r="J148" s="381"/>
      <c r="K148" s="381"/>
    </row>
    <row r="149" spans="4:11">
      <c r="D149" s="370"/>
      <c r="K149" s="381"/>
    </row>
    <row r="150" spans="4:11">
      <c r="D150" s="345"/>
      <c r="E150" s="381"/>
      <c r="F150" s="381"/>
      <c r="G150" s="381"/>
      <c r="H150" s="381"/>
      <c r="I150" s="381"/>
    </row>
    <row r="151" spans="4:11">
      <c r="D151" s="370"/>
      <c r="J151" s="381"/>
    </row>
    <row r="152" spans="4:11">
      <c r="D152" s="370"/>
      <c r="J152" s="381"/>
    </row>
    <row r="153" spans="4:11">
      <c r="D153" s="345"/>
      <c r="E153" s="381"/>
      <c r="F153" s="381"/>
      <c r="G153" s="381"/>
      <c r="H153" s="381"/>
      <c r="I153" s="381"/>
    </row>
    <row r="154" spans="4:11">
      <c r="D154" s="370"/>
    </row>
    <row r="155" spans="4:11">
      <c r="D155" s="345"/>
      <c r="E155" s="381"/>
      <c r="F155" s="381"/>
      <c r="G155" s="381"/>
      <c r="H155" s="381"/>
      <c r="I155" s="381"/>
    </row>
    <row r="156" spans="4:11">
      <c r="D156" s="370"/>
      <c r="E156" s="381"/>
      <c r="F156" s="381"/>
      <c r="G156" s="381"/>
      <c r="H156" s="381"/>
      <c r="I156" s="381"/>
    </row>
    <row r="157" spans="4:11">
      <c r="D157" s="370"/>
    </row>
    <row r="158" spans="4:11">
      <c r="D158" s="370"/>
    </row>
    <row r="159" spans="4:11">
      <c r="D159" s="345"/>
      <c r="E159" s="381"/>
      <c r="F159" s="381"/>
      <c r="G159" s="381"/>
      <c r="H159" s="381"/>
      <c r="I159" s="381"/>
    </row>
    <row r="160" spans="4:11">
      <c r="D160" s="370"/>
      <c r="E160" s="381"/>
      <c r="F160" s="381"/>
      <c r="G160" s="381"/>
      <c r="H160" s="381"/>
      <c r="I160" s="381"/>
      <c r="K160" s="381"/>
    </row>
    <row r="161" spans="4:11">
      <c r="D161" s="370"/>
      <c r="K161" s="381"/>
    </row>
    <row r="162" spans="4:11">
      <c r="D162" s="345"/>
      <c r="E162" s="381"/>
      <c r="F162" s="381"/>
      <c r="G162" s="381"/>
      <c r="H162" s="381"/>
      <c r="I162" s="381"/>
    </row>
    <row r="163" spans="4:11">
      <c r="D163" s="370"/>
      <c r="J163" s="381"/>
    </row>
    <row r="164" spans="4:11">
      <c r="D164" s="370"/>
      <c r="J164" s="381"/>
      <c r="K164" s="381"/>
    </row>
    <row r="165" spans="4:11">
      <c r="D165" s="345"/>
      <c r="E165" s="381"/>
      <c r="F165" s="381"/>
      <c r="G165" s="381"/>
      <c r="H165" s="381"/>
      <c r="I165" s="381"/>
      <c r="K165" s="381"/>
    </row>
    <row r="166" spans="4:11">
      <c r="D166" s="370"/>
    </row>
    <row r="167" spans="4:11">
      <c r="D167" s="370"/>
      <c r="J167" s="381"/>
    </row>
    <row r="168" spans="4:11">
      <c r="D168" s="370"/>
      <c r="J168" s="381"/>
      <c r="K168" s="381"/>
    </row>
    <row r="169" spans="4:11">
      <c r="D169" s="345"/>
      <c r="E169" s="381"/>
      <c r="F169" s="381"/>
      <c r="G169" s="381"/>
      <c r="H169" s="381"/>
      <c r="I169" s="381"/>
    </row>
    <row r="170" spans="4:11">
      <c r="D170" s="370"/>
    </row>
    <row r="171" spans="4:11">
      <c r="D171" s="370"/>
      <c r="E171" s="345"/>
      <c r="F171" s="345"/>
      <c r="G171" s="345"/>
      <c r="H171" s="345"/>
      <c r="I171" s="345"/>
      <c r="J171" s="381"/>
    </row>
    <row r="172" spans="4:11">
      <c r="D172" s="370"/>
      <c r="E172" s="345"/>
      <c r="F172" s="345"/>
      <c r="G172" s="345"/>
      <c r="H172" s="345"/>
      <c r="I172" s="345"/>
    </row>
    <row r="173" spans="4:11">
      <c r="D173" s="370"/>
    </row>
    <row r="174" spans="4:11">
      <c r="D174" s="370"/>
    </row>
    <row r="175" spans="4:11">
      <c r="D175" s="370"/>
    </row>
    <row r="176" spans="4:11">
      <c r="D176" s="345"/>
      <c r="E176" s="381"/>
      <c r="F176" s="381"/>
      <c r="G176" s="381"/>
      <c r="H176" s="381"/>
      <c r="I176" s="381"/>
    </row>
    <row r="177" spans="4:11">
      <c r="D177" s="345"/>
      <c r="E177" s="381"/>
      <c r="F177" s="381"/>
      <c r="G177" s="381"/>
      <c r="H177" s="381"/>
      <c r="I177" s="381"/>
    </row>
    <row r="178" spans="4:11">
      <c r="D178" s="370"/>
      <c r="E178" s="381"/>
      <c r="F178" s="381"/>
      <c r="G178" s="381"/>
      <c r="H178" s="381"/>
      <c r="I178" s="381"/>
    </row>
    <row r="179" spans="4:11">
      <c r="D179" s="370"/>
      <c r="E179" s="381"/>
      <c r="F179" s="381"/>
      <c r="G179" s="381"/>
      <c r="H179" s="381"/>
      <c r="I179" s="381"/>
    </row>
    <row r="180" spans="4:11">
      <c r="D180" s="370"/>
    </row>
    <row r="181" spans="4:11">
      <c r="D181" s="345"/>
      <c r="E181" s="381"/>
      <c r="F181" s="381"/>
      <c r="G181" s="381"/>
      <c r="H181" s="381"/>
      <c r="I181" s="381"/>
    </row>
    <row r="182" spans="4:11">
      <c r="D182" s="370"/>
      <c r="E182" s="381"/>
      <c r="F182" s="381"/>
      <c r="G182" s="381"/>
      <c r="H182" s="381"/>
      <c r="I182" s="381"/>
    </row>
    <row r="183" spans="4:11">
      <c r="D183" s="370"/>
      <c r="E183" s="381"/>
      <c r="F183" s="381"/>
      <c r="G183" s="381"/>
      <c r="H183" s="381"/>
      <c r="I183" s="381"/>
      <c r="K183" s="381"/>
    </row>
    <row r="184" spans="4:11">
      <c r="D184" s="370"/>
      <c r="K184" s="381"/>
    </row>
    <row r="185" spans="4:11">
      <c r="D185" s="370"/>
    </row>
    <row r="186" spans="4:11">
      <c r="D186" s="370"/>
      <c r="J186" s="381"/>
      <c r="K186" s="381"/>
    </row>
    <row r="187" spans="4:11">
      <c r="D187" s="370"/>
      <c r="J187" s="381"/>
      <c r="K187" s="381"/>
    </row>
    <row r="188" spans="4:11">
      <c r="D188" s="370"/>
      <c r="K188" s="381"/>
    </row>
    <row r="189" spans="4:11">
      <c r="D189" s="370"/>
      <c r="J189" s="381"/>
    </row>
    <row r="190" spans="4:11">
      <c r="D190" s="370"/>
      <c r="J190" s="381"/>
    </row>
    <row r="191" spans="4:11">
      <c r="D191" s="370"/>
      <c r="J191" s="381"/>
      <c r="K191" s="381"/>
    </row>
    <row r="192" spans="4:11">
      <c r="D192" s="370"/>
      <c r="K192" s="381"/>
    </row>
    <row r="193" spans="4:11">
      <c r="D193" s="345"/>
      <c r="E193" s="381"/>
      <c r="F193" s="381"/>
      <c r="G193" s="381"/>
      <c r="H193" s="381"/>
      <c r="I193" s="381"/>
    </row>
    <row r="194" spans="4:11">
      <c r="D194" s="370"/>
      <c r="J194" s="381"/>
    </row>
    <row r="195" spans="4:11">
      <c r="D195" s="370"/>
      <c r="J195" s="381"/>
    </row>
    <row r="196" spans="4:11">
      <c r="D196" s="345"/>
      <c r="E196" s="381"/>
      <c r="F196" s="381"/>
      <c r="G196" s="381"/>
      <c r="H196" s="381"/>
      <c r="I196" s="381"/>
    </row>
    <row r="197" spans="4:11">
      <c r="D197" s="370"/>
    </row>
    <row r="198" spans="4:11">
      <c r="D198" s="345"/>
      <c r="E198" s="381"/>
      <c r="F198" s="381"/>
      <c r="G198" s="381"/>
      <c r="H198" s="381"/>
      <c r="I198" s="381"/>
    </row>
    <row r="199" spans="4:11">
      <c r="D199" s="370"/>
      <c r="E199" s="381"/>
      <c r="F199" s="381"/>
      <c r="G199" s="381"/>
      <c r="H199" s="381"/>
      <c r="I199" s="381"/>
    </row>
    <row r="200" spans="4:11">
      <c r="D200" s="370"/>
    </row>
    <row r="201" spans="4:11">
      <c r="D201" s="370"/>
    </row>
    <row r="202" spans="4:11">
      <c r="D202" s="345"/>
      <c r="E202" s="381"/>
      <c r="F202" s="381"/>
      <c r="G202" s="381"/>
      <c r="H202" s="381"/>
      <c r="I202" s="381"/>
    </row>
    <row r="203" spans="4:11">
      <c r="D203" s="370"/>
      <c r="E203" s="381"/>
      <c r="F203" s="381"/>
      <c r="G203" s="381"/>
      <c r="H203" s="381"/>
      <c r="I203" s="381"/>
      <c r="K203" s="381"/>
    </row>
    <row r="204" spans="4:11">
      <c r="D204" s="370"/>
      <c r="K204" s="381"/>
    </row>
    <row r="205" spans="4:11">
      <c r="D205" s="345"/>
      <c r="E205" s="381"/>
      <c r="F205" s="381"/>
      <c r="G205" s="381"/>
      <c r="H205" s="381"/>
      <c r="I205" s="381"/>
    </row>
    <row r="206" spans="4:11">
      <c r="D206" s="370"/>
      <c r="J206" s="381"/>
    </row>
    <row r="207" spans="4:11">
      <c r="D207" s="370"/>
      <c r="J207" s="381"/>
      <c r="K207" s="381"/>
    </row>
    <row r="208" spans="4:11">
      <c r="D208" s="345"/>
      <c r="E208" s="381"/>
      <c r="F208" s="381"/>
      <c r="G208" s="381"/>
      <c r="H208" s="381"/>
      <c r="I208" s="381"/>
      <c r="K208" s="381"/>
    </row>
    <row r="209" spans="4:11">
      <c r="D209" s="370"/>
    </row>
    <row r="210" spans="4:11">
      <c r="D210" s="370"/>
      <c r="J210" s="381"/>
    </row>
    <row r="211" spans="4:11">
      <c r="D211" s="370"/>
      <c r="J211" s="381"/>
      <c r="K211" s="381"/>
    </row>
    <row r="212" spans="4:11">
      <c r="D212" s="345"/>
      <c r="E212" s="381"/>
      <c r="F212" s="381"/>
      <c r="G212" s="381"/>
      <c r="H212" s="381"/>
      <c r="I212" s="381"/>
    </row>
    <row r="213" spans="4:11">
      <c r="D213" s="370"/>
    </row>
    <row r="214" spans="4:11">
      <c r="D214" s="370"/>
      <c r="E214" s="345"/>
      <c r="F214" s="345"/>
      <c r="G214" s="345"/>
      <c r="H214" s="345"/>
      <c r="I214" s="345"/>
      <c r="J214" s="381"/>
    </row>
    <row r="215" spans="4:11">
      <c r="D215" s="370"/>
      <c r="E215" s="345"/>
      <c r="F215" s="345"/>
      <c r="G215" s="345"/>
      <c r="H215" s="345"/>
      <c r="I215" s="345"/>
    </row>
    <row r="216" spans="4:11">
      <c r="D216" s="370"/>
    </row>
    <row r="217" spans="4:11">
      <c r="D217" s="370"/>
    </row>
    <row r="218" spans="4:11">
      <c r="D218" s="370"/>
    </row>
    <row r="219" spans="4:11">
      <c r="D219" s="345"/>
      <c r="E219" s="381"/>
      <c r="F219" s="381"/>
      <c r="G219" s="381"/>
      <c r="H219" s="381"/>
      <c r="I219" s="381"/>
    </row>
    <row r="220" spans="4:11">
      <c r="D220" s="345"/>
      <c r="E220" s="381"/>
      <c r="F220" s="381"/>
      <c r="G220" s="381"/>
      <c r="H220" s="381"/>
      <c r="I220" s="381"/>
    </row>
    <row r="221" spans="4:11">
      <c r="D221" s="370"/>
      <c r="E221" s="381"/>
      <c r="F221" s="381"/>
      <c r="G221" s="381"/>
      <c r="H221" s="381"/>
      <c r="I221" s="381"/>
    </row>
    <row r="222" spans="4:11">
      <c r="D222" s="370"/>
      <c r="E222" s="381"/>
      <c r="F222" s="381"/>
      <c r="G222" s="381"/>
      <c r="H222" s="381"/>
      <c r="I222" s="381"/>
    </row>
    <row r="223" spans="4:11">
      <c r="D223" s="370"/>
    </row>
    <row r="224" spans="4:11">
      <c r="D224" s="345"/>
      <c r="E224" s="381"/>
      <c r="F224" s="381"/>
      <c r="G224" s="381"/>
      <c r="H224" s="381"/>
      <c r="I224" s="381"/>
    </row>
    <row r="225" spans="4:11">
      <c r="D225" s="370"/>
      <c r="E225" s="381"/>
      <c r="F225" s="381"/>
      <c r="G225" s="381"/>
      <c r="H225" s="381"/>
      <c r="I225" s="381"/>
    </row>
    <row r="226" spans="4:11">
      <c r="D226" s="370"/>
      <c r="E226" s="381"/>
      <c r="F226" s="381"/>
      <c r="G226" s="381"/>
      <c r="H226" s="381"/>
      <c r="I226" s="381"/>
      <c r="K226" s="381"/>
    </row>
    <row r="227" spans="4:11">
      <c r="D227" s="370"/>
      <c r="K227" s="381"/>
    </row>
    <row r="228" spans="4:11">
      <c r="D228" s="370"/>
    </row>
    <row r="229" spans="4:11">
      <c r="D229" s="370"/>
      <c r="J229" s="381"/>
      <c r="K229" s="381"/>
    </row>
    <row r="230" spans="4:11">
      <c r="D230" s="370"/>
      <c r="J230" s="381"/>
      <c r="K230" s="381"/>
    </row>
    <row r="231" spans="4:11">
      <c r="D231" s="370"/>
      <c r="K231" s="381"/>
    </row>
    <row r="232" spans="4:11">
      <c r="D232" s="370"/>
      <c r="J232" s="381"/>
    </row>
    <row r="233" spans="4:11">
      <c r="D233" s="370"/>
      <c r="J233" s="381"/>
    </row>
    <row r="234" spans="4:11">
      <c r="D234" s="370"/>
      <c r="J234" s="381"/>
      <c r="K234" s="381"/>
    </row>
    <row r="235" spans="4:11">
      <c r="D235" s="370"/>
      <c r="K235" s="381"/>
    </row>
    <row r="236" spans="4:11">
      <c r="D236" s="345"/>
      <c r="E236" s="381"/>
      <c r="F236" s="381"/>
      <c r="G236" s="381"/>
      <c r="H236" s="381"/>
      <c r="I236" s="381"/>
    </row>
    <row r="237" spans="4:11">
      <c r="D237" s="370"/>
      <c r="J237" s="381"/>
    </row>
    <row r="238" spans="4:11">
      <c r="D238" s="370"/>
      <c r="J238" s="381"/>
    </row>
    <row r="239" spans="4:11">
      <c r="D239" s="345"/>
      <c r="E239" s="381"/>
      <c r="F239" s="381"/>
      <c r="G239" s="381"/>
      <c r="H239" s="381"/>
      <c r="I239" s="381"/>
    </row>
    <row r="240" spans="4:11">
      <c r="D240" s="370"/>
    </row>
    <row r="241" spans="4:11">
      <c r="D241" s="345"/>
      <c r="E241" s="381"/>
      <c r="F241" s="381"/>
      <c r="G241" s="381"/>
      <c r="H241" s="381"/>
      <c r="I241" s="381"/>
    </row>
    <row r="242" spans="4:11">
      <c r="D242" s="370"/>
      <c r="E242" s="381"/>
      <c r="F242" s="381"/>
      <c r="G242" s="381"/>
      <c r="H242" s="381"/>
      <c r="I242" s="381"/>
    </row>
    <row r="243" spans="4:11">
      <c r="D243" s="370"/>
    </row>
    <row r="244" spans="4:11">
      <c r="D244" s="370"/>
    </row>
    <row r="245" spans="4:11">
      <c r="D245" s="345"/>
      <c r="E245" s="381"/>
      <c r="F245" s="381"/>
      <c r="G245" s="381"/>
      <c r="H245" s="381"/>
      <c r="I245" s="381"/>
    </row>
    <row r="246" spans="4:11">
      <c r="D246" s="370"/>
      <c r="E246" s="381"/>
      <c r="F246" s="381"/>
      <c r="G246" s="381"/>
      <c r="H246" s="381"/>
      <c r="I246" s="381"/>
      <c r="K246" s="381"/>
    </row>
    <row r="247" spans="4:11">
      <c r="D247" s="370"/>
      <c r="K247" s="381"/>
    </row>
    <row r="248" spans="4:11">
      <c r="D248" s="345"/>
      <c r="E248" s="381"/>
      <c r="F248" s="381"/>
      <c r="G248" s="381"/>
      <c r="H248" s="381"/>
      <c r="I248" s="381"/>
    </row>
    <row r="249" spans="4:11">
      <c r="D249" s="370"/>
      <c r="J249" s="381"/>
    </row>
    <row r="250" spans="4:11">
      <c r="D250" s="370"/>
      <c r="J250" s="381"/>
      <c r="K250" s="381"/>
    </row>
    <row r="251" spans="4:11">
      <c r="D251" s="345"/>
      <c r="E251" s="381"/>
      <c r="F251" s="381"/>
      <c r="G251" s="381"/>
      <c r="H251" s="381"/>
      <c r="I251" s="381"/>
      <c r="K251" s="381"/>
    </row>
    <row r="252" spans="4:11">
      <c r="D252" s="370"/>
    </row>
    <row r="253" spans="4:11">
      <c r="D253" s="370"/>
      <c r="J253" s="381"/>
    </row>
    <row r="254" spans="4:11">
      <c r="D254" s="370"/>
      <c r="J254" s="381"/>
      <c r="K254" s="381"/>
    </row>
    <row r="255" spans="4:11">
      <c r="D255" s="345"/>
      <c r="E255" s="381"/>
      <c r="F255" s="381"/>
      <c r="G255" s="381"/>
      <c r="H255" s="381"/>
      <c r="I255" s="381"/>
    </row>
    <row r="256" spans="4:11">
      <c r="D256" s="370"/>
    </row>
    <row r="257" spans="4:10">
      <c r="D257" s="370"/>
      <c r="E257" s="345"/>
      <c r="F257" s="345"/>
      <c r="G257" s="345"/>
      <c r="H257" s="345"/>
      <c r="I257" s="345"/>
      <c r="J257" s="381"/>
    </row>
    <row r="258" spans="4:10">
      <c r="D258" s="370"/>
      <c r="E258" s="345"/>
      <c r="F258" s="345"/>
      <c r="G258" s="345"/>
      <c r="H258" s="345"/>
      <c r="I258" s="345"/>
    </row>
    <row r="259" spans="4:10">
      <c r="D259" s="370"/>
    </row>
    <row r="260" spans="4:10">
      <c r="D260" s="370"/>
    </row>
    <row r="261" spans="4:10">
      <c r="D261" s="370"/>
    </row>
    <row r="262" spans="4:10">
      <c r="D262" s="370"/>
    </row>
    <row r="263" spans="4:10">
      <c r="D263" s="370"/>
    </row>
    <row r="264" spans="4:10">
      <c r="D264" s="370"/>
    </row>
    <row r="265" spans="4:10">
      <c r="D265" s="370"/>
    </row>
    <row r="266" spans="4:10">
      <c r="D266" s="370"/>
    </row>
    <row r="267" spans="4:10">
      <c r="D267" s="370"/>
    </row>
    <row r="268" spans="4:10">
      <c r="D268" s="370"/>
    </row>
    <row r="269" spans="4:10">
      <c r="D269" s="370"/>
    </row>
    <row r="270" spans="4:10">
      <c r="D270" s="370"/>
    </row>
    <row r="271" spans="4:10">
      <c r="D271" s="370"/>
    </row>
    <row r="272" spans="4:10">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sheetData>
  <phoneticPr fontId="26" type="noConversion"/>
  <pageMargins left="0.75" right="0.75" top="1" bottom="1" header="0.5" footer="0.5"/>
  <pageSetup scale="45" orientation="landscape" r:id="rId1"/>
  <headerFooter alignWithMargins="0"/>
  <drawing r:id="rId2"/>
  <legacy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74">
    <pageSetUpPr fitToPage="1"/>
  </sheetPr>
  <dimension ref="B1:X448"/>
  <sheetViews>
    <sheetView showGridLines="0" zoomScale="80" zoomScaleNormal="80" workbookViewId="0"/>
  </sheetViews>
  <sheetFormatPr defaultColWidth="9.109375" defaultRowHeight="12"/>
  <cols>
    <col min="1" max="1" width="2.33203125" style="367" customWidth="1"/>
    <col min="2" max="4" width="10" style="367" customWidth="1"/>
    <col min="5" max="5" width="23.8867187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1452</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418</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9" t="s">
        <v>127</v>
      </c>
      <c r="O9" s="459"/>
      <c r="P9" s="458" t="s">
        <v>128</v>
      </c>
      <c r="Q9" s="458"/>
      <c r="R9" s="458" t="s">
        <v>194</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123</v>
      </c>
      <c r="C11" s="370"/>
      <c r="E11" s="367" t="str">
        <f>"DCF, "&amp;TEXT(H11,"0.0")&amp;"x 22E OpFCF"</f>
        <v>DCF, 17.1x 22E OpFCF</v>
      </c>
      <c r="F11" s="484">
        <v>145.20480000000003</v>
      </c>
      <c r="G11" s="178" t="s">
        <v>133</v>
      </c>
      <c r="H11" s="484">
        <v>17.103145420159127</v>
      </c>
      <c r="I11" s="178" t="s">
        <v>134</v>
      </c>
      <c r="J11" s="216">
        <f>H11*F11</f>
        <v>2483.4588101051227</v>
      </c>
      <c r="K11" s="178" t="s">
        <v>135</v>
      </c>
      <c r="L11" s="484">
        <v>-1442.2212072946757</v>
      </c>
      <c r="M11" s="178" t="s">
        <v>134</v>
      </c>
      <c r="N11" s="178">
        <f>J11-L11</f>
        <v>3925.6800173997981</v>
      </c>
      <c r="O11" s="178" t="s">
        <v>133</v>
      </c>
      <c r="P11" s="490">
        <v>1</v>
      </c>
      <c r="Q11" s="393" t="s">
        <v>134</v>
      </c>
      <c r="R11" s="216">
        <f>P11*N11</f>
        <v>3925.6800173997981</v>
      </c>
      <c r="S11" s="216"/>
      <c r="T11" s="216">
        <f>N11-R11</f>
        <v>0</v>
      </c>
      <c r="U11" s="216"/>
      <c r="V11" s="394">
        <f>N11/$J$26</f>
        <v>3.1341537401821022</v>
      </c>
      <c r="W11" s="370"/>
      <c r="X11" s="373">
        <f>$J$32*V11</f>
        <v>46.385475354695117</v>
      </c>
    </row>
    <row r="12" spans="2:24">
      <c r="B12" s="370" t="s">
        <v>1424</v>
      </c>
      <c r="C12" s="370"/>
      <c r="E12" s="367" t="str">
        <f>"DCF, "&amp;TEXT(H12,"0.0")&amp;"x 23E OpFCF"</f>
        <v>DCF, 83.0x 23E OpFCF</v>
      </c>
      <c r="F12" s="484">
        <v>13.111607142857125</v>
      </c>
      <c r="G12" s="178" t="s">
        <v>133</v>
      </c>
      <c r="H12" s="484">
        <v>82.958680806242427</v>
      </c>
      <c r="I12" s="178" t="s">
        <v>134</v>
      </c>
      <c r="J12" s="216">
        <f>H12*F12</f>
        <v>1087.7216318211324</v>
      </c>
      <c r="K12" s="178" t="s">
        <v>135</v>
      </c>
      <c r="L12" s="484">
        <v>290.70000000000005</v>
      </c>
      <c r="M12" s="178" t="s">
        <v>134</v>
      </c>
      <c r="N12" s="178">
        <f>J12-L12</f>
        <v>797.02163182113236</v>
      </c>
      <c r="O12" s="178" t="s">
        <v>133</v>
      </c>
      <c r="P12" s="490">
        <v>0.75</v>
      </c>
      <c r="Q12" s="393" t="s">
        <v>134</v>
      </c>
      <c r="R12" s="216">
        <f>P12*N12</f>
        <v>597.76622386584927</v>
      </c>
      <c r="S12" s="216"/>
      <c r="T12" s="216">
        <f>N12-R12</f>
        <v>199.25540795528309</v>
      </c>
      <c r="U12" s="216"/>
      <c r="V12" s="394">
        <f>N12/$J$26</f>
        <v>0.63631990312669562</v>
      </c>
      <c r="W12" s="370"/>
      <c r="X12" s="373">
        <f>$J$32*V12</f>
        <v>9.417534566275096</v>
      </c>
    </row>
    <row r="13" spans="2:24">
      <c r="B13" s="370" t="s">
        <v>1014</v>
      </c>
      <c r="C13" s="370"/>
      <c r="E13" s="367" t="str">
        <f>"DCF, "&amp;TEXT(H13,"0.0")&amp;"x 22E OpFCF"</f>
        <v>DCF, 12.7x 22E OpFCF</v>
      </c>
      <c r="F13" s="484">
        <v>8.5551999999999992</v>
      </c>
      <c r="G13" s="178" t="s">
        <v>133</v>
      </c>
      <c r="H13" s="484">
        <v>12.740905041184252</v>
      </c>
      <c r="I13" s="178" t="s">
        <v>134</v>
      </c>
      <c r="J13" s="385">
        <f>H13*F13</f>
        <v>109.00099080833951</v>
      </c>
      <c r="K13" s="178" t="s">
        <v>135</v>
      </c>
      <c r="L13" s="498"/>
      <c r="M13" s="178" t="s">
        <v>134</v>
      </c>
      <c r="N13" s="497">
        <f>J13-L13</f>
        <v>109.00099080833951</v>
      </c>
      <c r="O13" s="178" t="s">
        <v>133</v>
      </c>
      <c r="P13" s="490">
        <v>1</v>
      </c>
      <c r="Q13" s="393" t="s">
        <v>134</v>
      </c>
      <c r="R13" s="385">
        <f>P13*N13</f>
        <v>109.00099080833951</v>
      </c>
      <c r="S13" s="216"/>
      <c r="T13" s="385">
        <f>N13-R13</f>
        <v>0</v>
      </c>
      <c r="U13" s="216"/>
      <c r="V13" s="395">
        <f>N13/$J$26</f>
        <v>8.7023359395397307E-2</v>
      </c>
      <c r="W13" s="370"/>
      <c r="X13" s="396">
        <f>$J$32*V13</f>
        <v>1.2879457190518802</v>
      </c>
    </row>
    <row r="14" spans="2:24">
      <c r="B14" s="345" t="s">
        <v>137</v>
      </c>
      <c r="C14" s="370"/>
      <c r="F14" s="210"/>
      <c r="G14" s="196"/>
      <c r="H14" s="372"/>
      <c r="I14" s="376"/>
      <c r="J14" s="210">
        <f>SUM(J11:J13)</f>
        <v>3680.1814327345946</v>
      </c>
      <c r="K14" s="375"/>
      <c r="L14" s="210">
        <f>SUM(L11:L13)</f>
        <v>-1151.5212072946756</v>
      </c>
      <c r="M14" s="196"/>
      <c r="N14" s="210">
        <f>SUM(N11:N13)</f>
        <v>4831.7026400292698</v>
      </c>
      <c r="P14" s="377"/>
      <c r="Q14" s="378"/>
      <c r="R14" s="210">
        <f>SUM(R11:R13)</f>
        <v>4632.4472320739869</v>
      </c>
      <c r="S14" s="370"/>
      <c r="T14" s="210">
        <f>SUM(T11:T13)</f>
        <v>199.25540795528309</v>
      </c>
      <c r="U14" s="370"/>
      <c r="V14" s="371">
        <f>N14/$J$26</f>
        <v>3.857497002704195</v>
      </c>
      <c r="W14" s="370"/>
      <c r="X14" s="372">
        <f>$J$32*V14</f>
        <v>57.090955640022088</v>
      </c>
    </row>
    <row r="15" spans="2:24">
      <c r="B15" s="370"/>
      <c r="C15" s="370"/>
      <c r="F15" s="210"/>
      <c r="G15" s="196"/>
      <c r="H15" s="372"/>
      <c r="I15" s="376"/>
      <c r="J15" s="196"/>
      <c r="K15" s="375"/>
      <c r="L15" s="370"/>
      <c r="M15" s="196"/>
      <c r="N15" s="210"/>
      <c r="P15" s="377"/>
      <c r="Q15" s="378"/>
      <c r="R15" s="210"/>
      <c r="T15" s="196"/>
    </row>
    <row r="16" spans="2:24">
      <c r="B16" s="345" t="s">
        <v>138</v>
      </c>
      <c r="C16" s="345"/>
      <c r="K16" s="375"/>
      <c r="L16" s="196"/>
      <c r="M16" s="196"/>
      <c r="N16" s="370"/>
      <c r="P16" s="377"/>
      <c r="Q16" s="378"/>
      <c r="R16" s="448"/>
      <c r="T16" s="196"/>
    </row>
    <row r="17" spans="2:24">
      <c r="B17" s="345" t="s">
        <v>137</v>
      </c>
      <c r="C17" s="370"/>
      <c r="R17" s="210">
        <v>0</v>
      </c>
    </row>
    <row r="18" spans="2:24">
      <c r="D18" s="345"/>
      <c r="E18" s="381"/>
      <c r="F18" s="381"/>
      <c r="G18" s="381"/>
      <c r="H18" s="381"/>
      <c r="I18" s="381"/>
      <c r="J18" s="381"/>
      <c r="K18" s="381"/>
      <c r="R18" s="370"/>
    </row>
    <row r="19" spans="2:24" ht="12.6" thickBot="1">
      <c r="B19" s="382" t="s">
        <v>141</v>
      </c>
      <c r="D19" s="345"/>
      <c r="E19" s="381"/>
      <c r="H19" s="381"/>
      <c r="I19" s="381"/>
      <c r="J19" s="374">
        <f>J14</f>
        <v>3680.1814327345946</v>
      </c>
      <c r="T19" s="460" t="s">
        <v>544</v>
      </c>
      <c r="U19" s="368"/>
      <c r="V19" s="368"/>
      <c r="W19" s="368"/>
      <c r="X19" s="368"/>
    </row>
    <row r="20" spans="2:24" ht="12.6" thickTop="1">
      <c r="B20" s="383" t="s">
        <v>1367</v>
      </c>
      <c r="D20" s="424"/>
      <c r="J20" s="216">
        <f>-OBEL!D12</f>
        <v>-1802.9450918356797</v>
      </c>
    </row>
    <row r="21" spans="2:24">
      <c r="B21" s="384" t="s">
        <v>1119</v>
      </c>
      <c r="D21" s="424"/>
      <c r="J21" s="484">
        <v>-409.5608125216819</v>
      </c>
    </row>
    <row r="22" spans="2:24">
      <c r="B22" s="384" t="s">
        <v>1120</v>
      </c>
      <c r="D22" s="424"/>
      <c r="J22" s="484">
        <v>-103.18527389474048</v>
      </c>
    </row>
    <row r="23" spans="2:24">
      <c r="B23" s="384" t="s">
        <v>408</v>
      </c>
      <c r="D23" s="424"/>
      <c r="J23" s="484">
        <v>87.313797487843232</v>
      </c>
    </row>
    <row r="24" spans="2:24">
      <c r="B24" s="384" t="s">
        <v>370</v>
      </c>
      <c r="J24" s="216">
        <f>-T14</f>
        <v>-199.25540795528309</v>
      </c>
      <c r="K24" s="381"/>
    </row>
    <row r="25" spans="2:24">
      <c r="B25" s="384" t="s">
        <v>372</v>
      </c>
      <c r="J25" s="385">
        <v>0</v>
      </c>
    </row>
    <row r="26" spans="2:24">
      <c r="B26" s="382" t="s">
        <v>490</v>
      </c>
      <c r="D26" s="345"/>
      <c r="E26" s="381"/>
      <c r="F26" s="381"/>
      <c r="G26" s="381"/>
      <c r="H26" s="381"/>
      <c r="I26" s="381"/>
      <c r="J26" s="210">
        <f>SUM(J19:J25)</f>
        <v>1252.5486440150528</v>
      </c>
      <c r="K26" s="381"/>
    </row>
    <row r="27" spans="2:24" ht="12.6" thickBot="1">
      <c r="B27" s="384" t="s">
        <v>491</v>
      </c>
      <c r="D27" s="370"/>
      <c r="J27" s="214">
        <f>OBEL!D10</f>
        <v>60.014414000000002</v>
      </c>
      <c r="K27" s="381"/>
    </row>
    <row r="28" spans="2:24" ht="12.6" thickBot="1">
      <c r="B28" s="382" t="s">
        <v>492</v>
      </c>
      <c r="D28" s="370"/>
      <c r="J28" s="461">
        <f>J26/J27</f>
        <v>20.870796872482213</v>
      </c>
      <c r="K28" s="381"/>
    </row>
    <row r="29" spans="2:24">
      <c r="B29" s="384" t="s">
        <v>691</v>
      </c>
      <c r="D29" s="370"/>
      <c r="J29" s="486">
        <v>0</v>
      </c>
      <c r="K29" s="381"/>
    </row>
    <row r="30" spans="2:24" ht="12.6" thickBot="1">
      <c r="B30" s="384" t="s">
        <v>1493</v>
      </c>
      <c r="D30" s="370"/>
      <c r="J30" s="486">
        <v>-13</v>
      </c>
      <c r="K30" s="381"/>
    </row>
    <row r="31" spans="2:24" ht="12.6" thickBot="1">
      <c r="B31" s="382" t="s">
        <v>61</v>
      </c>
      <c r="D31" s="370"/>
      <c r="J31" s="461">
        <f>J28+J29+J30</f>
        <v>7.870796872482213</v>
      </c>
      <c r="K31" s="381"/>
    </row>
    <row r="32" spans="2:24">
      <c r="B32" s="384" t="s">
        <v>493</v>
      </c>
      <c r="D32" s="370"/>
      <c r="J32" s="373">
        <f>Prices!C28</f>
        <v>14.8</v>
      </c>
      <c r="K32" s="381"/>
    </row>
    <row r="33" spans="2:24">
      <c r="B33" s="382" t="s">
        <v>96</v>
      </c>
      <c r="D33" s="345"/>
      <c r="E33" s="381"/>
      <c r="F33" s="381"/>
      <c r="G33" s="381"/>
      <c r="H33" s="381"/>
      <c r="I33" s="381"/>
      <c r="J33" s="387">
        <f>J31/J32-1</f>
        <v>-0.46818940050795865</v>
      </c>
      <c r="K33" s="381"/>
      <c r="L33" s="380"/>
    </row>
    <row r="34" spans="2:24">
      <c r="D34" s="345"/>
      <c r="E34" s="381"/>
      <c r="I34" s="381"/>
    </row>
    <row r="35" spans="2:24">
      <c r="D35" s="345"/>
      <c r="E35" s="381"/>
      <c r="G35" s="381"/>
      <c r="I35" s="381"/>
      <c r="J35" s="381"/>
      <c r="K35" s="381"/>
    </row>
    <row r="36" spans="2:24">
      <c r="K36" s="381"/>
    </row>
    <row r="37" spans="2:24">
      <c r="D37" s="386"/>
      <c r="E37" s="381"/>
      <c r="F37" s="381"/>
      <c r="G37" s="381"/>
      <c r="H37" s="381"/>
      <c r="I37" s="381"/>
      <c r="J37" s="381"/>
    </row>
    <row r="38" spans="2:24">
      <c r="D38" s="424"/>
    </row>
    <row r="39" spans="2:24" ht="12.6" thickBot="1">
      <c r="D39" s="403"/>
      <c r="E39" s="370"/>
      <c r="T39" s="460" t="s">
        <v>544</v>
      </c>
      <c r="U39" s="368"/>
      <c r="V39" s="368"/>
      <c r="W39" s="368"/>
      <c r="X39" s="368"/>
    </row>
    <row r="40" spans="2:24" ht="12.6" thickTop="1">
      <c r="K40" s="381"/>
      <c r="T40" s="370" t="str">
        <f>B11</f>
        <v>Belgium</v>
      </c>
      <c r="X40" s="394">
        <f>R11/R$14</f>
        <v>0.84743113536605508</v>
      </c>
    </row>
    <row r="41" spans="2:24">
      <c r="D41" s="345"/>
      <c r="E41" s="345"/>
      <c r="F41" s="345"/>
      <c r="G41" s="345"/>
      <c r="H41" s="345"/>
      <c r="I41" s="345"/>
      <c r="T41" s="370" t="str">
        <f>B13</f>
        <v>Vox group (Luxembourg)</v>
      </c>
      <c r="X41" s="394">
        <f>R13/R$14</f>
        <v>2.3529893671241846E-2</v>
      </c>
    </row>
    <row r="42" spans="2:24">
      <c r="D42" s="345"/>
      <c r="E42" s="345"/>
      <c r="F42" s="345"/>
      <c r="G42" s="345"/>
      <c r="H42" s="345"/>
      <c r="I42" s="345"/>
    </row>
    <row r="43" spans="2:24">
      <c r="D43" s="345"/>
      <c r="E43" s="345"/>
      <c r="F43" s="345"/>
      <c r="G43" s="345"/>
      <c r="H43" s="345"/>
      <c r="I43" s="345"/>
    </row>
    <row r="44" spans="2:24">
      <c r="D44" s="345"/>
      <c r="E44" s="345"/>
      <c r="F44" s="345"/>
      <c r="G44" s="345"/>
      <c r="H44" s="345"/>
      <c r="I44" s="345"/>
    </row>
    <row r="45" spans="2:24">
      <c r="D45" s="345"/>
      <c r="E45" s="345"/>
      <c r="F45" s="345"/>
      <c r="G45" s="345"/>
      <c r="H45" s="345"/>
      <c r="I45" s="345"/>
    </row>
    <row r="46" spans="2:24">
      <c r="D46" s="345"/>
      <c r="E46" s="345"/>
      <c r="F46" s="345"/>
      <c r="G46" s="345"/>
      <c r="H46" s="345"/>
      <c r="I46" s="345"/>
    </row>
    <row r="47" spans="2:24">
      <c r="D47" s="345"/>
      <c r="E47" s="345"/>
      <c r="F47" s="345"/>
      <c r="G47" s="345"/>
      <c r="H47" s="345"/>
      <c r="I47" s="345"/>
    </row>
    <row r="48" spans="2:24">
      <c r="D48" s="345"/>
      <c r="E48" s="381"/>
      <c r="F48" s="381"/>
      <c r="G48" s="381"/>
      <c r="H48" s="381"/>
      <c r="I48" s="381"/>
    </row>
    <row r="49" spans="4:24">
      <c r="D49" s="345"/>
      <c r="E49" s="381"/>
      <c r="F49" s="381"/>
      <c r="G49" s="381"/>
      <c r="H49" s="381"/>
      <c r="I49" s="381"/>
    </row>
    <row r="50" spans="4:24">
      <c r="D50" s="370"/>
      <c r="E50" s="381"/>
      <c r="F50" s="381"/>
      <c r="G50" s="381"/>
      <c r="H50" s="381"/>
      <c r="I50" s="381"/>
      <c r="Q50" s="249"/>
      <c r="R50" s="249"/>
    </row>
    <row r="51" spans="4:24">
      <c r="D51" s="370"/>
      <c r="E51" s="381"/>
      <c r="F51" s="381"/>
      <c r="G51" s="381"/>
      <c r="H51" s="381"/>
      <c r="I51" s="381"/>
      <c r="Q51" s="388"/>
      <c r="R51" s="388"/>
    </row>
    <row r="52" spans="4:24">
      <c r="D52" s="370"/>
      <c r="M52" s="249"/>
      <c r="N52" s="249"/>
      <c r="O52" s="249"/>
      <c r="P52" s="249"/>
    </row>
    <row r="53" spans="4:24">
      <c r="D53" s="345"/>
      <c r="E53" s="381"/>
      <c r="F53" s="381"/>
      <c r="G53" s="381"/>
      <c r="H53" s="381"/>
      <c r="I53" s="381"/>
      <c r="L53" s="249"/>
      <c r="N53" s="388"/>
      <c r="O53" s="388"/>
      <c r="P53" s="388"/>
    </row>
    <row r="54" spans="4:24">
      <c r="D54" s="370"/>
      <c r="E54" s="381"/>
      <c r="F54" s="381"/>
      <c r="G54" s="381"/>
      <c r="H54" s="381"/>
      <c r="I54" s="381"/>
      <c r="Q54" s="249"/>
      <c r="R54" s="249"/>
    </row>
    <row r="55" spans="4:24">
      <c r="D55" s="370"/>
      <c r="E55" s="381"/>
      <c r="F55" s="381"/>
      <c r="G55" s="381"/>
      <c r="H55" s="381"/>
      <c r="I55" s="381"/>
      <c r="Q55" s="388"/>
      <c r="R55" s="388"/>
    </row>
    <row r="56" spans="4:24">
      <c r="D56" s="370"/>
      <c r="M56" s="249"/>
      <c r="N56" s="249"/>
      <c r="O56" s="249"/>
      <c r="P56" s="249"/>
    </row>
    <row r="57" spans="4:24">
      <c r="D57" s="370"/>
      <c r="L57" s="249"/>
      <c r="N57" s="388"/>
      <c r="O57" s="388"/>
      <c r="P57" s="388"/>
      <c r="Q57" s="249"/>
      <c r="R57" s="249"/>
    </row>
    <row r="58" spans="4:24">
      <c r="D58" s="370"/>
      <c r="J58" s="381"/>
      <c r="Q58" s="388"/>
      <c r="R58" s="388"/>
    </row>
    <row r="59" spans="4:24">
      <c r="D59" s="370"/>
      <c r="J59" s="381"/>
      <c r="M59" s="249"/>
      <c r="N59" s="249"/>
      <c r="O59" s="249"/>
      <c r="P59" s="249"/>
    </row>
    <row r="60" spans="4:24">
      <c r="D60" s="370"/>
      <c r="L60" s="249"/>
      <c r="N60" s="388"/>
      <c r="O60" s="388"/>
      <c r="P60" s="388"/>
      <c r="Q60" s="249"/>
      <c r="R60" s="249"/>
      <c r="S60" s="249"/>
      <c r="T60" s="249"/>
      <c r="U60" s="249"/>
      <c r="V60" s="249"/>
      <c r="W60" s="249"/>
      <c r="X60" s="249"/>
    </row>
    <row r="61" spans="4:24">
      <c r="D61" s="370"/>
      <c r="J61" s="381"/>
      <c r="K61" s="381"/>
      <c r="Q61" s="388"/>
      <c r="R61" s="388"/>
      <c r="S61" s="388"/>
      <c r="T61" s="388"/>
      <c r="U61" s="388"/>
      <c r="V61" s="388"/>
      <c r="W61" s="388"/>
      <c r="X61" s="388"/>
    </row>
    <row r="62" spans="4:24">
      <c r="D62" s="370"/>
      <c r="J62" s="381"/>
      <c r="K62" s="381"/>
      <c r="M62" s="249"/>
      <c r="N62" s="249"/>
      <c r="O62" s="249"/>
      <c r="P62" s="249"/>
    </row>
    <row r="63" spans="4:24">
      <c r="D63" s="370"/>
      <c r="J63" s="381"/>
      <c r="L63" s="249"/>
      <c r="N63" s="388"/>
      <c r="O63" s="388"/>
      <c r="P63" s="388"/>
      <c r="Q63" s="249"/>
      <c r="R63" s="249"/>
    </row>
    <row r="64" spans="4:24">
      <c r="D64" s="370"/>
      <c r="K64" s="381"/>
      <c r="Q64" s="388"/>
      <c r="R64" s="388"/>
      <c r="S64" s="249"/>
      <c r="T64" s="249"/>
      <c r="U64" s="249"/>
      <c r="V64" s="249"/>
      <c r="W64" s="249"/>
      <c r="X64" s="249"/>
    </row>
    <row r="65" spans="4:24">
      <c r="D65" s="345"/>
      <c r="E65" s="381"/>
      <c r="F65" s="381"/>
      <c r="G65" s="381"/>
      <c r="H65" s="381"/>
      <c r="I65" s="381"/>
      <c r="K65" s="381"/>
      <c r="M65" s="249"/>
      <c r="N65" s="249"/>
      <c r="O65" s="249"/>
      <c r="P65" s="249"/>
      <c r="Q65" s="389"/>
      <c r="R65" s="389"/>
      <c r="S65" s="388"/>
      <c r="T65" s="388"/>
      <c r="U65" s="388"/>
      <c r="V65" s="388"/>
      <c r="W65" s="388"/>
      <c r="X65" s="388"/>
    </row>
    <row r="66" spans="4:24">
      <c r="D66" s="370"/>
      <c r="J66" s="381"/>
      <c r="K66" s="381"/>
      <c r="L66" s="249"/>
      <c r="N66" s="388"/>
      <c r="O66" s="388"/>
      <c r="P66" s="388"/>
      <c r="Q66" s="388"/>
      <c r="R66" s="388"/>
    </row>
    <row r="67" spans="4:24">
      <c r="D67" s="370"/>
      <c r="J67" s="381"/>
      <c r="M67" s="389"/>
      <c r="N67" s="389"/>
      <c r="O67" s="389"/>
      <c r="P67" s="389"/>
      <c r="S67" s="249"/>
      <c r="T67" s="249"/>
      <c r="U67" s="249"/>
      <c r="V67" s="249"/>
      <c r="W67" s="249"/>
      <c r="X67" s="249"/>
    </row>
    <row r="68" spans="4:24">
      <c r="D68" s="345"/>
      <c r="E68" s="381"/>
      <c r="F68" s="381"/>
      <c r="G68" s="381"/>
      <c r="H68" s="381"/>
      <c r="I68" s="381"/>
      <c r="L68" s="389"/>
      <c r="N68" s="388"/>
      <c r="O68" s="388"/>
      <c r="P68" s="388"/>
      <c r="Q68" s="249"/>
      <c r="R68" s="249"/>
      <c r="S68" s="388"/>
      <c r="T68" s="388"/>
      <c r="U68" s="388"/>
      <c r="V68" s="388"/>
      <c r="W68" s="388"/>
      <c r="X68" s="388"/>
    </row>
    <row r="69" spans="4:24">
      <c r="D69" s="370"/>
      <c r="K69" s="381"/>
      <c r="Q69" s="390"/>
      <c r="R69" s="390"/>
    </row>
    <row r="70" spans="4:24">
      <c r="D70" s="345"/>
      <c r="E70" s="381"/>
      <c r="F70" s="381"/>
      <c r="G70" s="381"/>
      <c r="H70" s="381"/>
      <c r="I70" s="381"/>
      <c r="K70" s="381"/>
      <c r="M70" s="249"/>
      <c r="N70" s="249"/>
      <c r="O70" s="249"/>
      <c r="P70" s="249"/>
      <c r="Q70" s="249"/>
      <c r="R70" s="249"/>
      <c r="S70" s="249"/>
      <c r="T70" s="249"/>
      <c r="U70" s="249"/>
      <c r="V70" s="249"/>
      <c r="W70" s="249"/>
      <c r="X70" s="249"/>
    </row>
    <row r="71" spans="4:24">
      <c r="D71" s="370"/>
      <c r="E71" s="381"/>
      <c r="F71" s="381"/>
      <c r="G71" s="381"/>
      <c r="H71" s="381"/>
      <c r="I71" s="381"/>
      <c r="L71" s="249"/>
      <c r="N71" s="388"/>
      <c r="O71" s="388"/>
      <c r="P71" s="390"/>
      <c r="Q71" s="388"/>
      <c r="R71" s="388"/>
      <c r="S71" s="388"/>
      <c r="T71" s="388"/>
      <c r="U71" s="388"/>
      <c r="V71" s="388"/>
      <c r="W71" s="388"/>
      <c r="X71" s="388"/>
    </row>
    <row r="72" spans="4:24">
      <c r="D72" s="370"/>
      <c r="M72" s="249"/>
      <c r="N72" s="249"/>
      <c r="O72" s="249"/>
      <c r="P72" s="249"/>
      <c r="Q72" s="248"/>
      <c r="R72" s="248"/>
    </row>
    <row r="73" spans="4:24">
      <c r="D73" s="370"/>
      <c r="L73" s="249"/>
      <c r="N73" s="388"/>
      <c r="O73" s="388"/>
      <c r="P73" s="388"/>
      <c r="S73" s="249"/>
      <c r="T73" s="249"/>
      <c r="U73" s="249"/>
      <c r="V73" s="249"/>
      <c r="W73" s="249"/>
      <c r="X73" s="249"/>
    </row>
    <row r="74" spans="4:24">
      <c r="D74" s="345"/>
      <c r="E74" s="381"/>
      <c r="F74" s="381"/>
      <c r="G74" s="381"/>
      <c r="H74" s="381"/>
      <c r="I74" s="381"/>
      <c r="M74" s="248"/>
      <c r="N74" s="248"/>
      <c r="O74" s="248"/>
      <c r="P74" s="248"/>
      <c r="Q74" s="247"/>
      <c r="R74" s="247"/>
      <c r="S74" s="388"/>
      <c r="T74" s="388"/>
      <c r="U74" s="388"/>
      <c r="V74" s="388"/>
      <c r="W74" s="388"/>
      <c r="X74" s="388"/>
    </row>
    <row r="75" spans="4:24">
      <c r="D75" s="370"/>
      <c r="E75" s="381"/>
      <c r="F75" s="381"/>
      <c r="G75" s="381"/>
      <c r="H75" s="381"/>
      <c r="I75" s="381"/>
      <c r="L75" s="248"/>
      <c r="Q75" s="388"/>
      <c r="R75" s="388"/>
      <c r="S75" s="389"/>
      <c r="T75" s="389"/>
      <c r="U75" s="389"/>
      <c r="V75" s="389"/>
      <c r="W75" s="389"/>
      <c r="X75" s="389"/>
    </row>
    <row r="76" spans="4:24">
      <c r="D76" s="370"/>
      <c r="M76" s="247"/>
      <c r="N76" s="247"/>
      <c r="O76" s="247"/>
      <c r="P76" s="247"/>
      <c r="S76" s="388"/>
      <c r="T76" s="388"/>
      <c r="U76" s="388"/>
      <c r="V76" s="388"/>
      <c r="W76" s="388"/>
      <c r="X76" s="388"/>
    </row>
    <row r="77" spans="4:24">
      <c r="D77" s="345"/>
      <c r="E77" s="381"/>
      <c r="F77" s="381"/>
      <c r="G77" s="381"/>
      <c r="H77" s="381"/>
      <c r="I77" s="381"/>
      <c r="L77" s="247"/>
      <c r="N77" s="388"/>
      <c r="O77" s="388"/>
      <c r="P77" s="388"/>
      <c r="Q77" s="389"/>
      <c r="R77" s="389"/>
    </row>
    <row r="78" spans="4:24">
      <c r="D78" s="370"/>
      <c r="J78" s="381"/>
      <c r="Q78" s="388"/>
      <c r="R78" s="388"/>
      <c r="S78" s="249"/>
      <c r="T78" s="249"/>
      <c r="U78" s="249"/>
      <c r="V78" s="249"/>
      <c r="W78" s="249"/>
      <c r="X78" s="249"/>
    </row>
    <row r="79" spans="4:24">
      <c r="D79" s="370"/>
      <c r="J79" s="381"/>
      <c r="M79" s="389"/>
      <c r="N79" s="389"/>
      <c r="O79" s="389"/>
      <c r="P79" s="389"/>
      <c r="S79" s="390"/>
      <c r="T79" s="390"/>
      <c r="U79" s="390"/>
      <c r="V79" s="390"/>
      <c r="W79" s="390"/>
      <c r="X79" s="390"/>
    </row>
    <row r="80" spans="4:24">
      <c r="D80" s="345"/>
      <c r="E80" s="381"/>
      <c r="F80" s="381"/>
      <c r="G80" s="381"/>
      <c r="H80" s="381"/>
      <c r="I80" s="381"/>
      <c r="L80" s="389"/>
      <c r="N80" s="388"/>
      <c r="O80" s="388"/>
      <c r="P80" s="388"/>
      <c r="Q80" s="391"/>
      <c r="R80" s="391"/>
      <c r="S80" s="249"/>
      <c r="T80" s="249"/>
      <c r="U80" s="249"/>
      <c r="V80" s="249"/>
      <c r="W80" s="249"/>
      <c r="X80" s="249"/>
    </row>
    <row r="81" spans="4:24">
      <c r="D81" s="370"/>
      <c r="K81" s="381"/>
      <c r="Q81" s="388"/>
      <c r="R81" s="388"/>
      <c r="S81" s="388"/>
      <c r="T81" s="388"/>
      <c r="U81" s="388"/>
      <c r="V81" s="388"/>
      <c r="W81" s="388"/>
      <c r="X81" s="388"/>
    </row>
    <row r="82" spans="4:24">
      <c r="D82" s="370"/>
      <c r="J82" s="381"/>
      <c r="K82" s="381"/>
      <c r="M82" s="391"/>
      <c r="N82" s="391"/>
      <c r="O82" s="391"/>
      <c r="P82" s="391"/>
      <c r="Q82" s="248"/>
      <c r="R82" s="248"/>
      <c r="S82" s="248"/>
      <c r="T82" s="248"/>
      <c r="U82" s="248"/>
      <c r="V82" s="248"/>
      <c r="W82" s="248"/>
      <c r="X82" s="248"/>
    </row>
    <row r="83" spans="4:24">
      <c r="D83" s="370"/>
      <c r="J83" s="381"/>
      <c r="L83" s="391"/>
      <c r="N83" s="388"/>
      <c r="O83" s="388"/>
      <c r="P83" s="388"/>
    </row>
    <row r="84" spans="4:24">
      <c r="D84" s="370"/>
      <c r="F84" s="381"/>
      <c r="G84" s="381"/>
      <c r="H84" s="381"/>
      <c r="I84" s="381"/>
      <c r="N84" s="248"/>
      <c r="O84" s="248"/>
      <c r="P84" s="248"/>
      <c r="Q84" s="247"/>
      <c r="R84" s="247"/>
      <c r="S84" s="247"/>
      <c r="T84" s="247"/>
      <c r="U84" s="247"/>
      <c r="V84" s="247"/>
      <c r="W84" s="247"/>
      <c r="X84" s="247"/>
    </row>
    <row r="85" spans="4:24">
      <c r="D85" s="370"/>
      <c r="K85" s="381"/>
      <c r="Q85" s="388"/>
      <c r="R85" s="388"/>
      <c r="S85" s="388"/>
      <c r="T85" s="388"/>
      <c r="U85" s="388"/>
      <c r="V85" s="388"/>
      <c r="W85" s="388"/>
      <c r="X85" s="388"/>
    </row>
    <row r="86" spans="4:24">
      <c r="D86" s="370"/>
      <c r="F86" s="345"/>
      <c r="G86" s="345"/>
      <c r="H86" s="345"/>
      <c r="I86" s="345"/>
      <c r="J86" s="381"/>
      <c r="K86" s="381"/>
      <c r="M86" s="247"/>
      <c r="N86" s="247"/>
      <c r="O86" s="247"/>
      <c r="P86" s="247"/>
      <c r="Q86" s="274"/>
      <c r="R86" s="274"/>
    </row>
    <row r="87" spans="4:24">
      <c r="D87" s="370"/>
      <c r="E87" s="345"/>
      <c r="F87" s="345"/>
      <c r="G87" s="345"/>
      <c r="H87" s="345"/>
      <c r="I87" s="345"/>
      <c r="L87" s="247"/>
      <c r="N87" s="388"/>
      <c r="O87" s="388"/>
      <c r="P87" s="388"/>
      <c r="S87" s="389"/>
      <c r="T87" s="389"/>
      <c r="U87" s="389"/>
      <c r="V87" s="389"/>
      <c r="W87" s="389"/>
      <c r="X87" s="389"/>
    </row>
    <row r="88" spans="4:24">
      <c r="D88" s="370"/>
      <c r="M88" s="274"/>
      <c r="N88" s="274"/>
      <c r="O88" s="274"/>
      <c r="P88" s="274"/>
      <c r="Q88" s="389"/>
      <c r="R88" s="389"/>
      <c r="S88" s="388"/>
      <c r="T88" s="388"/>
      <c r="U88" s="388"/>
      <c r="V88" s="388"/>
      <c r="W88" s="388"/>
      <c r="X88" s="388"/>
    </row>
    <row r="89" spans="4:24">
      <c r="D89" s="370"/>
      <c r="K89" s="381"/>
      <c r="L89" s="274"/>
      <c r="Q89" s="388"/>
      <c r="R89" s="388"/>
    </row>
    <row r="90" spans="4:24">
      <c r="D90" s="370"/>
      <c r="M90" s="389"/>
      <c r="N90" s="389"/>
      <c r="O90" s="389"/>
      <c r="P90" s="389"/>
      <c r="S90" s="391"/>
      <c r="T90" s="391"/>
      <c r="U90" s="391"/>
      <c r="V90" s="391"/>
      <c r="W90" s="391"/>
      <c r="X90" s="391"/>
    </row>
    <row r="91" spans="4:24">
      <c r="D91" s="345"/>
      <c r="E91" s="381"/>
      <c r="F91" s="381"/>
      <c r="G91" s="381"/>
      <c r="H91" s="381"/>
      <c r="I91" s="381"/>
      <c r="L91" s="389"/>
      <c r="N91" s="388"/>
      <c r="O91" s="388"/>
      <c r="P91" s="388"/>
      <c r="S91" s="388"/>
      <c r="T91" s="388"/>
      <c r="U91" s="388"/>
      <c r="V91" s="388"/>
      <c r="W91" s="388"/>
      <c r="X91" s="388"/>
    </row>
    <row r="92" spans="4:24">
      <c r="D92" s="345"/>
      <c r="E92" s="381"/>
      <c r="F92" s="381"/>
      <c r="G92" s="381"/>
      <c r="H92" s="381"/>
      <c r="I92" s="381"/>
      <c r="Q92" s="249"/>
      <c r="R92" s="249"/>
      <c r="S92" s="248"/>
      <c r="T92" s="248"/>
      <c r="U92" s="248"/>
      <c r="V92" s="248"/>
      <c r="W92" s="248"/>
      <c r="X92" s="248"/>
    </row>
    <row r="93" spans="4:24">
      <c r="D93" s="370"/>
      <c r="E93" s="381"/>
      <c r="F93" s="381"/>
      <c r="G93" s="381"/>
      <c r="H93" s="381"/>
      <c r="I93" s="381"/>
      <c r="Q93" s="388"/>
      <c r="R93" s="388"/>
    </row>
    <row r="94" spans="4:24">
      <c r="D94" s="370"/>
      <c r="E94" s="381"/>
      <c r="F94" s="381"/>
      <c r="G94" s="381"/>
      <c r="H94" s="381"/>
      <c r="I94" s="381"/>
      <c r="M94" s="249"/>
      <c r="N94" s="249"/>
      <c r="O94" s="249"/>
      <c r="P94" s="249"/>
      <c r="S94" s="247"/>
      <c r="T94" s="247"/>
      <c r="U94" s="247"/>
      <c r="V94" s="247"/>
      <c r="W94" s="247"/>
      <c r="X94" s="247"/>
    </row>
    <row r="95" spans="4:24">
      <c r="D95" s="370"/>
      <c r="L95" s="249"/>
      <c r="N95" s="388"/>
      <c r="O95" s="388"/>
      <c r="P95" s="388"/>
      <c r="Q95" s="249"/>
      <c r="R95" s="249"/>
      <c r="S95" s="388"/>
      <c r="T95" s="388"/>
      <c r="U95" s="388"/>
      <c r="V95" s="388"/>
      <c r="W95" s="388"/>
      <c r="X95" s="388"/>
    </row>
    <row r="96" spans="4:24">
      <c r="D96" s="345"/>
      <c r="E96" s="381"/>
      <c r="F96" s="381"/>
      <c r="G96" s="381"/>
      <c r="H96" s="381"/>
      <c r="I96" s="381"/>
      <c r="Q96" s="390"/>
      <c r="R96" s="390"/>
      <c r="S96" s="274"/>
      <c r="T96" s="274"/>
      <c r="U96" s="274"/>
      <c r="V96" s="274"/>
      <c r="W96" s="274"/>
      <c r="X96" s="274"/>
    </row>
    <row r="97" spans="4:24">
      <c r="D97" s="370"/>
      <c r="E97" s="381"/>
      <c r="F97" s="381"/>
      <c r="G97" s="381"/>
      <c r="H97" s="381"/>
      <c r="I97" s="381"/>
      <c r="M97" s="249"/>
      <c r="N97" s="249"/>
      <c r="O97" s="249"/>
      <c r="P97" s="249"/>
    </row>
    <row r="98" spans="4:24">
      <c r="D98" s="370"/>
      <c r="E98" s="381"/>
      <c r="F98" s="381"/>
      <c r="G98" s="381"/>
      <c r="H98" s="381"/>
      <c r="I98" s="381"/>
      <c r="L98" s="249"/>
      <c r="N98" s="388"/>
      <c r="O98" s="388"/>
      <c r="P98" s="390"/>
      <c r="Q98" s="389"/>
      <c r="R98" s="389"/>
      <c r="S98" s="389"/>
      <c r="T98" s="389"/>
      <c r="U98" s="389"/>
      <c r="V98" s="389"/>
      <c r="W98" s="389"/>
      <c r="X98" s="389"/>
    </row>
    <row r="99" spans="4:24">
      <c r="D99" s="370"/>
      <c r="Q99" s="392"/>
      <c r="R99" s="392"/>
      <c r="S99" s="388"/>
      <c r="T99" s="388"/>
      <c r="U99" s="388"/>
      <c r="V99" s="388"/>
      <c r="W99" s="388"/>
      <c r="X99" s="388"/>
    </row>
    <row r="100" spans="4:24">
      <c r="D100" s="370"/>
      <c r="M100" s="389"/>
      <c r="N100" s="389"/>
      <c r="O100" s="389"/>
      <c r="P100" s="389"/>
      <c r="Q100" s="392"/>
      <c r="R100" s="392"/>
    </row>
    <row r="101" spans="4:24">
      <c r="D101" s="370"/>
      <c r="J101" s="381"/>
      <c r="L101" s="389"/>
      <c r="N101" s="392"/>
      <c r="O101" s="392"/>
      <c r="P101" s="392"/>
    </row>
    <row r="102" spans="4:24">
      <c r="D102" s="370"/>
      <c r="J102" s="381"/>
      <c r="M102" s="392"/>
      <c r="N102" s="392"/>
      <c r="O102" s="392"/>
      <c r="P102" s="392"/>
      <c r="Q102" s="388"/>
      <c r="R102" s="388"/>
      <c r="S102" s="249"/>
      <c r="T102" s="249"/>
      <c r="U102" s="249"/>
      <c r="V102" s="249"/>
      <c r="W102" s="249"/>
      <c r="X102" s="249"/>
    </row>
    <row r="103" spans="4:24">
      <c r="D103" s="370"/>
      <c r="L103" s="392"/>
      <c r="Q103" s="389"/>
      <c r="R103" s="389"/>
      <c r="S103" s="388"/>
      <c r="T103" s="388"/>
      <c r="U103" s="388"/>
      <c r="V103" s="388"/>
      <c r="W103" s="388"/>
      <c r="X103" s="388"/>
    </row>
    <row r="104" spans="4:24">
      <c r="D104" s="370"/>
      <c r="J104" s="381"/>
      <c r="K104" s="381"/>
      <c r="M104" s="388"/>
      <c r="N104" s="388"/>
      <c r="O104" s="388"/>
      <c r="P104" s="388"/>
      <c r="R104" s="392"/>
    </row>
    <row r="105" spans="4:24">
      <c r="D105" s="370"/>
      <c r="J105" s="381"/>
      <c r="K105" s="381"/>
      <c r="L105" s="388"/>
      <c r="M105" s="389"/>
      <c r="N105" s="389"/>
      <c r="O105" s="389"/>
      <c r="P105" s="389"/>
      <c r="S105" s="249"/>
      <c r="T105" s="249"/>
      <c r="U105" s="249"/>
      <c r="V105" s="249"/>
      <c r="W105" s="249"/>
      <c r="X105" s="249"/>
    </row>
    <row r="106" spans="4:24">
      <c r="D106" s="370"/>
      <c r="J106" s="381"/>
      <c r="L106" s="389"/>
      <c r="Q106" s="389"/>
      <c r="R106" s="389"/>
      <c r="S106" s="390"/>
      <c r="T106" s="390"/>
      <c r="U106" s="390"/>
      <c r="V106" s="390"/>
      <c r="W106" s="390"/>
      <c r="X106" s="390"/>
    </row>
    <row r="107" spans="4:24">
      <c r="D107" s="370"/>
      <c r="K107" s="381"/>
      <c r="Q107" s="392"/>
      <c r="R107" s="392"/>
    </row>
    <row r="108" spans="4:24">
      <c r="D108" s="345"/>
      <c r="E108" s="381"/>
      <c r="F108" s="381"/>
      <c r="G108" s="381"/>
      <c r="H108" s="381"/>
      <c r="I108" s="381"/>
      <c r="K108" s="381"/>
      <c r="M108" s="389"/>
      <c r="N108" s="389"/>
      <c r="O108" s="389"/>
      <c r="P108" s="389"/>
      <c r="S108" s="389"/>
      <c r="T108" s="389"/>
      <c r="U108" s="389"/>
      <c r="V108" s="389"/>
      <c r="W108" s="389"/>
      <c r="X108" s="389"/>
    </row>
    <row r="109" spans="4:24">
      <c r="D109" s="370"/>
      <c r="J109" s="381"/>
      <c r="K109" s="381"/>
      <c r="L109" s="389"/>
      <c r="N109" s="392"/>
      <c r="O109" s="392"/>
      <c r="P109" s="392"/>
      <c r="S109" s="392"/>
      <c r="T109" s="392"/>
      <c r="U109" s="392"/>
      <c r="V109" s="392"/>
      <c r="W109" s="392"/>
      <c r="X109" s="392"/>
    </row>
    <row r="110" spans="4:24">
      <c r="D110" s="370"/>
      <c r="J110" s="381"/>
      <c r="S110" s="392"/>
      <c r="T110" s="392"/>
      <c r="U110" s="392"/>
      <c r="V110" s="392"/>
      <c r="W110" s="392"/>
      <c r="X110" s="392"/>
    </row>
    <row r="111" spans="4:24">
      <c r="D111" s="345"/>
      <c r="E111" s="381"/>
      <c r="F111" s="381"/>
      <c r="G111" s="381"/>
      <c r="H111" s="381"/>
      <c r="I111" s="381"/>
    </row>
    <row r="112" spans="4:24">
      <c r="D112" s="370"/>
      <c r="K112" s="381"/>
      <c r="S112" s="388"/>
      <c r="T112" s="388"/>
      <c r="U112" s="388"/>
      <c r="V112" s="388"/>
      <c r="W112" s="388"/>
      <c r="X112" s="388"/>
    </row>
    <row r="113" spans="4:24">
      <c r="D113" s="345"/>
      <c r="E113" s="381"/>
      <c r="F113" s="381"/>
      <c r="G113" s="381"/>
      <c r="H113" s="381"/>
      <c r="I113" s="381"/>
      <c r="K113" s="381"/>
      <c r="S113" s="389"/>
      <c r="T113" s="389"/>
      <c r="U113" s="389"/>
      <c r="V113" s="389"/>
      <c r="W113" s="389"/>
      <c r="X113" s="389"/>
    </row>
    <row r="114" spans="4:24">
      <c r="D114" s="370"/>
      <c r="E114" s="381"/>
      <c r="F114" s="381"/>
      <c r="G114" s="381"/>
      <c r="H114" s="381"/>
      <c r="I114" s="381"/>
      <c r="S114" s="392"/>
      <c r="T114" s="392"/>
      <c r="U114" s="392"/>
      <c r="V114" s="392"/>
      <c r="W114" s="392"/>
      <c r="X114" s="392"/>
    </row>
    <row r="115" spans="4:24">
      <c r="D115" s="370"/>
    </row>
    <row r="116" spans="4:24">
      <c r="D116" s="370"/>
      <c r="S116" s="389"/>
      <c r="T116" s="389"/>
      <c r="U116" s="389"/>
      <c r="V116" s="389"/>
      <c r="W116" s="389"/>
      <c r="X116" s="389"/>
    </row>
    <row r="117" spans="4:24">
      <c r="D117" s="345"/>
      <c r="E117" s="381"/>
      <c r="F117" s="381"/>
      <c r="G117" s="381"/>
      <c r="H117" s="381"/>
      <c r="I117" s="381"/>
      <c r="S117" s="392"/>
      <c r="T117" s="392"/>
      <c r="U117" s="392"/>
      <c r="V117" s="392"/>
      <c r="W117" s="392"/>
      <c r="X117" s="392"/>
    </row>
    <row r="118" spans="4:24">
      <c r="D118" s="370"/>
      <c r="E118" s="381"/>
      <c r="F118" s="381"/>
      <c r="G118" s="381"/>
      <c r="H118" s="381"/>
      <c r="I118" s="381"/>
    </row>
    <row r="119" spans="4:24">
      <c r="D119" s="370"/>
    </row>
    <row r="120" spans="4:24">
      <c r="D120" s="345"/>
      <c r="E120" s="381"/>
      <c r="F120" s="381"/>
      <c r="G120" s="381"/>
      <c r="H120" s="381"/>
      <c r="I120" s="381"/>
    </row>
    <row r="121" spans="4:24">
      <c r="D121" s="370"/>
      <c r="J121" s="381"/>
    </row>
    <row r="122" spans="4:24">
      <c r="D122" s="370"/>
      <c r="J122" s="381"/>
    </row>
    <row r="123" spans="4:24">
      <c r="D123" s="345"/>
      <c r="E123" s="381"/>
      <c r="F123" s="381"/>
      <c r="G123" s="381"/>
      <c r="H123" s="381"/>
      <c r="I123" s="381"/>
    </row>
    <row r="124" spans="4:24">
      <c r="D124" s="370"/>
      <c r="K124" s="381"/>
    </row>
    <row r="125" spans="4:24">
      <c r="D125" s="370"/>
      <c r="J125" s="381"/>
      <c r="K125" s="381"/>
    </row>
    <row r="126" spans="4:24">
      <c r="D126" s="370"/>
      <c r="J126" s="381"/>
    </row>
    <row r="127" spans="4:24">
      <c r="D127" s="345"/>
      <c r="E127" s="381"/>
      <c r="F127" s="381"/>
      <c r="G127" s="381"/>
      <c r="H127" s="381"/>
      <c r="I127" s="381"/>
    </row>
    <row r="128" spans="4:24">
      <c r="D128" s="370"/>
      <c r="K128" s="381"/>
    </row>
    <row r="129" spans="4:11">
      <c r="D129" s="370"/>
      <c r="E129" s="345"/>
      <c r="F129" s="345"/>
      <c r="G129" s="345"/>
      <c r="H129" s="345"/>
      <c r="I129" s="345"/>
      <c r="J129" s="381"/>
      <c r="K129" s="381"/>
    </row>
    <row r="130" spans="4:11">
      <c r="D130" s="370"/>
      <c r="E130" s="345"/>
      <c r="F130" s="345"/>
      <c r="G130" s="345"/>
      <c r="H130" s="345"/>
      <c r="I130" s="345"/>
    </row>
    <row r="131" spans="4:11">
      <c r="D131" s="370"/>
    </row>
    <row r="132" spans="4:11">
      <c r="D132" s="370"/>
      <c r="K132" s="381"/>
    </row>
    <row r="134" spans="4:11">
      <c r="D134" s="345"/>
      <c r="E134" s="381"/>
      <c r="F134" s="381"/>
      <c r="G134" s="381"/>
      <c r="H134" s="381"/>
      <c r="I134" s="381"/>
    </row>
    <row r="135" spans="4:11">
      <c r="D135" s="345"/>
      <c r="E135" s="381"/>
      <c r="F135" s="381"/>
      <c r="G135" s="381"/>
      <c r="H135" s="381"/>
      <c r="I135" s="381"/>
    </row>
    <row r="136" spans="4:11">
      <c r="D136" s="370"/>
      <c r="E136" s="381"/>
      <c r="F136" s="381"/>
      <c r="G136" s="381"/>
      <c r="H136" s="381"/>
      <c r="I136" s="381"/>
    </row>
    <row r="137" spans="4:11">
      <c r="D137" s="370"/>
      <c r="E137" s="381"/>
      <c r="F137" s="381"/>
      <c r="G137" s="381"/>
      <c r="H137" s="381"/>
      <c r="I137" s="381"/>
    </row>
    <row r="138" spans="4:11">
      <c r="D138" s="370"/>
    </row>
    <row r="139" spans="4:11">
      <c r="D139" s="345"/>
      <c r="E139" s="381"/>
      <c r="F139" s="381"/>
      <c r="G139" s="381"/>
      <c r="H139" s="381"/>
      <c r="I139" s="381"/>
    </row>
    <row r="140" spans="4:11">
      <c r="D140" s="370"/>
      <c r="E140" s="381"/>
      <c r="F140" s="381"/>
      <c r="G140" s="381"/>
      <c r="H140" s="381"/>
      <c r="I140" s="381"/>
    </row>
    <row r="141" spans="4:11">
      <c r="D141" s="370"/>
      <c r="E141" s="381"/>
      <c r="F141" s="381"/>
      <c r="G141" s="381"/>
      <c r="H141" s="381"/>
      <c r="I141" s="381"/>
    </row>
    <row r="142" spans="4:11">
      <c r="D142" s="370"/>
    </row>
    <row r="143" spans="4:11">
      <c r="D143" s="370"/>
    </row>
    <row r="144" spans="4:11">
      <c r="D144" s="370"/>
      <c r="J144" s="381"/>
    </row>
    <row r="145" spans="4:11">
      <c r="D145" s="370"/>
      <c r="J145" s="381"/>
    </row>
    <row r="146" spans="4:11">
      <c r="D146" s="370"/>
    </row>
    <row r="147" spans="4:11">
      <c r="D147" s="370"/>
      <c r="J147" s="381"/>
      <c r="K147" s="381"/>
    </row>
    <row r="148" spans="4:11">
      <c r="D148" s="370"/>
      <c r="J148" s="381"/>
      <c r="K148" s="381"/>
    </row>
    <row r="149" spans="4:11">
      <c r="D149" s="370"/>
      <c r="J149" s="381"/>
    </row>
    <row r="150" spans="4:11">
      <c r="D150" s="370"/>
      <c r="K150" s="381"/>
    </row>
    <row r="151" spans="4:11">
      <c r="D151" s="345"/>
      <c r="E151" s="381"/>
      <c r="F151" s="381"/>
      <c r="G151" s="381"/>
      <c r="H151" s="381"/>
      <c r="I151" s="381"/>
      <c r="K151" s="381"/>
    </row>
    <row r="152" spans="4:11">
      <c r="D152" s="370"/>
      <c r="J152" s="381"/>
      <c r="K152" s="381"/>
    </row>
    <row r="153" spans="4:11">
      <c r="D153" s="370"/>
      <c r="J153" s="381"/>
    </row>
    <row r="154" spans="4:11">
      <c r="D154" s="345"/>
      <c r="E154" s="381"/>
      <c r="F154" s="381"/>
      <c r="G154" s="381"/>
      <c r="H154" s="381"/>
      <c r="I154" s="381"/>
    </row>
    <row r="155" spans="4:11">
      <c r="D155" s="370"/>
      <c r="K155" s="381"/>
    </row>
    <row r="156" spans="4:11">
      <c r="D156" s="345"/>
      <c r="E156" s="381"/>
      <c r="F156" s="381"/>
      <c r="G156" s="381"/>
      <c r="H156" s="381"/>
      <c r="I156" s="381"/>
      <c r="K156" s="381"/>
    </row>
    <row r="157" spans="4:11">
      <c r="D157" s="370"/>
      <c r="E157" s="381"/>
      <c r="F157" s="381"/>
      <c r="G157" s="381"/>
      <c r="H157" s="381"/>
      <c r="I157" s="381"/>
    </row>
    <row r="158" spans="4:11">
      <c r="D158" s="370"/>
    </row>
    <row r="159" spans="4:11">
      <c r="D159" s="370"/>
    </row>
    <row r="160" spans="4:11">
      <c r="D160" s="345"/>
      <c r="E160" s="381"/>
      <c r="F160" s="381"/>
      <c r="G160" s="381"/>
      <c r="H160" s="381"/>
      <c r="I160" s="381"/>
    </row>
    <row r="161" spans="4:11">
      <c r="D161" s="370"/>
      <c r="E161" s="381"/>
      <c r="F161" s="381"/>
      <c r="G161" s="381"/>
      <c r="H161" s="381"/>
      <c r="I161" s="381"/>
    </row>
    <row r="162" spans="4:11">
      <c r="D162" s="370"/>
    </row>
    <row r="163" spans="4:11">
      <c r="D163" s="345"/>
      <c r="E163" s="381"/>
      <c r="F163" s="381"/>
      <c r="G163" s="381"/>
      <c r="H163" s="381"/>
      <c r="I163" s="381"/>
    </row>
    <row r="164" spans="4:11">
      <c r="D164" s="370"/>
      <c r="J164" s="381"/>
    </row>
    <row r="165" spans="4:11">
      <c r="D165" s="370"/>
      <c r="J165" s="381"/>
    </row>
    <row r="166" spans="4:11">
      <c r="D166" s="345"/>
      <c r="E166" s="381"/>
      <c r="F166" s="381"/>
      <c r="G166" s="381"/>
      <c r="H166" s="381"/>
      <c r="I166" s="381"/>
    </row>
    <row r="167" spans="4:11">
      <c r="D167" s="370"/>
      <c r="K167" s="381"/>
    </row>
    <row r="168" spans="4:11">
      <c r="D168" s="370"/>
      <c r="J168" s="381"/>
      <c r="K168" s="381"/>
    </row>
    <row r="169" spans="4:11">
      <c r="D169" s="370"/>
      <c r="J169" s="381"/>
    </row>
    <row r="170" spans="4:11">
      <c r="D170" s="345"/>
      <c r="E170" s="381"/>
      <c r="F170" s="381"/>
      <c r="G170" s="381"/>
      <c r="H170" s="381"/>
      <c r="I170" s="381"/>
    </row>
    <row r="171" spans="4:11">
      <c r="D171" s="370"/>
      <c r="K171" s="381"/>
    </row>
    <row r="172" spans="4:11">
      <c r="D172" s="370"/>
      <c r="E172" s="345"/>
      <c r="F172" s="345"/>
      <c r="G172" s="345"/>
      <c r="H172" s="345"/>
      <c r="I172" s="345"/>
      <c r="J172" s="381"/>
      <c r="K172" s="381"/>
    </row>
    <row r="173" spans="4:11">
      <c r="D173" s="370"/>
      <c r="E173" s="345"/>
      <c r="F173" s="345"/>
      <c r="G173" s="345"/>
      <c r="H173" s="345"/>
      <c r="I173" s="345"/>
    </row>
    <row r="174" spans="4:11">
      <c r="D174" s="370"/>
    </row>
    <row r="175" spans="4:11">
      <c r="D175" s="370"/>
      <c r="K175" s="381"/>
    </row>
    <row r="176" spans="4:11">
      <c r="D176" s="370"/>
    </row>
    <row r="177" spans="4:11">
      <c r="D177" s="345"/>
      <c r="E177" s="381"/>
      <c r="F177" s="381"/>
      <c r="G177" s="381"/>
      <c r="H177" s="381"/>
      <c r="I177" s="381"/>
    </row>
    <row r="178" spans="4:11">
      <c r="D178" s="345"/>
      <c r="E178" s="381"/>
      <c r="F178" s="381"/>
      <c r="G178" s="381"/>
      <c r="H178" s="381"/>
      <c r="I178" s="381"/>
    </row>
    <row r="179" spans="4:11">
      <c r="D179" s="370"/>
      <c r="E179" s="381"/>
      <c r="F179" s="381"/>
      <c r="G179" s="381"/>
      <c r="H179" s="381"/>
      <c r="I179" s="381"/>
    </row>
    <row r="180" spans="4:11">
      <c r="D180" s="370"/>
      <c r="E180" s="381"/>
      <c r="F180" s="381"/>
      <c r="G180" s="381"/>
      <c r="H180" s="381"/>
      <c r="I180" s="381"/>
    </row>
    <row r="181" spans="4:11">
      <c r="D181" s="370"/>
    </row>
    <row r="182" spans="4:11">
      <c r="D182" s="345"/>
      <c r="E182" s="381"/>
      <c r="F182" s="381"/>
      <c r="G182" s="381"/>
      <c r="H182" s="381"/>
      <c r="I182" s="381"/>
    </row>
    <row r="183" spans="4:11">
      <c r="D183" s="370"/>
      <c r="E183" s="381"/>
      <c r="F183" s="381"/>
      <c r="G183" s="381"/>
      <c r="H183" s="381"/>
      <c r="I183" s="381"/>
    </row>
    <row r="184" spans="4:11">
      <c r="D184" s="370"/>
      <c r="E184" s="381"/>
      <c r="F184" s="381"/>
      <c r="G184" s="381"/>
      <c r="H184" s="381"/>
      <c r="I184" s="381"/>
    </row>
    <row r="185" spans="4:11">
      <c r="D185" s="370"/>
    </row>
    <row r="186" spans="4:11">
      <c r="D186" s="370"/>
    </row>
    <row r="187" spans="4:11">
      <c r="D187" s="370"/>
      <c r="J187" s="381"/>
    </row>
    <row r="188" spans="4:11">
      <c r="D188" s="370"/>
      <c r="J188" s="381"/>
    </row>
    <row r="189" spans="4:11">
      <c r="D189" s="370"/>
    </row>
    <row r="190" spans="4:11">
      <c r="D190" s="370"/>
      <c r="J190" s="381"/>
      <c r="K190" s="381"/>
    </row>
    <row r="191" spans="4:11">
      <c r="D191" s="370"/>
      <c r="J191" s="381"/>
      <c r="K191" s="381"/>
    </row>
    <row r="192" spans="4:11">
      <c r="D192" s="370"/>
      <c r="J192" s="381"/>
    </row>
    <row r="193" spans="4:11">
      <c r="D193" s="370"/>
      <c r="K193" s="381"/>
    </row>
    <row r="194" spans="4:11">
      <c r="D194" s="345"/>
      <c r="E194" s="381"/>
      <c r="F194" s="381"/>
      <c r="G194" s="381"/>
      <c r="H194" s="381"/>
      <c r="I194" s="381"/>
      <c r="K194" s="381"/>
    </row>
    <row r="195" spans="4:11">
      <c r="D195" s="370"/>
      <c r="J195" s="381"/>
      <c r="K195" s="381"/>
    </row>
    <row r="196" spans="4:11">
      <c r="D196" s="370"/>
      <c r="J196" s="381"/>
    </row>
    <row r="197" spans="4:11">
      <c r="D197" s="345"/>
      <c r="E197" s="381"/>
      <c r="F197" s="381"/>
      <c r="G197" s="381"/>
      <c r="H197" s="381"/>
      <c r="I197" s="381"/>
    </row>
    <row r="198" spans="4:11">
      <c r="D198" s="370"/>
      <c r="K198" s="381"/>
    </row>
    <row r="199" spans="4:11">
      <c r="D199" s="345"/>
      <c r="E199" s="381"/>
      <c r="F199" s="381"/>
      <c r="G199" s="381"/>
      <c r="H199" s="381"/>
      <c r="I199" s="381"/>
      <c r="K199" s="381"/>
    </row>
    <row r="200" spans="4:11">
      <c r="D200" s="370"/>
      <c r="E200" s="381"/>
      <c r="F200" s="381"/>
      <c r="G200" s="381"/>
      <c r="H200" s="381"/>
      <c r="I200" s="381"/>
    </row>
    <row r="201" spans="4:11">
      <c r="D201" s="370"/>
    </row>
    <row r="202" spans="4:11">
      <c r="D202" s="370"/>
    </row>
    <row r="203" spans="4:11">
      <c r="D203" s="345"/>
      <c r="E203" s="381"/>
      <c r="F203" s="381"/>
      <c r="G203" s="381"/>
      <c r="H203" s="381"/>
      <c r="I203" s="381"/>
    </row>
    <row r="204" spans="4:11">
      <c r="D204" s="370"/>
      <c r="E204" s="381"/>
      <c r="F204" s="381"/>
      <c r="G204" s="381"/>
      <c r="H204" s="381"/>
      <c r="I204" s="381"/>
    </row>
    <row r="205" spans="4:11">
      <c r="D205" s="370"/>
    </row>
    <row r="206" spans="4:11">
      <c r="D206" s="345"/>
      <c r="E206" s="381"/>
      <c r="F206" s="381"/>
      <c r="G206" s="381"/>
      <c r="H206" s="381"/>
      <c r="I206" s="381"/>
    </row>
    <row r="207" spans="4:11">
      <c r="D207" s="370"/>
      <c r="J207" s="381"/>
    </row>
    <row r="208" spans="4:11">
      <c r="D208" s="370"/>
      <c r="J208" s="381"/>
    </row>
    <row r="209" spans="4:11">
      <c r="D209" s="345"/>
      <c r="E209" s="381"/>
      <c r="F209" s="381"/>
      <c r="G209" s="381"/>
      <c r="H209" s="381"/>
      <c r="I209" s="381"/>
    </row>
    <row r="210" spans="4:11">
      <c r="D210" s="370"/>
      <c r="K210" s="381"/>
    </row>
    <row r="211" spans="4:11">
      <c r="D211" s="370"/>
      <c r="J211" s="381"/>
      <c r="K211" s="381"/>
    </row>
    <row r="212" spans="4:11">
      <c r="D212" s="370"/>
      <c r="J212" s="381"/>
    </row>
    <row r="213" spans="4:11">
      <c r="D213" s="345"/>
      <c r="E213" s="381"/>
      <c r="F213" s="381"/>
      <c r="G213" s="381"/>
      <c r="H213" s="381"/>
      <c r="I213" s="381"/>
    </row>
    <row r="214" spans="4:11">
      <c r="D214" s="370"/>
      <c r="K214" s="381"/>
    </row>
    <row r="215" spans="4:11">
      <c r="D215" s="370"/>
      <c r="E215" s="345"/>
      <c r="F215" s="345"/>
      <c r="G215" s="345"/>
      <c r="H215" s="345"/>
      <c r="I215" s="345"/>
      <c r="J215" s="381"/>
      <c r="K215" s="381"/>
    </row>
    <row r="216" spans="4:11">
      <c r="D216" s="370"/>
      <c r="E216" s="345"/>
      <c r="F216" s="345"/>
      <c r="G216" s="345"/>
      <c r="H216" s="345"/>
      <c r="I216" s="345"/>
    </row>
    <row r="217" spans="4:11">
      <c r="D217" s="370"/>
    </row>
    <row r="218" spans="4:11">
      <c r="D218" s="370"/>
      <c r="K218" s="381"/>
    </row>
    <row r="219" spans="4:11">
      <c r="D219" s="370"/>
    </row>
    <row r="220" spans="4:11">
      <c r="D220" s="345"/>
      <c r="E220" s="381"/>
      <c r="F220" s="381"/>
      <c r="G220" s="381"/>
      <c r="H220" s="381"/>
      <c r="I220" s="381"/>
    </row>
    <row r="221" spans="4:11">
      <c r="D221" s="345"/>
      <c r="E221" s="381"/>
      <c r="F221" s="381"/>
      <c r="G221" s="381"/>
      <c r="H221" s="381"/>
      <c r="I221" s="381"/>
    </row>
    <row r="222" spans="4:11">
      <c r="D222" s="370"/>
      <c r="E222" s="381"/>
      <c r="F222" s="381"/>
      <c r="G222" s="381"/>
      <c r="H222" s="381"/>
      <c r="I222" s="381"/>
    </row>
    <row r="223" spans="4:11">
      <c r="D223" s="370"/>
      <c r="E223" s="381"/>
      <c r="F223" s="381"/>
      <c r="G223" s="381"/>
      <c r="H223" s="381"/>
      <c r="I223" s="381"/>
    </row>
    <row r="224" spans="4:11">
      <c r="D224" s="370"/>
    </row>
    <row r="225" spans="4:11">
      <c r="D225" s="345"/>
      <c r="E225" s="381"/>
      <c r="F225" s="381"/>
      <c r="G225" s="381"/>
      <c r="H225" s="381"/>
      <c r="I225" s="381"/>
    </row>
    <row r="226" spans="4:11">
      <c r="D226" s="370"/>
      <c r="E226" s="381"/>
      <c r="F226" s="381"/>
      <c r="G226" s="381"/>
      <c r="H226" s="381"/>
      <c r="I226" s="381"/>
    </row>
    <row r="227" spans="4:11">
      <c r="D227" s="370"/>
      <c r="E227" s="381"/>
      <c r="F227" s="381"/>
      <c r="G227" s="381"/>
      <c r="H227" s="381"/>
      <c r="I227" s="381"/>
    </row>
    <row r="228" spans="4:11">
      <c r="D228" s="370"/>
    </row>
    <row r="229" spans="4:11">
      <c r="D229" s="370"/>
    </row>
    <row r="230" spans="4:11">
      <c r="D230" s="370"/>
      <c r="J230" s="381"/>
    </row>
    <row r="231" spans="4:11">
      <c r="D231" s="370"/>
      <c r="J231" s="381"/>
    </row>
    <row r="232" spans="4:11">
      <c r="D232" s="370"/>
    </row>
    <row r="233" spans="4:11">
      <c r="D233" s="370"/>
      <c r="J233" s="381"/>
      <c r="K233" s="381"/>
    </row>
    <row r="234" spans="4:11">
      <c r="D234" s="370"/>
      <c r="J234" s="381"/>
      <c r="K234" s="381"/>
    </row>
    <row r="235" spans="4:11">
      <c r="D235" s="370"/>
      <c r="J235" s="381"/>
    </row>
    <row r="236" spans="4:11">
      <c r="D236" s="370"/>
      <c r="K236" s="381"/>
    </row>
    <row r="237" spans="4:11">
      <c r="D237" s="345"/>
      <c r="E237" s="381"/>
      <c r="F237" s="381"/>
      <c r="G237" s="381"/>
      <c r="H237" s="381"/>
      <c r="I237" s="381"/>
      <c r="K237" s="381"/>
    </row>
    <row r="238" spans="4:11">
      <c r="D238" s="370"/>
      <c r="J238" s="381"/>
      <c r="K238" s="381"/>
    </row>
    <row r="239" spans="4:11">
      <c r="D239" s="370"/>
      <c r="J239" s="381"/>
    </row>
    <row r="240" spans="4:11">
      <c r="D240" s="345"/>
      <c r="E240" s="381"/>
      <c r="F240" s="381"/>
      <c r="G240" s="381"/>
      <c r="H240" s="381"/>
      <c r="I240" s="381"/>
    </row>
    <row r="241" spans="4:11">
      <c r="D241" s="370"/>
      <c r="K241" s="381"/>
    </row>
    <row r="242" spans="4:11">
      <c r="D242" s="345"/>
      <c r="E242" s="381"/>
      <c r="F242" s="381"/>
      <c r="G242" s="381"/>
      <c r="H242" s="381"/>
      <c r="I242" s="381"/>
      <c r="K242" s="381"/>
    </row>
    <row r="243" spans="4:11">
      <c r="D243" s="370"/>
      <c r="E243" s="381"/>
      <c r="F243" s="381"/>
      <c r="G243" s="381"/>
      <c r="H243" s="381"/>
      <c r="I243" s="381"/>
    </row>
    <row r="244" spans="4:11">
      <c r="D244" s="370"/>
    </row>
    <row r="245" spans="4:11">
      <c r="D245" s="370"/>
    </row>
    <row r="246" spans="4:11">
      <c r="D246" s="345"/>
      <c r="E246" s="381"/>
      <c r="F246" s="381"/>
      <c r="G246" s="381"/>
      <c r="H246" s="381"/>
      <c r="I246" s="381"/>
    </row>
    <row r="247" spans="4:11">
      <c r="D247" s="370"/>
      <c r="E247" s="381"/>
      <c r="F247" s="381"/>
      <c r="G247" s="381"/>
      <c r="H247" s="381"/>
      <c r="I247" s="381"/>
    </row>
    <row r="248" spans="4:11">
      <c r="D248" s="370"/>
    </row>
    <row r="249" spans="4:11">
      <c r="D249" s="345"/>
      <c r="E249" s="381"/>
      <c r="F249" s="381"/>
      <c r="G249" s="381"/>
      <c r="H249" s="381"/>
      <c r="I249" s="381"/>
    </row>
    <row r="250" spans="4:11">
      <c r="D250" s="370"/>
      <c r="J250" s="381"/>
    </row>
    <row r="251" spans="4:11">
      <c r="D251" s="370"/>
      <c r="J251" s="381"/>
    </row>
    <row r="252" spans="4:11">
      <c r="D252" s="345"/>
      <c r="E252" s="381"/>
      <c r="F252" s="381"/>
      <c r="G252" s="381"/>
      <c r="H252" s="381"/>
      <c r="I252" s="381"/>
    </row>
    <row r="253" spans="4:11">
      <c r="D253" s="370"/>
      <c r="K253" s="381"/>
    </row>
    <row r="254" spans="4:11">
      <c r="D254" s="370"/>
      <c r="J254" s="381"/>
      <c r="K254" s="381"/>
    </row>
    <row r="255" spans="4:11">
      <c r="D255" s="370"/>
      <c r="J255" s="381"/>
    </row>
    <row r="256" spans="4:11">
      <c r="D256" s="345"/>
      <c r="E256" s="381"/>
      <c r="F256" s="381"/>
      <c r="G256" s="381"/>
      <c r="H256" s="381"/>
      <c r="I256" s="381"/>
    </row>
    <row r="257" spans="4:11">
      <c r="D257" s="370"/>
      <c r="K257" s="381"/>
    </row>
    <row r="258" spans="4:11">
      <c r="D258" s="370"/>
      <c r="E258" s="345"/>
      <c r="F258" s="345"/>
      <c r="G258" s="345"/>
      <c r="H258" s="345"/>
      <c r="I258" s="345"/>
      <c r="J258" s="381"/>
      <c r="K258" s="381"/>
    </row>
    <row r="259" spans="4:11">
      <c r="D259" s="370"/>
      <c r="E259" s="345"/>
      <c r="F259" s="345"/>
      <c r="G259" s="345"/>
      <c r="H259" s="345"/>
      <c r="I259" s="345"/>
    </row>
    <row r="260" spans="4:11">
      <c r="D260" s="370"/>
    </row>
    <row r="261" spans="4:11">
      <c r="D261" s="370"/>
      <c r="K261" s="381"/>
    </row>
    <row r="262" spans="4:11">
      <c r="D262" s="370"/>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sheetData>
  <phoneticPr fontId="26" type="noConversion"/>
  <pageMargins left="0.75" right="0.75" top="1" bottom="1" header="0.5" footer="0.5"/>
  <pageSetup scale="47" orientation="landscape" r:id="rId1"/>
  <headerFooter alignWithMargins="0"/>
  <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36">
    <pageSetUpPr fitToPage="1"/>
  </sheetPr>
  <dimension ref="B1:X471"/>
  <sheetViews>
    <sheetView showGridLines="0" zoomScale="80" zoomScaleNormal="80" workbookViewId="0"/>
  </sheetViews>
  <sheetFormatPr defaultColWidth="9.109375" defaultRowHeight="12"/>
  <cols>
    <col min="1" max="1" width="2.33203125" style="367" customWidth="1"/>
    <col min="2" max="4" width="10" style="367" customWidth="1"/>
    <col min="5" max="5" width="21.441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1453</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717</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9" t="s">
        <v>127</v>
      </c>
      <c r="O9" s="459"/>
      <c r="P9" s="458" t="s">
        <v>128</v>
      </c>
      <c r="Q9" s="458"/>
      <c r="R9" s="458" t="s">
        <v>718</v>
      </c>
      <c r="S9" s="458"/>
      <c r="T9" s="458" t="s">
        <v>129</v>
      </c>
      <c r="U9" s="458"/>
      <c r="V9" s="458" t="s">
        <v>130</v>
      </c>
      <c r="W9" s="458"/>
      <c r="X9" s="458" t="s">
        <v>131</v>
      </c>
    </row>
    <row r="10" spans="2:24">
      <c r="B10" s="345"/>
      <c r="C10" s="345"/>
      <c r="E10" s="382"/>
      <c r="F10" s="210"/>
      <c r="G10" s="196"/>
      <c r="H10" s="372"/>
      <c r="I10" s="196"/>
      <c r="J10" s="210"/>
      <c r="K10" s="458"/>
      <c r="L10" s="458"/>
      <c r="M10" s="458"/>
      <c r="N10" s="459"/>
      <c r="O10" s="459"/>
      <c r="P10" s="458"/>
      <c r="Q10" s="458"/>
      <c r="R10" s="458"/>
      <c r="S10" s="458"/>
      <c r="T10" s="458"/>
      <c r="U10" s="458"/>
      <c r="V10" s="458"/>
      <c r="W10" s="458"/>
      <c r="X10" s="458"/>
    </row>
    <row r="11" spans="2:24">
      <c r="B11" s="370" t="s">
        <v>149</v>
      </c>
      <c r="C11" s="370"/>
      <c r="F11" s="216"/>
      <c r="G11" s="178"/>
      <c r="H11" s="214"/>
      <c r="I11" s="178"/>
      <c r="J11" s="484">
        <v>23808.035254093094</v>
      </c>
      <c r="K11" s="178" t="s">
        <v>135</v>
      </c>
      <c r="L11" s="484"/>
      <c r="M11" s="178" t="s">
        <v>134</v>
      </c>
      <c r="N11" s="178">
        <f t="shared" ref="N11:N26" si="0">J11-L11</f>
        <v>23808.035254093094</v>
      </c>
      <c r="O11" s="178" t="s">
        <v>133</v>
      </c>
      <c r="P11" s="490">
        <v>1</v>
      </c>
      <c r="Q11" s="393" t="s">
        <v>134</v>
      </c>
      <c r="R11" s="216">
        <f>P11*N11</f>
        <v>23808.035254093094</v>
      </c>
      <c r="S11" s="216"/>
      <c r="T11" s="216">
        <f>N11-R11</f>
        <v>0</v>
      </c>
      <c r="U11" s="216"/>
      <c r="V11" s="394">
        <f>N11/$J$53</f>
        <v>0.63587501550796588</v>
      </c>
      <c r="W11" s="370"/>
      <c r="X11" s="373">
        <f>$J$58*V11</f>
        <v>9.140961257206488</v>
      </c>
    </row>
    <row r="12" spans="2:24">
      <c r="B12" s="370" t="s">
        <v>150</v>
      </c>
      <c r="C12" s="370"/>
      <c r="F12" s="216"/>
      <c r="G12" s="178"/>
      <c r="H12" s="214"/>
      <c r="I12" s="178"/>
      <c r="J12" s="521">
        <v>18561.603952602967</v>
      </c>
      <c r="K12" s="178" t="s">
        <v>135</v>
      </c>
      <c r="L12" s="484"/>
      <c r="M12" s="178" t="s">
        <v>134</v>
      </c>
      <c r="N12" s="497">
        <f t="shared" si="0"/>
        <v>18561.603952602967</v>
      </c>
      <c r="O12" s="178" t="s">
        <v>133</v>
      </c>
      <c r="P12" s="490">
        <v>1</v>
      </c>
      <c r="Q12" s="393" t="s">
        <v>134</v>
      </c>
      <c r="R12" s="385">
        <f>P12*N12</f>
        <v>18561.603952602967</v>
      </c>
      <c r="S12" s="216"/>
      <c r="T12" s="385">
        <v>0</v>
      </c>
      <c r="U12" s="216"/>
      <c r="V12" s="395">
        <f>N12/$J$53</f>
        <v>0.49575112247807079</v>
      </c>
      <c r="W12" s="370"/>
      <c r="X12" s="396">
        <f>$J$58*V12</f>
        <v>7.1266234610092232</v>
      </c>
    </row>
    <row r="13" spans="2:24" s="381" customFormat="1">
      <c r="B13" s="345" t="s">
        <v>151</v>
      </c>
      <c r="C13" s="345"/>
      <c r="E13" s="381" t="str">
        <f>"DCF, "&amp;TEXT(H13,"0.0")&amp;"x 22E OpFCF"</f>
        <v>DCF, 13.2x 22E OpFCF</v>
      </c>
      <c r="F13" s="480">
        <v>3216</v>
      </c>
      <c r="G13" s="196" t="s">
        <v>133</v>
      </c>
      <c r="H13" s="584">
        <v>13.174639056808477</v>
      </c>
      <c r="I13" s="196" t="s">
        <v>134</v>
      </c>
      <c r="J13" s="210">
        <f>F13*H13</f>
        <v>42369.639206696062</v>
      </c>
      <c r="K13" s="196"/>
      <c r="L13" s="210"/>
      <c r="M13" s="196"/>
      <c r="N13" s="196">
        <f>SUM(N11:N12)</f>
        <v>42369.639206696062</v>
      </c>
      <c r="O13" s="196"/>
      <c r="P13" s="211"/>
      <c r="Q13" s="369"/>
      <c r="R13" s="210">
        <f>SUM(R11:R12)</f>
        <v>42369.639206696062</v>
      </c>
      <c r="S13" s="210"/>
      <c r="T13" s="210">
        <f>N13-R13</f>
        <v>0</v>
      </c>
      <c r="U13" s="210"/>
      <c r="V13" s="387">
        <f>N13/$J$53</f>
        <v>1.1316261379860366</v>
      </c>
      <c r="W13" s="345"/>
      <c r="X13" s="372">
        <f>$J$58*V13</f>
        <v>16.267584718215709</v>
      </c>
    </row>
    <row r="14" spans="2:24">
      <c r="B14" s="370"/>
      <c r="C14" s="370"/>
      <c r="F14" s="216"/>
      <c r="G14" s="178"/>
      <c r="H14" s="216"/>
      <c r="I14" s="178"/>
      <c r="J14" s="216"/>
      <c r="K14" s="178"/>
      <c r="L14" s="216"/>
      <c r="M14" s="178"/>
      <c r="N14" s="178"/>
      <c r="O14" s="178"/>
      <c r="P14" s="215"/>
      <c r="Q14" s="393"/>
      <c r="R14" s="216"/>
      <c r="S14" s="216"/>
      <c r="T14" s="216"/>
      <c r="U14" s="216"/>
      <c r="V14" s="394"/>
      <c r="W14" s="370"/>
      <c r="X14" s="373"/>
    </row>
    <row r="15" spans="2:24">
      <c r="B15" s="370" t="s">
        <v>564</v>
      </c>
      <c r="C15" s="370"/>
      <c r="E15" s="367" t="str">
        <f>"DCF, "&amp;TEXT(H15,"0.0")&amp;"x 22E OpFCF"</f>
        <v>DCF, 9.1x 22E OpFCF</v>
      </c>
      <c r="F15" s="484">
        <v>472</v>
      </c>
      <c r="G15" s="178" t="s">
        <v>133</v>
      </c>
      <c r="H15" s="486">
        <v>9.0612506938020925</v>
      </c>
      <c r="I15" s="178"/>
      <c r="J15" s="216">
        <f>F15*H15</f>
        <v>4276.9103274745876</v>
      </c>
      <c r="K15" s="178" t="s">
        <v>135</v>
      </c>
      <c r="L15" s="484"/>
      <c r="M15" s="178" t="s">
        <v>134</v>
      </c>
      <c r="N15" s="178">
        <f t="shared" si="0"/>
        <v>4276.9103274745876</v>
      </c>
      <c r="O15" s="178" t="s">
        <v>133</v>
      </c>
      <c r="P15" s="490">
        <v>1</v>
      </c>
      <c r="Q15" s="393" t="s">
        <v>134</v>
      </c>
      <c r="R15" s="216">
        <f>P15*N15</f>
        <v>4276.9103274745876</v>
      </c>
      <c r="S15" s="216"/>
      <c r="T15" s="216">
        <f>N15-R15</f>
        <v>0</v>
      </c>
      <c r="U15" s="216"/>
      <c r="V15" s="394">
        <f>N15/$J$53</f>
        <v>0.11422951922677158</v>
      </c>
      <c r="W15" s="370"/>
      <c r="X15" s="373">
        <f>$J$58*V15</f>
        <v>1.6420956700855969</v>
      </c>
    </row>
    <row r="16" spans="2:24">
      <c r="B16" s="370" t="s">
        <v>152</v>
      </c>
      <c r="C16" s="370"/>
      <c r="E16" s="367" t="str">
        <f>"DCF, "&amp;TEXT(H16,"0.0")&amp;"x 22E OpFCF"</f>
        <v>DCF, 4.5x 22E OpFCF</v>
      </c>
      <c r="F16" s="484">
        <v>-374</v>
      </c>
      <c r="G16" s="178" t="s">
        <v>133</v>
      </c>
      <c r="H16" s="486">
        <v>4.5061008968615806</v>
      </c>
      <c r="I16" s="178" t="s">
        <v>134</v>
      </c>
      <c r="J16" s="216">
        <f>F16*H16</f>
        <v>-1685.2817354262311</v>
      </c>
      <c r="K16" s="178" t="s">
        <v>135</v>
      </c>
      <c r="L16" s="484"/>
      <c r="M16" s="178" t="s">
        <v>134</v>
      </c>
      <c r="N16" s="497">
        <f t="shared" si="0"/>
        <v>-1685.2817354262311</v>
      </c>
      <c r="O16" s="178" t="s">
        <v>133</v>
      </c>
      <c r="P16" s="490">
        <v>1</v>
      </c>
      <c r="Q16" s="393" t="s">
        <v>134</v>
      </c>
      <c r="R16" s="385">
        <f>P16*N16</f>
        <v>-1685.2817354262311</v>
      </c>
      <c r="S16" s="216"/>
      <c r="T16" s="385">
        <f>N16-R16</f>
        <v>0</v>
      </c>
      <c r="U16" s="216"/>
      <c r="V16" s="395">
        <f>N16/$J$53</f>
        <v>-4.5011213156079782E-2</v>
      </c>
      <c r="W16" s="370"/>
      <c r="X16" s="396">
        <f>$J$58*V16</f>
        <v>-0.64705444555154701</v>
      </c>
    </row>
    <row r="17" spans="2:24" s="381" customFormat="1">
      <c r="B17" s="345" t="s">
        <v>153</v>
      </c>
      <c r="C17" s="345"/>
      <c r="F17" s="210"/>
      <c r="G17" s="196"/>
      <c r="H17" s="210"/>
      <c r="I17" s="196"/>
      <c r="J17" s="585">
        <f>SUM(J15:J16)+J13</f>
        <v>44961.267798744419</v>
      </c>
      <c r="K17" s="196"/>
      <c r="L17" s="210"/>
      <c r="M17" s="196"/>
      <c r="N17" s="210">
        <f>SUM(N15:N16)+N13</f>
        <v>44961.267798744419</v>
      </c>
      <c r="O17" s="196"/>
      <c r="P17" s="211"/>
      <c r="Q17" s="369"/>
      <c r="R17" s="210">
        <f>SUM(R15:R16)+R13</f>
        <v>44961.267798744419</v>
      </c>
      <c r="S17" s="345"/>
      <c r="T17" s="210">
        <f>SUM(T15:T16)+T13</f>
        <v>0</v>
      </c>
      <c r="U17" s="345"/>
      <c r="V17" s="211">
        <f>SUM(V15:V16)+V13</f>
        <v>1.2008444440567283</v>
      </c>
      <c r="W17" s="345"/>
      <c r="X17" s="210">
        <f>$J$58*V17</f>
        <v>17.262625942749757</v>
      </c>
    </row>
    <row r="18" spans="2:24" s="381" customFormat="1">
      <c r="B18" s="345" t="s">
        <v>1488</v>
      </c>
      <c r="C18" s="345"/>
      <c r="F18" s="210"/>
      <c r="G18" s="196"/>
      <c r="H18" s="210"/>
      <c r="I18" s="196"/>
      <c r="J18" s="484">
        <v>2675</v>
      </c>
      <c r="K18" s="196"/>
      <c r="L18" s="210"/>
      <c r="M18" s="196"/>
      <c r="N18" s="210">
        <f>J18</f>
        <v>2675</v>
      </c>
      <c r="O18" s="196"/>
      <c r="P18" s="490">
        <v>0.5</v>
      </c>
      <c r="Q18" s="369"/>
      <c r="R18" s="216">
        <f>P18*N18</f>
        <v>1337.5</v>
      </c>
      <c r="S18" s="216"/>
      <c r="T18" s="216">
        <f>N18-R18</f>
        <v>1337.5</v>
      </c>
      <c r="U18" s="216"/>
      <c r="V18" s="394">
        <f>N18/$J$53</f>
        <v>7.1445024687258787E-2</v>
      </c>
      <c r="W18" s="345"/>
      <c r="X18" s="210"/>
    </row>
    <row r="19" spans="2:24">
      <c r="B19" s="370"/>
      <c r="C19" s="370"/>
      <c r="F19" s="216"/>
      <c r="G19" s="178"/>
      <c r="H19" s="216"/>
      <c r="I19" s="178"/>
      <c r="J19" s="216"/>
      <c r="K19" s="178"/>
      <c r="L19" s="216"/>
      <c r="M19" s="178"/>
      <c r="N19" s="178"/>
      <c r="O19" s="178"/>
      <c r="P19" s="215"/>
      <c r="Q19" s="393"/>
      <c r="R19" s="216"/>
      <c r="S19" s="370"/>
      <c r="T19" s="216"/>
      <c r="U19" s="370"/>
      <c r="V19" s="394"/>
      <c r="W19" s="370"/>
      <c r="X19" s="373"/>
    </row>
    <row r="20" spans="2:24">
      <c r="B20" s="370"/>
      <c r="C20" s="370"/>
      <c r="F20" s="216"/>
      <c r="G20" s="178"/>
      <c r="H20" s="216"/>
      <c r="I20" s="178"/>
      <c r="J20" s="216"/>
      <c r="K20" s="178"/>
      <c r="L20" s="216"/>
      <c r="M20" s="178"/>
      <c r="N20" s="178"/>
      <c r="O20" s="178"/>
      <c r="P20" s="215"/>
      <c r="Q20" s="393"/>
      <c r="R20" s="216"/>
      <c r="S20" s="370"/>
      <c r="T20" s="216"/>
      <c r="U20" s="370"/>
      <c r="V20" s="394"/>
      <c r="W20" s="370"/>
      <c r="X20" s="373"/>
    </row>
    <row r="21" spans="2:24">
      <c r="B21" s="370" t="s">
        <v>1010</v>
      </c>
      <c r="C21" s="370"/>
      <c r="E21" s="367" t="str">
        <f>"DCF, "&amp;TEXT(H21,"0.0")&amp;"x 22E OpFCF"</f>
        <v>DCF, 20.1x 22E OpFCF</v>
      </c>
      <c r="F21" s="484">
        <v>290</v>
      </c>
      <c r="G21" s="178" t="s">
        <v>133</v>
      </c>
      <c r="H21" s="486">
        <v>20.066902205761053</v>
      </c>
      <c r="I21" s="178" t="s">
        <v>134</v>
      </c>
      <c r="J21" s="216">
        <f>F21*H21</f>
        <v>5819.4016396707057</v>
      </c>
      <c r="K21" s="178" t="s">
        <v>135</v>
      </c>
      <c r="L21" s="484">
        <v>1594</v>
      </c>
      <c r="M21" s="178" t="s">
        <v>134</v>
      </c>
      <c r="N21" s="178">
        <f t="shared" si="0"/>
        <v>4225.4016396707057</v>
      </c>
      <c r="O21" s="178" t="s">
        <v>133</v>
      </c>
      <c r="P21" s="490">
        <v>0.50700000000000001</v>
      </c>
      <c r="Q21" s="393" t="s">
        <v>134</v>
      </c>
      <c r="R21" s="216">
        <f>P21*N21</f>
        <v>2142.2786313130478</v>
      </c>
      <c r="S21" s="370"/>
      <c r="T21" s="216">
        <f>N21-R21</f>
        <v>2083.1230083576579</v>
      </c>
      <c r="U21" s="370"/>
      <c r="V21" s="394">
        <f>N21/$J$53</f>
        <v>0.11285380353639526</v>
      </c>
      <c r="W21" s="370"/>
      <c r="X21" s="373">
        <f>$J$58*V21</f>
        <v>1.622319199049673</v>
      </c>
    </row>
    <row r="22" spans="2:24">
      <c r="B22" s="370" t="s">
        <v>908</v>
      </c>
      <c r="C22" s="370"/>
      <c r="E22" s="367" t="s">
        <v>495</v>
      </c>
      <c r="F22" s="486">
        <v>15</v>
      </c>
      <c r="G22" s="178" t="s">
        <v>133</v>
      </c>
      <c r="H22" s="486">
        <v>60.011776016629845</v>
      </c>
      <c r="I22" s="178"/>
      <c r="J22" s="216">
        <f>F22*H22 + L22</f>
        <v>2598.1766402494477</v>
      </c>
      <c r="K22" s="178" t="s">
        <v>135</v>
      </c>
      <c r="L22" s="484">
        <v>1698</v>
      </c>
      <c r="M22" s="178" t="s">
        <v>134</v>
      </c>
      <c r="N22" s="178">
        <f>J22-L22</f>
        <v>900.1766402494477</v>
      </c>
      <c r="O22" s="178" t="s">
        <v>133</v>
      </c>
      <c r="P22" s="490">
        <v>0.76970000000000005</v>
      </c>
      <c r="Q22" s="393" t="s">
        <v>134</v>
      </c>
      <c r="R22" s="216">
        <f>P22*N22</f>
        <v>692.86595999999997</v>
      </c>
      <c r="S22" s="370"/>
      <c r="T22" s="216">
        <f>N22-R22</f>
        <v>207.31068024944773</v>
      </c>
      <c r="U22" s="370"/>
      <c r="V22" s="394">
        <f>N22/$J$53</f>
        <v>2.4042296181501107E-2</v>
      </c>
      <c r="W22" s="370"/>
      <c r="X22" s="373">
        <f>$J$58*V22</f>
        <v>0.34561775910290021</v>
      </c>
    </row>
    <row r="23" spans="2:24">
      <c r="B23" s="370" t="s">
        <v>1011</v>
      </c>
      <c r="C23" s="370"/>
      <c r="E23" s="367" t="str">
        <f>"DCF, "&amp;TEXT(H23,"0.0")&amp;"x 22E OpFCF"</f>
        <v>DCF, 23.3x 22E OpFCF</v>
      </c>
      <c r="F23" s="484">
        <v>62.766625360262879</v>
      </c>
      <c r="G23" s="178" t="s">
        <v>133</v>
      </c>
      <c r="H23" s="486">
        <v>23.326007742344032</v>
      </c>
      <c r="I23" s="178" t="s">
        <v>134</v>
      </c>
      <c r="J23" s="216">
        <f>F23*H23</f>
        <v>1464.0947891142991</v>
      </c>
      <c r="K23" s="178" t="s">
        <v>135</v>
      </c>
      <c r="L23" s="484"/>
      <c r="M23" s="178" t="s">
        <v>134</v>
      </c>
      <c r="N23" s="497">
        <f>J23-L23</f>
        <v>1464.0947891142991</v>
      </c>
      <c r="O23" s="178" t="s">
        <v>133</v>
      </c>
      <c r="P23" s="490">
        <v>0.99099999999999999</v>
      </c>
      <c r="Q23" s="393" t="s">
        <v>134</v>
      </c>
      <c r="R23" s="385">
        <f>P23*N23</f>
        <v>1450.9179360122705</v>
      </c>
      <c r="S23" s="370"/>
      <c r="T23" s="385">
        <f>N23-R23</f>
        <v>13.176853102028645</v>
      </c>
      <c r="U23" s="370"/>
      <c r="V23" s="395">
        <f>N23/$J$53</f>
        <v>3.910365919729273E-2</v>
      </c>
      <c r="W23" s="370"/>
      <c r="X23" s="396">
        <f>$J$58*V23</f>
        <v>0.56213096130521123</v>
      </c>
    </row>
    <row r="24" spans="2:24" s="381" customFormat="1">
      <c r="B24" s="345" t="s">
        <v>107</v>
      </c>
      <c r="C24" s="345"/>
      <c r="F24" s="586"/>
      <c r="G24" s="196"/>
      <c r="H24" s="586"/>
      <c r="I24" s="196"/>
      <c r="J24" s="585">
        <f>J21+J22+J23</f>
        <v>9881.6730690344521</v>
      </c>
      <c r="K24" s="196"/>
      <c r="L24" s="210"/>
      <c r="M24" s="196"/>
      <c r="N24" s="196">
        <f>+N21+N22+N23</f>
        <v>6589.6730690344521</v>
      </c>
      <c r="O24" s="196"/>
      <c r="P24" s="211"/>
      <c r="Q24" s="369"/>
      <c r="R24" s="196">
        <f>+R21+R22+R23</f>
        <v>4286.0625273253181</v>
      </c>
      <c r="S24" s="210"/>
      <c r="T24" s="196">
        <f>+T21+T22+T23</f>
        <v>2303.6105417091339</v>
      </c>
      <c r="U24" s="345"/>
      <c r="V24" s="211"/>
      <c r="W24" s="345"/>
      <c r="X24" s="210"/>
    </row>
    <row r="25" spans="2:24">
      <c r="B25" s="370"/>
      <c r="C25" s="370"/>
      <c r="F25" s="214"/>
      <c r="G25" s="178"/>
      <c r="H25" s="214"/>
      <c r="I25" s="178"/>
      <c r="J25" s="216"/>
      <c r="K25" s="178"/>
      <c r="L25" s="216"/>
      <c r="M25" s="178"/>
      <c r="N25" s="178"/>
      <c r="O25" s="178"/>
      <c r="P25" s="215"/>
      <c r="Q25" s="393"/>
      <c r="R25" s="216"/>
      <c r="S25" s="370"/>
      <c r="T25" s="216"/>
      <c r="U25" s="370"/>
      <c r="V25" s="394"/>
      <c r="W25" s="370"/>
      <c r="X25" s="373"/>
    </row>
    <row r="26" spans="2:24" s="381" customFormat="1">
      <c r="B26" s="345" t="s">
        <v>1012</v>
      </c>
      <c r="C26" s="345"/>
      <c r="E26" s="381" t="str">
        <f>"DCF, "&amp;TEXT(H26,"0.0")&amp;"x 22E OpFCF"</f>
        <v>DCF, 11.5x 22E OpFCF</v>
      </c>
      <c r="F26" s="480">
        <v>1313</v>
      </c>
      <c r="G26" s="196" t="s">
        <v>133</v>
      </c>
      <c r="H26" s="584">
        <v>11.494581127034039</v>
      </c>
      <c r="I26" s="196" t="s">
        <v>134</v>
      </c>
      <c r="J26" s="585">
        <f>(H26*F26)</f>
        <v>15092.385019795693</v>
      </c>
      <c r="K26" s="196" t="s">
        <v>135</v>
      </c>
      <c r="L26" s="480"/>
      <c r="M26" s="196" t="s">
        <v>134</v>
      </c>
      <c r="N26" s="196">
        <f t="shared" si="0"/>
        <v>15092.385019795693</v>
      </c>
      <c r="O26" s="196" t="s">
        <v>133</v>
      </c>
      <c r="P26" s="483">
        <v>0.63794060072230896</v>
      </c>
      <c r="Q26" s="369" t="s">
        <v>134</v>
      </c>
      <c r="R26" s="210">
        <f>P26*N26</f>
        <v>9628.0451658608417</v>
      </c>
      <c r="S26" s="345"/>
      <c r="T26" s="210">
        <f>N26-R26</f>
        <v>5464.3398539348509</v>
      </c>
      <c r="U26" s="345"/>
      <c r="V26" s="371">
        <f>N26/$J$53</f>
        <v>0.40309376460894131</v>
      </c>
      <c r="W26" s="345"/>
      <c r="X26" s="372">
        <f>$J$58*V26</f>
        <v>5.7946363600531887</v>
      </c>
    </row>
    <row r="27" spans="2:24">
      <c r="B27" s="370"/>
      <c r="C27" s="370"/>
      <c r="F27" s="216"/>
      <c r="G27" s="178"/>
      <c r="H27" s="214"/>
      <c r="I27" s="178"/>
      <c r="J27" s="216"/>
      <c r="K27" s="178"/>
      <c r="L27" s="216"/>
      <c r="M27" s="178"/>
      <c r="N27" s="178"/>
      <c r="O27" s="178"/>
      <c r="P27" s="215"/>
      <c r="Q27" s="393"/>
      <c r="R27" s="216"/>
      <c r="S27" s="370"/>
      <c r="T27" s="216"/>
      <c r="U27" s="370"/>
      <c r="V27" s="215"/>
      <c r="W27" s="370"/>
      <c r="X27" s="373"/>
    </row>
    <row r="28" spans="2:24" s="381" customFormat="1">
      <c r="B28" s="345" t="s">
        <v>1434</v>
      </c>
      <c r="C28" s="345"/>
      <c r="E28" s="381" t="s">
        <v>1436</v>
      </c>
      <c r="F28" s="480">
        <v>371</v>
      </c>
      <c r="G28" s="196" t="s">
        <v>133</v>
      </c>
      <c r="H28" s="584">
        <v>24</v>
      </c>
      <c r="I28" s="196" t="s">
        <v>134</v>
      </c>
      <c r="J28" s="585">
        <f>(H28*F28)</f>
        <v>8904</v>
      </c>
      <c r="K28" s="196" t="s">
        <v>135</v>
      </c>
      <c r="L28" s="480"/>
      <c r="M28" s="196" t="s">
        <v>134</v>
      </c>
      <c r="N28" s="196">
        <f t="shared" ref="N28" si="1">J28-L28</f>
        <v>8904</v>
      </c>
      <c r="O28" s="196" t="s">
        <v>133</v>
      </c>
      <c r="P28" s="483">
        <v>0.63794060072230896</v>
      </c>
      <c r="Q28" s="369"/>
      <c r="R28" s="210"/>
      <c r="S28" s="345"/>
      <c r="T28" s="210"/>
      <c r="U28" s="345"/>
      <c r="V28" s="211"/>
      <c r="W28" s="345"/>
      <c r="X28" s="372"/>
    </row>
    <row r="29" spans="2:24">
      <c r="B29" s="370"/>
      <c r="C29" s="370"/>
      <c r="F29" s="216"/>
      <c r="G29" s="178"/>
      <c r="H29" s="214"/>
      <c r="I29" s="178"/>
      <c r="J29" s="216"/>
      <c r="K29" s="178"/>
      <c r="L29" s="216"/>
      <c r="M29" s="178"/>
      <c r="N29" s="178"/>
      <c r="O29" s="178"/>
      <c r="P29" s="215"/>
      <c r="Q29" s="393"/>
      <c r="R29" s="216"/>
      <c r="S29" s="370"/>
      <c r="T29" s="216"/>
      <c r="U29" s="370"/>
      <c r="V29" s="215"/>
      <c r="W29" s="370"/>
      <c r="X29" s="373"/>
    </row>
    <row r="30" spans="2:24" s="381" customFormat="1">
      <c r="B30" s="345" t="s">
        <v>1013</v>
      </c>
      <c r="C30" s="345"/>
      <c r="E30" s="381" t="s">
        <v>1435</v>
      </c>
      <c r="F30" s="196"/>
      <c r="G30" s="196"/>
      <c r="H30" s="196"/>
      <c r="I30" s="196"/>
      <c r="J30" s="587">
        <v>1429</v>
      </c>
      <c r="K30" s="196"/>
      <c r="L30" s="480"/>
      <c r="M30" s="196"/>
      <c r="N30" s="196"/>
      <c r="O30" s="196"/>
      <c r="P30" s="483">
        <v>1</v>
      </c>
      <c r="Q30" s="369"/>
      <c r="R30" s="210"/>
      <c r="S30" s="345"/>
      <c r="T30" s="210"/>
      <c r="U30" s="345"/>
      <c r="V30" s="371"/>
      <c r="W30" s="345"/>
      <c r="X30" s="372"/>
    </row>
    <row r="31" spans="2:24">
      <c r="B31" s="345"/>
      <c r="C31" s="345"/>
      <c r="F31" s="210"/>
      <c r="G31" s="196"/>
      <c r="H31" s="210"/>
      <c r="I31" s="196"/>
      <c r="J31" s="210"/>
      <c r="K31" s="196"/>
      <c r="L31" s="210"/>
      <c r="M31" s="196"/>
      <c r="N31" s="196"/>
      <c r="O31" s="196"/>
      <c r="P31" s="211"/>
      <c r="Q31" s="369"/>
      <c r="R31" s="210"/>
      <c r="S31" s="370"/>
      <c r="T31" s="210"/>
      <c r="U31" s="370"/>
      <c r="V31" s="211"/>
      <c r="W31" s="370"/>
      <c r="X31" s="372"/>
    </row>
    <row r="32" spans="2:24" ht="12.6" thickBot="1">
      <c r="B32" s="345" t="s">
        <v>137</v>
      </c>
      <c r="C32" s="345"/>
      <c r="J32" s="447">
        <f>J17+J24+J26+J30+J28</f>
        <v>80268.325887574567</v>
      </c>
      <c r="N32" s="447">
        <f>N17+N24+N26+N30</f>
        <v>66643.325887574567</v>
      </c>
      <c r="R32" s="447">
        <f>R17+R24+R26+R30</f>
        <v>58875.375491930579</v>
      </c>
      <c r="T32" s="447">
        <f>T17+T24+T26+T30</f>
        <v>7767.9503956439848</v>
      </c>
    </row>
    <row r="33" spans="2:24" ht="12.6" thickTop="1">
      <c r="B33" s="345"/>
      <c r="C33" s="370"/>
      <c r="F33" s="210"/>
      <c r="G33" s="196"/>
      <c r="H33" s="372"/>
      <c r="I33" s="376"/>
      <c r="J33" s="210"/>
      <c r="K33" s="375"/>
      <c r="L33" s="210"/>
      <c r="M33" s="196"/>
      <c r="N33" s="210"/>
      <c r="Q33" s="378"/>
      <c r="R33" s="210"/>
      <c r="S33" s="370"/>
      <c r="T33" s="210"/>
      <c r="U33" s="370"/>
      <c r="V33" s="438"/>
      <c r="W33" s="370"/>
      <c r="X33" s="372"/>
    </row>
    <row r="34" spans="2:24">
      <c r="B34" s="370"/>
      <c r="C34" s="370"/>
      <c r="F34" s="210"/>
      <c r="G34" s="196"/>
      <c r="H34" s="372"/>
      <c r="I34" s="376"/>
      <c r="J34" s="196"/>
      <c r="K34" s="375"/>
      <c r="L34" s="370"/>
      <c r="M34" s="196"/>
      <c r="N34" s="210"/>
      <c r="Q34" s="378"/>
      <c r="R34" s="210"/>
      <c r="T34" s="196"/>
    </row>
    <row r="35" spans="2:24">
      <c r="B35" s="345" t="s">
        <v>138</v>
      </c>
      <c r="C35" s="345"/>
      <c r="F35" s="210"/>
      <c r="G35" s="196"/>
      <c r="H35" s="372"/>
      <c r="I35" s="376"/>
      <c r="J35" s="375"/>
      <c r="K35" s="375"/>
      <c r="L35" s="196"/>
      <c r="M35" s="196"/>
      <c r="N35" s="370"/>
      <c r="Q35" s="378"/>
      <c r="R35" s="370"/>
    </row>
    <row r="36" spans="2:24">
      <c r="B36" s="370" t="s">
        <v>46</v>
      </c>
      <c r="C36" s="370"/>
      <c r="E36" s="367" t="s">
        <v>1361</v>
      </c>
      <c r="N36" s="484">
        <v>98</v>
      </c>
      <c r="O36" s="178" t="s">
        <v>133</v>
      </c>
      <c r="P36" s="490">
        <v>1</v>
      </c>
      <c r="R36" s="216">
        <f>P36*N36</f>
        <v>98</v>
      </c>
    </row>
    <row r="37" spans="2:24">
      <c r="B37" s="367" t="s">
        <v>446</v>
      </c>
      <c r="E37" s="367" t="s">
        <v>1082</v>
      </c>
      <c r="N37" s="484">
        <v>5566.4221293127757</v>
      </c>
      <c r="O37" s="178" t="s">
        <v>133</v>
      </c>
      <c r="P37" s="490">
        <v>0.5</v>
      </c>
      <c r="R37" s="216">
        <f>P37*N37</f>
        <v>2783.2110646563879</v>
      </c>
    </row>
    <row r="38" spans="2:24">
      <c r="B38" s="345" t="s">
        <v>137</v>
      </c>
      <c r="C38" s="345"/>
      <c r="R38" s="398">
        <f>R37+R36</f>
        <v>2881.2110646563879</v>
      </c>
    </row>
    <row r="39" spans="2:24">
      <c r="B39" s="345"/>
      <c r="C39" s="370"/>
      <c r="R39" s="210"/>
    </row>
    <row r="40" spans="2:24">
      <c r="D40" s="345"/>
      <c r="E40" s="381"/>
      <c r="F40" s="381"/>
      <c r="G40" s="381"/>
      <c r="H40" s="381"/>
      <c r="I40" s="381"/>
      <c r="J40" s="381"/>
      <c r="K40" s="381"/>
      <c r="R40" s="370"/>
    </row>
    <row r="41" spans="2:24" ht="12.6" thickBot="1">
      <c r="B41" s="382" t="s">
        <v>141</v>
      </c>
      <c r="D41" s="345"/>
      <c r="E41" s="381"/>
      <c r="H41" s="381"/>
      <c r="I41" s="381"/>
      <c r="J41" s="374">
        <f>J32</f>
        <v>80268.325887574567</v>
      </c>
      <c r="T41" s="460" t="s">
        <v>544</v>
      </c>
      <c r="U41" s="520"/>
      <c r="V41" s="520"/>
      <c r="W41" s="520"/>
      <c r="X41" s="520"/>
    </row>
    <row r="42" spans="2:24" ht="12.6" thickTop="1">
      <c r="B42" s="383" t="s">
        <v>1492</v>
      </c>
      <c r="D42" s="383"/>
      <c r="J42" s="216">
        <f>-ORA!E12</f>
        <v>-22716.495750876093</v>
      </c>
      <c r="T42" s="134"/>
    </row>
    <row r="43" spans="2:24">
      <c r="B43" s="383" t="s">
        <v>1106</v>
      </c>
      <c r="J43" s="484">
        <v>-5662.40625</v>
      </c>
      <c r="K43" s="381"/>
    </row>
    <row r="44" spans="2:24">
      <c r="B44" s="384" t="s">
        <v>651</v>
      </c>
      <c r="D44" s="370"/>
      <c r="J44" s="484">
        <v>-6465.9201406627144</v>
      </c>
    </row>
    <row r="45" spans="2:24">
      <c r="B45" s="384" t="s">
        <v>1107</v>
      </c>
      <c r="D45" s="370"/>
      <c r="J45" s="484">
        <v>-166.95719481569787</v>
      </c>
    </row>
    <row r="46" spans="2:24">
      <c r="B46" s="384" t="s">
        <v>1417</v>
      </c>
      <c r="D46" s="370"/>
      <c r="J46" s="484">
        <v>-62.178753841225813</v>
      </c>
    </row>
    <row r="47" spans="2:24">
      <c r="B47" s="384" t="s">
        <v>1418</v>
      </c>
      <c r="D47" s="370"/>
      <c r="J47" s="484">
        <v>-385.79069310899388</v>
      </c>
      <c r="K47" s="367" t="s">
        <v>1420</v>
      </c>
    </row>
    <row r="48" spans="2:24">
      <c r="B48" s="384" t="s">
        <v>1419</v>
      </c>
      <c r="D48" s="370"/>
      <c r="J48" s="484">
        <v>-1963.4120543768263</v>
      </c>
      <c r="K48" s="367" t="s">
        <v>1420</v>
      </c>
    </row>
    <row r="49" spans="2:24">
      <c r="B49" s="384" t="s">
        <v>1108</v>
      </c>
      <c r="D49" s="370"/>
      <c r="J49" s="484">
        <v>1985.6429237862117</v>
      </c>
      <c r="K49" s="381"/>
    </row>
    <row r="50" spans="2:24">
      <c r="B50" s="384" t="s">
        <v>653</v>
      </c>
      <c r="D50" s="370"/>
      <c r="J50" s="484">
        <v>-2502.6930996155115</v>
      </c>
      <c r="K50" s="381"/>
    </row>
    <row r="51" spans="2:24">
      <c r="B51" s="384" t="s">
        <v>370</v>
      </c>
      <c r="J51" s="216">
        <f>-T32</f>
        <v>-7767.9503956439848</v>
      </c>
      <c r="K51" s="381"/>
    </row>
    <row r="52" spans="2:24">
      <c r="B52" s="384" t="s">
        <v>372</v>
      </c>
      <c r="J52" s="385">
        <f>R38</f>
        <v>2881.2110646563879</v>
      </c>
      <c r="K52" s="381"/>
    </row>
    <row r="53" spans="2:24">
      <c r="B53" s="382" t="s">
        <v>490</v>
      </c>
      <c r="D53" s="345"/>
      <c r="E53" s="381"/>
      <c r="F53" s="381"/>
      <c r="G53" s="381"/>
      <c r="H53" s="381"/>
      <c r="I53" s="381"/>
      <c r="J53" s="210">
        <f>SUM(J41:J52)</f>
        <v>37441.375543076108</v>
      </c>
      <c r="K53" s="381"/>
    </row>
    <row r="54" spans="2:24" ht="12.6" thickBot="1">
      <c r="B54" s="384" t="s">
        <v>491</v>
      </c>
      <c r="D54" s="370"/>
      <c r="J54" s="216">
        <f>ORA!D10</f>
        <v>2660.056599</v>
      </c>
      <c r="K54" s="381"/>
    </row>
    <row r="55" spans="2:24" ht="12.6" thickBot="1">
      <c r="B55" s="382" t="s">
        <v>492</v>
      </c>
      <c r="D55" s="370"/>
      <c r="J55" s="461">
        <f>J53/J54</f>
        <v>14.075405597441616</v>
      </c>
      <c r="K55" s="381"/>
    </row>
    <row r="56" spans="2:24">
      <c r="B56" s="384" t="s">
        <v>742</v>
      </c>
      <c r="J56" s="485">
        <v>0.3</v>
      </c>
    </row>
    <row r="57" spans="2:24" ht="12.6" thickBot="1">
      <c r="B57" s="384" t="s">
        <v>804</v>
      </c>
      <c r="J57" s="485"/>
      <c r="K57" s="381"/>
    </row>
    <row r="58" spans="2:24" ht="12.6" thickBot="1">
      <c r="B58" s="382" t="s">
        <v>61</v>
      </c>
      <c r="D58" s="345"/>
      <c r="E58" s="381"/>
      <c r="H58" s="381"/>
      <c r="I58" s="381"/>
      <c r="J58" s="461">
        <f>J56+J55+J57</f>
        <v>14.375405597441617</v>
      </c>
      <c r="K58" s="381"/>
    </row>
    <row r="59" spans="2:24">
      <c r="B59" s="384" t="s">
        <v>493</v>
      </c>
      <c r="J59" s="373">
        <f>Prices!C11</f>
        <v>10.72</v>
      </c>
      <c r="K59" s="381"/>
    </row>
    <row r="60" spans="2:24">
      <c r="B60" s="382" t="s">
        <v>96</v>
      </c>
      <c r="E60" s="381"/>
      <c r="F60" s="381"/>
      <c r="G60" s="381"/>
      <c r="H60" s="381"/>
      <c r="I60" s="381"/>
      <c r="J60" s="387">
        <f>J58/J59-1</f>
        <v>0.34098932811955374</v>
      </c>
      <c r="K60" s="381"/>
      <c r="L60" s="381"/>
    </row>
    <row r="61" spans="2:24" ht="12.6" thickBot="1">
      <c r="E61" s="345"/>
      <c r="J61" s="381"/>
      <c r="K61" s="381"/>
      <c r="L61" s="381"/>
      <c r="T61" s="460" t="s">
        <v>544</v>
      </c>
      <c r="U61" s="368"/>
      <c r="V61" s="368"/>
      <c r="W61" s="368"/>
      <c r="X61" s="368"/>
    </row>
    <row r="62" spans="2:24" ht="12.6" thickTop="1">
      <c r="B62" s="367" t="s">
        <v>475</v>
      </c>
      <c r="D62" s="386">
        <f>Prices!F162</f>
        <v>4.2793148702622599</v>
      </c>
      <c r="E62" s="386"/>
      <c r="F62" s="345"/>
      <c r="G62" s="345"/>
      <c r="J62" s="381"/>
      <c r="N62" s="381"/>
      <c r="T62" s="370" t="s">
        <v>132</v>
      </c>
      <c r="X62" s="394">
        <f>J11/(J32+R38)</f>
        <v>0.28632793550937885</v>
      </c>
    </row>
    <row r="63" spans="2:24">
      <c r="B63" s="367" t="s">
        <v>47</v>
      </c>
      <c r="D63" s="386">
        <f>Prices!F171</f>
        <v>53.831993457126003</v>
      </c>
      <c r="E63" s="345"/>
      <c r="F63" s="345"/>
      <c r="G63" s="345"/>
      <c r="H63" s="345"/>
      <c r="I63" s="345"/>
      <c r="N63" s="381"/>
      <c r="T63" s="370" t="s">
        <v>550</v>
      </c>
      <c r="X63" s="394">
        <f>J12/(J32+R38)</f>
        <v>0.22323159734811907</v>
      </c>
    </row>
    <row r="64" spans="2:24">
      <c r="B64" s="367" t="s">
        <v>799</v>
      </c>
      <c r="D64" s="386">
        <f>Prices!F153</f>
        <v>0.84359701681371591</v>
      </c>
      <c r="E64" s="345"/>
      <c r="F64" s="345"/>
      <c r="G64" s="345"/>
      <c r="H64" s="345"/>
      <c r="I64" s="345"/>
      <c r="T64" s="370" t="s">
        <v>48</v>
      </c>
      <c r="X64" s="394">
        <f>SUM(J15:J16)/(J32+R38)</f>
        <v>3.1168286523799115E-2</v>
      </c>
    </row>
    <row r="65" spans="4:24">
      <c r="D65" s="345"/>
      <c r="E65" s="345"/>
      <c r="F65" s="345"/>
      <c r="G65" s="345"/>
      <c r="H65" s="345"/>
      <c r="I65" s="345"/>
      <c r="T65" s="370" t="s">
        <v>107</v>
      </c>
      <c r="X65" s="394">
        <f>(J24)/(R38+J32)</f>
        <v>0.11884219000174867</v>
      </c>
    </row>
    <row r="66" spans="4:24">
      <c r="D66" s="345"/>
      <c r="E66" s="345"/>
      <c r="F66" s="345"/>
      <c r="G66" s="345"/>
      <c r="H66" s="345"/>
      <c r="I66" s="345"/>
      <c r="T66" s="370" t="s">
        <v>1012</v>
      </c>
      <c r="X66" s="394">
        <f>J26/(J32+R38)</f>
        <v>0.18150894849199464</v>
      </c>
    </row>
    <row r="67" spans="4:24">
      <c r="D67" s="345"/>
      <c r="E67" s="345"/>
      <c r="F67" s="345"/>
      <c r="G67" s="345"/>
      <c r="H67" s="345"/>
      <c r="I67" s="345"/>
      <c r="T67" s="370" t="s">
        <v>140</v>
      </c>
      <c r="X67" s="394">
        <f>1-SUM(X62:X66)</f>
        <v>0.15892104212495972</v>
      </c>
    </row>
    <row r="68" spans="4:24">
      <c r="D68" s="345"/>
      <c r="E68" s="345"/>
      <c r="F68" s="345"/>
      <c r="G68" s="345"/>
      <c r="H68" s="345"/>
      <c r="I68" s="345"/>
    </row>
    <row r="69" spans="4:24">
      <c r="D69" s="345"/>
      <c r="E69" s="345"/>
      <c r="F69" s="345"/>
      <c r="G69" s="345"/>
      <c r="H69" s="345"/>
      <c r="I69" s="345"/>
    </row>
    <row r="70" spans="4:24">
      <c r="D70" s="345"/>
      <c r="E70" s="381"/>
      <c r="F70" s="381"/>
      <c r="G70" s="381"/>
      <c r="H70" s="381"/>
      <c r="I70" s="381"/>
    </row>
    <row r="71" spans="4:24">
      <c r="D71" s="345"/>
      <c r="E71" s="381"/>
      <c r="F71" s="381"/>
      <c r="G71" s="381"/>
      <c r="H71" s="381"/>
      <c r="I71" s="381"/>
    </row>
    <row r="72" spans="4:24">
      <c r="D72" s="370"/>
      <c r="E72" s="381"/>
      <c r="F72" s="381"/>
      <c r="G72" s="381"/>
      <c r="H72" s="381"/>
      <c r="I72" s="381"/>
      <c r="L72" s="249"/>
    </row>
    <row r="73" spans="4:24">
      <c r="D73" s="370"/>
      <c r="E73" s="381"/>
      <c r="F73" s="381"/>
      <c r="G73" s="381"/>
      <c r="H73" s="381"/>
      <c r="I73" s="381"/>
      <c r="M73" s="249"/>
    </row>
    <row r="74" spans="4:24">
      <c r="D74" s="370"/>
      <c r="N74" s="249"/>
      <c r="O74" s="249"/>
      <c r="P74" s="249"/>
    </row>
    <row r="75" spans="4:24">
      <c r="D75" s="345"/>
      <c r="E75" s="381"/>
      <c r="F75" s="381"/>
      <c r="G75" s="381"/>
      <c r="H75" s="381"/>
      <c r="I75" s="381"/>
      <c r="N75" s="388"/>
      <c r="O75" s="388"/>
      <c r="P75" s="388"/>
      <c r="Q75" s="249"/>
      <c r="R75" s="249"/>
    </row>
    <row r="76" spans="4:24">
      <c r="D76" s="370"/>
      <c r="E76" s="381"/>
      <c r="F76" s="381"/>
      <c r="G76" s="381"/>
      <c r="H76" s="381"/>
      <c r="I76" s="381"/>
      <c r="L76" s="249"/>
      <c r="Q76" s="388"/>
      <c r="R76" s="388"/>
    </row>
    <row r="77" spans="4:24">
      <c r="D77" s="370"/>
      <c r="E77" s="381"/>
      <c r="F77" s="381"/>
      <c r="G77" s="381"/>
      <c r="H77" s="381"/>
      <c r="I77" s="381"/>
      <c r="M77" s="249"/>
      <c r="T77" s="249"/>
      <c r="U77" s="249"/>
      <c r="V77" s="249"/>
      <c r="W77" s="249"/>
      <c r="X77" s="249"/>
    </row>
    <row r="78" spans="4:24">
      <c r="D78" s="370"/>
      <c r="N78" s="249"/>
      <c r="O78" s="249"/>
      <c r="P78" s="249"/>
      <c r="T78" s="388"/>
      <c r="U78" s="388"/>
      <c r="V78" s="388"/>
      <c r="W78" s="388"/>
      <c r="X78" s="388"/>
    </row>
    <row r="79" spans="4:24">
      <c r="D79" s="370"/>
      <c r="L79" s="249"/>
      <c r="N79" s="388"/>
      <c r="O79" s="388"/>
      <c r="P79" s="388"/>
      <c r="Q79" s="249"/>
      <c r="R79" s="249"/>
    </row>
    <row r="80" spans="4:24">
      <c r="D80" s="370"/>
      <c r="J80" s="381"/>
      <c r="K80" s="381"/>
      <c r="M80" s="249"/>
      <c r="Q80" s="388"/>
      <c r="R80" s="388"/>
      <c r="S80" s="249"/>
    </row>
    <row r="81" spans="4:24">
      <c r="D81" s="370"/>
      <c r="J81" s="381"/>
      <c r="K81" s="381"/>
      <c r="N81" s="249"/>
      <c r="O81" s="249"/>
      <c r="P81" s="249"/>
      <c r="S81" s="388"/>
      <c r="T81" s="249"/>
      <c r="U81" s="249"/>
      <c r="V81" s="249"/>
      <c r="W81" s="249"/>
      <c r="X81" s="249"/>
    </row>
    <row r="82" spans="4:24">
      <c r="D82" s="370"/>
      <c r="L82" s="249"/>
      <c r="N82" s="388"/>
      <c r="O82" s="388"/>
      <c r="P82" s="388"/>
      <c r="Q82" s="249"/>
      <c r="R82" s="249"/>
      <c r="T82" s="388"/>
      <c r="U82" s="388"/>
      <c r="V82" s="388"/>
      <c r="W82" s="388"/>
      <c r="X82" s="388"/>
    </row>
    <row r="83" spans="4:24">
      <c r="D83" s="370"/>
      <c r="J83" s="381"/>
      <c r="K83" s="381"/>
      <c r="M83" s="249"/>
      <c r="Q83" s="388"/>
      <c r="R83" s="388"/>
    </row>
    <row r="84" spans="4:24">
      <c r="D84" s="370"/>
      <c r="J84" s="381"/>
      <c r="K84" s="381"/>
      <c r="N84" s="249"/>
      <c r="O84" s="249"/>
      <c r="P84" s="249"/>
      <c r="S84" s="249"/>
      <c r="T84" s="249"/>
      <c r="U84" s="249"/>
      <c r="V84" s="249"/>
      <c r="W84" s="249"/>
      <c r="X84" s="249"/>
    </row>
    <row r="85" spans="4:24">
      <c r="D85" s="370"/>
      <c r="J85" s="381"/>
      <c r="K85" s="381"/>
      <c r="L85" s="249"/>
      <c r="N85" s="388"/>
      <c r="O85" s="388"/>
      <c r="P85" s="388"/>
      <c r="Q85" s="249"/>
      <c r="R85" s="249"/>
      <c r="S85" s="388"/>
      <c r="T85" s="388"/>
      <c r="U85" s="388"/>
      <c r="V85" s="388"/>
      <c r="W85" s="388"/>
      <c r="X85" s="388"/>
    </row>
    <row r="86" spans="4:24">
      <c r="D86" s="370"/>
      <c r="M86" s="249"/>
      <c r="Q86" s="388"/>
      <c r="R86" s="388"/>
    </row>
    <row r="87" spans="4:24">
      <c r="D87" s="345"/>
      <c r="E87" s="381"/>
      <c r="F87" s="381"/>
      <c r="G87" s="381"/>
      <c r="H87" s="381"/>
      <c r="I87" s="381"/>
      <c r="L87" s="389"/>
      <c r="N87" s="249"/>
      <c r="O87" s="249"/>
      <c r="P87" s="249"/>
      <c r="S87" s="249"/>
      <c r="T87" s="249"/>
      <c r="U87" s="249"/>
      <c r="V87" s="249"/>
      <c r="W87" s="249"/>
      <c r="X87" s="249"/>
    </row>
    <row r="88" spans="4:24">
      <c r="D88" s="370"/>
      <c r="J88" s="381"/>
      <c r="K88" s="381"/>
      <c r="M88" s="389"/>
      <c r="N88" s="388"/>
      <c r="O88" s="388"/>
      <c r="P88" s="388"/>
      <c r="Q88" s="249"/>
      <c r="R88" s="249"/>
      <c r="S88" s="388"/>
      <c r="T88" s="388"/>
      <c r="U88" s="388"/>
      <c r="V88" s="388"/>
      <c r="W88" s="388"/>
      <c r="X88" s="388"/>
    </row>
    <row r="89" spans="4:24">
      <c r="D89" s="370"/>
      <c r="J89" s="381"/>
      <c r="K89" s="381"/>
      <c r="N89" s="389"/>
      <c r="O89" s="389"/>
      <c r="P89" s="389"/>
      <c r="Q89" s="388"/>
      <c r="R89" s="388"/>
    </row>
    <row r="90" spans="4:24">
      <c r="D90" s="345"/>
      <c r="E90" s="381"/>
      <c r="F90" s="381"/>
      <c r="G90" s="381"/>
      <c r="H90" s="381"/>
      <c r="I90" s="381"/>
      <c r="L90" s="249"/>
      <c r="N90" s="388"/>
      <c r="O90" s="388"/>
      <c r="P90" s="388"/>
      <c r="Q90" s="389"/>
      <c r="R90" s="389"/>
      <c r="S90" s="249"/>
      <c r="T90" s="249"/>
      <c r="U90" s="249"/>
      <c r="V90" s="249"/>
      <c r="W90" s="249"/>
      <c r="X90" s="249"/>
    </row>
    <row r="91" spans="4:24">
      <c r="D91" s="370"/>
      <c r="M91" s="249"/>
      <c r="Q91" s="388"/>
      <c r="R91" s="388"/>
      <c r="S91" s="388"/>
      <c r="T91" s="388"/>
      <c r="U91" s="388"/>
      <c r="V91" s="388"/>
      <c r="W91" s="388"/>
      <c r="X91" s="388"/>
    </row>
    <row r="92" spans="4:24">
      <c r="D92" s="345"/>
      <c r="E92" s="381"/>
      <c r="F92" s="381"/>
      <c r="G92" s="381"/>
      <c r="H92" s="381"/>
      <c r="I92" s="381"/>
      <c r="L92" s="249"/>
      <c r="N92" s="249"/>
      <c r="O92" s="249"/>
      <c r="P92" s="249"/>
      <c r="T92" s="389"/>
      <c r="U92" s="389"/>
      <c r="V92" s="389"/>
      <c r="W92" s="389"/>
      <c r="X92" s="389"/>
    </row>
    <row r="93" spans="4:24">
      <c r="D93" s="370"/>
      <c r="E93" s="381"/>
      <c r="F93" s="381"/>
      <c r="G93" s="381"/>
      <c r="H93" s="381"/>
      <c r="I93" s="381"/>
      <c r="M93" s="249"/>
      <c r="N93" s="388"/>
      <c r="O93" s="388"/>
      <c r="P93" s="390"/>
      <c r="Q93" s="249"/>
      <c r="R93" s="249"/>
      <c r="S93" s="249"/>
      <c r="T93" s="388"/>
      <c r="U93" s="388"/>
      <c r="V93" s="388"/>
      <c r="W93" s="388"/>
      <c r="X93" s="388"/>
    </row>
    <row r="94" spans="4:24">
      <c r="D94" s="370"/>
      <c r="L94" s="248"/>
      <c r="N94" s="249"/>
      <c r="O94" s="249"/>
      <c r="P94" s="249"/>
      <c r="Q94" s="390"/>
      <c r="R94" s="390"/>
      <c r="S94" s="388"/>
    </row>
    <row r="95" spans="4:24">
      <c r="D95" s="370"/>
      <c r="M95" s="248"/>
      <c r="N95" s="388"/>
      <c r="O95" s="388"/>
      <c r="P95" s="388"/>
      <c r="Q95" s="249"/>
      <c r="R95" s="249"/>
      <c r="S95" s="389"/>
      <c r="T95" s="249"/>
      <c r="U95" s="249"/>
      <c r="V95" s="249"/>
      <c r="W95" s="249"/>
      <c r="X95" s="249"/>
    </row>
    <row r="96" spans="4:24">
      <c r="D96" s="345"/>
      <c r="E96" s="381"/>
      <c r="F96" s="381"/>
      <c r="G96" s="381"/>
      <c r="H96" s="381"/>
      <c r="I96" s="381"/>
      <c r="L96" s="247"/>
      <c r="N96" s="248"/>
      <c r="O96" s="248"/>
      <c r="P96" s="248"/>
      <c r="Q96" s="388"/>
      <c r="R96" s="388"/>
      <c r="S96" s="388"/>
      <c r="T96" s="390"/>
      <c r="U96" s="390"/>
      <c r="V96" s="390"/>
      <c r="W96" s="390"/>
      <c r="X96" s="390"/>
    </row>
    <row r="97" spans="4:24">
      <c r="D97" s="370"/>
      <c r="E97" s="381"/>
      <c r="F97" s="381"/>
      <c r="G97" s="381"/>
      <c r="H97" s="381"/>
      <c r="I97" s="381"/>
      <c r="M97" s="247"/>
      <c r="Q97" s="248"/>
      <c r="R97" s="248"/>
      <c r="T97" s="249"/>
      <c r="U97" s="249"/>
      <c r="V97" s="249"/>
      <c r="W97" s="249"/>
      <c r="X97" s="249"/>
    </row>
    <row r="98" spans="4:24">
      <c r="D98" s="370"/>
      <c r="N98" s="247"/>
      <c r="O98" s="247"/>
      <c r="P98" s="247"/>
      <c r="S98" s="249"/>
      <c r="T98" s="388"/>
      <c r="U98" s="388"/>
      <c r="V98" s="388"/>
      <c r="W98" s="388"/>
      <c r="X98" s="388"/>
    </row>
    <row r="99" spans="4:24">
      <c r="D99" s="345"/>
      <c r="E99" s="381"/>
      <c r="F99" s="381"/>
      <c r="G99" s="381"/>
      <c r="H99" s="381"/>
      <c r="I99" s="381"/>
      <c r="L99" s="389"/>
      <c r="N99" s="388"/>
      <c r="O99" s="388"/>
      <c r="P99" s="388"/>
      <c r="Q99" s="247"/>
      <c r="R99" s="247"/>
      <c r="S99" s="390"/>
      <c r="T99" s="248"/>
      <c r="U99" s="248"/>
      <c r="V99" s="248"/>
      <c r="W99" s="248"/>
      <c r="X99" s="248"/>
    </row>
    <row r="100" spans="4:24">
      <c r="D100" s="370"/>
      <c r="J100" s="381"/>
      <c r="K100" s="381"/>
      <c r="M100" s="389"/>
      <c r="Q100" s="388"/>
      <c r="R100" s="388"/>
      <c r="S100" s="249"/>
    </row>
    <row r="101" spans="4:24">
      <c r="D101" s="370"/>
      <c r="J101" s="381"/>
      <c r="K101" s="381"/>
      <c r="N101" s="389"/>
      <c r="O101" s="389"/>
      <c r="P101" s="389"/>
      <c r="S101" s="388"/>
      <c r="T101" s="247"/>
      <c r="U101" s="247"/>
      <c r="V101" s="247"/>
      <c r="W101" s="247"/>
      <c r="X101" s="247"/>
    </row>
    <row r="102" spans="4:24">
      <c r="D102" s="345"/>
      <c r="E102" s="381"/>
      <c r="F102" s="381"/>
      <c r="G102" s="381"/>
      <c r="H102" s="381"/>
      <c r="I102" s="381"/>
      <c r="L102" s="391"/>
      <c r="N102" s="388"/>
      <c r="O102" s="388"/>
      <c r="P102" s="388"/>
      <c r="Q102" s="389"/>
      <c r="R102" s="389"/>
      <c r="S102" s="248"/>
      <c r="T102" s="388"/>
      <c r="U102" s="388"/>
      <c r="V102" s="388"/>
      <c r="W102" s="388"/>
      <c r="X102" s="388"/>
    </row>
    <row r="103" spans="4:24">
      <c r="D103" s="370"/>
      <c r="M103" s="391"/>
      <c r="Q103" s="388"/>
      <c r="R103" s="388"/>
    </row>
    <row r="104" spans="4:24">
      <c r="D104" s="370"/>
      <c r="J104" s="381"/>
      <c r="K104" s="381"/>
      <c r="N104" s="391"/>
      <c r="O104" s="391"/>
      <c r="P104" s="391"/>
      <c r="S104" s="247"/>
      <c r="T104" s="389"/>
      <c r="U104" s="389"/>
      <c r="V104" s="389"/>
      <c r="W104" s="389"/>
      <c r="X104" s="389"/>
    </row>
    <row r="105" spans="4:24">
      <c r="D105" s="370"/>
      <c r="J105" s="381"/>
      <c r="K105" s="381"/>
      <c r="N105" s="388"/>
      <c r="O105" s="388"/>
      <c r="P105" s="388"/>
      <c r="Q105" s="391"/>
      <c r="R105" s="391"/>
      <c r="S105" s="388"/>
      <c r="T105" s="388"/>
      <c r="U105" s="388"/>
      <c r="V105" s="388"/>
      <c r="W105" s="388"/>
      <c r="X105" s="388"/>
    </row>
    <row r="106" spans="4:24">
      <c r="D106" s="345"/>
      <c r="E106" s="381"/>
      <c r="F106" s="381"/>
      <c r="G106" s="381"/>
      <c r="H106" s="381"/>
      <c r="I106" s="381"/>
      <c r="L106" s="247"/>
      <c r="N106" s="248"/>
      <c r="O106" s="248"/>
      <c r="P106" s="248"/>
      <c r="Q106" s="388"/>
      <c r="R106" s="388"/>
    </row>
    <row r="107" spans="4:24">
      <c r="D107" s="370"/>
      <c r="M107" s="247"/>
      <c r="Q107" s="248"/>
      <c r="R107" s="248"/>
      <c r="S107" s="389"/>
      <c r="T107" s="391"/>
      <c r="U107" s="391"/>
      <c r="V107" s="391"/>
      <c r="W107" s="391"/>
      <c r="X107" s="391"/>
    </row>
    <row r="108" spans="4:24">
      <c r="D108" s="370"/>
      <c r="E108" s="345"/>
      <c r="F108" s="345"/>
      <c r="G108" s="345"/>
      <c r="H108" s="345"/>
      <c r="I108" s="345"/>
      <c r="J108" s="381"/>
      <c r="K108" s="381"/>
      <c r="L108" s="274"/>
      <c r="N108" s="247"/>
      <c r="O108" s="247"/>
      <c r="P108" s="247"/>
      <c r="S108" s="388"/>
      <c r="T108" s="388"/>
      <c r="U108" s="388"/>
      <c r="V108" s="388"/>
      <c r="W108" s="388"/>
      <c r="X108" s="388"/>
    </row>
    <row r="109" spans="4:24">
      <c r="D109" s="370"/>
      <c r="E109" s="345"/>
      <c r="F109" s="345"/>
      <c r="G109" s="345"/>
      <c r="H109" s="345"/>
      <c r="I109" s="345"/>
      <c r="M109" s="274"/>
      <c r="N109" s="388"/>
      <c r="O109" s="388"/>
      <c r="P109" s="388"/>
      <c r="Q109" s="247"/>
      <c r="R109" s="247"/>
      <c r="T109" s="248"/>
      <c r="U109" s="248"/>
      <c r="V109" s="248"/>
      <c r="W109" s="248"/>
      <c r="X109" s="248"/>
    </row>
    <row r="110" spans="4:24">
      <c r="Q110" s="388"/>
      <c r="R110" s="388"/>
      <c r="S110" s="391"/>
    </row>
    <row r="111" spans="4:24">
      <c r="D111" s="370"/>
      <c r="L111" s="389"/>
      <c r="N111" s="274"/>
      <c r="O111" s="274"/>
      <c r="P111" s="274"/>
      <c r="Q111" s="274"/>
      <c r="R111" s="274"/>
      <c r="S111" s="388"/>
      <c r="T111" s="247"/>
      <c r="U111" s="247"/>
      <c r="V111" s="247"/>
      <c r="W111" s="247"/>
      <c r="X111" s="247"/>
    </row>
    <row r="112" spans="4:24">
      <c r="D112" s="370"/>
      <c r="M112" s="389"/>
      <c r="S112" s="248"/>
      <c r="T112" s="388"/>
      <c r="U112" s="388"/>
      <c r="V112" s="388"/>
      <c r="W112" s="388"/>
      <c r="X112" s="388"/>
    </row>
    <row r="113" spans="4:24">
      <c r="D113" s="370"/>
      <c r="N113" s="389"/>
      <c r="O113" s="389"/>
      <c r="P113" s="389"/>
      <c r="Q113" s="389"/>
      <c r="R113" s="389"/>
      <c r="T113" s="274"/>
      <c r="U113" s="274"/>
      <c r="V113" s="274"/>
      <c r="W113" s="274"/>
      <c r="X113" s="274"/>
    </row>
    <row r="114" spans="4:24">
      <c r="D114" s="345"/>
      <c r="E114" s="381"/>
      <c r="F114" s="381"/>
      <c r="G114" s="381"/>
      <c r="H114" s="381"/>
      <c r="I114" s="381"/>
      <c r="N114" s="388"/>
      <c r="O114" s="388"/>
      <c r="P114" s="388"/>
      <c r="Q114" s="388"/>
      <c r="R114" s="388"/>
      <c r="S114" s="247"/>
    </row>
    <row r="115" spans="4:24">
      <c r="D115" s="345"/>
      <c r="E115" s="381"/>
      <c r="F115" s="381"/>
      <c r="G115" s="381"/>
      <c r="H115" s="381"/>
      <c r="I115" s="381"/>
      <c r="L115" s="249"/>
      <c r="S115" s="388"/>
      <c r="T115" s="389"/>
      <c r="U115" s="389"/>
      <c r="V115" s="389"/>
      <c r="W115" s="389"/>
      <c r="X115" s="389"/>
    </row>
    <row r="116" spans="4:24">
      <c r="D116" s="370"/>
      <c r="E116" s="381"/>
      <c r="F116" s="381"/>
      <c r="G116" s="381"/>
      <c r="H116" s="381"/>
      <c r="I116" s="381"/>
      <c r="M116" s="249"/>
      <c r="S116" s="274"/>
      <c r="T116" s="388"/>
      <c r="U116" s="388"/>
      <c r="V116" s="388"/>
      <c r="W116" s="388"/>
      <c r="X116" s="388"/>
    </row>
    <row r="117" spans="4:24">
      <c r="D117" s="370"/>
      <c r="E117" s="381"/>
      <c r="F117" s="381"/>
      <c r="G117" s="381"/>
      <c r="H117" s="381"/>
      <c r="I117" s="381"/>
      <c r="N117" s="249"/>
      <c r="O117" s="249"/>
      <c r="P117" s="249"/>
      <c r="Q117" s="249"/>
      <c r="R117" s="249"/>
    </row>
    <row r="118" spans="4:24">
      <c r="D118" s="370"/>
      <c r="L118" s="249"/>
      <c r="N118" s="388"/>
      <c r="O118" s="388"/>
      <c r="P118" s="388"/>
      <c r="Q118" s="388"/>
      <c r="R118" s="388"/>
      <c r="S118" s="389"/>
    </row>
    <row r="119" spans="4:24">
      <c r="D119" s="345"/>
      <c r="E119" s="381"/>
      <c r="F119" s="381"/>
      <c r="G119" s="381"/>
      <c r="H119" s="381"/>
      <c r="I119" s="381"/>
      <c r="M119" s="249"/>
      <c r="S119" s="388"/>
      <c r="T119" s="249"/>
      <c r="U119" s="249"/>
      <c r="V119" s="249"/>
      <c r="W119" s="249"/>
      <c r="X119" s="249"/>
    </row>
    <row r="120" spans="4:24">
      <c r="D120" s="370"/>
      <c r="E120" s="381"/>
      <c r="F120" s="381"/>
      <c r="G120" s="381"/>
      <c r="H120" s="381"/>
      <c r="I120" s="381"/>
      <c r="N120" s="249"/>
      <c r="O120" s="249"/>
      <c r="P120" s="249"/>
      <c r="Q120" s="249"/>
      <c r="R120" s="249"/>
      <c r="T120" s="388"/>
      <c r="U120" s="388"/>
      <c r="V120" s="388"/>
      <c r="W120" s="388"/>
      <c r="X120" s="388"/>
    </row>
    <row r="121" spans="4:24">
      <c r="D121" s="370"/>
      <c r="E121" s="381"/>
      <c r="F121" s="381"/>
      <c r="G121" s="381"/>
      <c r="H121" s="381"/>
      <c r="I121" s="381"/>
      <c r="L121" s="389"/>
      <c r="N121" s="388"/>
      <c r="O121" s="388"/>
      <c r="P121" s="390"/>
      <c r="Q121" s="390"/>
      <c r="R121" s="390"/>
    </row>
    <row r="122" spans="4:24">
      <c r="D122" s="370"/>
      <c r="M122" s="389"/>
      <c r="S122" s="249"/>
      <c r="T122" s="249"/>
      <c r="U122" s="249"/>
      <c r="V122" s="249"/>
      <c r="W122" s="249"/>
      <c r="X122" s="249"/>
    </row>
    <row r="123" spans="4:24">
      <c r="D123" s="370"/>
      <c r="L123" s="392"/>
      <c r="N123" s="389"/>
      <c r="O123" s="389"/>
      <c r="P123" s="389"/>
      <c r="Q123" s="389"/>
      <c r="R123" s="389"/>
      <c r="S123" s="388"/>
      <c r="T123" s="390"/>
      <c r="U123" s="390"/>
      <c r="V123" s="390"/>
      <c r="W123" s="390"/>
      <c r="X123" s="390"/>
    </row>
    <row r="124" spans="4:24">
      <c r="D124" s="370"/>
      <c r="J124" s="381"/>
      <c r="K124" s="381"/>
      <c r="M124" s="392"/>
      <c r="N124" s="392"/>
      <c r="O124" s="392"/>
      <c r="P124" s="392"/>
      <c r="Q124" s="392"/>
      <c r="R124" s="392"/>
    </row>
    <row r="125" spans="4:24">
      <c r="D125" s="370"/>
      <c r="J125" s="381"/>
      <c r="K125" s="381"/>
      <c r="L125" s="388"/>
      <c r="N125" s="392"/>
      <c r="O125" s="392"/>
      <c r="P125" s="392"/>
      <c r="Q125" s="392"/>
      <c r="R125" s="392"/>
      <c r="S125" s="249"/>
      <c r="T125" s="389"/>
      <c r="U125" s="389"/>
      <c r="V125" s="389"/>
      <c r="W125" s="389"/>
      <c r="X125" s="389"/>
    </row>
    <row r="126" spans="4:24">
      <c r="D126" s="370"/>
      <c r="L126" s="389"/>
      <c r="M126" s="388"/>
      <c r="S126" s="390"/>
      <c r="T126" s="392"/>
      <c r="U126" s="392"/>
      <c r="V126" s="392"/>
      <c r="W126" s="392"/>
      <c r="X126" s="392"/>
    </row>
    <row r="127" spans="4:24">
      <c r="D127" s="370"/>
      <c r="J127" s="381"/>
      <c r="K127" s="381"/>
      <c r="M127" s="389"/>
      <c r="N127" s="388"/>
      <c r="O127" s="388"/>
      <c r="P127" s="388"/>
      <c r="Q127" s="388"/>
      <c r="R127" s="388"/>
      <c r="T127" s="392"/>
      <c r="U127" s="392"/>
      <c r="V127" s="392"/>
      <c r="W127" s="392"/>
      <c r="X127" s="392"/>
    </row>
    <row r="128" spans="4:24">
      <c r="D128" s="370"/>
      <c r="J128" s="381"/>
      <c r="K128" s="381"/>
      <c r="N128" s="389"/>
      <c r="O128" s="389"/>
      <c r="P128" s="389"/>
      <c r="Q128" s="389"/>
      <c r="R128" s="389"/>
      <c r="S128" s="389"/>
    </row>
    <row r="129" spans="4:24">
      <c r="D129" s="370"/>
      <c r="J129" s="381"/>
      <c r="K129" s="381"/>
      <c r="L129" s="389"/>
      <c r="R129" s="392"/>
      <c r="S129" s="392"/>
      <c r="T129" s="388"/>
      <c r="U129" s="388"/>
      <c r="V129" s="388"/>
      <c r="W129" s="388"/>
      <c r="X129" s="388"/>
    </row>
    <row r="130" spans="4:24">
      <c r="D130" s="370"/>
      <c r="M130" s="389"/>
      <c r="S130" s="392"/>
      <c r="T130" s="389"/>
      <c r="U130" s="389"/>
      <c r="V130" s="389"/>
      <c r="W130" s="389"/>
      <c r="X130" s="389"/>
    </row>
    <row r="131" spans="4:24">
      <c r="D131" s="345"/>
      <c r="E131" s="381"/>
      <c r="F131" s="381"/>
      <c r="G131" s="381"/>
      <c r="H131" s="381"/>
      <c r="I131" s="381"/>
      <c r="N131" s="389"/>
      <c r="O131" s="389"/>
      <c r="P131" s="389"/>
      <c r="Q131" s="389"/>
      <c r="R131" s="389"/>
      <c r="T131" s="392"/>
      <c r="U131" s="392"/>
      <c r="V131" s="392"/>
      <c r="W131" s="392"/>
      <c r="X131" s="392"/>
    </row>
    <row r="132" spans="4:24">
      <c r="D132" s="370"/>
      <c r="J132" s="381"/>
      <c r="K132" s="381"/>
      <c r="N132" s="392"/>
      <c r="O132" s="392"/>
      <c r="P132" s="392"/>
      <c r="Q132" s="392"/>
      <c r="R132" s="392"/>
      <c r="S132" s="388"/>
    </row>
    <row r="133" spans="4:24">
      <c r="D133" s="370"/>
      <c r="J133" s="381"/>
      <c r="K133" s="381"/>
      <c r="S133" s="389"/>
      <c r="T133" s="389"/>
      <c r="U133" s="389"/>
      <c r="V133" s="389"/>
      <c r="W133" s="389"/>
      <c r="X133" s="389"/>
    </row>
    <row r="134" spans="4:24">
      <c r="D134" s="345"/>
      <c r="E134" s="381"/>
      <c r="F134" s="381"/>
      <c r="G134" s="381"/>
      <c r="H134" s="381"/>
      <c r="I134" s="381"/>
      <c r="S134" s="392"/>
      <c r="T134" s="392"/>
      <c r="U134" s="392"/>
      <c r="V134" s="392"/>
      <c r="W134" s="392"/>
      <c r="X134" s="392"/>
    </row>
    <row r="135" spans="4:24">
      <c r="D135" s="370"/>
    </row>
    <row r="136" spans="4:24">
      <c r="D136" s="345"/>
      <c r="E136" s="381"/>
      <c r="F136" s="381"/>
      <c r="G136" s="381"/>
      <c r="H136" s="381"/>
      <c r="I136" s="381"/>
      <c r="S136" s="389"/>
    </row>
    <row r="137" spans="4:24">
      <c r="D137" s="370"/>
      <c r="E137" s="381"/>
      <c r="F137" s="381"/>
      <c r="G137" s="381"/>
      <c r="H137" s="381"/>
      <c r="I137" s="381"/>
      <c r="S137" s="392"/>
    </row>
    <row r="138" spans="4:24">
      <c r="D138" s="370"/>
    </row>
    <row r="139" spans="4:24">
      <c r="D139" s="370"/>
    </row>
    <row r="140" spans="4:24">
      <c r="D140" s="345"/>
      <c r="E140" s="381"/>
      <c r="F140" s="381"/>
      <c r="G140" s="381"/>
      <c r="H140" s="381"/>
      <c r="I140" s="381"/>
    </row>
    <row r="141" spans="4:24">
      <c r="D141" s="370"/>
      <c r="E141" s="381"/>
      <c r="F141" s="381"/>
      <c r="G141" s="381"/>
      <c r="H141" s="381"/>
      <c r="I141" s="381"/>
    </row>
    <row r="142" spans="4:24">
      <c r="D142" s="370"/>
    </row>
    <row r="143" spans="4:24">
      <c r="D143" s="345"/>
      <c r="E143" s="381"/>
      <c r="F143" s="381"/>
      <c r="G143" s="381"/>
      <c r="H143" s="381"/>
      <c r="I143" s="381"/>
    </row>
    <row r="144" spans="4:24">
      <c r="D144" s="370"/>
      <c r="J144" s="381"/>
      <c r="K144" s="381"/>
    </row>
    <row r="145" spans="4:11">
      <c r="D145" s="370"/>
      <c r="J145" s="381"/>
      <c r="K145" s="381"/>
    </row>
    <row r="146" spans="4:11">
      <c r="D146" s="345"/>
      <c r="E146" s="381"/>
      <c r="F146" s="381"/>
      <c r="G146" s="381"/>
      <c r="H146" s="381"/>
      <c r="I146" s="381"/>
    </row>
    <row r="147" spans="4:11">
      <c r="D147" s="370"/>
    </row>
    <row r="148" spans="4:11">
      <c r="D148" s="370"/>
      <c r="J148" s="381"/>
      <c r="K148" s="381"/>
    </row>
    <row r="149" spans="4:11">
      <c r="D149" s="370"/>
      <c r="J149" s="381"/>
      <c r="K149" s="381"/>
    </row>
    <row r="150" spans="4:11">
      <c r="D150" s="345"/>
      <c r="E150" s="381"/>
      <c r="F150" s="381"/>
      <c r="G150" s="381"/>
      <c r="H150" s="381"/>
      <c r="I150" s="381"/>
    </row>
    <row r="151" spans="4:11">
      <c r="D151" s="370"/>
    </row>
    <row r="152" spans="4:11">
      <c r="D152" s="370"/>
      <c r="E152" s="345"/>
      <c r="F152" s="345"/>
      <c r="G152" s="345"/>
      <c r="H152" s="345"/>
      <c r="I152" s="345"/>
      <c r="J152" s="381"/>
      <c r="K152" s="381"/>
    </row>
    <row r="153" spans="4:11">
      <c r="D153" s="370"/>
      <c r="E153" s="345"/>
      <c r="F153" s="345"/>
      <c r="G153" s="345"/>
      <c r="H153" s="345"/>
      <c r="I153" s="345"/>
    </row>
    <row r="154" spans="4:11">
      <c r="D154" s="370"/>
    </row>
    <row r="155" spans="4:11">
      <c r="D155" s="370"/>
    </row>
    <row r="157" spans="4:11">
      <c r="D157" s="345"/>
      <c r="E157" s="381"/>
      <c r="F157" s="381"/>
      <c r="G157" s="381"/>
      <c r="H157" s="381"/>
      <c r="I157" s="381"/>
    </row>
    <row r="158" spans="4:11">
      <c r="D158" s="345"/>
      <c r="E158" s="381"/>
      <c r="F158" s="381"/>
      <c r="G158" s="381"/>
      <c r="H158" s="381"/>
      <c r="I158" s="381"/>
    </row>
    <row r="159" spans="4:11">
      <c r="D159" s="370"/>
      <c r="E159" s="381"/>
      <c r="F159" s="381"/>
      <c r="G159" s="381"/>
      <c r="H159" s="381"/>
      <c r="I159" s="381"/>
    </row>
    <row r="160" spans="4:11">
      <c r="D160" s="370"/>
      <c r="E160" s="381"/>
      <c r="F160" s="381"/>
      <c r="G160" s="381"/>
      <c r="H160" s="381"/>
      <c r="I160" s="381"/>
    </row>
    <row r="161" spans="4:11">
      <c r="D161" s="370"/>
    </row>
    <row r="162" spans="4:11">
      <c r="D162" s="345"/>
      <c r="E162" s="381"/>
      <c r="F162" s="381"/>
      <c r="G162" s="381"/>
      <c r="H162" s="381"/>
      <c r="I162" s="381"/>
    </row>
    <row r="163" spans="4:11">
      <c r="D163" s="370"/>
      <c r="E163" s="381"/>
      <c r="F163" s="381"/>
      <c r="G163" s="381"/>
      <c r="H163" s="381"/>
      <c r="I163" s="381"/>
    </row>
    <row r="164" spans="4:11">
      <c r="D164" s="370"/>
      <c r="E164" s="381"/>
      <c r="F164" s="381"/>
      <c r="G164" s="381"/>
      <c r="H164" s="381"/>
      <c r="I164" s="381"/>
    </row>
    <row r="165" spans="4:11">
      <c r="D165" s="370"/>
    </row>
    <row r="166" spans="4:11">
      <c r="D166" s="370"/>
    </row>
    <row r="167" spans="4:11">
      <c r="D167" s="370"/>
      <c r="J167" s="381"/>
      <c r="K167" s="381"/>
    </row>
    <row r="168" spans="4:11">
      <c r="D168" s="370"/>
      <c r="J168" s="381"/>
      <c r="K168" s="381"/>
    </row>
    <row r="169" spans="4:11">
      <c r="D169" s="370"/>
    </row>
    <row r="170" spans="4:11">
      <c r="D170" s="370"/>
      <c r="J170" s="381"/>
      <c r="K170" s="381"/>
    </row>
    <row r="171" spans="4:11">
      <c r="D171" s="370"/>
      <c r="J171" s="381"/>
      <c r="K171" s="381"/>
    </row>
    <row r="172" spans="4:11">
      <c r="D172" s="370"/>
      <c r="J172" s="381"/>
      <c r="K172" s="381"/>
    </row>
    <row r="173" spans="4:11">
      <c r="D173" s="370"/>
    </row>
    <row r="174" spans="4:11">
      <c r="D174" s="345"/>
      <c r="E174" s="381"/>
      <c r="F174" s="381"/>
      <c r="G174" s="381"/>
      <c r="H174" s="381"/>
      <c r="I174" s="381"/>
    </row>
    <row r="175" spans="4:11">
      <c r="D175" s="370"/>
      <c r="J175" s="381"/>
      <c r="K175" s="381"/>
    </row>
    <row r="176" spans="4:11">
      <c r="D176" s="370"/>
      <c r="J176" s="381"/>
      <c r="K176" s="381"/>
    </row>
    <row r="177" spans="4:11">
      <c r="D177" s="345"/>
      <c r="E177" s="381"/>
      <c r="F177" s="381"/>
      <c r="G177" s="381"/>
      <c r="H177" s="381"/>
      <c r="I177" s="381"/>
    </row>
    <row r="178" spans="4:11">
      <c r="D178" s="370"/>
    </row>
    <row r="179" spans="4:11">
      <c r="D179" s="345"/>
      <c r="E179" s="381"/>
      <c r="F179" s="381"/>
      <c r="G179" s="381"/>
      <c r="H179" s="381"/>
      <c r="I179" s="381"/>
    </row>
    <row r="180" spans="4:11">
      <c r="D180" s="370"/>
      <c r="E180" s="381"/>
      <c r="F180" s="381"/>
      <c r="G180" s="381"/>
      <c r="H180" s="381"/>
      <c r="I180" s="381"/>
    </row>
    <row r="181" spans="4:11">
      <c r="D181" s="370"/>
    </row>
    <row r="182" spans="4:11">
      <c r="D182" s="370"/>
    </row>
    <row r="183" spans="4:11">
      <c r="D183" s="345"/>
      <c r="E183" s="381"/>
      <c r="F183" s="381"/>
      <c r="G183" s="381"/>
      <c r="H183" s="381"/>
      <c r="I183" s="381"/>
    </row>
    <row r="184" spans="4:11">
      <c r="D184" s="370"/>
      <c r="E184" s="381"/>
      <c r="F184" s="381"/>
      <c r="G184" s="381"/>
      <c r="H184" s="381"/>
      <c r="I184" s="381"/>
    </row>
    <row r="185" spans="4:11">
      <c r="D185" s="370"/>
    </row>
    <row r="186" spans="4:11">
      <c r="D186" s="345"/>
      <c r="E186" s="381"/>
      <c r="F186" s="381"/>
      <c r="G186" s="381"/>
      <c r="H186" s="381"/>
      <c r="I186" s="381"/>
    </row>
    <row r="187" spans="4:11">
      <c r="D187" s="370"/>
      <c r="J187" s="381"/>
      <c r="K187" s="381"/>
    </row>
    <row r="188" spans="4:11">
      <c r="D188" s="370"/>
      <c r="J188" s="381"/>
      <c r="K188" s="381"/>
    </row>
    <row r="189" spans="4:11">
      <c r="D189" s="345"/>
      <c r="E189" s="381"/>
      <c r="F189" s="381"/>
      <c r="G189" s="381"/>
      <c r="H189" s="381"/>
      <c r="I189" s="381"/>
    </row>
    <row r="190" spans="4:11">
      <c r="D190" s="370"/>
    </row>
    <row r="191" spans="4:11">
      <c r="D191" s="370"/>
      <c r="J191" s="381"/>
      <c r="K191" s="381"/>
    </row>
    <row r="192" spans="4:11">
      <c r="D192" s="370"/>
      <c r="J192" s="381"/>
      <c r="K192" s="381"/>
    </row>
    <row r="193" spans="4:11">
      <c r="D193" s="345"/>
      <c r="E193" s="381"/>
      <c r="F193" s="381"/>
      <c r="G193" s="381"/>
      <c r="H193" s="381"/>
      <c r="I193" s="381"/>
    </row>
    <row r="194" spans="4:11">
      <c r="D194" s="370"/>
    </row>
    <row r="195" spans="4:11">
      <c r="D195" s="370"/>
      <c r="E195" s="345"/>
      <c r="F195" s="345"/>
      <c r="G195" s="345"/>
      <c r="H195" s="345"/>
      <c r="I195" s="345"/>
      <c r="J195" s="381"/>
      <c r="K195" s="381"/>
    </row>
    <row r="196" spans="4:11">
      <c r="D196" s="370"/>
      <c r="E196" s="345"/>
      <c r="F196" s="345"/>
      <c r="G196" s="345"/>
      <c r="H196" s="345"/>
      <c r="I196" s="345"/>
    </row>
    <row r="197" spans="4:11">
      <c r="D197" s="370"/>
    </row>
    <row r="198" spans="4:11">
      <c r="D198" s="370"/>
    </row>
    <row r="199" spans="4:11">
      <c r="D199" s="370"/>
    </row>
    <row r="200" spans="4:11">
      <c r="D200" s="345"/>
      <c r="E200" s="381"/>
      <c r="F200" s="381"/>
      <c r="G200" s="381"/>
      <c r="H200" s="381"/>
      <c r="I200" s="381"/>
    </row>
    <row r="201" spans="4:11">
      <c r="D201" s="345"/>
      <c r="E201" s="381"/>
      <c r="F201" s="381"/>
      <c r="G201" s="381"/>
      <c r="H201" s="381"/>
      <c r="I201" s="381"/>
    </row>
    <row r="202" spans="4:11">
      <c r="D202" s="370"/>
      <c r="E202" s="381"/>
      <c r="F202" s="381"/>
      <c r="G202" s="381"/>
      <c r="H202" s="381"/>
      <c r="I202" s="381"/>
    </row>
    <row r="203" spans="4:11">
      <c r="D203" s="370"/>
      <c r="E203" s="381"/>
      <c r="F203" s="381"/>
      <c r="G203" s="381"/>
      <c r="H203" s="381"/>
      <c r="I203" s="381"/>
    </row>
    <row r="204" spans="4:11">
      <c r="D204" s="370"/>
    </row>
    <row r="205" spans="4:11">
      <c r="D205" s="345"/>
      <c r="E205" s="381"/>
      <c r="F205" s="381"/>
      <c r="G205" s="381"/>
      <c r="H205" s="381"/>
      <c r="I205" s="381"/>
    </row>
    <row r="206" spans="4:11">
      <c r="D206" s="370"/>
      <c r="E206" s="381"/>
      <c r="F206" s="381"/>
      <c r="G206" s="381"/>
      <c r="H206" s="381"/>
      <c r="I206" s="381"/>
    </row>
    <row r="207" spans="4:11">
      <c r="D207" s="370"/>
      <c r="E207" s="381"/>
      <c r="F207" s="381"/>
      <c r="G207" s="381"/>
      <c r="H207" s="381"/>
      <c r="I207" s="381"/>
    </row>
    <row r="208" spans="4:11">
      <c r="D208" s="370"/>
    </row>
    <row r="209" spans="4:11">
      <c r="D209" s="370"/>
    </row>
    <row r="210" spans="4:11">
      <c r="D210" s="370"/>
      <c r="J210" s="381"/>
      <c r="K210" s="381"/>
    </row>
    <row r="211" spans="4:11">
      <c r="D211" s="370"/>
      <c r="J211" s="381"/>
      <c r="K211" s="381"/>
    </row>
    <row r="212" spans="4:11">
      <c r="D212" s="370"/>
    </row>
    <row r="213" spans="4:11">
      <c r="D213" s="370"/>
      <c r="J213" s="381"/>
      <c r="K213" s="381"/>
    </row>
    <row r="214" spans="4:11">
      <c r="D214" s="370"/>
      <c r="J214" s="381"/>
      <c r="K214" s="381"/>
    </row>
    <row r="215" spans="4:11">
      <c r="D215" s="370"/>
      <c r="J215" s="381"/>
      <c r="K215" s="381"/>
    </row>
    <row r="216" spans="4:11">
      <c r="D216" s="370"/>
    </row>
    <row r="217" spans="4:11">
      <c r="D217" s="345"/>
      <c r="E217" s="381"/>
      <c r="F217" s="381"/>
      <c r="G217" s="381"/>
      <c r="H217" s="381"/>
      <c r="I217" s="381"/>
    </row>
    <row r="218" spans="4:11">
      <c r="D218" s="370"/>
      <c r="J218" s="381"/>
      <c r="K218" s="381"/>
    </row>
    <row r="219" spans="4:11">
      <c r="D219" s="370"/>
      <c r="J219" s="381"/>
      <c r="K219" s="381"/>
    </row>
    <row r="220" spans="4:11">
      <c r="D220" s="345"/>
      <c r="E220" s="381"/>
      <c r="F220" s="381"/>
      <c r="G220" s="381"/>
      <c r="H220" s="381"/>
      <c r="I220" s="381"/>
    </row>
    <row r="221" spans="4:11">
      <c r="D221" s="370"/>
    </row>
    <row r="222" spans="4:11">
      <c r="D222" s="345"/>
      <c r="E222" s="381"/>
      <c r="F222" s="381"/>
      <c r="G222" s="381"/>
      <c r="H222" s="381"/>
      <c r="I222" s="381"/>
    </row>
    <row r="223" spans="4:11">
      <c r="D223" s="370"/>
      <c r="E223" s="381"/>
      <c r="F223" s="381"/>
      <c r="G223" s="381"/>
      <c r="H223" s="381"/>
      <c r="I223" s="381"/>
    </row>
    <row r="224" spans="4:11">
      <c r="D224" s="370"/>
    </row>
    <row r="225" spans="4:11">
      <c r="D225" s="370"/>
    </row>
    <row r="226" spans="4:11">
      <c r="D226" s="345"/>
      <c r="E226" s="381"/>
      <c r="F226" s="381"/>
      <c r="G226" s="381"/>
      <c r="H226" s="381"/>
      <c r="I226" s="381"/>
    </row>
    <row r="227" spans="4:11">
      <c r="D227" s="370"/>
      <c r="E227" s="381"/>
      <c r="F227" s="381"/>
      <c r="G227" s="381"/>
      <c r="H227" s="381"/>
      <c r="I227" s="381"/>
    </row>
    <row r="228" spans="4:11">
      <c r="D228" s="370"/>
    </row>
    <row r="229" spans="4:11">
      <c r="D229" s="345"/>
      <c r="E229" s="381"/>
      <c r="F229" s="381"/>
      <c r="G229" s="381"/>
      <c r="H229" s="381"/>
      <c r="I229" s="381"/>
    </row>
    <row r="230" spans="4:11">
      <c r="D230" s="370"/>
      <c r="J230" s="381"/>
      <c r="K230" s="381"/>
    </row>
    <row r="231" spans="4:11">
      <c r="D231" s="370"/>
      <c r="J231" s="381"/>
      <c r="K231" s="381"/>
    </row>
    <row r="232" spans="4:11">
      <c r="D232" s="345"/>
      <c r="E232" s="381"/>
      <c r="F232" s="381"/>
      <c r="G232" s="381"/>
      <c r="H232" s="381"/>
      <c r="I232" s="381"/>
    </row>
    <row r="233" spans="4:11">
      <c r="D233" s="370"/>
    </row>
    <row r="234" spans="4:11">
      <c r="D234" s="370"/>
      <c r="J234" s="381"/>
      <c r="K234" s="381"/>
    </row>
    <row r="235" spans="4:11">
      <c r="D235" s="370"/>
      <c r="J235" s="381"/>
      <c r="K235" s="381"/>
    </row>
    <row r="236" spans="4:11">
      <c r="D236" s="345"/>
      <c r="E236" s="381"/>
      <c r="F236" s="381"/>
      <c r="G236" s="381"/>
      <c r="H236" s="381"/>
      <c r="I236" s="381"/>
    </row>
    <row r="237" spans="4:11">
      <c r="D237" s="370"/>
    </row>
    <row r="238" spans="4:11">
      <c r="D238" s="370"/>
      <c r="E238" s="345"/>
      <c r="F238" s="345"/>
      <c r="G238" s="345"/>
      <c r="H238" s="345"/>
      <c r="I238" s="345"/>
      <c r="J238" s="381"/>
      <c r="K238" s="381"/>
    </row>
    <row r="239" spans="4:11">
      <c r="D239" s="370"/>
      <c r="E239" s="345"/>
      <c r="F239" s="345"/>
      <c r="G239" s="345"/>
      <c r="H239" s="345"/>
      <c r="I239" s="345"/>
    </row>
    <row r="240" spans="4:11">
      <c r="D240" s="370"/>
    </row>
    <row r="241" spans="4:11">
      <c r="D241" s="370"/>
    </row>
    <row r="242" spans="4:11">
      <c r="D242" s="370"/>
    </row>
    <row r="243" spans="4:11">
      <c r="D243" s="345"/>
      <c r="E243" s="381"/>
      <c r="F243" s="381"/>
      <c r="G243" s="381"/>
      <c r="H243" s="381"/>
      <c r="I243" s="381"/>
    </row>
    <row r="244" spans="4:11">
      <c r="D244" s="345"/>
      <c r="E244" s="381"/>
      <c r="F244" s="381"/>
      <c r="G244" s="381"/>
      <c r="H244" s="381"/>
      <c r="I244" s="381"/>
    </row>
    <row r="245" spans="4:11">
      <c r="D245" s="370"/>
      <c r="E245" s="381"/>
      <c r="F245" s="381"/>
      <c r="G245" s="381"/>
      <c r="H245" s="381"/>
      <c r="I245" s="381"/>
    </row>
    <row r="246" spans="4:11">
      <c r="D246" s="370"/>
      <c r="E246" s="381"/>
      <c r="F246" s="381"/>
      <c r="G246" s="381"/>
      <c r="H246" s="381"/>
      <c r="I246" s="381"/>
    </row>
    <row r="247" spans="4:11">
      <c r="D247" s="370"/>
    </row>
    <row r="248" spans="4:11">
      <c r="D248" s="345"/>
      <c r="E248" s="381"/>
      <c r="F248" s="381"/>
      <c r="G248" s="381"/>
      <c r="H248" s="381"/>
      <c r="I248" s="381"/>
    </row>
    <row r="249" spans="4:11">
      <c r="D249" s="370"/>
      <c r="E249" s="381"/>
      <c r="F249" s="381"/>
      <c r="G249" s="381"/>
      <c r="H249" s="381"/>
      <c r="I249" s="381"/>
    </row>
    <row r="250" spans="4:11">
      <c r="D250" s="370"/>
      <c r="E250" s="381"/>
      <c r="F250" s="381"/>
      <c r="G250" s="381"/>
      <c r="H250" s="381"/>
      <c r="I250" s="381"/>
    </row>
    <row r="251" spans="4:11">
      <c r="D251" s="370"/>
    </row>
    <row r="252" spans="4:11">
      <c r="D252" s="370"/>
    </row>
    <row r="253" spans="4:11">
      <c r="D253" s="370"/>
      <c r="J253" s="381"/>
      <c r="K253" s="381"/>
    </row>
    <row r="254" spans="4:11">
      <c r="D254" s="370"/>
      <c r="J254" s="381"/>
      <c r="K254" s="381"/>
    </row>
    <row r="255" spans="4:11">
      <c r="D255" s="370"/>
    </row>
    <row r="256" spans="4:11">
      <c r="D256" s="370"/>
      <c r="J256" s="381"/>
      <c r="K256" s="381"/>
    </row>
    <row r="257" spans="4:11">
      <c r="D257" s="370"/>
      <c r="J257" s="381"/>
      <c r="K257" s="381"/>
    </row>
    <row r="258" spans="4:11">
      <c r="D258" s="370"/>
      <c r="J258" s="381"/>
      <c r="K258" s="381"/>
    </row>
    <row r="259" spans="4:11">
      <c r="D259" s="370"/>
    </row>
    <row r="260" spans="4:11">
      <c r="D260" s="345"/>
      <c r="E260" s="381"/>
      <c r="F260" s="381"/>
      <c r="G260" s="381"/>
      <c r="H260" s="381"/>
      <c r="I260" s="381"/>
    </row>
    <row r="261" spans="4:11">
      <c r="D261" s="370"/>
      <c r="J261" s="381"/>
      <c r="K261" s="381"/>
    </row>
    <row r="262" spans="4:11">
      <c r="D262" s="370"/>
      <c r="J262" s="381"/>
      <c r="K262" s="381"/>
    </row>
    <row r="263" spans="4:11">
      <c r="D263" s="345"/>
      <c r="E263" s="381"/>
      <c r="F263" s="381"/>
      <c r="G263" s="381"/>
      <c r="H263" s="381"/>
      <c r="I263" s="381"/>
    </row>
    <row r="264" spans="4:11">
      <c r="D264" s="370"/>
    </row>
    <row r="265" spans="4:11">
      <c r="D265" s="345"/>
      <c r="E265" s="381"/>
      <c r="F265" s="381"/>
      <c r="G265" s="381"/>
      <c r="H265" s="381"/>
      <c r="I265" s="381"/>
    </row>
    <row r="266" spans="4:11">
      <c r="D266" s="370"/>
      <c r="E266" s="381"/>
      <c r="F266" s="381"/>
      <c r="G266" s="381"/>
      <c r="H266" s="381"/>
      <c r="I266" s="381"/>
    </row>
    <row r="267" spans="4:11">
      <c r="D267" s="370"/>
    </row>
    <row r="268" spans="4:11">
      <c r="D268" s="370"/>
    </row>
    <row r="269" spans="4:11">
      <c r="D269" s="345"/>
      <c r="E269" s="381"/>
      <c r="F269" s="381"/>
      <c r="G269" s="381"/>
      <c r="H269" s="381"/>
      <c r="I269" s="381"/>
    </row>
    <row r="270" spans="4:11">
      <c r="D270" s="370"/>
      <c r="E270" s="381"/>
      <c r="F270" s="381"/>
      <c r="G270" s="381"/>
      <c r="H270" s="381"/>
      <c r="I270" s="381"/>
    </row>
    <row r="271" spans="4:11">
      <c r="D271" s="370"/>
    </row>
    <row r="272" spans="4:11">
      <c r="D272" s="345"/>
      <c r="E272" s="381"/>
      <c r="F272" s="381"/>
      <c r="G272" s="381"/>
      <c r="H272" s="381"/>
      <c r="I272" s="381"/>
    </row>
    <row r="273" spans="4:11">
      <c r="D273" s="370"/>
      <c r="J273" s="381"/>
      <c r="K273" s="381"/>
    </row>
    <row r="274" spans="4:11">
      <c r="D274" s="370"/>
      <c r="J274" s="381"/>
      <c r="K274" s="381"/>
    </row>
    <row r="275" spans="4:11">
      <c r="D275" s="345"/>
      <c r="E275" s="381"/>
      <c r="F275" s="381"/>
      <c r="G275" s="381"/>
      <c r="H275" s="381"/>
      <c r="I275" s="381"/>
    </row>
    <row r="276" spans="4:11">
      <c r="D276" s="370"/>
    </row>
    <row r="277" spans="4:11">
      <c r="D277" s="370"/>
      <c r="J277" s="381"/>
      <c r="K277" s="381"/>
    </row>
    <row r="278" spans="4:11">
      <c r="D278" s="370"/>
      <c r="J278" s="381"/>
      <c r="K278" s="381"/>
    </row>
    <row r="279" spans="4:11">
      <c r="D279" s="345"/>
      <c r="E279" s="381"/>
      <c r="F279" s="381"/>
      <c r="G279" s="381"/>
      <c r="H279" s="381"/>
      <c r="I279" s="381"/>
    </row>
    <row r="280" spans="4:11">
      <c r="D280" s="370"/>
    </row>
    <row r="281" spans="4:11">
      <c r="D281" s="370"/>
      <c r="E281" s="345"/>
      <c r="F281" s="345"/>
      <c r="G281" s="345"/>
      <c r="H281" s="345"/>
      <c r="I281" s="345"/>
      <c r="J281" s="381"/>
      <c r="K281" s="381"/>
    </row>
    <row r="282" spans="4:11">
      <c r="D282" s="370"/>
      <c r="E282" s="345"/>
      <c r="F282" s="345"/>
      <c r="G282" s="345"/>
      <c r="H282" s="345"/>
      <c r="I282" s="345"/>
    </row>
    <row r="283" spans="4:11">
      <c r="D283" s="370"/>
    </row>
    <row r="284" spans="4:11">
      <c r="D284" s="370"/>
    </row>
    <row r="285" spans="4:11">
      <c r="D285" s="370"/>
    </row>
    <row r="286" spans="4:11">
      <c r="D286" s="370"/>
    </row>
    <row r="287" spans="4:11">
      <c r="D287" s="370"/>
    </row>
    <row r="288" spans="4:11">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row r="463" spans="4:4">
      <c r="D463" s="370"/>
    </row>
    <row r="464" spans="4:4">
      <c r="D464" s="370"/>
    </row>
    <row r="465" spans="4:4">
      <c r="D465" s="370"/>
    </row>
    <row r="466" spans="4:4">
      <c r="D466" s="370"/>
    </row>
    <row r="467" spans="4:4">
      <c r="D467" s="370"/>
    </row>
    <row r="468" spans="4:4">
      <c r="D468" s="370"/>
    </row>
    <row r="469" spans="4:4">
      <c r="D469" s="370"/>
    </row>
    <row r="470" spans="4:4">
      <c r="D470" s="370"/>
    </row>
    <row r="471" spans="4:4">
      <c r="D471" s="370"/>
    </row>
  </sheetData>
  <phoneticPr fontId="26" type="noConversion"/>
  <pageMargins left="0.75" right="0.75" top="1" bottom="1" header="0.5" footer="0.5"/>
  <pageSetup scale="43"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4724B-03CA-47F1-840D-0A535D1CF2BB}">
  <sheetPr codeName="Sheet233">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1602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154</v>
      </c>
      <c r="K7" s="306"/>
      <c r="L7" s="265" t="str">
        <f>L5</f>
        <v>2023E</v>
      </c>
      <c r="M7" s="265" t="str">
        <f t="shared" ref="M7:P7" si="1">M5</f>
        <v>2024E</v>
      </c>
      <c r="N7" s="265" t="str">
        <f t="shared" si="1"/>
        <v>2025E</v>
      </c>
      <c r="O7" s="265" t="str">
        <f t="shared" si="1"/>
        <v>2026E</v>
      </c>
      <c r="P7" s="265" t="str">
        <f t="shared" si="1"/>
        <v>23E-26E</v>
      </c>
    </row>
    <row r="8" spans="2:44" ht="12.6" thickTop="1">
      <c r="I8" s="5"/>
      <c r="J8" s="5"/>
      <c r="K8" s="5"/>
      <c r="L8" s="5"/>
      <c r="M8" s="5"/>
      <c r="N8" s="5"/>
      <c r="S8" s="88"/>
      <c r="T8" s="42"/>
      <c r="U8" s="42"/>
      <c r="V8" s="42"/>
      <c r="W8" s="42"/>
      <c r="X8" s="42"/>
      <c r="Y8" s="42"/>
      <c r="Z8" s="42"/>
      <c r="AA8" s="42"/>
    </row>
    <row r="9" spans="2:44">
      <c r="B9" s="41" t="s">
        <v>15</v>
      </c>
      <c r="C9" s="287">
        <f>Prices!C47</f>
        <v>35</v>
      </c>
      <c r="D9" s="531">
        <v>0</v>
      </c>
      <c r="E9" s="532">
        <v>0</v>
      </c>
      <c r="F9" s="532">
        <v>0</v>
      </c>
      <c r="G9" s="532">
        <v>0</v>
      </c>
      <c r="H9" s="249"/>
      <c r="I9" s="249"/>
      <c r="J9" s="5" t="s">
        <v>268</v>
      </c>
      <c r="L9" s="525">
        <f>'US OTHER'!D37</f>
        <v>2.0615992706049235</v>
      </c>
      <c r="M9" s="525">
        <f>'US OTHER'!E37</f>
        <v>2.0145901059151643</v>
      </c>
      <c r="N9" s="525">
        <f>'US OTHER'!F37</f>
        <v>1.9460103757669567</v>
      </c>
      <c r="O9" s="525">
        <f>'US OTHER'!G37</f>
        <v>1.8352364265652237</v>
      </c>
      <c r="P9" s="18">
        <f>'US OTHER'!H37</f>
        <v>6.8251004257615655E-3</v>
      </c>
      <c r="S9" s="88"/>
      <c r="T9" s="42"/>
      <c r="U9" s="42"/>
      <c r="V9" s="42"/>
      <c r="W9" s="42"/>
      <c r="X9" s="42"/>
      <c r="Y9" s="42"/>
      <c r="Z9" s="42"/>
      <c r="AA9" s="42"/>
    </row>
    <row r="10" spans="2:44">
      <c r="B10" s="5" t="s">
        <v>269</v>
      </c>
      <c r="C10" s="5"/>
      <c r="D10" s="527">
        <v>245.73255195069063</v>
      </c>
      <c r="E10" s="527">
        <v>245.02099999999999</v>
      </c>
      <c r="F10" s="527">
        <v>245.02099999999999</v>
      </c>
      <c r="G10" s="527">
        <v>245.02099999999999</v>
      </c>
      <c r="H10" s="247"/>
      <c r="I10" s="247"/>
      <c r="J10" s="5" t="s">
        <v>180</v>
      </c>
      <c r="L10" s="525">
        <f>'US OTHER'!D38</f>
        <v>6.419136047060916</v>
      </c>
      <c r="M10" s="525">
        <f>'US OTHER'!E38</f>
        <v>6.1617174775214849</v>
      </c>
      <c r="N10" s="525">
        <f>'US OTHER'!F38</f>
        <v>5.8157046048820016</v>
      </c>
      <c r="O10" s="525">
        <f>'US OTHER'!G38</f>
        <v>5.3383564537368979</v>
      </c>
      <c r="P10" s="18">
        <f>'US OTHER'!H38</f>
        <v>2.9926645487549974E-2</v>
      </c>
      <c r="S10" s="88"/>
      <c r="T10" s="42"/>
      <c r="U10" s="42"/>
      <c r="V10" s="42"/>
      <c r="W10" s="288"/>
      <c r="X10" s="288"/>
      <c r="Y10" s="288"/>
      <c r="Z10" s="288"/>
      <c r="AA10" s="42"/>
    </row>
    <row r="11" spans="2:44">
      <c r="B11" s="41" t="s">
        <v>437</v>
      </c>
      <c r="C11" s="5"/>
      <c r="D11" s="528">
        <f>$C$9*D10</f>
        <v>8600.6393182741722</v>
      </c>
      <c r="E11" s="528">
        <f>$C$9*E10</f>
        <v>8575.7349999999988</v>
      </c>
      <c r="F11" s="528">
        <f>$C$9*F10</f>
        <v>8575.7349999999988</v>
      </c>
      <c r="G11" s="528">
        <f>$C$9*G10</f>
        <v>8575.7349999999988</v>
      </c>
      <c r="H11" s="249"/>
      <c r="I11" s="249"/>
      <c r="J11" s="5" t="s">
        <v>181</v>
      </c>
      <c r="L11" s="525">
        <f>'US OTHER'!D39</f>
        <v>12.034441933121379</v>
      </c>
      <c r="M11" s="525">
        <f>'US OTHER'!E39</f>
        <v>10.557338294237372</v>
      </c>
      <c r="N11" s="525">
        <f>'US OTHER'!F39</f>
        <v>9.5336430529255392</v>
      </c>
      <c r="O11" s="525">
        <f>'US OTHER'!G39</f>
        <v>7.9150896964308144</v>
      </c>
      <c r="P11" s="18">
        <f>'US OTHER'!H39</f>
        <v>0.11371310161076686</v>
      </c>
      <c r="S11" s="88"/>
      <c r="T11" s="42"/>
      <c r="U11" s="42"/>
      <c r="V11" s="42"/>
      <c r="W11" s="288"/>
      <c r="X11" s="288"/>
      <c r="Y11" s="288"/>
      <c r="Z11" s="288"/>
      <c r="AA11" s="42"/>
    </row>
    <row r="12" spans="2:44">
      <c r="B12" s="5" t="s">
        <v>24</v>
      </c>
      <c r="C12" s="249"/>
      <c r="D12" s="529">
        <v>9061</v>
      </c>
      <c r="E12" s="529">
        <v>9745.3625848544998</v>
      </c>
      <c r="F12" s="529">
        <v>10484.948429845428</v>
      </c>
      <c r="G12" s="529">
        <v>10750.025487732428</v>
      </c>
      <c r="H12" s="247"/>
      <c r="I12" s="247"/>
      <c r="J12" s="5" t="s">
        <v>461</v>
      </c>
      <c r="L12" s="525">
        <f>'US OTHER'!D40</f>
        <v>19.460370475479301</v>
      </c>
      <c r="M12" s="525">
        <f>'US OTHER'!E40</f>
        <v>15.799116916538814</v>
      </c>
      <c r="N12" s="525">
        <f>'US OTHER'!F40</f>
        <v>14.366667808632414</v>
      </c>
      <c r="O12" s="525">
        <f>'US OTHER'!G40</f>
        <v>11.869951475688792</v>
      </c>
      <c r="P12" s="18">
        <f>'US OTHER'!H40</f>
        <v>0.14204708718901382</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'US OTHER'!D41</f>
        <v>1.2036175965808336</v>
      </c>
      <c r="M13" s="525">
        <f>'US OTHER'!E41</f>
        <v>1.1592310186707702</v>
      </c>
      <c r="N13" s="525">
        <f>'US OTHER'!F41</f>
        <v>1.125914878616818</v>
      </c>
      <c r="O13" s="525">
        <f>'US OTHER'!G41</f>
        <v>1.0954740100112548</v>
      </c>
      <c r="P13" s="18">
        <f>'US OTHER'!H41</f>
        <v>-5.8597350806643966E-4</v>
      </c>
      <c r="S13" s="88"/>
      <c r="T13" s="42"/>
      <c r="U13" s="42"/>
      <c r="V13" s="42"/>
      <c r="W13" s="42"/>
      <c r="X13" s="42"/>
      <c r="Y13" s="42"/>
      <c r="Z13" s="42"/>
      <c r="AA13" s="42"/>
    </row>
    <row r="14" spans="2:44">
      <c r="B14" s="5" t="s">
        <v>527</v>
      </c>
      <c r="C14" s="257"/>
      <c r="D14" s="529">
        <v>-1867</v>
      </c>
      <c r="E14" s="529">
        <v>-679.36258485449912</v>
      </c>
      <c r="F14" s="529">
        <v>-735.58584499092865</v>
      </c>
      <c r="G14" s="529">
        <v>-256.07705788700065</v>
      </c>
      <c r="H14" s="247"/>
      <c r="I14" s="247"/>
      <c r="J14" s="5" t="s">
        <v>588</v>
      </c>
      <c r="L14" s="525">
        <f>'US OTHER'!D42</f>
        <v>3.5328918375024028</v>
      </c>
      <c r="M14" s="525">
        <f>'US OTHER'!E42</f>
        <v>3.4017377827100885</v>
      </c>
      <c r="N14" s="525">
        <f>'US OTHER'!F42</f>
        <v>3.3002217631142288</v>
      </c>
      <c r="O14" s="525">
        <f>'US OTHER'!G42</f>
        <v>3.257653737649747</v>
      </c>
      <c r="P14" s="18">
        <f>'US OTHER'!H42</f>
        <v>-4.9190074724069222E-3</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'US OTHER'!D43</f>
        <v>5.644822519442771</v>
      </c>
      <c r="M15" s="525">
        <f>'US OTHER'!E43</f>
        <v>4.6775450582156051</v>
      </c>
      <c r="N15" s="525">
        <f>'US OTHER'!F43</f>
        <v>4.2930779917194659</v>
      </c>
      <c r="O15" s="525">
        <f>'US OTHER'!G43</f>
        <v>3.6601872793786949</v>
      </c>
      <c r="P15" s="18">
        <f>'US OTHER'!H43</f>
        <v>8.0117819415815195E-2</v>
      </c>
      <c r="S15" s="88"/>
      <c r="T15" s="42"/>
      <c r="U15" s="42"/>
      <c r="V15" s="42"/>
      <c r="W15" s="42"/>
      <c r="X15" s="42"/>
      <c r="Y15" s="42"/>
      <c r="Z15" s="42"/>
      <c r="AA15" s="42"/>
    </row>
    <row r="16" spans="2:44">
      <c r="B16" s="5" t="s">
        <v>529</v>
      </c>
      <c r="C16" s="257"/>
      <c r="D16" s="529">
        <v>0</v>
      </c>
      <c r="E16" s="529">
        <v>0</v>
      </c>
      <c r="F16" s="529">
        <v>0</v>
      </c>
      <c r="G16" s="529">
        <v>0</v>
      </c>
      <c r="H16" s="247"/>
      <c r="I16" s="247"/>
      <c r="J16" s="5" t="s">
        <v>528</v>
      </c>
      <c r="L16" s="525">
        <f>'US OTHER'!D44</f>
        <v>11.589674186134612</v>
      </c>
      <c r="M16" s="525">
        <f>'US OTHER'!E44</f>
        <v>9.8176351313521053</v>
      </c>
      <c r="N16" s="525">
        <f>'US OTHER'!F44</f>
        <v>8.5897880374302709</v>
      </c>
      <c r="O16" s="525">
        <f>'US OTHER'!G44</f>
        <v>7.1736568667637073</v>
      </c>
      <c r="P16" s="18">
        <f>'US OTHER'!H44</f>
        <v>0.10233723564171293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18">
        <f>'US OTHER'!D45</f>
        <v>2.0337906612049358E-2</v>
      </c>
      <c r="M17" s="18">
        <f>'US OTHER'!E45</f>
        <v>2.2697199181179739E-2</v>
      </c>
      <c r="N17" s="18">
        <f>'US OTHER'!F45</f>
        <v>2.3716257475136997E-2</v>
      </c>
      <c r="O17" s="18">
        <f>'US OTHER'!G45</f>
        <v>2.5027193590269611E-2</v>
      </c>
      <c r="P17" s="18">
        <f>'US OTHER'!H45</f>
        <v>6.714297299340366E-3</v>
      </c>
      <c r="S17" s="88"/>
      <c r="T17" s="42"/>
      <c r="U17" s="42"/>
      <c r="V17" s="42"/>
      <c r="W17" s="42"/>
      <c r="X17" s="42"/>
      <c r="Y17" s="42"/>
      <c r="Z17" s="42"/>
      <c r="AA17" s="42"/>
    </row>
    <row r="18" spans="2:27" ht="12.6" thickBot="1">
      <c r="B18" s="41" t="s">
        <v>513</v>
      </c>
      <c r="C18" s="249"/>
      <c r="D18" s="530">
        <f>D11+D12+D13-D14+D15-D16-D17</f>
        <v>19528.639318274174</v>
      </c>
      <c r="E18" s="530">
        <f>E11+E12+E13-E14+E15-E16-E17</f>
        <v>19000.460169708997</v>
      </c>
      <c r="F18" s="530">
        <f>F11+F12+F13-F14+F15-F16-F17</f>
        <v>19796.269274836355</v>
      </c>
      <c r="G18" s="530">
        <f>G11+G12+G13-G14+G15-G16-G17</f>
        <v>19581.837545619426</v>
      </c>
      <c r="H18" s="276">
        <f>IF(D18=0,"nm",IF(G18=0,"nm",(G18/D18)^(1/3)-1))</f>
        <v>9.0721450091768574E-4</v>
      </c>
      <c r="I18" s="254"/>
      <c r="J18" s="5" t="s">
        <v>36</v>
      </c>
      <c r="L18" s="18">
        <f>'US OTHER'!D46</f>
        <v>7.1702643846444009E-2</v>
      </c>
      <c r="M18" s="18">
        <f>'US OTHER'!E46</f>
        <v>0.12374018659128148</v>
      </c>
      <c r="N18" s="18">
        <f>'US OTHER'!F46</f>
        <v>0.13496323475757685</v>
      </c>
      <c r="O18" s="18">
        <f>'US OTHER'!G46</f>
        <v>0.20145357159966482</v>
      </c>
      <c r="P18" s="18">
        <f>'US OTHER'!H46</f>
        <v>0.3256153847966301</v>
      </c>
      <c r="S18" s="88"/>
      <c r="T18" s="42"/>
      <c r="U18" s="42"/>
      <c r="V18" s="42"/>
      <c r="W18" s="42"/>
      <c r="X18" s="42"/>
      <c r="Y18" s="42"/>
      <c r="Z18" s="42"/>
      <c r="AA18" s="42"/>
    </row>
    <row r="19" spans="2:27" ht="12.6" thickTop="1">
      <c r="B19" s="41"/>
      <c r="C19" s="249"/>
      <c r="D19" s="229"/>
      <c r="E19" s="229"/>
      <c r="F19" s="229"/>
      <c r="G19" s="229"/>
      <c r="H19" s="276"/>
      <c r="I19" s="254"/>
      <c r="J19" s="5" t="s">
        <v>576</v>
      </c>
      <c r="L19" s="18">
        <f>'US OTHER'!D47</f>
        <v>0.1771534882727748</v>
      </c>
      <c r="M19" s="18">
        <f>'US OTHER'!E47</f>
        <v>0.21378735801670312</v>
      </c>
      <c r="N19" s="18">
        <f>'US OTHER'!F47</f>
        <v>0.23293310811702245</v>
      </c>
      <c r="O19" s="18">
        <f>'US OTHER'!G47</f>
        <v>0.27321006376748752</v>
      </c>
      <c r="P19" s="18">
        <f>'US OTHER'!H47</f>
        <v>8.0117819415815195E-2</v>
      </c>
      <c r="S19" s="88"/>
      <c r="T19" s="42"/>
      <c r="U19" s="42"/>
      <c r="V19" s="42"/>
      <c r="W19" s="42"/>
      <c r="X19" s="42"/>
      <c r="Y19" s="42"/>
      <c r="Z19" s="42"/>
      <c r="AA19" s="42"/>
    </row>
    <row r="20" spans="2:27">
      <c r="H20" s="277"/>
      <c r="I20" s="17"/>
      <c r="J20" s="5" t="s">
        <v>599</v>
      </c>
      <c r="L20" s="548">
        <f>'US OTHER'!D48</f>
        <v>0.122956651873093</v>
      </c>
      <c r="M20" s="548">
        <f>'US OTHER'!E48</f>
        <v>0.11420338650121682</v>
      </c>
      <c r="N20" s="548">
        <f>'US OTHER'!F48</f>
        <v>0.10996826737203369</v>
      </c>
      <c r="O20" s="548">
        <f>'US OTHER'!G48</f>
        <v>9.9553686168744285E-2</v>
      </c>
      <c r="P20" s="18" t="str">
        <f>'US OTHER'!H48</f>
        <v>nm</v>
      </c>
      <c r="S20" s="88"/>
      <c r="T20" s="42"/>
      <c r="U20" s="42"/>
      <c r="V20" s="42"/>
      <c r="W20" s="42"/>
      <c r="X20" s="42"/>
      <c r="Y20" s="42"/>
      <c r="Z20" s="42"/>
      <c r="AA20" s="42"/>
    </row>
    <row r="21" spans="2:27" ht="12.6" thickBot="1">
      <c r="B21" s="306" t="s">
        <v>916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5787</v>
      </c>
      <c r="D23" s="529">
        <v>5751</v>
      </c>
      <c r="E23" s="529">
        <v>1436.9752833063353</v>
      </c>
      <c r="F23" s="529">
        <v>1441.2743602157193</v>
      </c>
      <c r="G23" s="529">
        <v>1430.5120501167883</v>
      </c>
      <c r="H23" s="279">
        <f t="shared" ref="H23:H33" si="3">IF(D23=0,"nm",IF(G23=0,"nm",(G23/D23)^(1/3)-1))</f>
        <v>-0.37109837392480916</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2080</v>
      </c>
      <c r="D24" s="529">
        <v>2127</v>
      </c>
      <c r="E24" s="529">
        <v>544.24881132209634</v>
      </c>
      <c r="F24" s="529">
        <v>559.93778241783002</v>
      </c>
      <c r="G24" s="529">
        <v>553.50235378028378</v>
      </c>
      <c r="H24" s="279">
        <f t="shared" si="3"/>
        <v>-0.36156405961814375</v>
      </c>
      <c r="I24" s="249"/>
      <c r="J24" s="17"/>
      <c r="K24" s="17"/>
      <c r="L24" s="17"/>
      <c r="M24" s="17"/>
      <c r="N24" s="17"/>
      <c r="O24" s="248"/>
      <c r="S24" s="88"/>
      <c r="T24" s="42"/>
      <c r="U24" s="42"/>
      <c r="V24" s="42"/>
      <c r="W24" s="42" t="s">
        <v>1464</v>
      </c>
      <c r="X24" s="42" t="s">
        <v>259</v>
      </c>
      <c r="Y24" s="42"/>
      <c r="Z24" s="42"/>
      <c r="AA24" s="42"/>
    </row>
    <row r="25" spans="2:27">
      <c r="B25" s="5" t="s">
        <v>179</v>
      </c>
      <c r="C25" s="544">
        <v>-658</v>
      </c>
      <c r="D25" s="529">
        <v>-1084</v>
      </c>
      <c r="E25" s="529">
        <v>-540.7599758355118</v>
      </c>
      <c r="F25" s="529">
        <v>-409.1877017160748</v>
      </c>
      <c r="G25" s="529">
        <v>-66.046381866592469</v>
      </c>
      <c r="H25" s="279">
        <f t="shared" si="3"/>
        <v>-0.60650436754529502</v>
      </c>
      <c r="I25" s="248"/>
      <c r="J25" s="247" t="s">
        <v>10</v>
      </c>
      <c r="K25" s="247"/>
      <c r="L25" s="321">
        <v>0</v>
      </c>
      <c r="M25" s="321">
        <v>0</v>
      </c>
      <c r="N25" s="321">
        <v>0</v>
      </c>
      <c r="O25" s="321">
        <v>0</v>
      </c>
      <c r="P25" s="279" t="str">
        <f>IF(L25=0,"nm",IF(O25=0,"nm",(O25/L25)^(1/3)-1))</f>
        <v>nm</v>
      </c>
      <c r="S25" s="88"/>
      <c r="T25" s="42"/>
      <c r="U25" s="42"/>
      <c r="V25" s="147" t="s">
        <v>268</v>
      </c>
      <c r="W25" s="288">
        <f>D37/L9</f>
        <v>1.6471166786264777</v>
      </c>
      <c r="X25" s="288">
        <v>1</v>
      </c>
      <c r="Y25" s="42"/>
      <c r="Z25" s="42"/>
      <c r="AA25" s="42"/>
    </row>
    <row r="26" spans="2:27">
      <c r="B26" s="5" t="s">
        <v>581</v>
      </c>
      <c r="C26" s="544">
        <v>-1337</v>
      </c>
      <c r="D26" s="529">
        <v>-1867</v>
      </c>
      <c r="E26" s="529">
        <v>-679.36258485449912</v>
      </c>
      <c r="F26" s="529">
        <v>-735.58584499092865</v>
      </c>
      <c r="G26" s="529">
        <v>-256.07705788700065</v>
      </c>
      <c r="H26" s="279">
        <f t="shared" si="3"/>
        <v>-0.48428616241598488</v>
      </c>
      <c r="I26" s="249"/>
      <c r="J26" s="249" t="s">
        <v>11</v>
      </c>
      <c r="K26" s="249"/>
      <c r="L26" s="281">
        <f>D11+L25</f>
        <v>8600.6393182741722</v>
      </c>
      <c r="M26" s="281">
        <f>E11+M25</f>
        <v>8575.7349999999988</v>
      </c>
      <c r="N26" s="281">
        <f>F11+N25</f>
        <v>8575.7349999999988</v>
      </c>
      <c r="O26" s="281">
        <f>G11+O25</f>
        <v>8575.7349999999988</v>
      </c>
      <c r="P26" s="279">
        <f>IF(L26=0,"nm",IF(O26=0,"nm",(O26/L26)^(1/3)-1))</f>
        <v>-9.6614503644754102E-4</v>
      </c>
      <c r="Q26" s="5"/>
      <c r="S26" s="88"/>
      <c r="T26" s="42"/>
      <c r="U26" s="42"/>
      <c r="V26" s="147" t="s">
        <v>180</v>
      </c>
      <c r="W26" s="288">
        <f t="shared" ref="W26:W33" si="5">D38/L10</f>
        <v>1.4303025543234726</v>
      </c>
      <c r="X26" s="288">
        <v>1</v>
      </c>
      <c r="Y26" s="42"/>
      <c r="Z26" s="42"/>
      <c r="AA26" s="42"/>
    </row>
    <row r="27" spans="2:27">
      <c r="B27" s="5" t="s">
        <v>582</v>
      </c>
      <c r="C27" s="545">
        <v>12187</v>
      </c>
      <c r="D27" s="529">
        <v>14340</v>
      </c>
      <c r="E27" s="529">
        <v>14993.079765747409</v>
      </c>
      <c r="F27" s="529">
        <v>15513.727794133663</v>
      </c>
      <c r="G27" s="529">
        <v>15710.939588979678</v>
      </c>
      <c r="H27" s="279">
        <f t="shared" si="3"/>
        <v>3.090268112846406E-2</v>
      </c>
      <c r="I27" s="249"/>
      <c r="J27" s="248"/>
      <c r="K27" s="248"/>
      <c r="L27" s="248"/>
      <c r="M27" s="248"/>
      <c r="N27" s="248"/>
      <c r="O27" s="248"/>
      <c r="Q27" s="41"/>
      <c r="S27" s="88"/>
      <c r="T27" s="42"/>
      <c r="U27" s="42"/>
      <c r="V27" s="147" t="s">
        <v>181</v>
      </c>
      <c r="W27" s="288">
        <f t="shared" si="5"/>
        <v>-1.4969825792274625</v>
      </c>
      <c r="X27" s="288">
        <v>1</v>
      </c>
      <c r="Y27" s="42"/>
      <c r="Z27" s="42"/>
      <c r="AA27" s="42"/>
    </row>
    <row r="28" spans="2:27" ht="12.6" thickBot="1">
      <c r="B28" s="5" t="s">
        <v>587</v>
      </c>
      <c r="C28" s="544">
        <v>11850</v>
      </c>
      <c r="D28" s="529">
        <v>13933</v>
      </c>
      <c r="E28" s="529">
        <v>14608.203974431695</v>
      </c>
      <c r="F28" s="529">
        <v>15151.148104150579</v>
      </c>
      <c r="G28" s="529">
        <v>15366.314983067379</v>
      </c>
      <c r="H28" s="279">
        <f t="shared" si="3"/>
        <v>3.3177717934998796E-2</v>
      </c>
      <c r="I28" s="248"/>
      <c r="J28" s="306" t="s">
        <v>1352</v>
      </c>
      <c r="K28" s="306"/>
      <c r="L28" s="306"/>
      <c r="M28" s="306"/>
      <c r="N28" s="266"/>
      <c r="O28" s="266"/>
      <c r="P28" s="266"/>
      <c r="Q28" s="5"/>
      <c r="S28" s="88"/>
      <c r="T28" s="42"/>
      <c r="U28" s="42"/>
      <c r="V28" s="147" t="s">
        <v>461</v>
      </c>
      <c r="W28" s="288">
        <f t="shared" si="5"/>
        <v>-0.53749764099710451</v>
      </c>
      <c r="X28" s="288">
        <v>1</v>
      </c>
      <c r="Y28" s="42"/>
      <c r="Z28" s="42"/>
      <c r="AA28" s="42"/>
    </row>
    <row r="29" spans="2:27" ht="12.6" thickTop="1">
      <c r="B29" s="5" t="s">
        <v>583</v>
      </c>
      <c r="C29" s="544">
        <v>-1115</v>
      </c>
      <c r="D29" s="529">
        <v>-1767</v>
      </c>
      <c r="E29" s="529">
        <v>-741.57660048455762</v>
      </c>
      <c r="F29" s="529">
        <v>-609.83243371677713</v>
      </c>
      <c r="G29" s="529">
        <v>-269.03213112914437</v>
      </c>
      <c r="H29" s="279">
        <f t="shared" si="3"/>
        <v>-0.46602302081487634</v>
      </c>
      <c r="I29" s="252"/>
      <c r="J29" s="249"/>
      <c r="K29" s="249"/>
      <c r="L29" s="249"/>
      <c r="M29" s="249"/>
      <c r="N29" s="249"/>
      <c r="O29" s="251"/>
      <c r="Q29" s="5"/>
      <c r="S29" s="88"/>
      <c r="T29" s="42"/>
      <c r="U29" s="42"/>
      <c r="V29" s="147" t="s">
        <v>525</v>
      </c>
      <c r="W29" s="288">
        <f t="shared" si="5"/>
        <v>1.1314472328349434</v>
      </c>
      <c r="X29" s="288">
        <v>1</v>
      </c>
      <c r="Y29" s="42"/>
      <c r="Z29" s="42"/>
      <c r="AA29" s="42"/>
    </row>
    <row r="30" spans="2:27">
      <c r="B30" s="5" t="s">
        <v>584</v>
      </c>
      <c r="C30" s="545">
        <v>441</v>
      </c>
      <c r="D30" s="529">
        <v>29</v>
      </c>
      <c r="E30" s="529">
        <v>-66.372626052862529</v>
      </c>
      <c r="F30" s="529">
        <v>-66.88830399789299</v>
      </c>
      <c r="G30" s="529">
        <v>-53.865252212344274</v>
      </c>
      <c r="H30" s="279">
        <f t="shared" si="3"/>
        <v>-2.229240611320896</v>
      </c>
      <c r="I30" s="254"/>
      <c r="J30" s="248"/>
      <c r="K30" s="248"/>
      <c r="L30" s="248"/>
      <c r="M30" s="248"/>
      <c r="N30" s="248"/>
      <c r="O30" s="5"/>
      <c r="Q30" s="5"/>
      <c r="S30" s="88"/>
      <c r="T30" s="42"/>
      <c r="U30" s="42"/>
      <c r="V30" s="147" t="s">
        <v>588</v>
      </c>
      <c r="W30" s="288">
        <f t="shared" si="5"/>
        <v>0.396731793778341</v>
      </c>
      <c r="X30" s="288">
        <v>1</v>
      </c>
      <c r="Y30" s="42"/>
      <c r="Z30" s="42"/>
      <c r="AA30" s="42"/>
    </row>
    <row r="31" spans="2:27">
      <c r="B31" s="5" t="s">
        <v>585</v>
      </c>
      <c r="C31" s="545">
        <v>0</v>
      </c>
      <c r="D31" s="529">
        <v>0</v>
      </c>
      <c r="E31" s="529">
        <v>0</v>
      </c>
      <c r="F31" s="529">
        <v>0</v>
      </c>
      <c r="G31" s="529">
        <v>0</v>
      </c>
      <c r="H31" s="279" t="str">
        <f t="shared" si="3"/>
        <v>nm</v>
      </c>
      <c r="I31" s="254"/>
      <c r="J31" s="252"/>
      <c r="K31" s="252"/>
      <c r="L31" s="252"/>
      <c r="M31" s="252"/>
      <c r="N31" s="252"/>
      <c r="O31" s="5"/>
      <c r="Q31" s="5"/>
      <c r="S31" s="88"/>
      <c r="T31" s="42"/>
      <c r="U31" s="42"/>
      <c r="V31" s="147" t="s">
        <v>470</v>
      </c>
      <c r="W31" s="288">
        <f t="shared" si="5"/>
        <v>-0.86227122615067864</v>
      </c>
      <c r="X31" s="288">
        <v>1</v>
      </c>
      <c r="Y31" s="42"/>
      <c r="Z31" s="42"/>
      <c r="AA31" s="42"/>
    </row>
    <row r="32" spans="2:27">
      <c r="B32" s="5" t="s">
        <v>601</v>
      </c>
      <c r="C32" s="546">
        <v>0</v>
      </c>
      <c r="D32" s="529">
        <v>0</v>
      </c>
      <c r="E32" s="529">
        <v>0</v>
      </c>
      <c r="F32" s="529">
        <v>0</v>
      </c>
      <c r="G32" s="529">
        <v>0</v>
      </c>
      <c r="H32" s="279" t="str">
        <f t="shared" si="3"/>
        <v>nm</v>
      </c>
      <c r="I32" s="254"/>
      <c r="J32" s="254"/>
      <c r="K32" s="254"/>
      <c r="L32" s="254"/>
      <c r="M32" s="254"/>
      <c r="N32" s="254"/>
      <c r="O32" s="251"/>
      <c r="Q32" s="5"/>
      <c r="S32" s="88"/>
      <c r="T32" s="42"/>
      <c r="U32" s="42"/>
      <c r="V32" s="147" t="s">
        <v>528</v>
      </c>
      <c r="W32" s="288">
        <f t="shared" si="5"/>
        <v>25.589482916652585</v>
      </c>
      <c r="X32" s="288">
        <v>1</v>
      </c>
      <c r="Y32" s="42"/>
      <c r="Z32" s="42"/>
      <c r="AA32" s="42"/>
    </row>
    <row r="33" spans="2:27">
      <c r="B33" s="5" t="s">
        <v>5</v>
      </c>
      <c r="C33" s="545">
        <v>-492</v>
      </c>
      <c r="D33" s="529">
        <v>-653</v>
      </c>
      <c r="E33" s="529">
        <v>-184.94083333333333</v>
      </c>
      <c r="F33" s="529">
        <v>-184.94083333333333</v>
      </c>
      <c r="G33" s="529">
        <v>-184.94083333333333</v>
      </c>
      <c r="H33" s="279">
        <f t="shared" si="3"/>
        <v>-0.34329063491305001</v>
      </c>
      <c r="I33" s="5"/>
      <c r="J33" s="254"/>
      <c r="K33" s="254"/>
      <c r="L33" s="254"/>
      <c r="M33" s="254"/>
      <c r="N33" s="254"/>
      <c r="O33" s="251"/>
      <c r="Q33" s="5"/>
      <c r="S33" s="88"/>
      <c r="T33" s="42"/>
      <c r="U33" s="42"/>
      <c r="V33" s="147" t="s">
        <v>575</v>
      </c>
      <c r="W33" s="288">
        <f t="shared" si="5"/>
        <v>0</v>
      </c>
      <c r="X33" s="288">
        <v>1</v>
      </c>
      <c r="Y33" s="42"/>
      <c r="Z33" s="42"/>
      <c r="AA33" s="42"/>
    </row>
    <row r="34" spans="2:27">
      <c r="H34" s="277"/>
      <c r="I34" s="49"/>
      <c r="J34" s="254"/>
      <c r="K34" s="254"/>
      <c r="L34" s="254"/>
      <c r="M34" s="254"/>
      <c r="N34" s="254"/>
      <c r="O34" s="251"/>
      <c r="Q34" s="5"/>
      <c r="S34" s="88"/>
      <c r="T34" s="42"/>
      <c r="U34" s="42"/>
      <c r="V34" s="147" t="s">
        <v>576</v>
      </c>
      <c r="W34" s="288">
        <f>D47/L19</f>
        <v>-1.1597279019319309</v>
      </c>
      <c r="X34" s="288">
        <v>1</v>
      </c>
      <c r="Y34" s="288"/>
      <c r="Z34" s="288"/>
      <c r="AA34" s="42"/>
    </row>
    <row r="35" spans="2:27" ht="12.6" thickBot="1">
      <c r="B35" s="306" t="s">
        <v>701</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288"/>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 t="shared" ref="D37:G41" si="7">D$18/D23</f>
        <v>3.3956945432575507</v>
      </c>
      <c r="E37" s="525">
        <f t="shared" si="7"/>
        <v>13.222537917277778</v>
      </c>
      <c r="F37" s="525">
        <f t="shared" si="7"/>
        <v>13.735253898413482</v>
      </c>
      <c r="G37" s="525">
        <f t="shared" si="7"/>
        <v>13.68869108374218</v>
      </c>
      <c r="H37" s="17">
        <f t="shared" ref="H37:H45" si="8">H23</f>
        <v>-0.37109837392480916</v>
      </c>
      <c r="I37" s="5"/>
      <c r="J37" s="259"/>
      <c r="K37" s="259"/>
      <c r="L37" s="259"/>
      <c r="M37" s="259"/>
      <c r="N37" s="259"/>
      <c r="O37" s="18"/>
      <c r="Q37" s="5"/>
      <c r="R37" s="5"/>
      <c r="S37" s="42"/>
      <c r="T37" s="42"/>
      <c r="U37" s="42"/>
      <c r="V37" s="42"/>
      <c r="W37" s="42"/>
      <c r="X37" s="42"/>
      <c r="Y37" s="42"/>
      <c r="Z37" s="42"/>
      <c r="AA37" s="42"/>
    </row>
    <row r="38" spans="2:27">
      <c r="B38" s="5" t="s">
        <v>180</v>
      </c>
      <c r="C38" s="247"/>
      <c r="D38" s="525">
        <f t="shared" si="7"/>
        <v>9.1813066846611076</v>
      </c>
      <c r="E38" s="525">
        <f t="shared" si="7"/>
        <v>34.911348953712604</v>
      </c>
      <c r="F38" s="525">
        <f t="shared" si="7"/>
        <v>35.354408822629196</v>
      </c>
      <c r="G38" s="525">
        <f t="shared" si="7"/>
        <v>35.378056501260261</v>
      </c>
      <c r="H38" s="17">
        <f t="shared" si="8"/>
        <v>-0.36156405961814375</v>
      </c>
      <c r="I38" s="259"/>
      <c r="J38" s="17"/>
      <c r="K38" s="17"/>
      <c r="L38" s="17"/>
      <c r="M38" s="17"/>
      <c r="N38" s="17"/>
      <c r="O38" s="5"/>
      <c r="Q38" s="5"/>
      <c r="R38" s="5"/>
      <c r="S38" s="42"/>
      <c r="T38" s="42"/>
      <c r="U38" s="42"/>
      <c r="V38" s="42"/>
      <c r="W38" s="42"/>
      <c r="X38" s="42"/>
      <c r="Y38" s="42"/>
      <c r="Z38" s="42"/>
      <c r="AA38" s="42"/>
    </row>
    <row r="39" spans="2:27">
      <c r="B39" s="5" t="s">
        <v>181</v>
      </c>
      <c r="C39" s="247"/>
      <c r="D39" s="525">
        <f t="shared" si="7"/>
        <v>-18.015349924607172</v>
      </c>
      <c r="E39" s="525">
        <f t="shared" si="7"/>
        <v>-35.136587430221631</v>
      </c>
      <c r="F39" s="525">
        <f t="shared" si="7"/>
        <v>-48.379433672648588</v>
      </c>
      <c r="G39" s="525">
        <f t="shared" si="7"/>
        <v>-296.48615097754958</v>
      </c>
      <c r="H39" s="17">
        <f t="shared" si="8"/>
        <v>-0.60650436754529502</v>
      </c>
      <c r="I39" s="17"/>
      <c r="J39" s="5"/>
      <c r="K39" s="5"/>
      <c r="L39" s="5"/>
      <c r="M39" s="5"/>
      <c r="N39" s="5"/>
      <c r="O39" s="5"/>
      <c r="Q39" s="5"/>
      <c r="R39" s="5"/>
      <c r="S39" s="42"/>
      <c r="T39" s="42"/>
      <c r="U39" s="42"/>
      <c r="V39" s="42"/>
      <c r="W39" s="42"/>
      <c r="X39" s="42"/>
      <c r="Y39" s="42"/>
      <c r="Z39" s="42"/>
      <c r="AA39" s="42"/>
    </row>
    <row r="40" spans="2:27">
      <c r="B40" s="5" t="s">
        <v>461</v>
      </c>
      <c r="C40" s="247"/>
      <c r="D40" s="525">
        <f t="shared" si="7"/>
        <v>-10.459903223499825</v>
      </c>
      <c r="E40" s="525">
        <f t="shared" si="7"/>
        <v>-27.968069766129933</v>
      </c>
      <c r="F40" s="525">
        <f t="shared" si="7"/>
        <v>-26.912248800927493</v>
      </c>
      <c r="G40" s="525">
        <f t="shared" si="7"/>
        <v>-76.468535319787691</v>
      </c>
      <c r="H40" s="17">
        <f t="shared" si="8"/>
        <v>-0.48428616241598488</v>
      </c>
      <c r="I40" s="5"/>
      <c r="J40" s="259"/>
      <c r="K40" s="259"/>
      <c r="L40" s="259"/>
      <c r="M40" s="259"/>
      <c r="N40" s="259"/>
      <c r="O40" s="18"/>
      <c r="Q40" s="5"/>
      <c r="R40" s="5"/>
      <c r="S40" s="42"/>
      <c r="T40" s="42"/>
      <c r="U40" s="42"/>
      <c r="V40" s="42"/>
      <c r="W40" s="288"/>
      <c r="X40" s="288"/>
      <c r="Y40" s="42"/>
      <c r="Z40" s="42"/>
      <c r="AA40" s="42"/>
    </row>
    <row r="41" spans="2:27">
      <c r="B41" s="5" t="s">
        <v>525</v>
      </c>
      <c r="C41" s="247"/>
      <c r="D41" s="525">
        <f t="shared" si="7"/>
        <v>1.3618297990428294</v>
      </c>
      <c r="E41" s="525">
        <f t="shared" si="7"/>
        <v>1.2672820038693244</v>
      </c>
      <c r="F41" s="525">
        <f t="shared" si="7"/>
        <v>1.2760485124872492</v>
      </c>
      <c r="G41" s="525">
        <f t="shared" si="7"/>
        <v>1.2463823334509516</v>
      </c>
      <c r="H41" s="17">
        <f t="shared" si="8"/>
        <v>3.090268112846406E-2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1.4016105159171874</v>
      </c>
      <c r="E42" s="525">
        <f>E18/E28</f>
        <v>1.3006705138403691</v>
      </c>
      <c r="F42" s="525">
        <f>F18/F28</f>
        <v>1.3065854243358144</v>
      </c>
      <c r="G42" s="525">
        <f>G18/G28</f>
        <v>1.2743352955602734</v>
      </c>
      <c r="H42" s="17">
        <f t="shared" si="8"/>
        <v>3.3177717934998796E-2</v>
      </c>
      <c r="I42" s="248"/>
      <c r="J42" s="5"/>
      <c r="K42" s="5"/>
      <c r="L42" s="5"/>
      <c r="M42" s="5"/>
      <c r="N42" s="5"/>
      <c r="O42" s="5"/>
      <c r="Q42" s="5"/>
      <c r="R42" s="5"/>
      <c r="S42" s="42"/>
      <c r="T42" s="42"/>
      <c r="U42" s="42"/>
      <c r="V42" s="42"/>
      <c r="W42" s="288"/>
      <c r="X42" s="288"/>
      <c r="Y42" s="288"/>
      <c r="Z42" s="288"/>
      <c r="AA42" s="42"/>
    </row>
    <row r="43" spans="2:27">
      <c r="B43" s="5" t="s">
        <v>470</v>
      </c>
      <c r="C43" s="247"/>
      <c r="D43" s="525">
        <f>L26/D29</f>
        <v>-4.8673680352428814</v>
      </c>
      <c r="E43" s="525">
        <f>M26/E29</f>
        <v>-11.564193091309086</v>
      </c>
      <c r="F43" s="525">
        <f>N26/F29</f>
        <v>-14.062444904304327</v>
      </c>
      <c r="G43" s="525">
        <f>O26/G29</f>
        <v>-31.876248253348447</v>
      </c>
      <c r="H43" s="17">
        <f t="shared" si="8"/>
        <v>-0.46602302081487634</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296.57376959566113</v>
      </c>
      <c r="E44" s="525">
        <f>E11/E30</f>
        <v>-129.20590173982038</v>
      </c>
      <c r="F44" s="525">
        <f>F11/F30</f>
        <v>-128.20978388493955</v>
      </c>
      <c r="G44" s="525">
        <f>G11/G30</f>
        <v>-159.20718176893084</v>
      </c>
      <c r="H44" s="17">
        <f t="shared" si="8"/>
        <v>-2.229240611320896</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-0.20544984327450802</v>
      </c>
      <c r="E47" s="248">
        <f>1/E43</f>
        <v>-8.6473824166040311E-2</v>
      </c>
      <c r="F47" s="248">
        <f>1/F43</f>
        <v>-7.1111389719572399E-2</v>
      </c>
      <c r="G47" s="248">
        <f>1/G43</f>
        <v>-3.1371320490796932E-2</v>
      </c>
      <c r="H47" s="17">
        <f>H29</f>
        <v>-0.46602302081487634</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41">
    <pageSetUpPr fitToPage="1"/>
  </sheetPr>
  <dimension ref="B1:Z451"/>
  <sheetViews>
    <sheetView showGridLines="0" zoomScale="80" zoomScaleNormal="80" workbookViewId="0"/>
  </sheetViews>
  <sheetFormatPr defaultColWidth="9.109375" defaultRowHeight="12"/>
  <cols>
    <col min="1" max="1" width="2.33203125" style="367" customWidth="1"/>
    <col min="2" max="4" width="10" style="367" customWidth="1"/>
    <col min="5" max="5" width="18.441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5" width="10" style="367" customWidth="1"/>
    <col min="26" max="16384" width="9.109375" style="367"/>
  </cols>
  <sheetData>
    <row r="1" spans="2:26" s="472" customFormat="1">
      <c r="E1" s="150"/>
    </row>
    <row r="2" spans="2:26" s="472" customFormat="1">
      <c r="E2" s="150"/>
    </row>
    <row r="3" spans="2:26" s="472" customFormat="1"/>
    <row r="4" spans="2:26" s="477" customFormat="1" ht="21">
      <c r="B4" s="129" t="s">
        <v>1454</v>
      </c>
      <c r="C4" s="129"/>
    </row>
    <row r="5" spans="2:26" s="472" customFormat="1">
      <c r="D5" s="132"/>
      <c r="E5" s="132"/>
      <c r="F5" s="132"/>
      <c r="G5" s="132"/>
      <c r="H5" s="132"/>
      <c r="I5" s="132"/>
      <c r="L5" s="473"/>
      <c r="M5" s="473"/>
      <c r="N5" s="473"/>
      <c r="O5" s="473"/>
      <c r="P5" s="473"/>
      <c r="Q5" s="473"/>
      <c r="R5" s="473"/>
      <c r="S5" s="473"/>
      <c r="T5" s="473"/>
      <c r="U5" s="473"/>
      <c r="V5" s="473"/>
      <c r="W5" s="473"/>
      <c r="X5" s="473"/>
    </row>
    <row r="6" spans="2:26">
      <c r="B6" s="456"/>
      <c r="C6" s="456"/>
      <c r="D6" s="456"/>
      <c r="E6" s="456"/>
      <c r="F6" s="456"/>
      <c r="G6" s="456"/>
      <c r="H6" s="456"/>
      <c r="I6" s="456"/>
      <c r="L6" s="440"/>
      <c r="M6" s="440"/>
      <c r="N6" s="440"/>
      <c r="O6" s="440"/>
      <c r="P6" s="440"/>
      <c r="Q6" s="440"/>
      <c r="R6" s="440"/>
      <c r="S6" s="440"/>
      <c r="T6" s="440"/>
      <c r="U6" s="440"/>
      <c r="V6" s="440"/>
      <c r="W6" s="440"/>
      <c r="X6" s="440"/>
    </row>
    <row r="7" spans="2:26" ht="12.6" thickBot="1">
      <c r="B7" s="306" t="s">
        <v>385</v>
      </c>
      <c r="C7" s="306"/>
      <c r="D7" s="368"/>
      <c r="E7" s="457"/>
      <c r="F7" s="457"/>
      <c r="G7" s="457"/>
      <c r="H7" s="457"/>
      <c r="I7" s="457"/>
      <c r="J7" s="368"/>
      <c r="K7" s="368"/>
      <c r="L7" s="368"/>
      <c r="M7" s="368"/>
      <c r="N7" s="368"/>
      <c r="O7" s="368"/>
      <c r="P7" s="368"/>
      <c r="Q7" s="368"/>
      <c r="R7" s="368"/>
      <c r="S7" s="368"/>
      <c r="T7" s="368"/>
      <c r="U7" s="368"/>
      <c r="V7" s="368"/>
      <c r="W7" s="368"/>
      <c r="X7" s="368"/>
    </row>
    <row r="8" spans="2:26" ht="12.6" thickTop="1">
      <c r="B8" s="345"/>
      <c r="C8" s="345"/>
      <c r="E8" s="345"/>
      <c r="F8" s="345"/>
      <c r="G8" s="345"/>
      <c r="H8" s="345"/>
      <c r="I8" s="345"/>
    </row>
    <row r="9" spans="2:26">
      <c r="D9" s="345"/>
      <c r="E9" s="382" t="s">
        <v>80</v>
      </c>
      <c r="F9" s="458" t="s">
        <v>81</v>
      </c>
      <c r="G9" s="458"/>
      <c r="H9" s="458" t="s">
        <v>82</v>
      </c>
      <c r="I9" s="458"/>
      <c r="J9" s="458" t="s">
        <v>83</v>
      </c>
      <c r="K9" s="458"/>
      <c r="L9" s="458" t="s">
        <v>84</v>
      </c>
      <c r="M9" s="458"/>
      <c r="N9" s="459" t="s">
        <v>127</v>
      </c>
      <c r="O9" s="459"/>
      <c r="P9" s="458" t="s">
        <v>128</v>
      </c>
      <c r="Q9" s="458"/>
      <c r="R9" s="458" t="s">
        <v>386</v>
      </c>
      <c r="S9" s="458"/>
      <c r="T9" s="458" t="s">
        <v>129</v>
      </c>
      <c r="U9" s="458"/>
      <c r="V9" s="458" t="s">
        <v>130</v>
      </c>
      <c r="W9" s="458"/>
      <c r="X9" s="458" t="s">
        <v>131</v>
      </c>
      <c r="Y9" s="458"/>
      <c r="Z9" s="458"/>
    </row>
    <row r="10" spans="2:26">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6">
      <c r="B11" s="370" t="s">
        <v>1065</v>
      </c>
      <c r="C11" s="370"/>
      <c r="E11" s="367" t="str">
        <f>"DCF, "&amp;TEXT(H11,"0.0")&amp;"x 22E FCF"</f>
        <v>DCF, 21.3x 22E FCF</v>
      </c>
      <c r="F11" s="484">
        <v>231.98463999999964</v>
      </c>
      <c r="G11" s="178" t="s">
        <v>133</v>
      </c>
      <c r="H11" s="487">
        <v>21.250158838037926</v>
      </c>
      <c r="I11" s="178" t="s">
        <v>134</v>
      </c>
      <c r="J11" s="216">
        <f>H11*F11</f>
        <v>4929.7104479850386</v>
      </c>
      <c r="K11" s="178" t="s">
        <v>135</v>
      </c>
      <c r="L11" s="484"/>
      <c r="M11" s="178" t="s">
        <v>134</v>
      </c>
      <c r="N11" s="178">
        <f t="shared" ref="N11:N18" si="0">J11-L11</f>
        <v>4929.7104479850386</v>
      </c>
      <c r="O11" s="178" t="s">
        <v>133</v>
      </c>
      <c r="P11" s="490">
        <v>1</v>
      </c>
      <c r="Q11" s="393" t="s">
        <v>134</v>
      </c>
      <c r="R11" s="216">
        <f t="shared" ref="R11:R18" si="1">P11*N11</f>
        <v>4929.7104479850386</v>
      </c>
      <c r="S11" s="216"/>
      <c r="T11" s="216">
        <f t="shared" ref="T11:T18" si="2">N11-R11</f>
        <v>0</v>
      </c>
      <c r="U11" s="216"/>
      <c r="V11" s="394">
        <f>N11/$J$32</f>
        <v>0.55010257115152095</v>
      </c>
      <c r="W11" s="370"/>
      <c r="X11" s="373">
        <f>$J$38*V11</f>
        <v>11.9866550600905</v>
      </c>
    </row>
    <row r="12" spans="2:26">
      <c r="B12" s="370" t="s">
        <v>1067</v>
      </c>
      <c r="C12" s="370"/>
      <c r="E12" s="367" t="str">
        <f>"DCF, "&amp;TEXT(H12,"0.0")&amp;"x 22E FCF"</f>
        <v>DCF, 17.9x 22E FCF</v>
      </c>
      <c r="F12" s="498">
        <v>304.63535999999999</v>
      </c>
      <c r="G12" s="178" t="s">
        <v>133</v>
      </c>
      <c r="H12" s="522">
        <v>17.899560805963457</v>
      </c>
      <c r="I12" s="178" t="s">
        <v>134</v>
      </c>
      <c r="J12" s="385">
        <f>H12*F12</f>
        <v>5452.8391499665677</v>
      </c>
      <c r="K12" s="178" t="s">
        <v>135</v>
      </c>
      <c r="L12" s="484"/>
      <c r="M12" s="178" t="s">
        <v>134</v>
      </c>
      <c r="N12" s="178">
        <f t="shared" ref="N12" si="3">J12-L12</f>
        <v>5452.8391499665677</v>
      </c>
      <c r="O12" s="178" t="s">
        <v>133</v>
      </c>
      <c r="P12" s="490">
        <v>1</v>
      </c>
      <c r="Q12" s="393" t="s">
        <v>134</v>
      </c>
      <c r="R12" s="216">
        <f t="shared" ref="R12" si="4">P12*N12</f>
        <v>5452.8391499665677</v>
      </c>
      <c r="S12" s="216"/>
      <c r="T12" s="216">
        <f t="shared" ref="T12" si="5">N12-R12</f>
        <v>0</v>
      </c>
      <c r="U12" s="216"/>
      <c r="V12" s="394">
        <f>N12/$J$32</f>
        <v>0.6084780978765888</v>
      </c>
      <c r="W12" s="370"/>
      <c r="X12" s="373">
        <f>$J$38*V12</f>
        <v>13.258649301709394</v>
      </c>
    </row>
    <row r="13" spans="2:26">
      <c r="B13" s="345" t="s">
        <v>1109</v>
      </c>
      <c r="D13" s="381"/>
      <c r="E13" s="381" t="str">
        <f>"DCF, "&amp;TEXT(H13,"0.0")&amp;"x 22E FCF"</f>
        <v>DCF, 19.3x 22E FCF</v>
      </c>
      <c r="F13" s="399">
        <f>F12+F11</f>
        <v>536.61999999999966</v>
      </c>
      <c r="G13" s="381"/>
      <c r="H13" s="376">
        <f>J13/F13</f>
        <v>19.348048149438359</v>
      </c>
      <c r="I13" s="381"/>
      <c r="J13" s="210">
        <f>J12+J11</f>
        <v>10382.549597951605</v>
      </c>
    </row>
    <row r="14" spans="2:26">
      <c r="B14" s="370"/>
      <c r="C14" s="370"/>
      <c r="D14" s="370"/>
      <c r="E14" s="370"/>
      <c r="F14" s="370"/>
      <c r="G14" s="370"/>
      <c r="H14" s="370"/>
      <c r="I14" s="370"/>
      <c r="J14" s="370"/>
      <c r="K14" s="370"/>
      <c r="L14" s="370"/>
      <c r="M14" s="370"/>
      <c r="N14" s="370"/>
      <c r="O14" s="370"/>
      <c r="P14" s="370"/>
      <c r="Q14" s="370"/>
      <c r="R14" s="370"/>
      <c r="S14" s="216"/>
      <c r="T14" s="216"/>
      <c r="U14" s="216"/>
      <c r="V14" s="394"/>
      <c r="W14" s="370"/>
      <c r="X14" s="373"/>
    </row>
    <row r="15" spans="2:26">
      <c r="B15" s="370" t="s">
        <v>1066</v>
      </c>
      <c r="C15" s="370"/>
      <c r="E15" s="367" t="s">
        <v>1138</v>
      </c>
      <c r="F15" s="370"/>
      <c r="G15" s="370"/>
      <c r="H15" s="370"/>
      <c r="I15" s="370"/>
      <c r="J15" s="484">
        <v>180</v>
      </c>
      <c r="K15" s="178" t="s">
        <v>135</v>
      </c>
      <c r="L15" s="484"/>
      <c r="M15" s="178" t="s">
        <v>134</v>
      </c>
      <c r="N15" s="178">
        <f t="shared" ref="N15" si="6">J15-L15</f>
        <v>180</v>
      </c>
      <c r="O15" s="178" t="s">
        <v>133</v>
      </c>
      <c r="P15" s="490">
        <v>0.86199999999999999</v>
      </c>
      <c r="Q15" s="393" t="s">
        <v>134</v>
      </c>
      <c r="R15" s="216">
        <f t="shared" ref="R15" si="7">P15*N15</f>
        <v>155.16</v>
      </c>
      <c r="S15" s="216"/>
      <c r="T15" s="216">
        <f t="shared" ref="T15" si="8">N15-R15</f>
        <v>24.840000000000003</v>
      </c>
      <c r="U15" s="216"/>
      <c r="V15" s="394">
        <f>N15/$J$32</f>
        <v>2.008606060174313E-2</v>
      </c>
      <c r="W15" s="370"/>
      <c r="X15" s="373">
        <f>$J$38*V15</f>
        <v>0.43767234071489586</v>
      </c>
    </row>
    <row r="16" spans="2:26">
      <c r="B16" s="370" t="s">
        <v>1110</v>
      </c>
      <c r="J16" s="216">
        <f>J15</f>
        <v>180</v>
      </c>
    </row>
    <row r="17" spans="2:24">
      <c r="B17" s="370"/>
      <c r="C17" s="370"/>
      <c r="D17" s="370"/>
      <c r="E17" s="370"/>
      <c r="F17" s="370"/>
      <c r="G17" s="370"/>
      <c r="H17" s="370"/>
      <c r="I17" s="370"/>
      <c r="J17" s="370"/>
      <c r="K17" s="370"/>
      <c r="L17" s="370"/>
      <c r="M17" s="370"/>
      <c r="N17" s="370"/>
      <c r="O17" s="370"/>
      <c r="P17" s="370"/>
      <c r="Q17" s="370"/>
      <c r="R17" s="370"/>
      <c r="S17" s="216"/>
      <c r="T17" s="216"/>
      <c r="U17" s="216"/>
      <c r="V17" s="394"/>
      <c r="W17" s="370"/>
      <c r="X17" s="373"/>
    </row>
    <row r="18" spans="2:24">
      <c r="B18" s="370" t="s">
        <v>1068</v>
      </c>
      <c r="E18" s="367" t="s">
        <v>1112</v>
      </c>
      <c r="F18" s="216"/>
      <c r="G18" s="178"/>
      <c r="H18" s="373"/>
      <c r="I18" s="178"/>
      <c r="J18" s="522">
        <v>0</v>
      </c>
      <c r="K18" s="178" t="s">
        <v>135</v>
      </c>
      <c r="L18" s="498"/>
      <c r="M18" s="178" t="s">
        <v>134</v>
      </c>
      <c r="N18" s="385">
        <f t="shared" si="0"/>
        <v>0</v>
      </c>
      <c r="O18" s="178" t="s">
        <v>133</v>
      </c>
      <c r="P18" s="490">
        <v>1</v>
      </c>
      <c r="Q18" s="393" t="s">
        <v>134</v>
      </c>
      <c r="R18" s="385">
        <f t="shared" si="1"/>
        <v>0</v>
      </c>
      <c r="S18" s="370"/>
      <c r="T18" s="385">
        <f t="shared" si="2"/>
        <v>0</v>
      </c>
      <c r="U18" s="370"/>
      <c r="V18" s="395">
        <f>N18/$J$32</f>
        <v>0</v>
      </c>
      <c r="W18" s="370"/>
      <c r="X18" s="396">
        <f>$J$38*V18</f>
        <v>0</v>
      </c>
    </row>
    <row r="19" spans="2:24">
      <c r="B19" s="345" t="s">
        <v>1111</v>
      </c>
      <c r="C19" s="370"/>
      <c r="F19" s="210"/>
      <c r="G19" s="196"/>
      <c r="H19" s="372"/>
      <c r="I19" s="376"/>
      <c r="J19" s="210">
        <f>J18+J16+J13</f>
        <v>10562.549597951605</v>
      </c>
      <c r="K19" s="375"/>
      <c r="L19" s="210">
        <f>-J24</f>
        <v>783.2</v>
      </c>
      <c r="M19" s="196"/>
      <c r="N19" s="210">
        <f>SUM(N14:N18)+N15</f>
        <v>360</v>
      </c>
      <c r="P19" s="377"/>
      <c r="Q19" s="378"/>
      <c r="R19" s="210">
        <f>SUM(R12:R18)+R15</f>
        <v>5763.1591499665674</v>
      </c>
      <c r="S19" s="370"/>
      <c r="T19" s="210">
        <f>SUM(T11:T18)</f>
        <v>24.840000000000003</v>
      </c>
      <c r="U19" s="370"/>
      <c r="V19" s="387">
        <f>N19/$J$32</f>
        <v>4.0172121203486261E-2</v>
      </c>
      <c r="W19" s="370"/>
      <c r="X19" s="372">
        <f>$J$38*V19</f>
        <v>0.87534468142979172</v>
      </c>
    </row>
    <row r="20" spans="2:24">
      <c r="B20" s="370"/>
      <c r="C20" s="370"/>
      <c r="F20" s="210"/>
      <c r="G20" s="196"/>
      <c r="H20" s="372"/>
      <c r="I20" s="376"/>
      <c r="J20" s="196"/>
      <c r="K20" s="375"/>
      <c r="L20" s="370"/>
      <c r="M20" s="196"/>
      <c r="N20" s="210"/>
      <c r="P20" s="377"/>
      <c r="Q20" s="378"/>
      <c r="R20" s="210"/>
      <c r="T20" s="196"/>
    </row>
    <row r="21" spans="2:24">
      <c r="C21" s="345"/>
      <c r="F21" s="210"/>
      <c r="G21" s="196"/>
      <c r="H21" s="372"/>
      <c r="I21" s="376"/>
      <c r="J21" s="375"/>
      <c r="K21" s="375"/>
      <c r="L21" s="196"/>
      <c r="M21" s="196"/>
      <c r="N21" s="370"/>
      <c r="P21" s="377"/>
      <c r="Q21" s="378"/>
      <c r="R21" s="370"/>
    </row>
    <row r="22" spans="2:24" ht="12.6" thickBot="1">
      <c r="D22" s="345"/>
      <c r="E22" s="381"/>
      <c r="F22" s="381"/>
      <c r="G22" s="381"/>
      <c r="H22" s="381"/>
      <c r="I22" s="381"/>
      <c r="J22" s="381"/>
      <c r="K22" s="381"/>
      <c r="R22" s="370"/>
      <c r="T22" s="460" t="s">
        <v>544</v>
      </c>
      <c r="U22" s="368"/>
      <c r="V22" s="368"/>
      <c r="W22" s="368"/>
      <c r="X22" s="368"/>
    </row>
    <row r="23" spans="2:24" ht="12.6" thickTop="1">
      <c r="B23" s="382" t="s">
        <v>141</v>
      </c>
      <c r="D23" s="345"/>
      <c r="E23" s="381"/>
      <c r="H23" s="381"/>
      <c r="I23" s="381"/>
      <c r="J23" s="374">
        <f>J19</f>
        <v>10562.549597951605</v>
      </c>
      <c r="T23" s="134"/>
    </row>
    <row r="24" spans="2:24">
      <c r="B24" s="383" t="s">
        <v>1367</v>
      </c>
      <c r="F24" s="381"/>
      <c r="G24" s="381"/>
      <c r="I24" s="381"/>
      <c r="J24" s="216">
        <f>-OTE!D12</f>
        <v>-783.2</v>
      </c>
    </row>
    <row r="25" spans="2:24">
      <c r="B25" s="384" t="s">
        <v>1139</v>
      </c>
      <c r="J25" s="484">
        <v>0</v>
      </c>
      <c r="K25" s="381"/>
    </row>
    <row r="26" spans="2:24">
      <c r="B26" s="384" t="s">
        <v>373</v>
      </c>
      <c r="J26" s="484">
        <v>-53.164888104760877</v>
      </c>
      <c r="K26" s="381"/>
    </row>
    <row r="27" spans="2:24">
      <c r="B27" s="384" t="s">
        <v>967</v>
      </c>
      <c r="J27" s="484">
        <v>0</v>
      </c>
      <c r="K27" s="381"/>
    </row>
    <row r="28" spans="2:24">
      <c r="B28" s="384" t="s">
        <v>952</v>
      </c>
      <c r="J28" s="484">
        <v>279.23950413754267</v>
      </c>
      <c r="K28" s="381"/>
    </row>
    <row r="29" spans="2:24">
      <c r="B29" s="384" t="s">
        <v>1113</v>
      </c>
      <c r="J29" s="484">
        <v>-1019.1455541618099</v>
      </c>
      <c r="K29" s="381"/>
    </row>
    <row r="30" spans="2:24">
      <c r="B30" s="384" t="s">
        <v>370</v>
      </c>
      <c r="D30" s="386"/>
      <c r="E30" s="381"/>
      <c r="F30" s="381"/>
      <c r="G30" s="381"/>
      <c r="H30" s="381"/>
      <c r="I30" s="381"/>
      <c r="J30" s="216">
        <f>-T19</f>
        <v>-24.840000000000003</v>
      </c>
      <c r="K30" s="381"/>
    </row>
    <row r="31" spans="2:24">
      <c r="B31" s="384" t="s">
        <v>372</v>
      </c>
      <c r="D31" s="345"/>
      <c r="E31" s="381"/>
      <c r="H31" s="381"/>
      <c r="I31" s="381"/>
      <c r="J31" s="385">
        <v>0</v>
      </c>
      <c r="K31" s="381"/>
    </row>
    <row r="32" spans="2:24">
      <c r="B32" s="382" t="s">
        <v>490</v>
      </c>
      <c r="D32" s="345"/>
      <c r="E32" s="381"/>
      <c r="F32" s="381"/>
      <c r="G32" s="381"/>
      <c r="H32" s="381"/>
      <c r="I32" s="381"/>
      <c r="J32" s="210">
        <f>SUM(J23:J31)</f>
        <v>8961.4386598225756</v>
      </c>
      <c r="K32" s="381"/>
    </row>
    <row r="33" spans="2:24" ht="12.6" thickBot="1">
      <c r="B33" s="384" t="s">
        <v>491</v>
      </c>
      <c r="D33" s="370"/>
      <c r="J33" s="216">
        <f>OTE!E10</f>
        <v>411.26656463140262</v>
      </c>
      <c r="K33" s="381"/>
    </row>
    <row r="34" spans="2:24" ht="12.6" thickBot="1">
      <c r="B34" s="382" t="s">
        <v>492</v>
      </c>
      <c r="D34" s="370"/>
      <c r="J34" s="461">
        <f>J32/J33</f>
        <v>21.789854635652812</v>
      </c>
      <c r="K34" s="381"/>
    </row>
    <row r="35" spans="2:24">
      <c r="B35" s="384" t="s">
        <v>1114</v>
      </c>
      <c r="D35" s="370"/>
      <c r="J35" s="485">
        <v>0</v>
      </c>
      <c r="K35" s="381"/>
    </row>
    <row r="36" spans="2:24">
      <c r="B36" s="384" t="s">
        <v>1483</v>
      </c>
      <c r="D36" s="370"/>
      <c r="J36" s="485">
        <v>0</v>
      </c>
    </row>
    <row r="37" spans="2:24" ht="12.6" thickBot="1">
      <c r="B37" s="384" t="s">
        <v>1140</v>
      </c>
      <c r="D37" s="370"/>
      <c r="J37" s="485"/>
      <c r="K37" s="381"/>
    </row>
    <row r="38" spans="2:24" ht="12.6" thickBot="1">
      <c r="B38" s="382" t="s">
        <v>61</v>
      </c>
      <c r="D38" s="370"/>
      <c r="J38" s="461">
        <f>J34+J35+J36+J37</f>
        <v>21.789854635652812</v>
      </c>
      <c r="K38" s="381"/>
    </row>
    <row r="39" spans="2:24">
      <c r="B39" s="384" t="s">
        <v>493</v>
      </c>
      <c r="D39" s="370"/>
      <c r="J39" s="373">
        <f>Prices!C12</f>
        <v>15.08</v>
      </c>
    </row>
    <row r="40" spans="2:24">
      <c r="B40" s="382" t="s">
        <v>96</v>
      </c>
      <c r="D40" s="345"/>
      <c r="E40" s="381"/>
      <c r="F40" s="381"/>
      <c r="G40" s="381"/>
      <c r="H40" s="381"/>
      <c r="I40" s="381"/>
      <c r="J40" s="387">
        <f>J38/J39-1</f>
        <v>0.44495057265602211</v>
      </c>
      <c r="K40" s="381"/>
    </row>
    <row r="41" spans="2:24">
      <c r="D41" s="376"/>
      <c r="E41" s="345"/>
      <c r="H41" s="381"/>
      <c r="I41" s="381"/>
      <c r="K41" s="381"/>
    </row>
    <row r="42" spans="2:24">
      <c r="D42" s="345"/>
      <c r="E42" s="345"/>
      <c r="F42" s="345"/>
      <c r="G42" s="345"/>
      <c r="H42" s="345"/>
      <c r="I42" s="345"/>
      <c r="K42" s="381"/>
    </row>
    <row r="43" spans="2:24">
      <c r="D43" s="345"/>
      <c r="E43" s="345"/>
      <c r="F43" s="345"/>
      <c r="G43" s="345"/>
      <c r="H43" s="345"/>
      <c r="I43" s="345"/>
    </row>
    <row r="44" spans="2:24" ht="12.6" thickBot="1">
      <c r="D44" s="345"/>
      <c r="E44" s="345"/>
      <c r="F44" s="345"/>
      <c r="G44" s="345"/>
      <c r="H44" s="345"/>
      <c r="I44" s="345"/>
      <c r="T44" s="460" t="s">
        <v>544</v>
      </c>
      <c r="U44" s="368"/>
      <c r="V44" s="368"/>
      <c r="W44" s="368"/>
      <c r="X44" s="368"/>
    </row>
    <row r="45" spans="2:24" ht="12.6" thickTop="1">
      <c r="D45" s="370"/>
      <c r="E45" s="370"/>
      <c r="F45" s="370"/>
      <c r="G45" s="370"/>
      <c r="H45" s="370"/>
      <c r="I45" s="370"/>
      <c r="T45" s="370" t="s">
        <v>550</v>
      </c>
      <c r="X45" s="394">
        <f>R12/R19</f>
        <v>0.9461545322756183</v>
      </c>
    </row>
    <row r="46" spans="2:24">
      <c r="D46" s="370"/>
      <c r="E46" s="370"/>
      <c r="F46" s="370"/>
      <c r="G46" s="370"/>
      <c r="H46" s="370"/>
      <c r="I46" s="370"/>
      <c r="T46" s="370" t="s">
        <v>132</v>
      </c>
      <c r="X46" s="394">
        <f>R11/R19</f>
        <v>0.85538336174763385</v>
      </c>
    </row>
    <row r="47" spans="2:24">
      <c r="D47" s="370"/>
      <c r="E47" s="370"/>
      <c r="F47" s="370"/>
      <c r="G47" s="370"/>
      <c r="H47" s="370"/>
      <c r="I47" s="370"/>
      <c r="T47" s="370" t="s">
        <v>140</v>
      </c>
      <c r="X47" s="394">
        <f>1-X46-X45</f>
        <v>-0.80153789402325215</v>
      </c>
    </row>
    <row r="48" spans="2:24">
      <c r="D48" s="345"/>
      <c r="E48" s="345"/>
      <c r="F48" s="345"/>
      <c r="G48" s="345"/>
      <c r="H48" s="345"/>
      <c r="I48" s="345"/>
    </row>
    <row r="49" spans="4:18">
      <c r="D49" s="345"/>
      <c r="E49" s="345"/>
      <c r="F49" s="345"/>
      <c r="G49" s="345"/>
      <c r="H49" s="345"/>
      <c r="I49" s="345"/>
    </row>
    <row r="50" spans="4:18">
      <c r="D50" s="345"/>
      <c r="E50" s="345"/>
      <c r="F50" s="345"/>
      <c r="G50" s="345"/>
      <c r="H50" s="345"/>
      <c r="I50" s="345"/>
    </row>
    <row r="51" spans="4:18">
      <c r="D51" s="345"/>
      <c r="E51" s="381"/>
      <c r="F51" s="381"/>
      <c r="G51" s="381"/>
      <c r="H51" s="381"/>
      <c r="I51" s="381"/>
    </row>
    <row r="52" spans="4:18">
      <c r="D52" s="345"/>
      <c r="E52" s="381"/>
      <c r="F52" s="381"/>
      <c r="G52" s="381"/>
      <c r="H52" s="381"/>
      <c r="I52" s="381"/>
    </row>
    <row r="53" spans="4:18">
      <c r="D53" s="370"/>
      <c r="E53" s="381"/>
      <c r="F53" s="381"/>
      <c r="G53" s="381"/>
      <c r="H53" s="381"/>
      <c r="I53" s="381"/>
    </row>
    <row r="54" spans="4:18">
      <c r="D54" s="370"/>
      <c r="E54" s="381"/>
      <c r="F54" s="381"/>
      <c r="G54" s="381"/>
      <c r="H54" s="381"/>
      <c r="I54" s="381"/>
      <c r="Q54" s="249"/>
      <c r="R54" s="249"/>
    </row>
    <row r="55" spans="4:18">
      <c r="D55" s="370"/>
      <c r="M55" s="249"/>
      <c r="N55" s="249"/>
      <c r="O55" s="249"/>
      <c r="Q55" s="388"/>
      <c r="R55" s="388"/>
    </row>
    <row r="56" spans="4:18">
      <c r="D56" s="345"/>
      <c r="E56" s="381"/>
      <c r="F56" s="381"/>
      <c r="G56" s="381"/>
      <c r="H56" s="381"/>
      <c r="I56" s="381"/>
      <c r="L56" s="249"/>
      <c r="N56" s="388"/>
      <c r="O56" s="388"/>
      <c r="P56" s="249"/>
    </row>
    <row r="57" spans="4:18">
      <c r="D57" s="370"/>
      <c r="E57" s="381"/>
      <c r="F57" s="381"/>
      <c r="G57" s="381"/>
      <c r="H57" s="381"/>
      <c r="I57" s="381"/>
      <c r="P57" s="388"/>
    </row>
    <row r="58" spans="4:18">
      <c r="D58" s="370"/>
      <c r="E58" s="381"/>
      <c r="F58" s="381"/>
      <c r="G58" s="381"/>
      <c r="H58" s="381"/>
      <c r="I58" s="381"/>
      <c r="Q58" s="249"/>
      <c r="R58" s="249"/>
    </row>
    <row r="59" spans="4:18">
      <c r="D59" s="370"/>
      <c r="M59" s="249"/>
      <c r="N59" s="249"/>
      <c r="O59" s="249"/>
      <c r="Q59" s="388"/>
      <c r="R59" s="388"/>
    </row>
    <row r="60" spans="4:18">
      <c r="D60" s="370"/>
      <c r="L60" s="249"/>
      <c r="N60" s="388"/>
      <c r="O60" s="388"/>
      <c r="P60" s="249"/>
    </row>
    <row r="61" spans="4:18">
      <c r="D61" s="370"/>
      <c r="J61" s="381"/>
      <c r="P61" s="388"/>
      <c r="Q61" s="249"/>
      <c r="R61" s="249"/>
    </row>
    <row r="62" spans="4:18">
      <c r="D62" s="370"/>
      <c r="J62" s="381"/>
      <c r="M62" s="249"/>
      <c r="N62" s="249"/>
      <c r="O62" s="249"/>
      <c r="Q62" s="388"/>
      <c r="R62" s="388"/>
    </row>
    <row r="63" spans="4:18">
      <c r="D63" s="370"/>
      <c r="K63" s="381"/>
      <c r="L63" s="249"/>
      <c r="N63" s="388"/>
      <c r="O63" s="388"/>
      <c r="P63" s="249"/>
    </row>
    <row r="64" spans="4:18">
      <c r="D64" s="370"/>
      <c r="J64" s="381"/>
      <c r="K64" s="381"/>
      <c r="P64" s="388"/>
      <c r="Q64" s="249"/>
      <c r="R64" s="249"/>
    </row>
    <row r="65" spans="4:24">
      <c r="D65" s="370"/>
      <c r="J65" s="381"/>
      <c r="M65" s="249"/>
      <c r="N65" s="249"/>
      <c r="O65" s="249"/>
      <c r="Q65" s="388"/>
      <c r="R65" s="388"/>
    </row>
    <row r="66" spans="4:24">
      <c r="D66" s="370"/>
      <c r="J66" s="381"/>
      <c r="K66" s="381"/>
      <c r="L66" s="249"/>
      <c r="N66" s="388"/>
      <c r="O66" s="388"/>
      <c r="P66" s="249"/>
    </row>
    <row r="67" spans="4:24">
      <c r="D67" s="370"/>
      <c r="K67" s="381"/>
      <c r="P67" s="388"/>
      <c r="Q67" s="249"/>
      <c r="R67" s="249"/>
      <c r="S67" s="249"/>
      <c r="T67" s="249"/>
      <c r="U67" s="249"/>
      <c r="V67" s="249"/>
      <c r="W67" s="249"/>
      <c r="X67" s="249"/>
    </row>
    <row r="68" spans="4:24">
      <c r="D68" s="345"/>
      <c r="E68" s="381"/>
      <c r="F68" s="381"/>
      <c r="G68" s="381"/>
      <c r="H68" s="381"/>
      <c r="I68" s="381"/>
      <c r="K68" s="381"/>
      <c r="M68" s="249"/>
      <c r="N68" s="249"/>
      <c r="O68" s="249"/>
      <c r="Q68" s="388"/>
      <c r="R68" s="388"/>
      <c r="S68" s="388"/>
      <c r="T68" s="388"/>
      <c r="U68" s="388"/>
      <c r="V68" s="388"/>
      <c r="W68" s="388"/>
      <c r="X68" s="388"/>
    </row>
    <row r="69" spans="4:24">
      <c r="D69" s="370"/>
      <c r="J69" s="381"/>
      <c r="L69" s="249"/>
      <c r="N69" s="388"/>
      <c r="O69" s="388"/>
      <c r="P69" s="249"/>
      <c r="Q69" s="389"/>
      <c r="R69" s="389"/>
    </row>
    <row r="70" spans="4:24">
      <c r="D70" s="370"/>
      <c r="J70" s="381"/>
      <c r="M70" s="389"/>
      <c r="N70" s="389"/>
      <c r="O70" s="389"/>
      <c r="P70" s="388"/>
      <c r="Q70" s="388"/>
      <c r="R70" s="388"/>
    </row>
    <row r="71" spans="4:24">
      <c r="D71" s="345"/>
      <c r="E71" s="381"/>
      <c r="F71" s="381"/>
      <c r="G71" s="381"/>
      <c r="H71" s="381"/>
      <c r="I71" s="381"/>
      <c r="K71" s="381"/>
      <c r="L71" s="389"/>
      <c r="N71" s="388"/>
      <c r="O71" s="388"/>
      <c r="P71" s="389"/>
      <c r="S71" s="249"/>
      <c r="T71" s="249"/>
      <c r="U71" s="249"/>
      <c r="V71" s="249"/>
      <c r="W71" s="249"/>
      <c r="X71" s="249"/>
    </row>
    <row r="72" spans="4:24">
      <c r="D72" s="370"/>
      <c r="K72" s="381"/>
      <c r="P72" s="388"/>
      <c r="Q72" s="249"/>
      <c r="R72" s="249"/>
      <c r="S72" s="388"/>
      <c r="T72" s="388"/>
      <c r="U72" s="388"/>
      <c r="V72" s="388"/>
      <c r="W72" s="388"/>
      <c r="X72" s="388"/>
    </row>
    <row r="73" spans="4:24">
      <c r="D73" s="345"/>
      <c r="E73" s="381"/>
      <c r="F73" s="381"/>
      <c r="G73" s="381"/>
      <c r="H73" s="381"/>
      <c r="I73" s="381"/>
      <c r="M73" s="249"/>
      <c r="N73" s="249"/>
      <c r="O73" s="249"/>
      <c r="Q73" s="390"/>
      <c r="R73" s="390"/>
    </row>
    <row r="74" spans="4:24">
      <c r="D74" s="370"/>
      <c r="E74" s="381"/>
      <c r="F74" s="381"/>
      <c r="G74" s="381"/>
      <c r="H74" s="381"/>
      <c r="I74" s="381"/>
      <c r="L74" s="249"/>
      <c r="N74" s="388"/>
      <c r="O74" s="388"/>
      <c r="P74" s="249"/>
      <c r="Q74" s="249"/>
      <c r="R74" s="249"/>
      <c r="S74" s="249"/>
      <c r="T74" s="249"/>
      <c r="U74" s="249"/>
      <c r="V74" s="249"/>
      <c r="W74" s="249"/>
      <c r="X74" s="249"/>
    </row>
    <row r="75" spans="4:24">
      <c r="D75" s="370"/>
      <c r="M75" s="249"/>
      <c r="N75" s="249"/>
      <c r="O75" s="249"/>
      <c r="P75" s="390"/>
      <c r="Q75" s="388"/>
      <c r="R75" s="388"/>
      <c r="S75" s="388"/>
      <c r="T75" s="388"/>
      <c r="U75" s="388"/>
      <c r="V75" s="388"/>
      <c r="W75" s="388"/>
      <c r="X75" s="388"/>
    </row>
    <row r="76" spans="4:24">
      <c r="D76" s="370"/>
      <c r="L76" s="249"/>
      <c r="N76" s="388"/>
      <c r="O76" s="388"/>
      <c r="P76" s="249"/>
      <c r="Q76" s="248"/>
      <c r="R76" s="248"/>
    </row>
    <row r="77" spans="4:24">
      <c r="D77" s="345"/>
      <c r="E77" s="381"/>
      <c r="F77" s="381"/>
      <c r="G77" s="381"/>
      <c r="H77" s="381"/>
      <c r="I77" s="381"/>
      <c r="M77" s="248"/>
      <c r="N77" s="248"/>
      <c r="O77" s="248"/>
      <c r="P77" s="388"/>
      <c r="S77" s="249"/>
      <c r="T77" s="249"/>
      <c r="U77" s="249"/>
      <c r="V77" s="249"/>
      <c r="W77" s="249"/>
      <c r="X77" s="249"/>
    </row>
    <row r="78" spans="4:24">
      <c r="D78" s="370"/>
      <c r="E78" s="381"/>
      <c r="F78" s="381"/>
      <c r="G78" s="381"/>
      <c r="H78" s="381"/>
      <c r="I78" s="381"/>
      <c r="L78" s="248"/>
      <c r="P78" s="248"/>
      <c r="Q78" s="247"/>
      <c r="R78" s="247"/>
      <c r="S78" s="388"/>
      <c r="T78" s="388"/>
      <c r="U78" s="388"/>
      <c r="V78" s="388"/>
      <c r="W78" s="388"/>
      <c r="X78" s="388"/>
    </row>
    <row r="79" spans="4:24">
      <c r="D79" s="370"/>
      <c r="M79" s="247"/>
      <c r="N79" s="247"/>
      <c r="O79" s="247"/>
      <c r="Q79" s="388"/>
      <c r="R79" s="388"/>
    </row>
    <row r="80" spans="4:24">
      <c r="D80" s="345"/>
      <c r="E80" s="381"/>
      <c r="F80" s="381"/>
      <c r="G80" s="381"/>
      <c r="H80" s="381"/>
      <c r="I80" s="381"/>
      <c r="L80" s="247"/>
      <c r="N80" s="388"/>
      <c r="O80" s="388"/>
      <c r="P80" s="247"/>
      <c r="S80" s="249"/>
      <c r="T80" s="249"/>
      <c r="U80" s="249"/>
      <c r="V80" s="249"/>
      <c r="W80" s="249"/>
      <c r="X80" s="249"/>
    </row>
    <row r="81" spans="4:24">
      <c r="D81" s="370"/>
      <c r="J81" s="381"/>
      <c r="P81" s="388"/>
      <c r="Q81" s="389"/>
      <c r="R81" s="389"/>
      <c r="S81" s="388"/>
      <c r="T81" s="388"/>
      <c r="U81" s="388"/>
      <c r="V81" s="388"/>
      <c r="W81" s="388"/>
      <c r="X81" s="388"/>
    </row>
    <row r="82" spans="4:24">
      <c r="D82" s="370"/>
      <c r="J82" s="381"/>
      <c r="M82" s="389"/>
      <c r="N82" s="389"/>
      <c r="O82" s="389"/>
      <c r="Q82" s="388"/>
      <c r="R82" s="388"/>
      <c r="S82" s="389"/>
      <c r="T82" s="389"/>
      <c r="U82" s="389"/>
      <c r="V82" s="389"/>
      <c r="W82" s="389"/>
      <c r="X82" s="389"/>
    </row>
    <row r="83" spans="4:24">
      <c r="D83" s="345"/>
      <c r="E83" s="381"/>
      <c r="F83" s="381"/>
      <c r="G83" s="381"/>
      <c r="H83" s="381"/>
      <c r="I83" s="381"/>
      <c r="K83" s="381"/>
      <c r="L83" s="389"/>
      <c r="N83" s="388"/>
      <c r="O83" s="388"/>
      <c r="P83" s="389"/>
      <c r="S83" s="388"/>
      <c r="T83" s="388"/>
      <c r="U83" s="388"/>
      <c r="V83" s="388"/>
      <c r="W83" s="388"/>
      <c r="X83" s="388"/>
    </row>
    <row r="84" spans="4:24">
      <c r="D84" s="370"/>
      <c r="K84" s="381"/>
      <c r="P84" s="388"/>
      <c r="Q84" s="391"/>
      <c r="R84" s="391"/>
    </row>
    <row r="85" spans="4:24">
      <c r="D85" s="370"/>
      <c r="J85" s="381"/>
      <c r="M85" s="391"/>
      <c r="N85" s="391"/>
      <c r="O85" s="391"/>
      <c r="Q85" s="388"/>
      <c r="R85" s="388"/>
      <c r="S85" s="249"/>
      <c r="T85" s="249"/>
      <c r="U85" s="249"/>
      <c r="V85" s="249"/>
      <c r="W85" s="249"/>
      <c r="X85" s="249"/>
    </row>
    <row r="86" spans="4:24">
      <c r="D86" s="370"/>
      <c r="J86" s="381"/>
      <c r="L86" s="391"/>
      <c r="N86" s="388"/>
      <c r="O86" s="388"/>
      <c r="P86" s="391"/>
      <c r="Q86" s="248"/>
      <c r="R86" s="248"/>
      <c r="S86" s="390"/>
      <c r="T86" s="390"/>
      <c r="U86" s="390"/>
      <c r="V86" s="390"/>
      <c r="W86" s="390"/>
      <c r="X86" s="390"/>
    </row>
    <row r="87" spans="4:24">
      <c r="D87" s="345"/>
      <c r="E87" s="381"/>
      <c r="F87" s="381"/>
      <c r="G87" s="381"/>
      <c r="H87" s="381"/>
      <c r="I87" s="381"/>
      <c r="K87" s="381"/>
      <c r="N87" s="248"/>
      <c r="O87" s="248"/>
      <c r="P87" s="388"/>
      <c r="S87" s="249"/>
      <c r="T87" s="249"/>
      <c r="U87" s="249"/>
      <c r="V87" s="249"/>
      <c r="W87" s="249"/>
      <c r="X87" s="249"/>
    </row>
    <row r="88" spans="4:24">
      <c r="D88" s="370"/>
      <c r="K88" s="381"/>
      <c r="P88" s="248"/>
      <c r="Q88" s="247"/>
      <c r="R88" s="247"/>
      <c r="S88" s="388"/>
      <c r="T88" s="388"/>
      <c r="U88" s="388"/>
      <c r="V88" s="388"/>
      <c r="W88" s="388"/>
      <c r="X88" s="388"/>
    </row>
    <row r="89" spans="4:24">
      <c r="D89" s="370"/>
      <c r="E89" s="345"/>
      <c r="F89" s="345"/>
      <c r="G89" s="345"/>
      <c r="H89" s="345"/>
      <c r="I89" s="345"/>
      <c r="J89" s="381"/>
      <c r="M89" s="247"/>
      <c r="N89" s="247"/>
      <c r="O89" s="247"/>
      <c r="Q89" s="388"/>
      <c r="R89" s="388"/>
      <c r="S89" s="248"/>
      <c r="T89" s="248"/>
      <c r="U89" s="248"/>
      <c r="V89" s="248"/>
      <c r="W89" s="248"/>
      <c r="X89" s="248"/>
    </row>
    <row r="90" spans="4:24">
      <c r="D90" s="370"/>
      <c r="E90" s="345"/>
      <c r="F90" s="345"/>
      <c r="G90" s="345"/>
      <c r="H90" s="345"/>
      <c r="I90" s="345"/>
      <c r="L90" s="247"/>
      <c r="N90" s="388"/>
      <c r="O90" s="388"/>
      <c r="P90" s="247"/>
      <c r="Q90" s="274"/>
      <c r="R90" s="274"/>
    </row>
    <row r="91" spans="4:24">
      <c r="D91" s="370"/>
      <c r="K91" s="381"/>
      <c r="M91" s="274"/>
      <c r="N91" s="274"/>
      <c r="O91" s="274"/>
      <c r="P91" s="388"/>
      <c r="S91" s="247"/>
      <c r="T91" s="247"/>
      <c r="U91" s="247"/>
      <c r="V91" s="247"/>
      <c r="W91" s="247"/>
      <c r="X91" s="247"/>
    </row>
    <row r="92" spans="4:24">
      <c r="D92" s="370"/>
      <c r="L92" s="274"/>
      <c r="P92" s="274"/>
      <c r="Q92" s="389"/>
      <c r="R92" s="389"/>
      <c r="S92" s="388"/>
      <c r="T92" s="388"/>
      <c r="U92" s="388"/>
      <c r="V92" s="388"/>
      <c r="W92" s="388"/>
      <c r="X92" s="388"/>
    </row>
    <row r="93" spans="4:24">
      <c r="D93" s="370"/>
      <c r="M93" s="389"/>
      <c r="N93" s="389"/>
      <c r="O93" s="389"/>
      <c r="Q93" s="388"/>
      <c r="R93" s="388"/>
    </row>
    <row r="94" spans="4:24">
      <c r="D94" s="345"/>
      <c r="E94" s="381"/>
      <c r="F94" s="381"/>
      <c r="G94" s="381"/>
      <c r="H94" s="381"/>
      <c r="I94" s="381"/>
      <c r="L94" s="389"/>
      <c r="N94" s="388"/>
      <c r="O94" s="388"/>
      <c r="P94" s="389"/>
      <c r="S94" s="389"/>
      <c r="T94" s="389"/>
      <c r="U94" s="389"/>
      <c r="V94" s="389"/>
      <c r="W94" s="389"/>
      <c r="X94" s="389"/>
    </row>
    <row r="95" spans="4:24">
      <c r="D95" s="345"/>
      <c r="E95" s="381"/>
      <c r="F95" s="381"/>
      <c r="G95" s="381"/>
      <c r="H95" s="381"/>
      <c r="I95" s="381"/>
      <c r="P95" s="388"/>
      <c r="S95" s="388"/>
      <c r="T95" s="388"/>
      <c r="U95" s="388"/>
      <c r="V95" s="388"/>
      <c r="W95" s="388"/>
      <c r="X95" s="388"/>
    </row>
    <row r="96" spans="4:24">
      <c r="D96" s="370"/>
      <c r="E96" s="381"/>
      <c r="F96" s="381"/>
      <c r="G96" s="381"/>
      <c r="H96" s="381"/>
      <c r="I96" s="381"/>
      <c r="Q96" s="249"/>
      <c r="R96" s="249"/>
    </row>
    <row r="97" spans="4:24">
      <c r="D97" s="370"/>
      <c r="E97" s="381"/>
      <c r="F97" s="381"/>
      <c r="G97" s="381"/>
      <c r="H97" s="381"/>
      <c r="I97" s="381"/>
      <c r="M97" s="249"/>
      <c r="N97" s="249"/>
      <c r="O97" s="249"/>
      <c r="Q97" s="388"/>
      <c r="R97" s="388"/>
      <c r="S97" s="391"/>
      <c r="T97" s="391"/>
      <c r="U97" s="391"/>
      <c r="V97" s="391"/>
      <c r="W97" s="391"/>
      <c r="X97" s="391"/>
    </row>
    <row r="98" spans="4:24">
      <c r="D98" s="370"/>
      <c r="L98" s="249"/>
      <c r="N98" s="388"/>
      <c r="O98" s="388"/>
      <c r="P98" s="249"/>
      <c r="S98" s="388"/>
      <c r="T98" s="388"/>
      <c r="U98" s="388"/>
      <c r="V98" s="388"/>
      <c r="W98" s="388"/>
      <c r="X98" s="388"/>
    </row>
    <row r="99" spans="4:24">
      <c r="D99" s="345"/>
      <c r="E99" s="381"/>
      <c r="F99" s="381"/>
      <c r="G99" s="381"/>
      <c r="H99" s="381"/>
      <c r="I99" s="381"/>
      <c r="P99" s="388"/>
      <c r="Q99" s="249"/>
      <c r="R99" s="249"/>
      <c r="S99" s="248"/>
      <c r="T99" s="248"/>
      <c r="U99" s="248"/>
      <c r="V99" s="248"/>
      <c r="W99" s="248"/>
      <c r="X99" s="248"/>
    </row>
    <row r="100" spans="4:24">
      <c r="D100" s="370"/>
      <c r="E100" s="381"/>
      <c r="F100" s="381"/>
      <c r="G100" s="381"/>
      <c r="H100" s="381"/>
      <c r="I100" s="381"/>
      <c r="M100" s="249"/>
      <c r="N100" s="249"/>
      <c r="O100" s="249"/>
      <c r="Q100" s="390"/>
      <c r="R100" s="390"/>
    </row>
    <row r="101" spans="4:24">
      <c r="D101" s="370"/>
      <c r="E101" s="381"/>
      <c r="F101" s="381"/>
      <c r="G101" s="381"/>
      <c r="H101" s="381"/>
      <c r="I101" s="381"/>
      <c r="L101" s="249"/>
      <c r="N101" s="388"/>
      <c r="O101" s="388"/>
      <c r="P101" s="249"/>
      <c r="S101" s="247"/>
      <c r="T101" s="247"/>
      <c r="U101" s="247"/>
      <c r="V101" s="247"/>
      <c r="W101" s="247"/>
      <c r="X101" s="247"/>
    </row>
    <row r="102" spans="4:24">
      <c r="D102" s="370"/>
      <c r="P102" s="390"/>
      <c r="Q102" s="389"/>
      <c r="R102" s="389"/>
      <c r="S102" s="388"/>
      <c r="T102" s="388"/>
      <c r="U102" s="388"/>
      <c r="V102" s="388"/>
      <c r="W102" s="388"/>
      <c r="X102" s="388"/>
    </row>
    <row r="103" spans="4:24">
      <c r="D103" s="370"/>
      <c r="M103" s="389"/>
      <c r="N103" s="389"/>
      <c r="O103" s="389"/>
      <c r="Q103" s="392"/>
      <c r="R103" s="392"/>
      <c r="S103" s="274"/>
      <c r="T103" s="274"/>
      <c r="U103" s="274"/>
      <c r="V103" s="274"/>
      <c r="W103" s="274"/>
      <c r="X103" s="274"/>
    </row>
    <row r="104" spans="4:24">
      <c r="D104" s="370"/>
      <c r="J104" s="381"/>
      <c r="L104" s="389"/>
      <c r="N104" s="392"/>
      <c r="O104" s="392"/>
      <c r="P104" s="389"/>
      <c r="Q104" s="392"/>
      <c r="R104" s="392"/>
    </row>
    <row r="105" spans="4:24">
      <c r="D105" s="370"/>
      <c r="J105" s="381"/>
      <c r="M105" s="392"/>
      <c r="N105" s="392"/>
      <c r="O105" s="392"/>
      <c r="P105" s="392"/>
      <c r="S105" s="389"/>
      <c r="T105" s="389"/>
      <c r="U105" s="389"/>
      <c r="V105" s="389"/>
      <c r="W105" s="389"/>
      <c r="X105" s="389"/>
    </row>
    <row r="106" spans="4:24">
      <c r="D106" s="370"/>
      <c r="K106" s="381"/>
      <c r="L106" s="392"/>
      <c r="P106" s="392"/>
      <c r="Q106" s="388"/>
      <c r="R106" s="388"/>
      <c r="S106" s="388"/>
      <c r="T106" s="388"/>
      <c r="U106" s="388"/>
      <c r="V106" s="388"/>
      <c r="W106" s="388"/>
      <c r="X106" s="388"/>
    </row>
    <row r="107" spans="4:24">
      <c r="D107" s="370"/>
      <c r="J107" s="381"/>
      <c r="K107" s="381"/>
      <c r="M107" s="388"/>
      <c r="N107" s="388"/>
      <c r="O107" s="388"/>
      <c r="Q107" s="389"/>
      <c r="R107" s="389"/>
    </row>
    <row r="108" spans="4:24">
      <c r="D108" s="370"/>
      <c r="J108" s="381"/>
      <c r="L108" s="388"/>
      <c r="M108" s="389"/>
      <c r="N108" s="389"/>
      <c r="O108" s="389"/>
      <c r="P108" s="388"/>
      <c r="R108" s="392"/>
    </row>
    <row r="109" spans="4:24">
      <c r="D109" s="370"/>
      <c r="J109" s="381"/>
      <c r="K109" s="381"/>
      <c r="L109" s="389"/>
      <c r="P109" s="389"/>
      <c r="S109" s="249"/>
      <c r="T109" s="249"/>
      <c r="U109" s="249"/>
      <c r="V109" s="249"/>
      <c r="W109" s="249"/>
      <c r="X109" s="249"/>
    </row>
    <row r="110" spans="4:24">
      <c r="D110" s="370"/>
      <c r="K110" s="381"/>
      <c r="Q110" s="389"/>
      <c r="R110" s="389"/>
      <c r="S110" s="388"/>
      <c r="T110" s="388"/>
      <c r="U110" s="388"/>
      <c r="V110" s="388"/>
      <c r="W110" s="388"/>
      <c r="X110" s="388"/>
    </row>
    <row r="111" spans="4:24">
      <c r="D111" s="345"/>
      <c r="E111" s="381"/>
      <c r="F111" s="381"/>
      <c r="G111" s="381"/>
      <c r="H111" s="381"/>
      <c r="I111" s="381"/>
      <c r="K111" s="381"/>
      <c r="M111" s="389"/>
      <c r="N111" s="389"/>
      <c r="O111" s="389"/>
      <c r="Q111" s="392"/>
      <c r="R111" s="392"/>
    </row>
    <row r="112" spans="4:24">
      <c r="D112" s="370"/>
      <c r="J112" s="381"/>
      <c r="L112" s="389"/>
      <c r="N112" s="392"/>
      <c r="O112" s="392"/>
      <c r="P112" s="389"/>
      <c r="S112" s="249"/>
      <c r="T112" s="249"/>
      <c r="U112" s="249"/>
      <c r="V112" s="249"/>
      <c r="W112" s="249"/>
      <c r="X112" s="249"/>
    </row>
    <row r="113" spans="4:24">
      <c r="D113" s="370"/>
      <c r="J113" s="381"/>
      <c r="P113" s="392"/>
      <c r="S113" s="390"/>
      <c r="T113" s="390"/>
      <c r="U113" s="390"/>
      <c r="V113" s="390"/>
      <c r="W113" s="390"/>
      <c r="X113" s="390"/>
    </row>
    <row r="114" spans="4:24">
      <c r="D114" s="345"/>
      <c r="E114" s="381"/>
      <c r="F114" s="381"/>
      <c r="G114" s="381"/>
      <c r="H114" s="381"/>
      <c r="I114" s="381"/>
      <c r="K114" s="381"/>
    </row>
    <row r="115" spans="4:24">
      <c r="D115" s="370"/>
      <c r="K115" s="381"/>
      <c r="S115" s="389"/>
      <c r="T115" s="389"/>
      <c r="U115" s="389"/>
      <c r="V115" s="389"/>
      <c r="W115" s="389"/>
      <c r="X115" s="389"/>
    </row>
    <row r="116" spans="4:24">
      <c r="D116" s="345"/>
      <c r="E116" s="381"/>
      <c r="F116" s="381"/>
      <c r="G116" s="381"/>
      <c r="H116" s="381"/>
      <c r="I116" s="381"/>
      <c r="S116" s="392"/>
      <c r="T116" s="392"/>
      <c r="U116" s="392"/>
      <c r="V116" s="392"/>
      <c r="W116" s="392"/>
      <c r="X116" s="392"/>
    </row>
    <row r="117" spans="4:24">
      <c r="D117" s="370"/>
      <c r="E117" s="381"/>
      <c r="F117" s="381"/>
      <c r="G117" s="381"/>
      <c r="H117" s="381"/>
      <c r="I117" s="381"/>
      <c r="S117" s="392"/>
      <c r="T117" s="392"/>
      <c r="U117" s="392"/>
      <c r="V117" s="392"/>
      <c r="W117" s="392"/>
      <c r="X117" s="392"/>
    </row>
    <row r="118" spans="4:24">
      <c r="D118" s="370"/>
    </row>
    <row r="119" spans="4:24">
      <c r="D119" s="370"/>
      <c r="S119" s="388"/>
      <c r="T119" s="388"/>
      <c r="U119" s="388"/>
      <c r="V119" s="388"/>
      <c r="W119" s="388"/>
      <c r="X119" s="388"/>
    </row>
    <row r="120" spans="4:24">
      <c r="D120" s="345"/>
      <c r="E120" s="381"/>
      <c r="F120" s="381"/>
      <c r="G120" s="381"/>
      <c r="H120" s="381"/>
      <c r="I120" s="381"/>
      <c r="S120" s="389"/>
      <c r="T120" s="389"/>
      <c r="U120" s="389"/>
      <c r="V120" s="389"/>
      <c r="W120" s="389"/>
      <c r="X120" s="389"/>
    </row>
    <row r="121" spans="4:24">
      <c r="D121" s="370"/>
      <c r="E121" s="381"/>
      <c r="F121" s="381"/>
      <c r="G121" s="381"/>
      <c r="H121" s="381"/>
      <c r="I121" s="381"/>
      <c r="S121" s="392"/>
      <c r="T121" s="392"/>
      <c r="U121" s="392"/>
      <c r="V121" s="392"/>
      <c r="W121" s="392"/>
      <c r="X121" s="392"/>
    </row>
    <row r="122" spans="4:24">
      <c r="D122" s="370"/>
    </row>
    <row r="123" spans="4:24">
      <c r="D123" s="345"/>
      <c r="E123" s="381"/>
      <c r="F123" s="381"/>
      <c r="G123" s="381"/>
      <c r="H123" s="381"/>
      <c r="I123" s="381"/>
      <c r="S123" s="389"/>
      <c r="T123" s="389"/>
      <c r="U123" s="389"/>
      <c r="V123" s="389"/>
      <c r="W123" s="389"/>
      <c r="X123" s="389"/>
    </row>
    <row r="124" spans="4:24">
      <c r="D124" s="370"/>
      <c r="J124" s="381"/>
      <c r="S124" s="392"/>
      <c r="T124" s="392"/>
      <c r="U124" s="392"/>
      <c r="V124" s="392"/>
      <c r="W124" s="392"/>
      <c r="X124" s="392"/>
    </row>
    <row r="125" spans="4:24">
      <c r="D125" s="370"/>
      <c r="J125" s="381"/>
    </row>
    <row r="126" spans="4:24">
      <c r="D126" s="345"/>
      <c r="E126" s="381"/>
      <c r="F126" s="381"/>
      <c r="G126" s="381"/>
      <c r="H126" s="381"/>
      <c r="I126" s="381"/>
      <c r="K126" s="381"/>
    </row>
    <row r="127" spans="4:24">
      <c r="D127" s="370"/>
      <c r="K127" s="381"/>
    </row>
    <row r="128" spans="4:24">
      <c r="D128" s="370"/>
      <c r="J128" s="381"/>
    </row>
    <row r="129" spans="4:11">
      <c r="D129" s="370"/>
      <c r="J129" s="381"/>
    </row>
    <row r="130" spans="4:11">
      <c r="D130" s="345"/>
      <c r="E130" s="381"/>
      <c r="F130" s="381"/>
      <c r="G130" s="381"/>
      <c r="H130" s="381"/>
      <c r="I130" s="381"/>
      <c r="K130" s="381"/>
    </row>
    <row r="131" spans="4:11">
      <c r="D131" s="370"/>
      <c r="K131" s="381"/>
    </row>
    <row r="132" spans="4:11">
      <c r="D132" s="370"/>
      <c r="E132" s="345"/>
      <c r="F132" s="345"/>
      <c r="G132" s="345"/>
      <c r="H132" s="345"/>
      <c r="I132" s="345"/>
      <c r="J132" s="381"/>
    </row>
    <row r="133" spans="4:11">
      <c r="D133" s="370"/>
      <c r="E133" s="345"/>
      <c r="F133" s="345"/>
      <c r="G133" s="345"/>
      <c r="H133" s="345"/>
      <c r="I133" s="345"/>
    </row>
    <row r="134" spans="4:11">
      <c r="D134" s="370"/>
      <c r="K134" s="381"/>
    </row>
    <row r="135" spans="4:11">
      <c r="D135" s="370"/>
    </row>
    <row r="137" spans="4:11">
      <c r="D137" s="345"/>
      <c r="E137" s="381"/>
      <c r="F137" s="381"/>
      <c r="G137" s="381"/>
      <c r="H137" s="381"/>
      <c r="I137" s="381"/>
    </row>
    <row r="138" spans="4:11">
      <c r="D138" s="345"/>
      <c r="E138" s="381"/>
      <c r="F138" s="381"/>
      <c r="G138" s="381"/>
      <c r="H138" s="381"/>
      <c r="I138" s="381"/>
    </row>
    <row r="139" spans="4:11">
      <c r="D139" s="370"/>
      <c r="E139" s="381"/>
      <c r="F139" s="381"/>
      <c r="G139" s="381"/>
      <c r="H139" s="381"/>
      <c r="I139" s="381"/>
    </row>
    <row r="140" spans="4:11">
      <c r="D140" s="370"/>
      <c r="E140" s="381"/>
      <c r="F140" s="381"/>
      <c r="G140" s="381"/>
      <c r="H140" s="381"/>
      <c r="I140" s="381"/>
    </row>
    <row r="141" spans="4:11">
      <c r="D141" s="370"/>
    </row>
    <row r="142" spans="4:11">
      <c r="D142" s="345"/>
      <c r="E142" s="381"/>
      <c r="F142" s="381"/>
      <c r="G142" s="381"/>
      <c r="H142" s="381"/>
      <c r="I142" s="381"/>
    </row>
    <row r="143" spans="4:11">
      <c r="D143" s="370"/>
      <c r="E143" s="381"/>
      <c r="F143" s="381"/>
      <c r="G143" s="381"/>
      <c r="H143" s="381"/>
      <c r="I143" s="381"/>
    </row>
    <row r="144" spans="4:11">
      <c r="D144" s="370"/>
      <c r="E144" s="381"/>
      <c r="F144" s="381"/>
      <c r="G144" s="381"/>
      <c r="H144" s="381"/>
      <c r="I144" s="381"/>
    </row>
    <row r="145" spans="4:11">
      <c r="D145" s="370"/>
    </row>
    <row r="146" spans="4:11">
      <c r="D146" s="370"/>
    </row>
    <row r="147" spans="4:11">
      <c r="D147" s="370"/>
      <c r="J147" s="381"/>
    </row>
    <row r="148" spans="4:11">
      <c r="D148" s="370"/>
      <c r="J148" s="381"/>
    </row>
    <row r="149" spans="4:11">
      <c r="D149" s="370"/>
      <c r="K149" s="381"/>
    </row>
    <row r="150" spans="4:11">
      <c r="D150" s="370"/>
      <c r="J150" s="381"/>
      <c r="K150" s="381"/>
    </row>
    <row r="151" spans="4:11">
      <c r="D151" s="370"/>
      <c r="J151" s="381"/>
    </row>
    <row r="152" spans="4:11">
      <c r="D152" s="370"/>
      <c r="J152" s="381"/>
      <c r="K152" s="381"/>
    </row>
    <row r="153" spans="4:11">
      <c r="D153" s="370"/>
      <c r="K153" s="381"/>
    </row>
    <row r="154" spans="4:11">
      <c r="D154" s="345"/>
      <c r="E154" s="381"/>
      <c r="F154" s="381"/>
      <c r="G154" s="381"/>
      <c r="H154" s="381"/>
      <c r="I154" s="381"/>
      <c r="K154" s="381"/>
    </row>
    <row r="155" spans="4:11">
      <c r="D155" s="370"/>
      <c r="J155" s="381"/>
    </row>
    <row r="156" spans="4:11">
      <c r="D156" s="370"/>
      <c r="J156" s="381"/>
    </row>
    <row r="157" spans="4:11">
      <c r="D157" s="345"/>
      <c r="E157" s="381"/>
      <c r="F157" s="381"/>
      <c r="G157" s="381"/>
      <c r="H157" s="381"/>
      <c r="I157" s="381"/>
      <c r="K157" s="381"/>
    </row>
    <row r="158" spans="4:11">
      <c r="D158" s="370"/>
      <c r="K158" s="381"/>
    </row>
    <row r="159" spans="4:11">
      <c r="D159" s="345"/>
      <c r="E159" s="381"/>
      <c r="F159" s="381"/>
      <c r="G159" s="381"/>
      <c r="H159" s="381"/>
      <c r="I159" s="381"/>
    </row>
    <row r="160" spans="4:11">
      <c r="D160" s="370"/>
      <c r="E160" s="381"/>
      <c r="F160" s="381"/>
      <c r="G160" s="381"/>
      <c r="H160" s="381"/>
      <c r="I160" s="381"/>
    </row>
    <row r="161" spans="4:11">
      <c r="D161" s="370"/>
    </row>
    <row r="162" spans="4:11">
      <c r="D162" s="370"/>
    </row>
    <row r="163" spans="4:11">
      <c r="D163" s="345"/>
      <c r="E163" s="381"/>
      <c r="F163" s="381"/>
      <c r="G163" s="381"/>
      <c r="H163" s="381"/>
      <c r="I163" s="381"/>
    </row>
    <row r="164" spans="4:11">
      <c r="D164" s="370"/>
      <c r="E164" s="381"/>
      <c r="F164" s="381"/>
      <c r="G164" s="381"/>
      <c r="H164" s="381"/>
      <c r="I164" s="381"/>
    </row>
    <row r="165" spans="4:11">
      <c r="D165" s="370"/>
    </row>
    <row r="166" spans="4:11">
      <c r="D166" s="345"/>
      <c r="E166" s="381"/>
      <c r="F166" s="381"/>
      <c r="G166" s="381"/>
      <c r="H166" s="381"/>
      <c r="I166" s="381"/>
    </row>
    <row r="167" spans="4:11">
      <c r="D167" s="370"/>
      <c r="J167" s="381"/>
    </row>
    <row r="168" spans="4:11">
      <c r="D168" s="370"/>
      <c r="J168" s="381"/>
    </row>
    <row r="169" spans="4:11">
      <c r="D169" s="345"/>
      <c r="E169" s="381"/>
      <c r="F169" s="381"/>
      <c r="G169" s="381"/>
      <c r="H169" s="381"/>
      <c r="I169" s="381"/>
      <c r="K169" s="381"/>
    </row>
    <row r="170" spans="4:11">
      <c r="D170" s="370"/>
      <c r="K170" s="381"/>
    </row>
    <row r="171" spans="4:11">
      <c r="D171" s="370"/>
      <c r="J171" s="381"/>
    </row>
    <row r="172" spans="4:11">
      <c r="D172" s="370"/>
      <c r="J172" s="381"/>
    </row>
    <row r="173" spans="4:11">
      <c r="D173" s="345"/>
      <c r="E173" s="381"/>
      <c r="F173" s="381"/>
      <c r="G173" s="381"/>
      <c r="H173" s="381"/>
      <c r="I173" s="381"/>
      <c r="K173" s="381"/>
    </row>
    <row r="174" spans="4:11">
      <c r="D174" s="370"/>
      <c r="K174" s="381"/>
    </row>
    <row r="175" spans="4:11">
      <c r="D175" s="370"/>
      <c r="E175" s="345"/>
      <c r="F175" s="345"/>
      <c r="G175" s="345"/>
      <c r="H175" s="345"/>
      <c r="I175" s="345"/>
      <c r="J175" s="381"/>
    </row>
    <row r="176" spans="4:11">
      <c r="D176" s="370"/>
      <c r="E176" s="345"/>
      <c r="F176" s="345"/>
      <c r="G176" s="345"/>
      <c r="H176" s="345"/>
      <c r="I176" s="345"/>
    </row>
    <row r="177" spans="4:11">
      <c r="D177" s="370"/>
      <c r="K177" s="381"/>
    </row>
    <row r="178" spans="4:11">
      <c r="D178" s="370"/>
    </row>
    <row r="179" spans="4:11">
      <c r="D179" s="370"/>
    </row>
    <row r="180" spans="4:11">
      <c r="D180" s="345"/>
      <c r="E180" s="381"/>
      <c r="F180" s="381"/>
      <c r="G180" s="381"/>
      <c r="H180" s="381"/>
      <c r="I180" s="381"/>
    </row>
    <row r="181" spans="4:11">
      <c r="D181" s="345"/>
      <c r="E181" s="381"/>
      <c r="F181" s="381"/>
      <c r="G181" s="381"/>
      <c r="H181" s="381"/>
      <c r="I181" s="381"/>
    </row>
    <row r="182" spans="4:11">
      <c r="D182" s="370"/>
      <c r="E182" s="381"/>
      <c r="F182" s="381"/>
      <c r="G182" s="381"/>
      <c r="H182" s="381"/>
      <c r="I182" s="381"/>
    </row>
    <row r="183" spans="4:11">
      <c r="D183" s="370"/>
      <c r="E183" s="381"/>
      <c r="F183" s="381"/>
      <c r="G183" s="381"/>
      <c r="H183" s="381"/>
      <c r="I183" s="381"/>
    </row>
    <row r="184" spans="4:11">
      <c r="D184" s="370"/>
    </row>
    <row r="185" spans="4:11">
      <c r="D185" s="345"/>
      <c r="E185" s="381"/>
      <c r="F185" s="381"/>
      <c r="G185" s="381"/>
      <c r="H185" s="381"/>
      <c r="I185" s="381"/>
    </row>
    <row r="186" spans="4:11">
      <c r="D186" s="370"/>
      <c r="E186" s="381"/>
      <c r="F186" s="381"/>
      <c r="G186" s="381"/>
      <c r="H186" s="381"/>
      <c r="I186" s="381"/>
    </row>
    <row r="187" spans="4:11">
      <c r="D187" s="370"/>
      <c r="E187" s="381"/>
      <c r="F187" s="381"/>
      <c r="G187" s="381"/>
      <c r="H187" s="381"/>
      <c r="I187" s="381"/>
    </row>
    <row r="188" spans="4:11">
      <c r="D188" s="370"/>
    </row>
    <row r="189" spans="4:11">
      <c r="D189" s="370"/>
    </row>
    <row r="190" spans="4:11">
      <c r="D190" s="370"/>
      <c r="J190" s="381"/>
    </row>
    <row r="191" spans="4:11">
      <c r="D191" s="370"/>
      <c r="J191" s="381"/>
    </row>
    <row r="192" spans="4:11">
      <c r="D192" s="370"/>
      <c r="K192" s="381"/>
    </row>
    <row r="193" spans="4:11">
      <c r="D193" s="370"/>
      <c r="J193" s="381"/>
      <c r="K193" s="381"/>
    </row>
    <row r="194" spans="4:11">
      <c r="D194" s="370"/>
      <c r="J194" s="381"/>
    </row>
    <row r="195" spans="4:11">
      <c r="D195" s="370"/>
      <c r="J195" s="381"/>
      <c r="K195" s="381"/>
    </row>
    <row r="196" spans="4:11">
      <c r="D196" s="370"/>
      <c r="K196" s="381"/>
    </row>
    <row r="197" spans="4:11">
      <c r="D197" s="345"/>
      <c r="E197" s="381"/>
      <c r="F197" s="381"/>
      <c r="G197" s="381"/>
      <c r="H197" s="381"/>
      <c r="I197" s="381"/>
      <c r="K197" s="381"/>
    </row>
    <row r="198" spans="4:11">
      <c r="D198" s="370"/>
      <c r="J198" s="381"/>
    </row>
    <row r="199" spans="4:11">
      <c r="D199" s="370"/>
      <c r="J199" s="381"/>
    </row>
    <row r="200" spans="4:11">
      <c r="D200" s="345"/>
      <c r="E200" s="381"/>
      <c r="F200" s="381"/>
      <c r="G200" s="381"/>
      <c r="H200" s="381"/>
      <c r="I200" s="381"/>
      <c r="K200" s="381"/>
    </row>
    <row r="201" spans="4:11">
      <c r="D201" s="370"/>
      <c r="K201" s="381"/>
    </row>
    <row r="202" spans="4:11">
      <c r="D202" s="345"/>
      <c r="E202" s="381"/>
      <c r="F202" s="381"/>
      <c r="G202" s="381"/>
      <c r="H202" s="381"/>
      <c r="I202" s="381"/>
    </row>
    <row r="203" spans="4:11">
      <c r="D203" s="370"/>
      <c r="E203" s="381"/>
      <c r="F203" s="381"/>
      <c r="G203" s="381"/>
      <c r="H203" s="381"/>
      <c r="I203" s="381"/>
    </row>
    <row r="204" spans="4:11">
      <c r="D204" s="370"/>
    </row>
    <row r="205" spans="4:11">
      <c r="D205" s="370"/>
    </row>
    <row r="206" spans="4:11">
      <c r="D206" s="345"/>
      <c r="E206" s="381"/>
      <c r="F206" s="381"/>
      <c r="G206" s="381"/>
      <c r="H206" s="381"/>
      <c r="I206" s="381"/>
    </row>
    <row r="207" spans="4:11">
      <c r="D207" s="370"/>
      <c r="E207" s="381"/>
      <c r="F207" s="381"/>
      <c r="G207" s="381"/>
      <c r="H207" s="381"/>
      <c r="I207" s="381"/>
    </row>
    <row r="208" spans="4:11">
      <c r="D208" s="370"/>
    </row>
    <row r="209" spans="4:11">
      <c r="D209" s="345"/>
      <c r="E209" s="381"/>
      <c r="F209" s="381"/>
      <c r="G209" s="381"/>
      <c r="H209" s="381"/>
      <c r="I209" s="381"/>
    </row>
    <row r="210" spans="4:11">
      <c r="D210" s="370"/>
      <c r="J210" s="381"/>
    </row>
    <row r="211" spans="4:11">
      <c r="D211" s="370"/>
      <c r="J211" s="381"/>
    </row>
    <row r="212" spans="4:11">
      <c r="D212" s="345"/>
      <c r="E212" s="381"/>
      <c r="F212" s="381"/>
      <c r="G212" s="381"/>
      <c r="H212" s="381"/>
      <c r="I212" s="381"/>
      <c r="K212" s="381"/>
    </row>
    <row r="213" spans="4:11">
      <c r="D213" s="370"/>
      <c r="K213" s="381"/>
    </row>
    <row r="214" spans="4:11">
      <c r="D214" s="370"/>
      <c r="J214" s="381"/>
    </row>
    <row r="215" spans="4:11">
      <c r="D215" s="370"/>
      <c r="J215" s="381"/>
    </row>
    <row r="216" spans="4:11">
      <c r="D216" s="345"/>
      <c r="E216" s="381"/>
      <c r="F216" s="381"/>
      <c r="G216" s="381"/>
      <c r="H216" s="381"/>
      <c r="I216" s="381"/>
      <c r="K216" s="381"/>
    </row>
    <row r="217" spans="4:11">
      <c r="D217" s="370"/>
      <c r="K217" s="381"/>
    </row>
    <row r="218" spans="4:11">
      <c r="D218" s="370"/>
      <c r="E218" s="345"/>
      <c r="F218" s="345"/>
      <c r="G218" s="345"/>
      <c r="H218" s="345"/>
      <c r="I218" s="345"/>
      <c r="J218" s="381"/>
    </row>
    <row r="219" spans="4:11">
      <c r="D219" s="370"/>
      <c r="E219" s="345"/>
      <c r="F219" s="345"/>
      <c r="G219" s="345"/>
      <c r="H219" s="345"/>
      <c r="I219" s="345"/>
    </row>
    <row r="220" spans="4:11">
      <c r="D220" s="370"/>
      <c r="K220" s="381"/>
    </row>
    <row r="221" spans="4:11">
      <c r="D221" s="370"/>
    </row>
    <row r="222" spans="4:11">
      <c r="D222" s="370"/>
    </row>
    <row r="223" spans="4:11">
      <c r="D223" s="345"/>
      <c r="E223" s="381"/>
      <c r="F223" s="381"/>
      <c r="G223" s="381"/>
      <c r="H223" s="381"/>
      <c r="I223" s="381"/>
    </row>
    <row r="224" spans="4:11">
      <c r="D224" s="345"/>
      <c r="E224" s="381"/>
      <c r="F224" s="381"/>
      <c r="G224" s="381"/>
      <c r="H224" s="381"/>
      <c r="I224" s="381"/>
    </row>
    <row r="225" spans="4:11">
      <c r="D225" s="370"/>
      <c r="E225" s="381"/>
      <c r="F225" s="381"/>
      <c r="G225" s="381"/>
      <c r="H225" s="381"/>
      <c r="I225" s="381"/>
    </row>
    <row r="226" spans="4:11">
      <c r="D226" s="370"/>
      <c r="E226" s="381"/>
      <c r="F226" s="381"/>
      <c r="G226" s="381"/>
      <c r="H226" s="381"/>
      <c r="I226" s="381"/>
    </row>
    <row r="227" spans="4:11">
      <c r="D227" s="370"/>
    </row>
    <row r="228" spans="4:11">
      <c r="D228" s="345"/>
      <c r="E228" s="381"/>
      <c r="F228" s="381"/>
      <c r="G228" s="381"/>
      <c r="H228" s="381"/>
      <c r="I228" s="381"/>
    </row>
    <row r="229" spans="4:11">
      <c r="D229" s="370"/>
      <c r="E229" s="381"/>
      <c r="F229" s="381"/>
      <c r="G229" s="381"/>
      <c r="H229" s="381"/>
      <c r="I229" s="381"/>
    </row>
    <row r="230" spans="4:11">
      <c r="D230" s="370"/>
      <c r="E230" s="381"/>
      <c r="F230" s="381"/>
      <c r="G230" s="381"/>
      <c r="H230" s="381"/>
      <c r="I230" s="381"/>
    </row>
    <row r="231" spans="4:11">
      <c r="D231" s="370"/>
    </row>
    <row r="232" spans="4:11">
      <c r="D232" s="370"/>
    </row>
    <row r="233" spans="4:11">
      <c r="D233" s="370"/>
      <c r="J233" s="381"/>
    </row>
    <row r="234" spans="4:11">
      <c r="D234" s="370"/>
      <c r="J234" s="381"/>
    </row>
    <row r="235" spans="4:11">
      <c r="D235" s="370"/>
      <c r="K235" s="381"/>
    </row>
    <row r="236" spans="4:11">
      <c r="D236" s="370"/>
      <c r="J236" s="381"/>
      <c r="K236" s="381"/>
    </row>
    <row r="237" spans="4:11">
      <c r="D237" s="370"/>
      <c r="J237" s="381"/>
    </row>
    <row r="238" spans="4:11">
      <c r="D238" s="370"/>
      <c r="J238" s="381"/>
      <c r="K238" s="381"/>
    </row>
    <row r="239" spans="4:11">
      <c r="D239" s="370"/>
      <c r="K239" s="381"/>
    </row>
    <row r="240" spans="4:11">
      <c r="D240" s="345"/>
      <c r="E240" s="381"/>
      <c r="F240" s="381"/>
      <c r="G240" s="381"/>
      <c r="H240" s="381"/>
      <c r="I240" s="381"/>
      <c r="K240" s="381"/>
    </row>
    <row r="241" spans="4:11">
      <c r="D241" s="370"/>
      <c r="J241" s="381"/>
    </row>
    <row r="242" spans="4:11">
      <c r="D242" s="370"/>
      <c r="J242" s="381"/>
    </row>
    <row r="243" spans="4:11">
      <c r="D243" s="345"/>
      <c r="E243" s="381"/>
      <c r="F243" s="381"/>
      <c r="G243" s="381"/>
      <c r="H243" s="381"/>
      <c r="I243" s="381"/>
      <c r="K243" s="381"/>
    </row>
    <row r="244" spans="4:11">
      <c r="D244" s="370"/>
      <c r="K244" s="381"/>
    </row>
    <row r="245" spans="4:11">
      <c r="D245" s="345"/>
      <c r="E245" s="381"/>
      <c r="F245" s="381"/>
      <c r="G245" s="381"/>
      <c r="H245" s="381"/>
      <c r="I245" s="381"/>
    </row>
    <row r="246" spans="4:11">
      <c r="D246" s="370"/>
      <c r="E246" s="381"/>
      <c r="F246" s="381"/>
      <c r="G246" s="381"/>
      <c r="H246" s="381"/>
      <c r="I246" s="381"/>
    </row>
    <row r="247" spans="4:11">
      <c r="D247" s="370"/>
    </row>
    <row r="248" spans="4:11">
      <c r="D248" s="370"/>
    </row>
    <row r="249" spans="4:11">
      <c r="D249" s="345"/>
      <c r="E249" s="381"/>
      <c r="F249" s="381"/>
      <c r="G249" s="381"/>
      <c r="H249" s="381"/>
      <c r="I249" s="381"/>
    </row>
    <row r="250" spans="4:11">
      <c r="D250" s="370"/>
      <c r="E250" s="381"/>
      <c r="F250" s="381"/>
      <c r="G250" s="381"/>
      <c r="H250" s="381"/>
      <c r="I250" s="381"/>
    </row>
    <row r="251" spans="4:11">
      <c r="D251" s="370"/>
    </row>
    <row r="252" spans="4:11">
      <c r="D252" s="345"/>
      <c r="E252" s="381"/>
      <c r="F252" s="381"/>
      <c r="G252" s="381"/>
      <c r="H252" s="381"/>
      <c r="I252" s="381"/>
    </row>
    <row r="253" spans="4:11">
      <c r="D253" s="370"/>
      <c r="J253" s="381"/>
    </row>
    <row r="254" spans="4:11">
      <c r="D254" s="370"/>
      <c r="J254" s="381"/>
    </row>
    <row r="255" spans="4:11">
      <c r="D255" s="345"/>
      <c r="E255" s="381"/>
      <c r="F255" s="381"/>
      <c r="G255" s="381"/>
      <c r="H255" s="381"/>
      <c r="I255" s="381"/>
      <c r="K255" s="381"/>
    </row>
    <row r="256" spans="4:11">
      <c r="D256" s="370"/>
      <c r="K256" s="381"/>
    </row>
    <row r="257" spans="4:11">
      <c r="D257" s="370"/>
      <c r="J257" s="381"/>
    </row>
    <row r="258" spans="4:11">
      <c r="D258" s="370"/>
      <c r="J258" s="381"/>
    </row>
    <row r="259" spans="4:11">
      <c r="D259" s="345"/>
      <c r="E259" s="381"/>
      <c r="F259" s="381"/>
      <c r="G259" s="381"/>
      <c r="H259" s="381"/>
      <c r="I259" s="381"/>
      <c r="K259" s="381"/>
    </row>
    <row r="260" spans="4:11">
      <c r="D260" s="370"/>
      <c r="K260" s="381"/>
    </row>
    <row r="261" spans="4:11">
      <c r="D261" s="370"/>
      <c r="E261" s="345"/>
      <c r="F261" s="345"/>
      <c r="G261" s="345"/>
      <c r="H261" s="345"/>
      <c r="I261" s="345"/>
      <c r="J261" s="381"/>
    </row>
    <row r="262" spans="4:11">
      <c r="D262" s="370"/>
      <c r="E262" s="345"/>
      <c r="F262" s="345"/>
      <c r="G262" s="345"/>
      <c r="H262" s="345"/>
      <c r="I262" s="345"/>
    </row>
    <row r="263" spans="4:11">
      <c r="D263" s="370"/>
      <c r="K263" s="381"/>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sheetData>
  <phoneticPr fontId="26" type="noConversion"/>
  <pageMargins left="0.75" right="0.75" top="1" bottom="1" header="0.5" footer="0.5"/>
  <pageSetup scale="45" orientation="landscape"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67">
    <pageSetUpPr fitToPage="1"/>
  </sheetPr>
  <dimension ref="B1:X465"/>
  <sheetViews>
    <sheetView showGridLines="0" zoomScale="80" zoomScaleNormal="80" workbookViewId="0"/>
  </sheetViews>
  <sheetFormatPr defaultColWidth="9.109375" defaultRowHeight="12"/>
  <cols>
    <col min="1" max="1" width="2.33203125" style="367" customWidth="1"/>
    <col min="2" max="4" width="10" style="367" customWidth="1"/>
    <col min="5" max="5" width="18.554687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1455</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809</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9" t="s">
        <v>127</v>
      </c>
      <c r="O9" s="459"/>
      <c r="P9" s="458" t="s">
        <v>128</v>
      </c>
      <c r="Q9" s="458"/>
      <c r="R9" s="458" t="s">
        <v>23</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s="381" customFormat="1">
      <c r="B11" s="345" t="s">
        <v>1496</v>
      </c>
      <c r="E11" s="381" t="str">
        <f>"DCF, "&amp;TEXT(H11,"0.0")&amp;"x 23E FCF"</f>
        <v>DCF, 24.7x 23E FCF</v>
      </c>
      <c r="F11" s="581">
        <v>251.38751809172686</v>
      </c>
      <c r="G11" s="442" t="s">
        <v>133</v>
      </c>
      <c r="H11" s="481">
        <v>24.700745234460786</v>
      </c>
      <c r="I11" s="442" t="s">
        <v>134</v>
      </c>
      <c r="J11" s="620">
        <f>(H11*F11)</f>
        <v>6209.4590395071473</v>
      </c>
      <c r="K11" s="196"/>
      <c r="L11" s="196"/>
      <c r="M11" s="196"/>
      <c r="N11" s="196">
        <f>J11-L11</f>
        <v>6209.4590395071473</v>
      </c>
      <c r="O11" s="196"/>
      <c r="P11" s="483">
        <v>1</v>
      </c>
      <c r="Q11" s="196"/>
      <c r="R11" s="210">
        <f>P11*N11</f>
        <v>6209.4590395071473</v>
      </c>
      <c r="S11" s="210"/>
      <c r="T11" s="210">
        <f>N11-R11</f>
        <v>0</v>
      </c>
      <c r="U11" s="210"/>
      <c r="V11" s="387">
        <f>N11/$J$42</f>
        <v>2.1830872756095929</v>
      </c>
      <c r="W11" s="345"/>
      <c r="X11" s="372">
        <f>$J$47*V11</f>
        <v>20.290011483628493</v>
      </c>
    </row>
    <row r="12" spans="2:24" s="381" customFormat="1">
      <c r="B12" s="370"/>
      <c r="E12" s="367"/>
      <c r="F12" s="367"/>
      <c r="G12" s="367"/>
      <c r="H12" s="367"/>
      <c r="I12" s="367"/>
      <c r="J12" s="592"/>
      <c r="K12" s="196"/>
      <c r="L12" s="196"/>
      <c r="M12" s="196"/>
      <c r="N12" s="196"/>
      <c r="O12" s="196"/>
      <c r="P12" s="196"/>
      <c r="Q12" s="196"/>
      <c r="R12" s="210"/>
      <c r="S12" s="210"/>
      <c r="T12" s="210"/>
      <c r="U12" s="210"/>
      <c r="V12" s="387"/>
      <c r="W12" s="345"/>
      <c r="X12" s="372"/>
    </row>
    <row r="13" spans="2:24" s="381" customFormat="1">
      <c r="B13" s="370" t="s">
        <v>1615</v>
      </c>
      <c r="E13" s="367"/>
      <c r="F13" s="367"/>
      <c r="G13" s="367"/>
      <c r="H13" s="367"/>
      <c r="I13" s="367"/>
      <c r="J13" s="524">
        <v>297.45325739548719</v>
      </c>
      <c r="K13" s="196"/>
      <c r="L13" s="196"/>
      <c r="M13" s="196"/>
      <c r="N13" s="178">
        <f>J13-L13</f>
        <v>297.45325739548719</v>
      </c>
      <c r="O13" s="196"/>
      <c r="P13" s="490">
        <v>1</v>
      </c>
      <c r="Q13" s="196"/>
      <c r="R13" s="216">
        <f>P13*N13</f>
        <v>297.45325739548719</v>
      </c>
      <c r="S13" s="210"/>
      <c r="T13" s="210"/>
      <c r="U13" s="210"/>
      <c r="V13" s="387"/>
      <c r="W13" s="345"/>
      <c r="X13" s="372"/>
    </row>
    <row r="14" spans="2:24" s="381" customFormat="1">
      <c r="B14" s="370" t="s">
        <v>1616</v>
      </c>
      <c r="E14" s="367"/>
      <c r="F14" s="367"/>
      <c r="G14" s="367"/>
      <c r="H14" s="367"/>
      <c r="I14" s="367"/>
      <c r="J14" s="524">
        <v>1070.8317266237539</v>
      </c>
      <c r="K14" s="196"/>
      <c r="L14" s="196"/>
      <c r="M14" s="196"/>
      <c r="N14" s="178">
        <f t="shared" ref="N14:N15" si="0">J14-L14</f>
        <v>1070.8317266237539</v>
      </c>
      <c r="O14" s="196"/>
      <c r="P14" s="490">
        <v>0.65460000000000007</v>
      </c>
      <c r="Q14" s="196"/>
      <c r="R14" s="216">
        <f>P14*N14</f>
        <v>700.9664482479094</v>
      </c>
      <c r="S14" s="210"/>
      <c r="T14" s="210"/>
      <c r="U14" s="210"/>
      <c r="V14" s="387"/>
      <c r="W14" s="345"/>
      <c r="X14" s="372"/>
    </row>
    <row r="15" spans="2:24" s="381" customFormat="1">
      <c r="B15" s="370" t="s">
        <v>1617</v>
      </c>
      <c r="E15" s="367"/>
      <c r="F15" s="367"/>
      <c r="G15" s="367"/>
      <c r="H15" s="367"/>
      <c r="I15" s="367"/>
      <c r="J15" s="524">
        <v>1959.1582343031582</v>
      </c>
      <c r="K15" s="196"/>
      <c r="L15" s="196"/>
      <c r="M15" s="196"/>
      <c r="N15" s="178">
        <f t="shared" si="0"/>
        <v>1959.1582343031582</v>
      </c>
      <c r="O15" s="196"/>
      <c r="P15" s="490">
        <v>0.87280000000000002</v>
      </c>
      <c r="Q15" s="196"/>
      <c r="R15" s="216">
        <f>P15*N15</f>
        <v>1709.9533068997966</v>
      </c>
      <c r="S15" s="210"/>
      <c r="T15" s="210"/>
      <c r="U15" s="210"/>
      <c r="V15" s="387"/>
      <c r="W15" s="345"/>
      <c r="X15" s="372"/>
    </row>
    <row r="16" spans="2:24" s="381" customFormat="1">
      <c r="B16" s="345" t="s">
        <v>1618</v>
      </c>
      <c r="C16" s="345"/>
      <c r="E16" s="381" t="str">
        <f>"DCF, "&amp;TEXT(H16,"0.0")&amp;"x 23E FCF"</f>
        <v>DCF, 32.9x 23E FCF</v>
      </c>
      <c r="F16" s="581">
        <v>101.11248190827305</v>
      </c>
      <c r="G16" s="442" t="s">
        <v>133</v>
      </c>
      <c r="H16" s="481">
        <f>J16/F16</f>
        <v>32.908332933029776</v>
      </c>
      <c r="I16" s="442" t="s">
        <v>134</v>
      </c>
      <c r="J16" s="619">
        <f>J15+J14+J13</f>
        <v>3327.4432183223994</v>
      </c>
      <c r="K16" s="196"/>
      <c r="L16" s="196"/>
      <c r="M16" s="196"/>
      <c r="N16" s="374">
        <f>N15+N14+N13</f>
        <v>3327.4432183223994</v>
      </c>
      <c r="O16" s="196" t="s">
        <v>133</v>
      </c>
      <c r="P16" s="211">
        <f>R16/N16</f>
        <v>0.81395018181818179</v>
      </c>
      <c r="Q16" s="369" t="s">
        <v>134</v>
      </c>
      <c r="R16" s="374">
        <f>R15+R14+R13</f>
        <v>2708.373012543193</v>
      </c>
      <c r="S16" s="210"/>
      <c r="T16" s="374">
        <f>N16-R16</f>
        <v>619.07020577920639</v>
      </c>
      <c r="U16" s="210"/>
      <c r="V16" s="582">
        <f>N16/$J$42</f>
        <v>1.1698440885133248</v>
      </c>
      <c r="W16" s="345"/>
      <c r="X16" s="583">
        <f>$J$47*V16</f>
        <v>10.872744418045457</v>
      </c>
    </row>
    <row r="17" spans="2:24" s="381" customFormat="1">
      <c r="B17" s="370"/>
      <c r="C17" s="345"/>
      <c r="E17" s="367"/>
      <c r="F17" s="367"/>
      <c r="G17" s="367"/>
      <c r="H17" s="367"/>
      <c r="I17" s="367"/>
      <c r="J17" s="367"/>
      <c r="K17" s="367"/>
      <c r="L17" s="367"/>
      <c r="M17" s="367"/>
      <c r="N17" s="367"/>
      <c r="O17" s="367"/>
      <c r="P17" s="367"/>
      <c r="Q17" s="369"/>
      <c r="R17" s="210"/>
      <c r="S17" s="210"/>
      <c r="T17" s="210"/>
      <c r="U17" s="210"/>
      <c r="V17" s="371"/>
      <c r="W17" s="345"/>
      <c r="X17" s="372"/>
    </row>
    <row r="18" spans="2:24">
      <c r="B18" s="345" t="s">
        <v>137</v>
      </c>
      <c r="C18" s="370"/>
      <c r="F18" s="443"/>
      <c r="G18" s="442"/>
      <c r="H18" s="372"/>
      <c r="I18" s="376"/>
      <c r="J18" s="443">
        <f>J11+J16</f>
        <v>9536.9022578295462</v>
      </c>
      <c r="K18" s="196" t="s">
        <v>135</v>
      </c>
      <c r="L18" s="480">
        <f>-J31</f>
        <v>4152.5488575867821</v>
      </c>
      <c r="M18" s="196" t="s">
        <v>134</v>
      </c>
      <c r="N18" s="210">
        <f>J18-L18</f>
        <v>5384.3534002427641</v>
      </c>
      <c r="P18" s="377"/>
      <c r="Q18" s="378"/>
      <c r="R18" s="210">
        <f>SUM(R11:R15)</f>
        <v>8917.8320520503403</v>
      </c>
      <c r="S18" s="370"/>
      <c r="T18" s="210">
        <f>SUM(T11:T16)</f>
        <v>619.07020577920639</v>
      </c>
      <c r="U18" s="370"/>
      <c r="V18" s="387">
        <f>N18/$J$42</f>
        <v>1.893001197152304</v>
      </c>
      <c r="W18" s="370"/>
      <c r="X18" s="372">
        <f>$J$47*V18</f>
        <v>17.593898538947609</v>
      </c>
    </row>
    <row r="19" spans="2:24">
      <c r="B19" s="345"/>
      <c r="C19" s="370"/>
      <c r="F19" s="443"/>
      <c r="G19" s="442"/>
      <c r="H19" s="372"/>
      <c r="I19" s="376"/>
      <c r="J19" s="443"/>
      <c r="K19" s="443"/>
      <c r="L19" s="443"/>
      <c r="M19" s="196"/>
      <c r="N19" s="210"/>
      <c r="P19" s="377"/>
      <c r="Q19" s="378"/>
      <c r="R19" s="210"/>
      <c r="S19" s="370"/>
      <c r="T19" s="210"/>
      <c r="U19" s="370"/>
      <c r="V19" s="387"/>
      <c r="W19" s="370"/>
      <c r="X19" s="372"/>
    </row>
    <row r="20" spans="2:24">
      <c r="B20" s="370" t="s">
        <v>1497</v>
      </c>
      <c r="C20" s="370"/>
      <c r="F20" s="210"/>
      <c r="G20" s="196"/>
      <c r="H20" s="372"/>
      <c r="I20" s="376"/>
      <c r="J20" s="196"/>
      <c r="K20" s="375"/>
      <c r="L20" s="401"/>
      <c r="M20" s="196"/>
      <c r="N20" s="524">
        <v>55.817544179782431</v>
      </c>
      <c r="O20" s="178" t="s">
        <v>133</v>
      </c>
      <c r="P20" s="490">
        <v>0.51</v>
      </c>
      <c r="Q20" s="393" t="s">
        <v>134</v>
      </c>
      <c r="R20" s="216">
        <f>P20*N20</f>
        <v>28.466947531689041</v>
      </c>
      <c r="T20" s="196"/>
    </row>
    <row r="21" spans="2:24">
      <c r="B21" s="370" t="s">
        <v>1498</v>
      </c>
      <c r="C21" s="370"/>
      <c r="F21" s="210"/>
      <c r="G21" s="196"/>
      <c r="H21" s="372"/>
      <c r="I21" s="376"/>
      <c r="J21" s="196"/>
      <c r="K21" s="375"/>
      <c r="L21" s="401"/>
      <c r="M21" s="196"/>
      <c r="N21" s="524">
        <v>47.112887207178403</v>
      </c>
      <c r="O21" s="178" t="s">
        <v>133</v>
      </c>
      <c r="P21" s="490">
        <v>0.51</v>
      </c>
      <c r="Q21" s="393" t="s">
        <v>134</v>
      </c>
      <c r="R21" s="216">
        <f>P21*N21</f>
        <v>24.027572475660985</v>
      </c>
      <c r="T21" s="196"/>
    </row>
    <row r="22" spans="2:24">
      <c r="B22" s="370" t="s">
        <v>1499</v>
      </c>
      <c r="C22" s="370"/>
      <c r="F22" s="210"/>
      <c r="G22" s="196"/>
      <c r="H22" s="372"/>
      <c r="I22" s="376"/>
      <c r="J22" s="196"/>
      <c r="K22" s="375"/>
      <c r="L22" s="401"/>
      <c r="M22" s="196"/>
      <c r="N22" s="524">
        <v>12.57917103937065</v>
      </c>
      <c r="O22" s="178" t="s">
        <v>133</v>
      </c>
      <c r="P22" s="490">
        <v>0.51</v>
      </c>
      <c r="Q22" s="393" t="s">
        <v>134</v>
      </c>
      <c r="R22" s="216">
        <f>P22*N22</f>
        <v>6.4153772300790317</v>
      </c>
      <c r="T22" s="196"/>
    </row>
    <row r="23" spans="2:24">
      <c r="B23" s="370" t="s">
        <v>1500</v>
      </c>
      <c r="C23" s="370"/>
      <c r="F23" s="210"/>
      <c r="G23" s="196"/>
      <c r="H23" s="372"/>
      <c r="I23" s="376"/>
      <c r="J23" s="196"/>
      <c r="K23" s="375"/>
      <c r="L23" s="401"/>
      <c r="M23" s="196"/>
      <c r="N23" s="498">
        <v>1005.7120463806142</v>
      </c>
      <c r="O23" s="178" t="s">
        <v>133</v>
      </c>
      <c r="P23" s="593">
        <v>0.51</v>
      </c>
      <c r="Q23" s="393" t="s">
        <v>134</v>
      </c>
      <c r="R23" s="385">
        <f>P23*N23</f>
        <v>512.91314365411324</v>
      </c>
      <c r="T23" s="594"/>
    </row>
    <row r="24" spans="2:24">
      <c r="B24" s="345" t="s">
        <v>1501</v>
      </c>
      <c r="C24" s="370"/>
      <c r="F24" s="216"/>
      <c r="G24" s="178"/>
      <c r="H24" s="373"/>
      <c r="I24" s="403"/>
      <c r="J24" s="178"/>
      <c r="K24" s="178"/>
      <c r="L24" s="178"/>
      <c r="M24" s="178"/>
      <c r="N24" s="581">
        <v>1121.2216488069457</v>
      </c>
      <c r="O24" s="196" t="s">
        <v>133</v>
      </c>
      <c r="P24" s="483">
        <v>0.51</v>
      </c>
      <c r="Q24" s="393" t="s">
        <v>134</v>
      </c>
      <c r="R24" s="210">
        <f>P24*N24</f>
        <v>571.82304089154229</v>
      </c>
      <c r="T24" s="196">
        <f>N24-R24</f>
        <v>549.39860791540343</v>
      </c>
    </row>
    <row r="25" spans="2:24">
      <c r="B25" s="370"/>
      <c r="C25" s="370"/>
      <c r="F25" s="216"/>
      <c r="G25" s="178"/>
      <c r="H25" s="373"/>
      <c r="I25" s="403"/>
      <c r="J25" s="178"/>
      <c r="K25" s="414"/>
      <c r="L25" s="208"/>
      <c r="M25" s="178"/>
      <c r="N25" s="216"/>
      <c r="P25" s="493"/>
      <c r="Q25" s="494"/>
      <c r="R25" s="216"/>
      <c r="T25" s="178"/>
    </row>
    <row r="26" spans="2:24">
      <c r="B26" s="370" t="s">
        <v>138</v>
      </c>
      <c r="C26" s="370"/>
      <c r="F26" s="216"/>
      <c r="G26" s="178"/>
      <c r="H26" s="373"/>
      <c r="I26" s="403"/>
      <c r="J26" s="414"/>
      <c r="K26" s="414"/>
      <c r="L26" s="178"/>
      <c r="M26" s="178"/>
      <c r="N26" s="370"/>
      <c r="P26" s="493"/>
      <c r="Q26" s="494"/>
      <c r="R26" s="370"/>
    </row>
    <row r="27" spans="2:24">
      <c r="B27" s="370" t="s">
        <v>22</v>
      </c>
      <c r="C27" s="370"/>
      <c r="E27" s="367" t="s">
        <v>136</v>
      </c>
      <c r="F27" s="484">
        <v>335.45370642857142</v>
      </c>
      <c r="G27" s="178" t="s">
        <v>133</v>
      </c>
      <c r="H27" s="214">
        <f>J48</f>
        <v>6.82</v>
      </c>
      <c r="I27" s="178" t="s">
        <v>134</v>
      </c>
      <c r="N27" s="216">
        <f>(F27*H27)</f>
        <v>2287.7942778428574</v>
      </c>
      <c r="O27" s="178" t="s">
        <v>133</v>
      </c>
      <c r="P27" s="490">
        <v>0</v>
      </c>
      <c r="Q27" s="393" t="s">
        <v>134</v>
      </c>
      <c r="R27" s="385">
        <f>P27*N27</f>
        <v>0</v>
      </c>
    </row>
    <row r="28" spans="2:24">
      <c r="B28" s="345" t="s">
        <v>137</v>
      </c>
      <c r="C28" s="370"/>
      <c r="R28" s="210">
        <f>R27</f>
        <v>0</v>
      </c>
    </row>
    <row r="29" spans="2:24">
      <c r="D29" s="345"/>
      <c r="E29" s="381"/>
      <c r="F29" s="381"/>
      <c r="G29" s="381"/>
      <c r="H29" s="381"/>
      <c r="I29" s="381"/>
      <c r="J29" s="381"/>
      <c r="K29" s="381"/>
    </row>
    <row r="30" spans="2:24" ht="12.6" thickBot="1">
      <c r="B30" s="382" t="s">
        <v>141</v>
      </c>
      <c r="D30" s="345"/>
      <c r="E30" s="381"/>
      <c r="H30" s="381"/>
      <c r="I30" s="381"/>
      <c r="J30" s="374">
        <f>J18</f>
        <v>9536.9022578295462</v>
      </c>
      <c r="L30" s="444"/>
      <c r="T30" s="460" t="s">
        <v>544</v>
      </c>
      <c r="U30" s="520"/>
      <c r="V30" s="520"/>
      <c r="W30" s="520"/>
      <c r="X30" s="520"/>
    </row>
    <row r="31" spans="2:24" ht="12.6" thickTop="1">
      <c r="B31" s="383" t="s">
        <v>1367</v>
      </c>
      <c r="D31" s="386"/>
      <c r="E31" s="381"/>
      <c r="G31" s="381"/>
      <c r="H31" s="381"/>
      <c r="I31" s="381"/>
      <c r="J31" s="216">
        <f>-PROX!E12</f>
        <v>-4152.5488575867821</v>
      </c>
      <c r="L31" s="444"/>
    </row>
    <row r="32" spans="2:24">
      <c r="B32" s="384" t="s">
        <v>1502</v>
      </c>
      <c r="D32" s="345"/>
      <c r="E32" s="381"/>
      <c r="G32" s="381"/>
      <c r="H32" s="381"/>
      <c r="I32" s="381"/>
      <c r="J32" s="484">
        <v>-429.70309048634181</v>
      </c>
      <c r="L32" s="444"/>
    </row>
    <row r="33" spans="2:12">
      <c r="B33" s="384" t="s">
        <v>1503</v>
      </c>
      <c r="D33" s="345"/>
      <c r="E33" s="381"/>
      <c r="G33" s="381"/>
      <c r="H33" s="381"/>
      <c r="I33" s="381"/>
      <c r="J33" s="484">
        <v>-386.25995573252936</v>
      </c>
      <c r="L33" s="444"/>
    </row>
    <row r="34" spans="2:12">
      <c r="B34" s="384" t="s">
        <v>1356</v>
      </c>
      <c r="D34" s="345"/>
      <c r="E34" s="381"/>
      <c r="G34" s="381"/>
      <c r="H34" s="381"/>
      <c r="I34" s="381"/>
      <c r="J34" s="484">
        <v>124.98393437236641</v>
      </c>
      <c r="L34" s="444"/>
    </row>
    <row r="35" spans="2:12">
      <c r="B35" s="384" t="s">
        <v>408</v>
      </c>
      <c r="D35" s="345"/>
      <c r="E35" s="381"/>
      <c r="G35" s="381"/>
      <c r="H35" s="381"/>
      <c r="I35" s="381"/>
      <c r="J35" s="484">
        <v>163.71707598670352</v>
      </c>
      <c r="K35" s="381"/>
      <c r="L35" s="444"/>
    </row>
    <row r="36" spans="2:12">
      <c r="B36" s="384" t="s">
        <v>1504</v>
      </c>
      <c r="D36" s="345"/>
      <c r="E36" s="381"/>
      <c r="G36" s="381"/>
      <c r="H36" s="381"/>
      <c r="I36" s="381"/>
      <c r="J36" s="484">
        <v>-180</v>
      </c>
      <c r="K36" s="381"/>
      <c r="L36" s="444"/>
    </row>
    <row r="37" spans="2:12">
      <c r="B37" s="384" t="s">
        <v>1505</v>
      </c>
      <c r="D37" s="345"/>
      <c r="E37" s="381"/>
      <c r="H37" s="381"/>
      <c r="I37" s="381"/>
      <c r="J37" s="484">
        <v>0</v>
      </c>
      <c r="K37" s="367" t="s">
        <v>1508</v>
      </c>
      <c r="L37" s="444"/>
    </row>
    <row r="38" spans="2:12">
      <c r="B38" s="384" t="s">
        <v>1506</v>
      </c>
      <c r="D38" s="345"/>
      <c r="E38" s="381"/>
      <c r="H38" s="381"/>
      <c r="I38" s="381"/>
      <c r="J38" s="484">
        <v>0</v>
      </c>
      <c r="K38" s="381"/>
      <c r="L38" s="444"/>
    </row>
    <row r="39" spans="2:12">
      <c r="B39" s="384" t="s">
        <v>1507</v>
      </c>
      <c r="D39" s="345"/>
      <c r="E39" s="381"/>
      <c r="H39" s="381"/>
      <c r="I39" s="381"/>
      <c r="J39" s="484">
        <v>-664.27495685555277</v>
      </c>
      <c r="K39" s="367" t="s">
        <v>1509</v>
      </c>
      <c r="L39" s="444"/>
    </row>
    <row r="40" spans="2:12">
      <c r="B40" s="384" t="s">
        <v>1024</v>
      </c>
      <c r="J40" s="216">
        <f>-T24+-T18</f>
        <v>-1168.4688136946097</v>
      </c>
      <c r="K40" s="381"/>
      <c r="L40" s="426"/>
    </row>
    <row r="41" spans="2:12">
      <c r="B41" s="384" t="s">
        <v>1056</v>
      </c>
      <c r="J41" s="445">
        <v>0</v>
      </c>
      <c r="K41" s="381"/>
      <c r="L41" s="426"/>
    </row>
    <row r="42" spans="2:12">
      <c r="B42" s="382" t="s">
        <v>490</v>
      </c>
      <c r="D42" s="345"/>
      <c r="E42" s="381"/>
      <c r="G42" s="381"/>
      <c r="H42" s="381"/>
      <c r="I42" s="381"/>
      <c r="J42" s="210">
        <f>SUM(J30:J41)</f>
        <v>2844.3475938327992</v>
      </c>
      <c r="K42" s="381"/>
      <c r="L42" s="426"/>
    </row>
    <row r="43" spans="2:12" ht="12.6" thickBot="1">
      <c r="B43" s="384" t="s">
        <v>491</v>
      </c>
      <c r="D43" s="370"/>
      <c r="J43" s="216">
        <f>PROX!D10</f>
        <v>323.435135</v>
      </c>
      <c r="K43" s="381"/>
      <c r="L43" s="426"/>
    </row>
    <row r="44" spans="2:12" ht="12.6" thickBot="1">
      <c r="B44" s="382" t="s">
        <v>492</v>
      </c>
      <c r="D44" s="370"/>
      <c r="J44" s="461">
        <f>J42/J43</f>
        <v>8.7941824682491561</v>
      </c>
      <c r="K44" s="381"/>
      <c r="L44" s="426"/>
    </row>
    <row r="45" spans="2:12">
      <c r="B45" s="384" t="s">
        <v>691</v>
      </c>
      <c r="D45" s="370"/>
      <c r="J45" s="485">
        <v>0.5</v>
      </c>
      <c r="K45" s="381"/>
      <c r="L45" s="426"/>
    </row>
    <row r="46" spans="2:12" ht="12.6" thickBot="1">
      <c r="B46" s="384" t="s">
        <v>1489</v>
      </c>
      <c r="D46" s="370"/>
      <c r="J46" s="485">
        <v>0</v>
      </c>
      <c r="K46" s="381"/>
      <c r="L46" s="426"/>
    </row>
    <row r="47" spans="2:12" ht="12.6" thickBot="1">
      <c r="B47" s="382" t="s">
        <v>61</v>
      </c>
      <c r="D47" s="370"/>
      <c r="J47" s="461">
        <f>J44+J45+J46</f>
        <v>9.2941824682491561</v>
      </c>
      <c r="L47" s="426"/>
    </row>
    <row r="48" spans="2:12">
      <c r="B48" s="384" t="s">
        <v>493</v>
      </c>
      <c r="D48" s="370"/>
      <c r="J48" s="373">
        <f>Prices!C13</f>
        <v>6.82</v>
      </c>
      <c r="K48" s="381"/>
      <c r="L48" s="426"/>
    </row>
    <row r="49" spans="2:24">
      <c r="B49" s="382" t="s">
        <v>96</v>
      </c>
      <c r="D49" s="345"/>
      <c r="E49" s="381"/>
      <c r="H49" s="381"/>
      <c r="I49" s="381"/>
      <c r="J49" s="387">
        <f>J47/J48-1</f>
        <v>0.36278335311571208</v>
      </c>
      <c r="K49" s="381"/>
    </row>
    <row r="50" spans="2:24" ht="12.6" thickBot="1">
      <c r="B50" s="384"/>
      <c r="D50" s="370"/>
      <c r="J50" s="427"/>
      <c r="T50" s="460" t="s">
        <v>544</v>
      </c>
      <c r="U50" s="368"/>
      <c r="V50" s="368"/>
      <c r="W50" s="368"/>
      <c r="X50" s="368"/>
    </row>
    <row r="51" spans="2:24" ht="12.6" thickTop="1">
      <c r="B51" s="382"/>
      <c r="D51" s="345"/>
      <c r="E51" s="381"/>
      <c r="F51" s="381"/>
      <c r="G51" s="381"/>
      <c r="H51" s="381"/>
      <c r="I51" s="381"/>
      <c r="J51" s="387"/>
      <c r="K51" s="381"/>
      <c r="T51" s="370" t="s">
        <v>1510</v>
      </c>
      <c r="X51" s="215">
        <f>J11/($J$30+$R$24)</f>
        <v>0.61426726476509763</v>
      </c>
    </row>
    <row r="52" spans="2:24">
      <c r="D52" s="345"/>
      <c r="E52" s="381"/>
      <c r="F52" s="381"/>
      <c r="G52" s="381"/>
      <c r="H52" s="381"/>
      <c r="I52" s="381"/>
      <c r="J52" s="381"/>
      <c r="K52" s="381"/>
      <c r="T52" s="370" t="s">
        <v>1511</v>
      </c>
      <c r="X52" s="215">
        <f>J16/($J$30+$R$24)</f>
        <v>0.32916546052976359</v>
      </c>
    </row>
    <row r="53" spans="2:24">
      <c r="D53" s="345"/>
      <c r="E53" s="381"/>
      <c r="F53" s="381"/>
      <c r="G53" s="381"/>
      <c r="H53" s="381"/>
      <c r="I53" s="381"/>
      <c r="J53" s="381"/>
      <c r="T53" s="370" t="s">
        <v>1359</v>
      </c>
      <c r="X53" s="215">
        <f>R24/($J$30+$R$24)</f>
        <v>5.6567274705138816E-2</v>
      </c>
    </row>
    <row r="54" spans="2:24">
      <c r="D54" s="345"/>
      <c r="E54" s="381"/>
      <c r="F54" s="381"/>
      <c r="G54" s="381"/>
      <c r="H54" s="381"/>
      <c r="I54" s="381"/>
      <c r="J54" s="381"/>
    </row>
    <row r="55" spans="2:24">
      <c r="E55" s="386"/>
      <c r="F55" s="381"/>
      <c r="G55" s="381"/>
      <c r="H55" s="381"/>
      <c r="I55" s="381"/>
      <c r="J55" s="381"/>
    </row>
    <row r="56" spans="2:24">
      <c r="E56" s="386"/>
      <c r="F56" s="381"/>
      <c r="G56" s="381"/>
      <c r="H56" s="381"/>
      <c r="I56" s="381"/>
      <c r="J56" s="381"/>
    </row>
    <row r="57" spans="2:24">
      <c r="D57" s="345"/>
      <c r="E57" s="345"/>
      <c r="F57" s="345"/>
      <c r="G57" s="345"/>
      <c r="H57" s="345"/>
      <c r="I57" s="345"/>
    </row>
    <row r="58" spans="2:24">
      <c r="D58" s="345"/>
      <c r="E58" s="345"/>
      <c r="F58" s="345"/>
      <c r="G58" s="345"/>
      <c r="H58" s="345"/>
      <c r="I58" s="345"/>
    </row>
    <row r="59" spans="2:24">
      <c r="D59" s="345"/>
      <c r="E59" s="345"/>
      <c r="F59" s="345"/>
      <c r="G59" s="345"/>
      <c r="H59" s="345"/>
      <c r="I59" s="345"/>
    </row>
    <row r="60" spans="2:24">
      <c r="D60" s="345"/>
      <c r="E60" s="345"/>
      <c r="F60" s="345"/>
      <c r="G60" s="345"/>
      <c r="H60" s="345"/>
      <c r="I60" s="345"/>
    </row>
    <row r="61" spans="2:24">
      <c r="D61" s="345"/>
      <c r="E61" s="345"/>
      <c r="F61" s="345"/>
      <c r="G61" s="345"/>
      <c r="H61" s="345"/>
      <c r="I61" s="345"/>
    </row>
    <row r="62" spans="2:24">
      <c r="D62" s="345"/>
      <c r="E62" s="345"/>
      <c r="F62" s="345"/>
      <c r="G62" s="345"/>
      <c r="H62" s="345"/>
      <c r="I62" s="345"/>
      <c r="Q62" s="249"/>
      <c r="R62" s="249"/>
    </row>
    <row r="63" spans="2:24">
      <c r="D63" s="345"/>
      <c r="E63" s="345"/>
      <c r="F63" s="345"/>
      <c r="G63" s="345"/>
      <c r="H63" s="345"/>
      <c r="I63" s="345"/>
      <c r="Q63" s="388"/>
      <c r="R63" s="388"/>
    </row>
    <row r="64" spans="2:24">
      <c r="D64" s="345"/>
      <c r="E64" s="345"/>
      <c r="F64" s="345"/>
      <c r="G64" s="345"/>
      <c r="H64" s="345"/>
      <c r="I64" s="345"/>
    </row>
    <row r="65" spans="4:24">
      <c r="D65" s="345"/>
      <c r="E65" s="381"/>
      <c r="F65" s="381"/>
      <c r="G65" s="381"/>
      <c r="H65" s="381"/>
      <c r="I65" s="381"/>
      <c r="L65" s="249"/>
      <c r="M65" s="249"/>
      <c r="N65" s="249"/>
      <c r="O65" s="249"/>
      <c r="P65" s="249"/>
    </row>
    <row r="66" spans="4:24">
      <c r="D66" s="345"/>
      <c r="E66" s="381"/>
      <c r="F66" s="381"/>
      <c r="G66" s="381"/>
      <c r="H66" s="381"/>
      <c r="I66" s="381"/>
      <c r="N66" s="388"/>
      <c r="O66" s="388"/>
      <c r="P66" s="388"/>
      <c r="Q66" s="249"/>
      <c r="R66" s="249"/>
    </row>
    <row r="67" spans="4:24">
      <c r="D67" s="370"/>
      <c r="E67" s="381"/>
      <c r="F67" s="381"/>
      <c r="G67" s="381"/>
      <c r="H67" s="381"/>
      <c r="I67" s="381"/>
      <c r="Q67" s="388"/>
      <c r="R67" s="388"/>
    </row>
    <row r="68" spans="4:24">
      <c r="D68" s="370"/>
      <c r="E68" s="381"/>
      <c r="F68" s="381"/>
      <c r="G68" s="381"/>
      <c r="H68" s="381"/>
      <c r="I68" s="381"/>
    </row>
    <row r="69" spans="4:24">
      <c r="D69" s="370"/>
      <c r="L69" s="249"/>
      <c r="M69" s="249"/>
      <c r="N69" s="249"/>
      <c r="O69" s="249"/>
      <c r="P69" s="249"/>
      <c r="Q69" s="249"/>
      <c r="R69" s="249"/>
    </row>
    <row r="70" spans="4:24">
      <c r="D70" s="345"/>
      <c r="E70" s="381"/>
      <c r="F70" s="381"/>
      <c r="G70" s="381"/>
      <c r="H70" s="381"/>
      <c r="I70" s="381"/>
      <c r="N70" s="388"/>
      <c r="O70" s="388"/>
      <c r="P70" s="388"/>
      <c r="Q70" s="388"/>
      <c r="R70" s="388"/>
    </row>
    <row r="71" spans="4:24">
      <c r="D71" s="370"/>
      <c r="E71" s="381"/>
      <c r="F71" s="381"/>
      <c r="G71" s="381"/>
      <c r="H71" s="381"/>
      <c r="I71" s="381"/>
    </row>
    <row r="72" spans="4:24">
      <c r="D72" s="370"/>
      <c r="E72" s="381"/>
      <c r="F72" s="381"/>
      <c r="G72" s="381"/>
      <c r="H72" s="381"/>
      <c r="I72" s="381"/>
      <c r="L72" s="249"/>
      <c r="M72" s="249"/>
      <c r="N72" s="249"/>
      <c r="O72" s="249"/>
      <c r="P72" s="249"/>
      <c r="Q72" s="249"/>
      <c r="R72" s="249"/>
      <c r="S72" s="249"/>
      <c r="T72" s="249"/>
      <c r="U72" s="249"/>
      <c r="V72" s="249"/>
      <c r="W72" s="249"/>
      <c r="X72" s="249"/>
    </row>
    <row r="73" spans="4:24">
      <c r="D73" s="370"/>
      <c r="K73" s="381"/>
      <c r="N73" s="388"/>
      <c r="O73" s="388"/>
      <c r="P73" s="388"/>
      <c r="Q73" s="388"/>
      <c r="R73" s="388"/>
      <c r="S73" s="388"/>
      <c r="T73" s="388"/>
      <c r="U73" s="388"/>
      <c r="V73" s="388"/>
      <c r="W73" s="388"/>
      <c r="X73" s="388"/>
    </row>
    <row r="74" spans="4:24">
      <c r="D74" s="370"/>
      <c r="K74" s="381"/>
    </row>
    <row r="75" spans="4:24">
      <c r="D75" s="370"/>
      <c r="J75" s="381"/>
      <c r="L75" s="249"/>
      <c r="M75" s="249"/>
      <c r="N75" s="249"/>
      <c r="O75" s="249"/>
      <c r="P75" s="249"/>
      <c r="Q75" s="249"/>
      <c r="R75" s="249"/>
    </row>
    <row r="76" spans="4:24">
      <c r="D76" s="370"/>
      <c r="J76" s="381"/>
      <c r="K76" s="381"/>
      <c r="N76" s="388"/>
      <c r="O76" s="388"/>
      <c r="P76" s="388"/>
      <c r="Q76" s="388"/>
      <c r="R76" s="388"/>
      <c r="S76" s="249"/>
      <c r="T76" s="249"/>
      <c r="U76" s="249"/>
      <c r="V76" s="249"/>
      <c r="W76" s="249"/>
      <c r="X76" s="249"/>
    </row>
    <row r="77" spans="4:24">
      <c r="D77" s="370"/>
      <c r="K77" s="381"/>
      <c r="Q77" s="389"/>
      <c r="R77" s="389"/>
      <c r="S77" s="388"/>
      <c r="T77" s="388"/>
      <c r="U77" s="388"/>
      <c r="V77" s="388"/>
      <c r="W77" s="388"/>
      <c r="X77" s="388"/>
    </row>
    <row r="78" spans="4:24">
      <c r="D78" s="370"/>
      <c r="J78" s="381"/>
      <c r="K78" s="381"/>
      <c r="L78" s="249"/>
      <c r="M78" s="249"/>
      <c r="N78" s="249"/>
      <c r="O78" s="249"/>
      <c r="P78" s="249"/>
      <c r="Q78" s="388"/>
      <c r="R78" s="388"/>
    </row>
    <row r="79" spans="4:24">
      <c r="D79" s="370"/>
      <c r="J79" s="381"/>
      <c r="N79" s="388"/>
      <c r="O79" s="388"/>
      <c r="P79" s="388"/>
      <c r="S79" s="249"/>
      <c r="T79" s="249"/>
      <c r="U79" s="249"/>
      <c r="V79" s="249"/>
      <c r="W79" s="249"/>
      <c r="X79" s="249"/>
    </row>
    <row r="80" spans="4:24">
      <c r="D80" s="370"/>
      <c r="J80" s="381"/>
      <c r="L80" s="389"/>
      <c r="M80" s="389"/>
      <c r="N80" s="389"/>
      <c r="O80" s="389"/>
      <c r="P80" s="389"/>
      <c r="Q80" s="249"/>
      <c r="R80" s="249"/>
      <c r="S80" s="388"/>
      <c r="T80" s="388"/>
      <c r="U80" s="388"/>
      <c r="V80" s="388"/>
      <c r="W80" s="388"/>
      <c r="X80" s="388"/>
    </row>
    <row r="81" spans="4:24">
      <c r="D81" s="370"/>
      <c r="K81" s="381"/>
      <c r="N81" s="388"/>
      <c r="O81" s="388"/>
      <c r="P81" s="388"/>
      <c r="Q81" s="390"/>
      <c r="R81" s="390"/>
    </row>
    <row r="82" spans="4:24">
      <c r="D82" s="345"/>
      <c r="E82" s="381"/>
      <c r="F82" s="381"/>
      <c r="G82" s="381"/>
      <c r="H82" s="381"/>
      <c r="I82" s="381"/>
      <c r="K82" s="381"/>
      <c r="Q82" s="249"/>
      <c r="R82" s="249"/>
      <c r="S82" s="249"/>
      <c r="T82" s="249"/>
      <c r="U82" s="249"/>
      <c r="V82" s="249"/>
      <c r="W82" s="249"/>
      <c r="X82" s="249"/>
    </row>
    <row r="83" spans="4:24">
      <c r="D83" s="370"/>
      <c r="J83" s="381"/>
      <c r="L83" s="249"/>
      <c r="M83" s="249"/>
      <c r="N83" s="249"/>
      <c r="O83" s="249"/>
      <c r="P83" s="249"/>
      <c r="Q83" s="388"/>
      <c r="R83" s="388"/>
      <c r="S83" s="388"/>
      <c r="T83" s="388"/>
      <c r="U83" s="388"/>
      <c r="V83" s="388"/>
      <c r="W83" s="388"/>
      <c r="X83" s="388"/>
    </row>
    <row r="84" spans="4:24">
      <c r="D84" s="370"/>
      <c r="J84" s="381"/>
      <c r="N84" s="388"/>
      <c r="O84" s="388"/>
      <c r="P84" s="390"/>
      <c r="Q84" s="248"/>
      <c r="R84" s="248"/>
    </row>
    <row r="85" spans="4:24">
      <c r="D85" s="345"/>
      <c r="E85" s="381"/>
      <c r="F85" s="381"/>
      <c r="G85" s="381"/>
      <c r="H85" s="381"/>
      <c r="I85" s="381"/>
      <c r="L85" s="249"/>
      <c r="M85" s="249"/>
      <c r="N85" s="249"/>
      <c r="O85" s="249"/>
      <c r="P85" s="249"/>
      <c r="S85" s="249"/>
      <c r="T85" s="249"/>
      <c r="U85" s="249"/>
      <c r="V85" s="249"/>
      <c r="W85" s="249"/>
      <c r="X85" s="249"/>
    </row>
    <row r="86" spans="4:24">
      <c r="D86" s="370"/>
      <c r="N86" s="388"/>
      <c r="O86" s="388"/>
      <c r="P86" s="388"/>
      <c r="Q86" s="247"/>
      <c r="R86" s="247"/>
      <c r="S86" s="388"/>
      <c r="T86" s="388"/>
      <c r="U86" s="388"/>
      <c r="V86" s="388"/>
      <c r="W86" s="388"/>
      <c r="X86" s="388"/>
    </row>
    <row r="87" spans="4:24">
      <c r="D87" s="345"/>
      <c r="E87" s="381"/>
      <c r="F87" s="381"/>
      <c r="G87" s="381"/>
      <c r="H87" s="381"/>
      <c r="I87" s="381"/>
      <c r="L87" s="248"/>
      <c r="M87" s="248"/>
      <c r="N87" s="248"/>
      <c r="O87" s="248"/>
      <c r="P87" s="248"/>
      <c r="Q87" s="388"/>
      <c r="R87" s="388"/>
      <c r="S87" s="389"/>
      <c r="T87" s="389"/>
      <c r="U87" s="389"/>
      <c r="V87" s="389"/>
      <c r="W87" s="389"/>
      <c r="X87" s="389"/>
    </row>
    <row r="88" spans="4:24">
      <c r="D88" s="370"/>
      <c r="E88" s="381"/>
      <c r="F88" s="381"/>
      <c r="G88" s="381"/>
      <c r="H88" s="381"/>
      <c r="I88" s="381"/>
      <c r="S88" s="388"/>
      <c r="T88" s="388"/>
      <c r="U88" s="388"/>
      <c r="V88" s="388"/>
      <c r="W88" s="388"/>
      <c r="X88" s="388"/>
    </row>
    <row r="89" spans="4:24">
      <c r="D89" s="370"/>
      <c r="L89" s="247"/>
      <c r="M89" s="247"/>
      <c r="N89" s="247"/>
      <c r="O89" s="247"/>
      <c r="P89" s="247"/>
      <c r="Q89" s="389"/>
      <c r="R89" s="389"/>
    </row>
    <row r="90" spans="4:24">
      <c r="D90" s="370"/>
      <c r="N90" s="388"/>
      <c r="O90" s="388"/>
      <c r="P90" s="388"/>
      <c r="Q90" s="388"/>
      <c r="R90" s="388"/>
      <c r="S90" s="249"/>
      <c r="T90" s="249"/>
      <c r="U90" s="249"/>
      <c r="V90" s="249"/>
      <c r="W90" s="249"/>
      <c r="X90" s="249"/>
    </row>
    <row r="91" spans="4:24">
      <c r="D91" s="345"/>
      <c r="E91" s="381"/>
      <c r="F91" s="381"/>
      <c r="G91" s="381"/>
      <c r="H91" s="381"/>
      <c r="I91" s="381"/>
      <c r="S91" s="390"/>
      <c r="T91" s="390"/>
      <c r="U91" s="390"/>
      <c r="V91" s="390"/>
      <c r="W91" s="390"/>
      <c r="X91" s="390"/>
    </row>
    <row r="92" spans="4:24">
      <c r="D92" s="370"/>
      <c r="E92" s="381"/>
      <c r="F92" s="381"/>
      <c r="G92" s="381"/>
      <c r="H92" s="381"/>
      <c r="I92" s="381"/>
      <c r="L92" s="389"/>
      <c r="M92" s="389"/>
      <c r="N92" s="389"/>
      <c r="O92" s="389"/>
      <c r="P92" s="389"/>
      <c r="Q92" s="391"/>
      <c r="R92" s="391"/>
      <c r="S92" s="249"/>
      <c r="T92" s="249"/>
      <c r="U92" s="249"/>
      <c r="V92" s="249"/>
      <c r="W92" s="249"/>
      <c r="X92" s="249"/>
    </row>
    <row r="93" spans="4:24">
      <c r="D93" s="370"/>
      <c r="K93" s="381"/>
      <c r="N93" s="388"/>
      <c r="O93" s="388"/>
      <c r="P93" s="388"/>
      <c r="Q93" s="388"/>
      <c r="R93" s="388"/>
      <c r="S93" s="388"/>
      <c r="T93" s="388"/>
      <c r="U93" s="388"/>
      <c r="V93" s="388"/>
      <c r="W93" s="388"/>
      <c r="X93" s="388"/>
    </row>
    <row r="94" spans="4:24">
      <c r="D94" s="345"/>
      <c r="E94" s="381"/>
      <c r="F94" s="381"/>
      <c r="G94" s="381"/>
      <c r="H94" s="381"/>
      <c r="I94" s="381"/>
      <c r="K94" s="381"/>
      <c r="Q94" s="248"/>
      <c r="R94" s="248"/>
      <c r="S94" s="248"/>
      <c r="T94" s="248"/>
      <c r="U94" s="248"/>
      <c r="V94" s="248"/>
      <c r="W94" s="248"/>
      <c r="X94" s="248"/>
    </row>
    <row r="95" spans="4:24">
      <c r="D95" s="370"/>
      <c r="J95" s="381"/>
      <c r="L95" s="391"/>
      <c r="M95" s="391"/>
      <c r="N95" s="391"/>
      <c r="O95" s="391"/>
      <c r="P95" s="391"/>
    </row>
    <row r="96" spans="4:24">
      <c r="D96" s="370"/>
      <c r="J96" s="381"/>
      <c r="N96" s="388"/>
      <c r="O96" s="388"/>
      <c r="P96" s="388"/>
      <c r="Q96" s="247"/>
      <c r="R96" s="247"/>
      <c r="S96" s="247"/>
      <c r="T96" s="247"/>
      <c r="U96" s="247"/>
      <c r="V96" s="247"/>
      <c r="W96" s="247"/>
      <c r="X96" s="247"/>
    </row>
    <row r="97" spans="4:24">
      <c r="D97" s="345"/>
      <c r="E97" s="381"/>
      <c r="F97" s="381"/>
      <c r="G97" s="381"/>
      <c r="H97" s="381"/>
      <c r="I97" s="381"/>
      <c r="K97" s="381"/>
      <c r="N97" s="248"/>
      <c r="O97" s="248"/>
      <c r="P97" s="248"/>
      <c r="Q97" s="388"/>
      <c r="R97" s="388"/>
      <c r="S97" s="388"/>
      <c r="T97" s="388"/>
      <c r="U97" s="388"/>
      <c r="V97" s="388"/>
      <c r="W97" s="388"/>
      <c r="X97" s="388"/>
    </row>
    <row r="98" spans="4:24">
      <c r="D98" s="370"/>
      <c r="K98" s="381"/>
      <c r="Q98" s="274"/>
      <c r="R98" s="274"/>
    </row>
    <row r="99" spans="4:24">
      <c r="D99" s="370"/>
      <c r="J99" s="381"/>
      <c r="L99" s="247"/>
      <c r="M99" s="247"/>
      <c r="N99" s="247"/>
      <c r="O99" s="247"/>
      <c r="P99" s="247"/>
      <c r="S99" s="389"/>
      <c r="T99" s="389"/>
      <c r="U99" s="389"/>
      <c r="V99" s="389"/>
      <c r="W99" s="389"/>
      <c r="X99" s="389"/>
    </row>
    <row r="100" spans="4:24">
      <c r="D100" s="370"/>
      <c r="J100" s="381"/>
      <c r="N100" s="388"/>
      <c r="O100" s="388"/>
      <c r="P100" s="388"/>
      <c r="Q100" s="389"/>
      <c r="R100" s="389"/>
      <c r="S100" s="388"/>
      <c r="T100" s="388"/>
      <c r="U100" s="388"/>
      <c r="V100" s="388"/>
      <c r="W100" s="388"/>
      <c r="X100" s="388"/>
    </row>
    <row r="101" spans="4:24">
      <c r="D101" s="345"/>
      <c r="E101" s="381"/>
      <c r="F101" s="381"/>
      <c r="G101" s="381"/>
      <c r="H101" s="381"/>
      <c r="I101" s="381"/>
      <c r="K101" s="381"/>
      <c r="L101" s="274"/>
      <c r="M101" s="274"/>
      <c r="N101" s="274"/>
      <c r="O101" s="274"/>
      <c r="P101" s="274"/>
      <c r="Q101" s="388"/>
      <c r="R101" s="388"/>
    </row>
    <row r="102" spans="4:24">
      <c r="D102" s="370"/>
      <c r="S102" s="391"/>
      <c r="T102" s="391"/>
      <c r="U102" s="391"/>
      <c r="V102" s="391"/>
      <c r="W102" s="391"/>
      <c r="X102" s="391"/>
    </row>
    <row r="103" spans="4:24">
      <c r="D103" s="370"/>
      <c r="E103" s="345"/>
      <c r="F103" s="345"/>
      <c r="G103" s="345"/>
      <c r="H103" s="345"/>
      <c r="I103" s="345"/>
      <c r="J103" s="381"/>
      <c r="L103" s="389"/>
      <c r="M103" s="389"/>
      <c r="N103" s="389"/>
      <c r="O103" s="389"/>
      <c r="P103" s="389"/>
      <c r="S103" s="388"/>
      <c r="T103" s="388"/>
      <c r="U103" s="388"/>
      <c r="V103" s="388"/>
      <c r="W103" s="388"/>
      <c r="X103" s="388"/>
    </row>
    <row r="104" spans="4:24">
      <c r="D104" s="370"/>
      <c r="E104" s="345"/>
      <c r="F104" s="345"/>
      <c r="G104" s="345"/>
      <c r="H104" s="345"/>
      <c r="I104" s="345"/>
      <c r="N104" s="388"/>
      <c r="O104" s="388"/>
      <c r="P104" s="388"/>
      <c r="Q104" s="249"/>
      <c r="R104" s="249"/>
      <c r="S104" s="248"/>
      <c r="T104" s="248"/>
      <c r="U104" s="248"/>
      <c r="V104" s="248"/>
      <c r="W104" s="248"/>
      <c r="X104" s="248"/>
    </row>
    <row r="105" spans="4:24">
      <c r="D105" s="370"/>
      <c r="Q105" s="388"/>
      <c r="R105" s="388"/>
    </row>
    <row r="106" spans="4:24">
      <c r="D106" s="370"/>
      <c r="S106" s="247"/>
      <c r="T106" s="247"/>
      <c r="U106" s="247"/>
      <c r="V106" s="247"/>
      <c r="W106" s="247"/>
      <c r="X106" s="247"/>
    </row>
    <row r="107" spans="4:24">
      <c r="D107" s="370"/>
      <c r="L107" s="249"/>
      <c r="M107" s="249"/>
      <c r="N107" s="249"/>
      <c r="O107" s="249"/>
      <c r="P107" s="249"/>
      <c r="Q107" s="249"/>
      <c r="R107" s="249"/>
      <c r="S107" s="388"/>
      <c r="T107" s="388"/>
      <c r="U107" s="388"/>
      <c r="V107" s="388"/>
      <c r="W107" s="388"/>
      <c r="X107" s="388"/>
    </row>
    <row r="108" spans="4:24">
      <c r="D108" s="345"/>
      <c r="E108" s="381"/>
      <c r="F108" s="381"/>
      <c r="G108" s="381"/>
      <c r="H108" s="381"/>
      <c r="I108" s="381"/>
      <c r="N108" s="388"/>
      <c r="O108" s="388"/>
      <c r="P108" s="388"/>
      <c r="Q108" s="390"/>
      <c r="R108" s="390"/>
      <c r="S108" s="274"/>
      <c r="T108" s="274"/>
      <c r="U108" s="274"/>
      <c r="V108" s="274"/>
      <c r="W108" s="274"/>
      <c r="X108" s="274"/>
    </row>
    <row r="109" spans="4:24">
      <c r="D109" s="345"/>
      <c r="E109" s="381"/>
      <c r="F109" s="381"/>
      <c r="G109" s="381"/>
      <c r="H109" s="381"/>
      <c r="I109" s="381"/>
    </row>
    <row r="110" spans="4:24">
      <c r="D110" s="370"/>
      <c r="E110" s="381"/>
      <c r="F110" s="381"/>
      <c r="G110" s="381"/>
      <c r="H110" s="381"/>
      <c r="I110" s="381"/>
      <c r="L110" s="249"/>
      <c r="M110" s="249"/>
      <c r="N110" s="249"/>
      <c r="O110" s="249"/>
      <c r="P110" s="249"/>
      <c r="Q110" s="389"/>
      <c r="R110" s="389"/>
      <c r="S110" s="389"/>
      <c r="T110" s="389"/>
      <c r="U110" s="389"/>
      <c r="V110" s="389"/>
      <c r="W110" s="389"/>
      <c r="X110" s="389"/>
    </row>
    <row r="111" spans="4:24">
      <c r="D111" s="370"/>
      <c r="E111" s="381"/>
      <c r="F111" s="381"/>
      <c r="G111" s="381"/>
      <c r="H111" s="381"/>
      <c r="I111" s="381"/>
      <c r="N111" s="388"/>
      <c r="O111" s="388"/>
      <c r="P111" s="390"/>
      <c r="Q111" s="392"/>
      <c r="R111" s="392"/>
      <c r="S111" s="388"/>
      <c r="T111" s="388"/>
      <c r="U111" s="388"/>
      <c r="V111" s="388"/>
      <c r="W111" s="388"/>
      <c r="X111" s="388"/>
    </row>
    <row r="112" spans="4:24">
      <c r="D112" s="370"/>
      <c r="Q112" s="392"/>
      <c r="R112" s="392"/>
    </row>
    <row r="113" spans="4:24">
      <c r="D113" s="345"/>
      <c r="E113" s="381"/>
      <c r="F113" s="381"/>
      <c r="G113" s="381"/>
      <c r="H113" s="381"/>
      <c r="I113" s="381"/>
      <c r="L113" s="389"/>
      <c r="M113" s="389"/>
      <c r="N113" s="389"/>
      <c r="O113" s="389"/>
      <c r="P113" s="389"/>
    </row>
    <row r="114" spans="4:24">
      <c r="D114" s="370"/>
      <c r="E114" s="381"/>
      <c r="F114" s="381"/>
      <c r="G114" s="381"/>
      <c r="H114" s="381"/>
      <c r="I114" s="381"/>
      <c r="N114" s="392"/>
      <c r="O114" s="392"/>
      <c r="P114" s="392"/>
      <c r="Q114" s="388"/>
      <c r="R114" s="388"/>
      <c r="S114" s="249"/>
      <c r="T114" s="249"/>
      <c r="U114" s="249"/>
      <c r="V114" s="249"/>
      <c r="W114" s="249"/>
      <c r="X114" s="249"/>
    </row>
    <row r="115" spans="4:24">
      <c r="D115" s="370"/>
      <c r="E115" s="381"/>
      <c r="F115" s="381"/>
      <c r="G115" s="381"/>
      <c r="H115" s="381"/>
      <c r="I115" s="381"/>
      <c r="L115" s="392"/>
      <c r="M115" s="392"/>
      <c r="N115" s="392"/>
      <c r="O115" s="392"/>
      <c r="P115" s="392"/>
      <c r="Q115" s="389"/>
      <c r="R115" s="389"/>
      <c r="S115" s="388"/>
      <c r="T115" s="388"/>
      <c r="U115" s="388"/>
      <c r="V115" s="388"/>
      <c r="W115" s="388"/>
      <c r="X115" s="388"/>
    </row>
    <row r="116" spans="4:24">
      <c r="D116" s="370"/>
      <c r="K116" s="381"/>
      <c r="R116" s="392"/>
    </row>
    <row r="117" spans="4:24">
      <c r="D117" s="370"/>
      <c r="K117" s="381"/>
      <c r="L117" s="388"/>
      <c r="M117" s="388"/>
      <c r="N117" s="388"/>
      <c r="O117" s="388"/>
      <c r="P117" s="388"/>
      <c r="S117" s="249"/>
      <c r="T117" s="249"/>
      <c r="U117" s="249"/>
      <c r="V117" s="249"/>
      <c r="W117" s="249"/>
      <c r="X117" s="249"/>
    </row>
    <row r="118" spans="4:24">
      <c r="D118" s="370"/>
      <c r="J118" s="381"/>
      <c r="L118" s="389"/>
      <c r="M118" s="389"/>
      <c r="N118" s="389"/>
      <c r="O118" s="389"/>
      <c r="P118" s="389"/>
      <c r="Q118" s="389"/>
      <c r="R118" s="389"/>
      <c r="S118" s="390"/>
      <c r="T118" s="390"/>
      <c r="U118" s="390"/>
      <c r="V118" s="390"/>
      <c r="W118" s="390"/>
      <c r="X118" s="390"/>
    </row>
    <row r="119" spans="4:24">
      <c r="D119" s="370"/>
      <c r="J119" s="381"/>
      <c r="K119" s="381"/>
      <c r="Q119" s="392"/>
      <c r="R119" s="392"/>
    </row>
    <row r="120" spans="4:24">
      <c r="D120" s="370"/>
      <c r="K120" s="381"/>
      <c r="S120" s="389"/>
      <c r="T120" s="389"/>
      <c r="U120" s="389"/>
      <c r="V120" s="389"/>
      <c r="W120" s="389"/>
      <c r="X120" s="389"/>
    </row>
    <row r="121" spans="4:24">
      <c r="D121" s="370"/>
      <c r="J121" s="381"/>
      <c r="K121" s="381"/>
      <c r="L121" s="389"/>
      <c r="M121" s="389"/>
      <c r="N121" s="389"/>
      <c r="O121" s="389"/>
      <c r="P121" s="389"/>
      <c r="S121" s="392"/>
      <c r="T121" s="392"/>
      <c r="U121" s="392"/>
      <c r="V121" s="392"/>
      <c r="W121" s="392"/>
      <c r="X121" s="392"/>
    </row>
    <row r="122" spans="4:24">
      <c r="D122" s="370"/>
      <c r="J122" s="381"/>
      <c r="N122" s="392"/>
      <c r="O122" s="392"/>
      <c r="P122" s="392"/>
      <c r="S122" s="392"/>
      <c r="T122" s="392"/>
      <c r="U122" s="392"/>
      <c r="V122" s="392"/>
      <c r="W122" s="392"/>
      <c r="X122" s="392"/>
    </row>
    <row r="123" spans="4:24">
      <c r="D123" s="370"/>
      <c r="J123" s="381"/>
    </row>
    <row r="124" spans="4:24">
      <c r="D124" s="370"/>
      <c r="K124" s="381"/>
      <c r="S124" s="388"/>
      <c r="T124" s="388"/>
      <c r="U124" s="388"/>
      <c r="V124" s="388"/>
      <c r="W124" s="388"/>
      <c r="X124" s="388"/>
    </row>
    <row r="125" spans="4:24">
      <c r="D125" s="345"/>
      <c r="E125" s="381"/>
      <c r="F125" s="381"/>
      <c r="G125" s="381"/>
      <c r="H125" s="381"/>
      <c r="I125" s="381"/>
      <c r="K125" s="381"/>
      <c r="S125" s="389"/>
      <c r="T125" s="389"/>
      <c r="U125" s="389"/>
      <c r="V125" s="389"/>
      <c r="W125" s="389"/>
      <c r="X125" s="389"/>
    </row>
    <row r="126" spans="4:24">
      <c r="D126" s="370"/>
      <c r="J126" s="381"/>
      <c r="S126" s="392"/>
      <c r="T126" s="392"/>
      <c r="U126" s="392"/>
      <c r="V126" s="392"/>
      <c r="W126" s="392"/>
      <c r="X126" s="392"/>
    </row>
    <row r="127" spans="4:24">
      <c r="D127" s="370"/>
      <c r="J127" s="381"/>
    </row>
    <row r="128" spans="4:24">
      <c r="D128" s="345"/>
      <c r="E128" s="381"/>
      <c r="F128" s="381"/>
      <c r="G128" s="381"/>
      <c r="H128" s="381"/>
      <c r="I128" s="381"/>
      <c r="S128" s="389"/>
      <c r="T128" s="389"/>
      <c r="U128" s="389"/>
      <c r="V128" s="389"/>
      <c r="W128" s="389"/>
      <c r="X128" s="389"/>
    </row>
    <row r="129" spans="4:24">
      <c r="D129" s="370"/>
      <c r="S129" s="392"/>
      <c r="T129" s="392"/>
      <c r="U129" s="392"/>
      <c r="V129" s="392"/>
      <c r="W129" s="392"/>
      <c r="X129" s="392"/>
    </row>
    <row r="130" spans="4:24">
      <c r="D130" s="345"/>
      <c r="E130" s="381"/>
      <c r="F130" s="381"/>
      <c r="G130" s="381"/>
      <c r="H130" s="381"/>
      <c r="I130" s="381"/>
    </row>
    <row r="131" spans="4:24">
      <c r="D131" s="370"/>
      <c r="E131" s="381"/>
      <c r="F131" s="381"/>
      <c r="G131" s="381"/>
      <c r="H131" s="381"/>
      <c r="I131" s="381"/>
    </row>
    <row r="132" spans="4:24">
      <c r="D132" s="370"/>
    </row>
    <row r="133" spans="4:24">
      <c r="D133" s="370"/>
    </row>
    <row r="134" spans="4:24">
      <c r="D134" s="345"/>
      <c r="E134" s="381"/>
      <c r="F134" s="381"/>
      <c r="G134" s="381"/>
      <c r="H134" s="381"/>
      <c r="I134" s="381"/>
    </row>
    <row r="135" spans="4:24">
      <c r="D135" s="370"/>
      <c r="E135" s="381"/>
      <c r="F135" s="381"/>
      <c r="G135" s="381"/>
      <c r="H135" s="381"/>
      <c r="I135" s="381"/>
    </row>
    <row r="136" spans="4:24">
      <c r="D136" s="370"/>
      <c r="K136" s="381"/>
    </row>
    <row r="137" spans="4:24">
      <c r="D137" s="345"/>
      <c r="E137" s="381"/>
      <c r="F137" s="381"/>
      <c r="G137" s="381"/>
      <c r="H137" s="381"/>
      <c r="I137" s="381"/>
      <c r="K137" s="381"/>
    </row>
    <row r="138" spans="4:24">
      <c r="D138" s="370"/>
      <c r="J138" s="381"/>
    </row>
    <row r="139" spans="4:24">
      <c r="D139" s="370"/>
      <c r="J139" s="381"/>
    </row>
    <row r="140" spans="4:24">
      <c r="D140" s="345"/>
      <c r="E140" s="381"/>
      <c r="F140" s="381"/>
      <c r="G140" s="381"/>
      <c r="H140" s="381"/>
      <c r="I140" s="381"/>
      <c r="K140" s="381"/>
    </row>
    <row r="141" spans="4:24">
      <c r="D141" s="370"/>
      <c r="K141" s="381"/>
    </row>
    <row r="142" spans="4:24">
      <c r="D142" s="370"/>
      <c r="J142" s="381"/>
    </row>
    <row r="143" spans="4:24">
      <c r="D143" s="370"/>
      <c r="J143" s="381"/>
    </row>
    <row r="144" spans="4:24">
      <c r="D144" s="345"/>
      <c r="E144" s="381"/>
      <c r="F144" s="381"/>
      <c r="G144" s="381"/>
      <c r="H144" s="381"/>
      <c r="I144" s="381"/>
      <c r="K144" s="381"/>
    </row>
    <row r="145" spans="4:11">
      <c r="D145" s="370"/>
    </row>
    <row r="146" spans="4:11">
      <c r="D146" s="370"/>
      <c r="E146" s="345"/>
      <c r="F146" s="345"/>
      <c r="G146" s="345"/>
      <c r="H146" s="345"/>
      <c r="I146" s="345"/>
      <c r="J146" s="381"/>
    </row>
    <row r="147" spans="4:11">
      <c r="D147" s="370"/>
      <c r="E147" s="345"/>
      <c r="F147" s="345"/>
      <c r="G147" s="345"/>
      <c r="H147" s="345"/>
      <c r="I147" s="345"/>
    </row>
    <row r="148" spans="4:11">
      <c r="D148" s="370"/>
    </row>
    <row r="149" spans="4:11">
      <c r="D149" s="370"/>
    </row>
    <row r="151" spans="4:11">
      <c r="D151" s="345"/>
      <c r="E151" s="381"/>
      <c r="F151" s="381"/>
      <c r="G151" s="381"/>
      <c r="H151" s="381"/>
      <c r="I151" s="381"/>
    </row>
    <row r="152" spans="4:11">
      <c r="D152" s="345"/>
      <c r="E152" s="381"/>
      <c r="F152" s="381"/>
      <c r="G152" s="381"/>
      <c r="H152" s="381"/>
      <c r="I152" s="381"/>
    </row>
    <row r="153" spans="4:11">
      <c r="D153" s="370"/>
      <c r="E153" s="381"/>
      <c r="F153" s="381"/>
      <c r="G153" s="381"/>
      <c r="H153" s="381"/>
      <c r="I153" s="381"/>
    </row>
    <row r="154" spans="4:11">
      <c r="D154" s="370"/>
      <c r="E154" s="381"/>
      <c r="F154" s="381"/>
      <c r="G154" s="381"/>
      <c r="H154" s="381"/>
      <c r="I154" s="381"/>
    </row>
    <row r="155" spans="4:11">
      <c r="D155" s="370"/>
    </row>
    <row r="156" spans="4:11">
      <c r="D156" s="345"/>
      <c r="E156" s="381"/>
      <c r="F156" s="381"/>
      <c r="G156" s="381"/>
      <c r="H156" s="381"/>
      <c r="I156" s="381"/>
    </row>
    <row r="157" spans="4:11">
      <c r="D157" s="370"/>
      <c r="E157" s="381"/>
      <c r="F157" s="381"/>
      <c r="G157" s="381"/>
      <c r="H157" s="381"/>
      <c r="I157" s="381"/>
    </row>
    <row r="158" spans="4:11">
      <c r="D158" s="370"/>
      <c r="E158" s="381"/>
      <c r="F158" s="381"/>
      <c r="G158" s="381"/>
      <c r="H158" s="381"/>
      <c r="I158" s="381"/>
    </row>
    <row r="159" spans="4:11">
      <c r="D159" s="370"/>
      <c r="K159" s="381"/>
    </row>
    <row r="160" spans="4:11">
      <c r="D160" s="370"/>
      <c r="K160" s="381"/>
    </row>
    <row r="161" spans="4:11">
      <c r="D161" s="370"/>
      <c r="J161" s="381"/>
    </row>
    <row r="162" spans="4:11">
      <c r="D162" s="370"/>
      <c r="J162" s="381"/>
      <c r="K162" s="381"/>
    </row>
    <row r="163" spans="4:11">
      <c r="D163" s="370"/>
      <c r="K163" s="381"/>
    </row>
    <row r="164" spans="4:11">
      <c r="D164" s="370"/>
      <c r="J164" s="381"/>
      <c r="K164" s="381"/>
    </row>
    <row r="165" spans="4:11">
      <c r="D165" s="370"/>
      <c r="J165" s="381"/>
    </row>
    <row r="166" spans="4:11">
      <c r="D166" s="370"/>
      <c r="J166" s="381"/>
    </row>
    <row r="167" spans="4:11">
      <c r="D167" s="370"/>
      <c r="K167" s="381"/>
    </row>
    <row r="168" spans="4:11">
      <c r="D168" s="345"/>
      <c r="E168" s="381"/>
      <c r="F168" s="381"/>
      <c r="G168" s="381"/>
      <c r="H168" s="381"/>
      <c r="I168" s="381"/>
      <c r="K168" s="381"/>
    </row>
    <row r="169" spans="4:11">
      <c r="D169" s="370"/>
      <c r="J169" s="381"/>
    </row>
    <row r="170" spans="4:11">
      <c r="D170" s="370"/>
      <c r="J170" s="381"/>
    </row>
    <row r="171" spans="4:11">
      <c r="D171" s="345"/>
      <c r="E171" s="381"/>
      <c r="F171" s="381"/>
      <c r="G171" s="381"/>
      <c r="H171" s="381"/>
      <c r="I171" s="381"/>
    </row>
    <row r="172" spans="4:11">
      <c r="D172" s="370"/>
    </row>
    <row r="173" spans="4:11">
      <c r="D173" s="345"/>
      <c r="E173" s="381"/>
      <c r="F173" s="381"/>
      <c r="G173" s="381"/>
      <c r="H173" s="381"/>
      <c r="I173" s="381"/>
    </row>
    <row r="174" spans="4:11">
      <c r="D174" s="370"/>
      <c r="E174" s="381"/>
      <c r="F174" s="381"/>
      <c r="G174" s="381"/>
      <c r="H174" s="381"/>
      <c r="I174" s="381"/>
    </row>
    <row r="175" spans="4:11">
      <c r="D175" s="370"/>
    </row>
    <row r="176" spans="4:11">
      <c r="D176" s="370"/>
    </row>
    <row r="177" spans="4:11">
      <c r="D177" s="345"/>
      <c r="E177" s="381"/>
      <c r="F177" s="381"/>
      <c r="G177" s="381"/>
      <c r="H177" s="381"/>
      <c r="I177" s="381"/>
    </row>
    <row r="178" spans="4:11">
      <c r="D178" s="370"/>
      <c r="E178" s="381"/>
      <c r="F178" s="381"/>
      <c r="G178" s="381"/>
      <c r="H178" s="381"/>
      <c r="I178" s="381"/>
    </row>
    <row r="179" spans="4:11">
      <c r="D179" s="370"/>
      <c r="K179" s="381"/>
    </row>
    <row r="180" spans="4:11">
      <c r="D180" s="345"/>
      <c r="E180" s="381"/>
      <c r="F180" s="381"/>
      <c r="G180" s="381"/>
      <c r="H180" s="381"/>
      <c r="I180" s="381"/>
      <c r="K180" s="381"/>
    </row>
    <row r="181" spans="4:11">
      <c r="D181" s="370"/>
      <c r="J181" s="381"/>
    </row>
    <row r="182" spans="4:11">
      <c r="D182" s="370"/>
      <c r="J182" s="381"/>
    </row>
    <row r="183" spans="4:11">
      <c r="D183" s="345"/>
      <c r="E183" s="381"/>
      <c r="F183" s="381"/>
      <c r="G183" s="381"/>
      <c r="H183" s="381"/>
      <c r="I183" s="381"/>
      <c r="K183" s="381"/>
    </row>
    <row r="184" spans="4:11">
      <c r="D184" s="370"/>
      <c r="K184" s="381"/>
    </row>
    <row r="185" spans="4:11">
      <c r="D185" s="370"/>
      <c r="J185" s="381"/>
    </row>
    <row r="186" spans="4:11">
      <c r="D186" s="370"/>
      <c r="J186" s="381"/>
    </row>
    <row r="187" spans="4:11">
      <c r="D187" s="345"/>
      <c r="E187" s="381"/>
      <c r="F187" s="381"/>
      <c r="G187" s="381"/>
      <c r="H187" s="381"/>
      <c r="I187" s="381"/>
      <c r="K187" s="381"/>
    </row>
    <row r="188" spans="4:11">
      <c r="D188" s="370"/>
    </row>
    <row r="189" spans="4:11">
      <c r="D189" s="370"/>
      <c r="E189" s="345"/>
      <c r="F189" s="345"/>
      <c r="G189" s="345"/>
      <c r="H189" s="345"/>
      <c r="I189" s="345"/>
      <c r="J189" s="381"/>
    </row>
    <row r="190" spans="4:11">
      <c r="D190" s="370"/>
      <c r="E190" s="345"/>
      <c r="F190" s="345"/>
      <c r="G190" s="345"/>
      <c r="H190" s="345"/>
      <c r="I190" s="345"/>
    </row>
    <row r="191" spans="4:11">
      <c r="D191" s="370"/>
    </row>
    <row r="192" spans="4:11">
      <c r="D192" s="370"/>
    </row>
    <row r="193" spans="4:11">
      <c r="D193" s="370"/>
    </row>
    <row r="194" spans="4:11">
      <c r="D194" s="345"/>
      <c r="E194" s="381"/>
      <c r="F194" s="381"/>
      <c r="G194" s="381"/>
      <c r="H194" s="381"/>
      <c r="I194" s="381"/>
    </row>
    <row r="195" spans="4:11">
      <c r="D195" s="345"/>
      <c r="E195" s="381"/>
      <c r="F195" s="381"/>
      <c r="G195" s="381"/>
      <c r="H195" s="381"/>
      <c r="I195" s="381"/>
    </row>
    <row r="196" spans="4:11">
      <c r="D196" s="370"/>
      <c r="E196" s="381"/>
      <c r="F196" s="381"/>
      <c r="G196" s="381"/>
      <c r="H196" s="381"/>
      <c r="I196" s="381"/>
    </row>
    <row r="197" spans="4:11">
      <c r="D197" s="370"/>
      <c r="E197" s="381"/>
      <c r="F197" s="381"/>
      <c r="G197" s="381"/>
      <c r="H197" s="381"/>
      <c r="I197" s="381"/>
    </row>
    <row r="198" spans="4:11">
      <c r="D198" s="370"/>
    </row>
    <row r="199" spans="4:11">
      <c r="D199" s="345"/>
      <c r="E199" s="381"/>
      <c r="F199" s="381"/>
      <c r="G199" s="381"/>
      <c r="H199" s="381"/>
      <c r="I199" s="381"/>
    </row>
    <row r="200" spans="4:11">
      <c r="D200" s="370"/>
      <c r="E200" s="381"/>
      <c r="F200" s="381"/>
      <c r="G200" s="381"/>
      <c r="H200" s="381"/>
      <c r="I200" s="381"/>
    </row>
    <row r="201" spans="4:11">
      <c r="D201" s="370"/>
      <c r="E201" s="381"/>
      <c r="F201" s="381"/>
      <c r="G201" s="381"/>
      <c r="H201" s="381"/>
      <c r="I201" s="381"/>
    </row>
    <row r="202" spans="4:11">
      <c r="D202" s="370"/>
      <c r="K202" s="381"/>
    </row>
    <row r="203" spans="4:11">
      <c r="D203" s="370"/>
      <c r="K203" s="381"/>
    </row>
    <row r="204" spans="4:11">
      <c r="D204" s="370"/>
      <c r="J204" s="381"/>
    </row>
    <row r="205" spans="4:11">
      <c r="D205" s="370"/>
      <c r="J205" s="381"/>
      <c r="K205" s="381"/>
    </row>
    <row r="206" spans="4:11">
      <c r="D206" s="370"/>
      <c r="K206" s="381"/>
    </row>
    <row r="207" spans="4:11">
      <c r="D207" s="370"/>
      <c r="J207" s="381"/>
      <c r="K207" s="381"/>
    </row>
    <row r="208" spans="4:11">
      <c r="D208" s="370"/>
      <c r="J208" s="381"/>
    </row>
    <row r="209" spans="4:11">
      <c r="D209" s="370"/>
      <c r="J209" s="381"/>
    </row>
    <row r="210" spans="4:11">
      <c r="D210" s="370"/>
      <c r="K210" s="381"/>
    </row>
    <row r="211" spans="4:11">
      <c r="D211" s="345"/>
      <c r="E211" s="381"/>
      <c r="F211" s="381"/>
      <c r="G211" s="381"/>
      <c r="H211" s="381"/>
      <c r="I211" s="381"/>
      <c r="K211" s="381"/>
    </row>
    <row r="212" spans="4:11">
      <c r="D212" s="370"/>
      <c r="J212" s="381"/>
    </row>
    <row r="213" spans="4:11">
      <c r="D213" s="370"/>
      <c r="J213" s="381"/>
    </row>
    <row r="214" spans="4:11">
      <c r="D214" s="345"/>
      <c r="E214" s="381"/>
      <c r="F214" s="381"/>
      <c r="G214" s="381"/>
      <c r="H214" s="381"/>
      <c r="I214" s="381"/>
    </row>
    <row r="215" spans="4:11">
      <c r="D215" s="370"/>
    </row>
    <row r="216" spans="4:11">
      <c r="D216" s="345"/>
      <c r="E216" s="381"/>
      <c r="F216" s="381"/>
      <c r="G216" s="381"/>
      <c r="H216" s="381"/>
      <c r="I216" s="381"/>
    </row>
    <row r="217" spans="4:11">
      <c r="D217" s="370"/>
      <c r="E217" s="381"/>
      <c r="F217" s="381"/>
      <c r="G217" s="381"/>
      <c r="H217" s="381"/>
      <c r="I217" s="381"/>
    </row>
    <row r="218" spans="4:11">
      <c r="D218" s="370"/>
    </row>
    <row r="219" spans="4:11">
      <c r="D219" s="370"/>
    </row>
    <row r="220" spans="4:11">
      <c r="D220" s="345"/>
      <c r="E220" s="381"/>
      <c r="F220" s="381"/>
      <c r="G220" s="381"/>
      <c r="H220" s="381"/>
      <c r="I220" s="381"/>
    </row>
    <row r="221" spans="4:11">
      <c r="D221" s="370"/>
      <c r="E221" s="381"/>
      <c r="F221" s="381"/>
      <c r="G221" s="381"/>
      <c r="H221" s="381"/>
      <c r="I221" s="381"/>
    </row>
    <row r="222" spans="4:11">
      <c r="D222" s="370"/>
      <c r="K222" s="381"/>
    </row>
    <row r="223" spans="4:11">
      <c r="D223" s="345"/>
      <c r="E223" s="381"/>
      <c r="F223" s="381"/>
      <c r="G223" s="381"/>
      <c r="H223" s="381"/>
      <c r="I223" s="381"/>
      <c r="K223" s="381"/>
    </row>
    <row r="224" spans="4:11">
      <c r="D224" s="370"/>
      <c r="J224" s="381"/>
    </row>
    <row r="225" spans="4:11">
      <c r="D225" s="370"/>
      <c r="J225" s="381"/>
    </row>
    <row r="226" spans="4:11">
      <c r="D226" s="345"/>
      <c r="E226" s="381"/>
      <c r="F226" s="381"/>
      <c r="G226" s="381"/>
      <c r="H226" s="381"/>
      <c r="I226" s="381"/>
      <c r="K226" s="381"/>
    </row>
    <row r="227" spans="4:11">
      <c r="D227" s="370"/>
      <c r="K227" s="381"/>
    </row>
    <row r="228" spans="4:11">
      <c r="D228" s="370"/>
      <c r="J228" s="381"/>
    </row>
    <row r="229" spans="4:11">
      <c r="D229" s="370"/>
      <c r="J229" s="381"/>
    </row>
    <row r="230" spans="4:11">
      <c r="D230" s="345"/>
      <c r="E230" s="381"/>
      <c r="F230" s="381"/>
      <c r="G230" s="381"/>
      <c r="H230" s="381"/>
      <c r="I230" s="381"/>
      <c r="K230" s="381"/>
    </row>
    <row r="231" spans="4:11">
      <c r="D231" s="370"/>
    </row>
    <row r="232" spans="4:11">
      <c r="D232" s="370"/>
      <c r="E232" s="345"/>
      <c r="F232" s="345"/>
      <c r="G232" s="345"/>
      <c r="H232" s="345"/>
      <c r="I232" s="345"/>
      <c r="J232" s="381"/>
    </row>
    <row r="233" spans="4:11">
      <c r="D233" s="370"/>
      <c r="E233" s="345"/>
      <c r="F233" s="345"/>
      <c r="G233" s="345"/>
      <c r="H233" s="345"/>
      <c r="I233" s="345"/>
    </row>
    <row r="234" spans="4:11">
      <c r="D234" s="370"/>
    </row>
    <row r="235" spans="4:11">
      <c r="D235" s="370"/>
    </row>
    <row r="236" spans="4:11">
      <c r="D236" s="370"/>
    </row>
    <row r="237" spans="4:11">
      <c r="D237" s="345"/>
      <c r="E237" s="381"/>
      <c r="F237" s="381"/>
      <c r="G237" s="381"/>
      <c r="H237" s="381"/>
      <c r="I237" s="381"/>
    </row>
    <row r="238" spans="4:11">
      <c r="D238" s="345"/>
      <c r="E238" s="381"/>
      <c r="F238" s="381"/>
      <c r="G238" s="381"/>
      <c r="H238" s="381"/>
      <c r="I238" s="381"/>
    </row>
    <row r="239" spans="4:11">
      <c r="D239" s="370"/>
      <c r="E239" s="381"/>
      <c r="F239" s="381"/>
      <c r="G239" s="381"/>
      <c r="H239" s="381"/>
      <c r="I239" s="381"/>
    </row>
    <row r="240" spans="4:11">
      <c r="D240" s="370"/>
      <c r="E240" s="381"/>
      <c r="F240" s="381"/>
      <c r="G240" s="381"/>
      <c r="H240" s="381"/>
      <c r="I240" s="381"/>
    </row>
    <row r="241" spans="4:11">
      <c r="D241" s="370"/>
    </row>
    <row r="242" spans="4:11">
      <c r="D242" s="345"/>
      <c r="E242" s="381"/>
      <c r="F242" s="381"/>
      <c r="G242" s="381"/>
      <c r="H242" s="381"/>
      <c r="I242" s="381"/>
    </row>
    <row r="243" spans="4:11">
      <c r="D243" s="370"/>
      <c r="E243" s="381"/>
      <c r="F243" s="381"/>
      <c r="G243" s="381"/>
      <c r="H243" s="381"/>
      <c r="I243" s="381"/>
    </row>
    <row r="244" spans="4:11">
      <c r="D244" s="370"/>
      <c r="E244" s="381"/>
      <c r="F244" s="381"/>
      <c r="G244" s="381"/>
      <c r="H244" s="381"/>
      <c r="I244" s="381"/>
    </row>
    <row r="245" spans="4:11">
      <c r="D245" s="370"/>
      <c r="K245" s="381"/>
    </row>
    <row r="246" spans="4:11">
      <c r="D246" s="370"/>
      <c r="K246" s="381"/>
    </row>
    <row r="247" spans="4:11">
      <c r="D247" s="370"/>
      <c r="J247" s="381"/>
    </row>
    <row r="248" spans="4:11">
      <c r="D248" s="370"/>
      <c r="J248" s="381"/>
      <c r="K248" s="381"/>
    </row>
    <row r="249" spans="4:11">
      <c r="D249" s="370"/>
      <c r="K249" s="381"/>
    </row>
    <row r="250" spans="4:11">
      <c r="D250" s="370"/>
      <c r="J250" s="381"/>
      <c r="K250" s="381"/>
    </row>
    <row r="251" spans="4:11">
      <c r="D251" s="370"/>
      <c r="J251" s="381"/>
    </row>
    <row r="252" spans="4:11">
      <c r="D252" s="370"/>
      <c r="J252" s="381"/>
    </row>
    <row r="253" spans="4:11">
      <c r="D253" s="370"/>
      <c r="K253" s="381"/>
    </row>
    <row r="254" spans="4:11">
      <c r="D254" s="345"/>
      <c r="E254" s="381"/>
      <c r="F254" s="381"/>
      <c r="G254" s="381"/>
      <c r="H254" s="381"/>
      <c r="I254" s="381"/>
      <c r="K254" s="381"/>
    </row>
    <row r="255" spans="4:11">
      <c r="D255" s="370"/>
      <c r="J255" s="381"/>
    </row>
    <row r="256" spans="4:11">
      <c r="D256" s="370"/>
      <c r="J256" s="381"/>
    </row>
    <row r="257" spans="4:11">
      <c r="D257" s="345"/>
      <c r="E257" s="381"/>
      <c r="F257" s="381"/>
      <c r="G257" s="381"/>
      <c r="H257" s="381"/>
      <c r="I257" s="381"/>
    </row>
    <row r="258" spans="4:11">
      <c r="D258" s="370"/>
    </row>
    <row r="259" spans="4:11">
      <c r="D259" s="345"/>
      <c r="E259" s="381"/>
      <c r="F259" s="381"/>
      <c r="G259" s="381"/>
      <c r="H259" s="381"/>
      <c r="I259" s="381"/>
    </row>
    <row r="260" spans="4:11">
      <c r="D260" s="370"/>
      <c r="E260" s="381"/>
      <c r="F260" s="381"/>
      <c r="G260" s="381"/>
      <c r="H260" s="381"/>
      <c r="I260" s="381"/>
    </row>
    <row r="261" spans="4:11">
      <c r="D261" s="370"/>
    </row>
    <row r="262" spans="4:11">
      <c r="D262" s="370"/>
    </row>
    <row r="263" spans="4:11">
      <c r="D263" s="345"/>
      <c r="E263" s="381"/>
      <c r="F263" s="381"/>
      <c r="G263" s="381"/>
      <c r="H263" s="381"/>
      <c r="I263" s="381"/>
    </row>
    <row r="264" spans="4:11">
      <c r="D264" s="370"/>
      <c r="E264" s="381"/>
      <c r="F264" s="381"/>
      <c r="G264" s="381"/>
      <c r="H264" s="381"/>
      <c r="I264" s="381"/>
    </row>
    <row r="265" spans="4:11">
      <c r="D265" s="370"/>
      <c r="K265" s="381"/>
    </row>
    <row r="266" spans="4:11">
      <c r="D266" s="345"/>
      <c r="E266" s="381"/>
      <c r="F266" s="381"/>
      <c r="G266" s="381"/>
      <c r="H266" s="381"/>
      <c r="I266" s="381"/>
      <c r="K266" s="381"/>
    </row>
    <row r="267" spans="4:11">
      <c r="D267" s="370"/>
      <c r="J267" s="381"/>
    </row>
    <row r="268" spans="4:11">
      <c r="D268" s="370"/>
      <c r="J268" s="381"/>
    </row>
    <row r="269" spans="4:11">
      <c r="D269" s="345"/>
      <c r="E269" s="381"/>
      <c r="F269" s="381"/>
      <c r="G269" s="381"/>
      <c r="H269" s="381"/>
      <c r="I269" s="381"/>
      <c r="K269" s="381"/>
    </row>
    <row r="270" spans="4:11">
      <c r="D270" s="370"/>
      <c r="K270" s="381"/>
    </row>
    <row r="271" spans="4:11">
      <c r="D271" s="370"/>
      <c r="J271" s="381"/>
    </row>
    <row r="272" spans="4:11">
      <c r="D272" s="370"/>
      <c r="J272" s="381"/>
    </row>
    <row r="273" spans="4:11">
      <c r="D273" s="345"/>
      <c r="E273" s="381"/>
      <c r="F273" s="381"/>
      <c r="G273" s="381"/>
      <c r="H273" s="381"/>
      <c r="I273" s="381"/>
      <c r="K273" s="381"/>
    </row>
    <row r="274" spans="4:11">
      <c r="D274" s="370"/>
    </row>
    <row r="275" spans="4:11">
      <c r="D275" s="370"/>
      <c r="E275" s="345"/>
      <c r="F275" s="345"/>
      <c r="G275" s="345"/>
      <c r="H275" s="345"/>
      <c r="I275" s="345"/>
      <c r="J275" s="381"/>
    </row>
    <row r="276" spans="4:11">
      <c r="D276" s="370"/>
      <c r="E276" s="345"/>
      <c r="F276" s="345"/>
      <c r="G276" s="345"/>
      <c r="H276" s="345"/>
      <c r="I276" s="345"/>
    </row>
    <row r="277" spans="4:11">
      <c r="D277" s="370"/>
    </row>
    <row r="278" spans="4:11">
      <c r="D278" s="370"/>
    </row>
    <row r="279" spans="4:11">
      <c r="D279" s="370"/>
    </row>
    <row r="280" spans="4:11">
      <c r="D280" s="370"/>
    </row>
    <row r="281" spans="4:11">
      <c r="D281" s="370"/>
    </row>
    <row r="282" spans="4:11">
      <c r="D282" s="370"/>
    </row>
    <row r="283" spans="4:11">
      <c r="D283" s="370"/>
    </row>
    <row r="284" spans="4:11">
      <c r="D284" s="370"/>
    </row>
    <row r="285" spans="4:11">
      <c r="D285" s="370"/>
    </row>
    <row r="286" spans="4:11">
      <c r="D286" s="370"/>
    </row>
    <row r="287" spans="4:11">
      <c r="D287" s="370"/>
    </row>
    <row r="288" spans="4:11">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row r="463" spans="4:4">
      <c r="D463" s="370"/>
    </row>
    <row r="464" spans="4:4">
      <c r="D464" s="370"/>
    </row>
    <row r="465" spans="4:4">
      <c r="D465" s="370"/>
    </row>
  </sheetData>
  <phoneticPr fontId="26" type="noConversion"/>
  <pageMargins left="0.75" right="0.75" top="1" bottom="1" header="0.5" footer="0.5"/>
  <pageSetup scale="44" orientation="landscape" r:id="rId1"/>
  <headerFooter alignWithMargins="0"/>
  <drawing r:id="rId2"/>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43">
    <pageSetUpPr fitToPage="1"/>
  </sheetPr>
  <dimension ref="B1:X447"/>
  <sheetViews>
    <sheetView showGridLines="0" zoomScale="80" zoomScaleNormal="80" workbookViewId="0"/>
  </sheetViews>
  <sheetFormatPr defaultColWidth="9.109375" defaultRowHeight="12"/>
  <cols>
    <col min="1" max="1" width="2.33203125" style="367" customWidth="1"/>
    <col min="2" max="4" width="10" style="367" customWidth="1"/>
    <col min="5" max="5" width="21"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1456</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51</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9" t="s">
        <v>127</v>
      </c>
      <c r="O9" s="459"/>
      <c r="P9" s="458" t="s">
        <v>128</v>
      </c>
      <c r="Q9" s="458"/>
      <c r="R9" s="458" t="s">
        <v>52</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45" t="s">
        <v>649</v>
      </c>
      <c r="C11" s="345"/>
      <c r="D11" s="381"/>
      <c r="E11" s="381" t="str">
        <f>"DCF, "&amp;TEXT(H11,"0.0")&amp;"x 23E EBITDA"</f>
        <v>DCF, 9.7x 23E EBITDA</v>
      </c>
      <c r="F11" s="480">
        <v>3886</v>
      </c>
      <c r="G11" s="196" t="s">
        <v>133</v>
      </c>
      <c r="H11" s="584">
        <v>9.6732519572882953</v>
      </c>
      <c r="I11" s="196" t="s">
        <v>134</v>
      </c>
      <c r="J11" s="210">
        <f>H11*F11</f>
        <v>37590.257106022313</v>
      </c>
      <c r="K11" s="196" t="s">
        <v>135</v>
      </c>
      <c r="L11" s="480"/>
      <c r="M11" s="196" t="s">
        <v>134</v>
      </c>
      <c r="N11" s="196">
        <f>J11-L11</f>
        <v>37590.257106022313</v>
      </c>
      <c r="O11" s="196" t="s">
        <v>133</v>
      </c>
      <c r="P11" s="483">
        <v>1</v>
      </c>
      <c r="Q11" s="369" t="s">
        <v>134</v>
      </c>
      <c r="R11" s="210">
        <f>P11*N11</f>
        <v>37590.257106022313</v>
      </c>
      <c r="S11" s="210"/>
      <c r="T11" s="210">
        <f>N11-R11</f>
        <v>0</v>
      </c>
      <c r="U11" s="210"/>
      <c r="V11" s="387">
        <f>N11/$J$27</f>
        <v>0.92315806452054971</v>
      </c>
      <c r="W11" s="345"/>
      <c r="X11" s="372">
        <f>$J$31*V11</f>
        <v>725.66663010409673</v>
      </c>
    </row>
    <row r="12" spans="2:24">
      <c r="B12" s="370"/>
      <c r="C12" s="370"/>
      <c r="S12" s="216"/>
      <c r="T12" s="216"/>
      <c r="U12" s="216"/>
      <c r="V12" s="394"/>
      <c r="W12" s="370"/>
      <c r="X12" s="373"/>
    </row>
    <row r="13" spans="2:24">
      <c r="B13" s="370" t="s">
        <v>1619</v>
      </c>
      <c r="C13" s="370"/>
      <c r="E13" s="367" t="str">
        <f>"DCF, "&amp;TEXT(H13,"0.0")&amp;"x 23E EBITDA"</f>
        <v>DCF, 5.3x 23E EBITDA</v>
      </c>
      <c r="F13" s="484">
        <v>776</v>
      </c>
      <c r="G13" s="196" t="s">
        <v>133</v>
      </c>
      <c r="H13" s="486">
        <v>5.3034632310783056</v>
      </c>
      <c r="I13" s="196" t="s">
        <v>134</v>
      </c>
      <c r="J13" s="210">
        <f>H13*F13</f>
        <v>4115.4874673167651</v>
      </c>
      <c r="K13" s="178"/>
      <c r="L13" s="484"/>
      <c r="M13" s="178"/>
      <c r="N13" s="178"/>
      <c r="O13" s="178"/>
      <c r="P13" s="490">
        <v>1</v>
      </c>
      <c r="Q13" s="393"/>
      <c r="R13" s="216"/>
      <c r="S13" s="216"/>
      <c r="T13" s="216"/>
      <c r="U13" s="216"/>
      <c r="V13" s="394"/>
      <c r="W13" s="370"/>
      <c r="X13" s="373"/>
    </row>
    <row r="14" spans="2:24">
      <c r="B14" s="370" t="s">
        <v>1620</v>
      </c>
      <c r="C14" s="370"/>
      <c r="E14" s="367" t="str">
        <f>"DCF, "&amp;TEXT(H14,"0.0")&amp;"x 23E EBITDA"</f>
        <v>DCF, 6.0x 23E EBITDA</v>
      </c>
      <c r="F14" s="484">
        <v>1040.8257300296668</v>
      </c>
      <c r="G14" s="196" t="s">
        <v>133</v>
      </c>
      <c r="H14" s="486">
        <v>6.03541779933634</v>
      </c>
      <c r="I14" s="196" t="s">
        <v>134</v>
      </c>
      <c r="J14" s="210">
        <f>H14*F14</f>
        <v>6281.8181370282909</v>
      </c>
      <c r="K14" s="178"/>
      <c r="L14" s="484"/>
      <c r="M14" s="178"/>
      <c r="N14" s="178"/>
      <c r="O14" s="178"/>
      <c r="P14" s="490">
        <v>1</v>
      </c>
      <c r="Q14" s="393"/>
      <c r="R14" s="216"/>
      <c r="S14" s="216"/>
      <c r="T14" s="216"/>
      <c r="U14" s="216"/>
      <c r="V14" s="394"/>
      <c r="W14" s="370"/>
      <c r="X14" s="373"/>
    </row>
    <row r="15" spans="2:24">
      <c r="B15" s="370" t="s">
        <v>1621</v>
      </c>
      <c r="C15" s="370"/>
      <c r="I15" s="178"/>
      <c r="J15" s="480">
        <v>2224.6462332408469</v>
      </c>
      <c r="K15" s="178"/>
      <c r="M15" s="178"/>
      <c r="N15" s="178"/>
      <c r="O15" s="178"/>
      <c r="P15" s="490">
        <v>1</v>
      </c>
      <c r="Q15" s="393"/>
      <c r="R15" s="216"/>
      <c r="S15" s="216"/>
      <c r="T15" s="216"/>
      <c r="U15" s="216"/>
      <c r="V15" s="394"/>
      <c r="W15" s="370"/>
      <c r="X15" s="373"/>
    </row>
    <row r="16" spans="2:24">
      <c r="B16" s="345" t="s">
        <v>445</v>
      </c>
      <c r="C16" s="370"/>
      <c r="E16" s="381" t="str">
        <f>"DCF, "&amp;TEXT(H16,"0.0")&amp;"x 23E EBITDA"</f>
        <v>DCF, 6.9x 23E EBITDA</v>
      </c>
      <c r="F16" s="210">
        <f>F14+F13</f>
        <v>1816.8257300296668</v>
      </c>
      <c r="G16" s="196" t="s">
        <v>133</v>
      </c>
      <c r="H16" s="586">
        <f>J16/F16</f>
        <v>6.9472551103620708</v>
      </c>
      <c r="I16" s="196" t="s">
        <v>134</v>
      </c>
      <c r="J16" s="374">
        <f>J15+J14+J13</f>
        <v>12621.951837585902</v>
      </c>
      <c r="K16" s="196" t="s">
        <v>135</v>
      </c>
      <c r="L16" s="480"/>
      <c r="M16" s="196" t="s">
        <v>134</v>
      </c>
      <c r="N16" s="374">
        <f>J16-L16</f>
        <v>12621.951837585902</v>
      </c>
      <c r="O16" s="196" t="s">
        <v>133</v>
      </c>
      <c r="P16" s="483">
        <v>1</v>
      </c>
      <c r="Q16" s="369" t="s">
        <v>134</v>
      </c>
      <c r="R16" s="374">
        <f>P16*N16</f>
        <v>12621.951837585902</v>
      </c>
      <c r="S16" s="210"/>
      <c r="T16" s="374">
        <f>N16-R16</f>
        <v>0</v>
      </c>
      <c r="U16" s="210"/>
      <c r="V16" s="582">
        <f>N16/$J$27</f>
        <v>0.30997544379632958</v>
      </c>
      <c r="W16" s="345"/>
      <c r="X16" s="583">
        <f>$J$31*V16</f>
        <v>243.6623199858285</v>
      </c>
    </row>
    <row r="17" spans="2:24">
      <c r="B17" s="345" t="s">
        <v>137</v>
      </c>
      <c r="C17" s="370"/>
      <c r="F17" s="210"/>
      <c r="G17" s="196"/>
      <c r="H17" s="372"/>
      <c r="I17" s="376"/>
      <c r="J17" s="210">
        <f>J16+J11</f>
        <v>50212.208943608217</v>
      </c>
      <c r="K17" s="375"/>
      <c r="L17" s="210">
        <f>-J21</f>
        <v>5459</v>
      </c>
      <c r="M17" s="196"/>
      <c r="N17" s="210">
        <f>SUM(N11:N16)</f>
        <v>50212.208943608217</v>
      </c>
      <c r="P17" s="377"/>
      <c r="Q17" s="378"/>
      <c r="R17" s="210">
        <f>SUM(R11:R16)</f>
        <v>50212.208943608217</v>
      </c>
      <c r="S17" s="370"/>
      <c r="T17" s="210">
        <f>SUM(T11:T16)</f>
        <v>0</v>
      </c>
      <c r="U17" s="370"/>
      <c r="V17" s="387">
        <f>N17/$J$27</f>
        <v>1.2331335083168793</v>
      </c>
      <c r="W17" s="370"/>
      <c r="X17" s="372">
        <f>$J$31*V17</f>
        <v>969.32895008992523</v>
      </c>
    </row>
    <row r="19" spans="2:24">
      <c r="D19" s="345"/>
      <c r="E19" s="381"/>
      <c r="F19" s="381"/>
      <c r="G19" s="381"/>
      <c r="H19" s="381"/>
      <c r="I19" s="381"/>
      <c r="J19" s="381"/>
    </row>
    <row r="20" spans="2:24" ht="12.6" thickBot="1">
      <c r="B20" s="382" t="s">
        <v>141</v>
      </c>
      <c r="D20" s="345"/>
      <c r="E20" s="381"/>
      <c r="H20" s="381"/>
      <c r="I20" s="381"/>
      <c r="J20" s="374">
        <f>J17</f>
        <v>50212.208943608217</v>
      </c>
      <c r="K20" s="381"/>
      <c r="R20" s="370"/>
      <c r="T20" s="460" t="s">
        <v>544</v>
      </c>
      <c r="U20" s="368"/>
      <c r="V20" s="368"/>
      <c r="W20" s="368"/>
      <c r="X20" s="368"/>
    </row>
    <row r="21" spans="2:24" ht="12.6" thickTop="1">
      <c r="B21" s="383" t="s">
        <v>1492</v>
      </c>
      <c r="D21" s="424"/>
      <c r="J21" s="216">
        <f>-SWISS!E12</f>
        <v>-5459</v>
      </c>
    </row>
    <row r="22" spans="2:24">
      <c r="B22" s="384" t="s">
        <v>1104</v>
      </c>
      <c r="J22" s="484">
        <v>-2930.3122766851557</v>
      </c>
    </row>
    <row r="23" spans="2:24">
      <c r="B23" s="384" t="s">
        <v>1105</v>
      </c>
      <c r="J23" s="484">
        <v>-921.44748455428066</v>
      </c>
      <c r="K23" s="381"/>
    </row>
    <row r="24" spans="2:24">
      <c r="B24" s="384" t="s">
        <v>1368</v>
      </c>
      <c r="J24" s="484">
        <v>-182.25</v>
      </c>
      <c r="K24" s="381"/>
    </row>
    <row r="25" spans="2:24">
      <c r="B25" s="384" t="s">
        <v>370</v>
      </c>
      <c r="J25" s="216">
        <f>-T17</f>
        <v>0</v>
      </c>
      <c r="K25" s="381"/>
    </row>
    <row r="26" spans="2:24">
      <c r="B26" s="384" t="s">
        <v>372</v>
      </c>
      <c r="J26" s="385">
        <f>R19</f>
        <v>0</v>
      </c>
      <c r="K26" s="381"/>
    </row>
    <row r="27" spans="2:24">
      <c r="B27" s="382" t="s">
        <v>490</v>
      </c>
      <c r="D27" s="345"/>
      <c r="E27" s="381"/>
      <c r="F27" s="381"/>
      <c r="G27" s="381"/>
      <c r="H27" s="381"/>
      <c r="I27" s="381"/>
      <c r="J27" s="210">
        <f>J20+J21+J22+J25+J26+J23+J24</f>
        <v>40719.199182368779</v>
      </c>
    </row>
    <row r="28" spans="2:24" ht="12.6" thickBot="1">
      <c r="B28" s="384" t="s">
        <v>491</v>
      </c>
      <c r="D28" s="345"/>
      <c r="E28" s="381"/>
      <c r="F28" s="381"/>
      <c r="G28" s="381"/>
      <c r="H28" s="381"/>
      <c r="I28" s="381"/>
      <c r="J28" s="214">
        <f>SWISS!E10</f>
        <v>51.801000000000002</v>
      </c>
      <c r="K28" s="381"/>
    </row>
    <row r="29" spans="2:24" ht="12.6" thickBot="1">
      <c r="B29" s="382" t="s">
        <v>492</v>
      </c>
      <c r="D29" s="370"/>
      <c r="J29" s="462">
        <f>J27/J28</f>
        <v>786.0697512088334</v>
      </c>
      <c r="K29" s="381"/>
    </row>
    <row r="30" spans="2:24" ht="12.6" thickBot="1">
      <c r="B30" s="384" t="s">
        <v>691</v>
      </c>
      <c r="D30" s="370"/>
      <c r="J30" s="486">
        <v>0</v>
      </c>
      <c r="K30" s="381"/>
    </row>
    <row r="31" spans="2:24" ht="12.6" thickBot="1">
      <c r="B31" s="382" t="s">
        <v>61</v>
      </c>
      <c r="D31" s="370"/>
      <c r="J31" s="462">
        <f>J29+J30</f>
        <v>786.0697512088334</v>
      </c>
      <c r="K31" s="381"/>
    </row>
    <row r="32" spans="2:24">
      <c r="B32" s="384" t="s">
        <v>493</v>
      </c>
      <c r="D32" s="345"/>
      <c r="E32" s="381"/>
      <c r="F32" s="381"/>
      <c r="G32" s="381"/>
      <c r="H32" s="381"/>
      <c r="I32" s="381"/>
      <c r="J32" s="400">
        <f>Prices!C14</f>
        <v>549</v>
      </c>
      <c r="K32" s="381"/>
    </row>
    <row r="33" spans="2:24">
      <c r="B33" s="382" t="s">
        <v>96</v>
      </c>
      <c r="D33" s="345"/>
      <c r="E33" s="381"/>
      <c r="F33" s="381"/>
      <c r="G33" s="381"/>
      <c r="H33" s="381"/>
      <c r="I33" s="381"/>
      <c r="J33" s="387">
        <f>J31/J32-1</f>
        <v>0.43182104045324854</v>
      </c>
      <c r="K33" s="381"/>
    </row>
    <row r="34" spans="2:24">
      <c r="D34" s="345"/>
      <c r="E34" s="381"/>
      <c r="G34" s="381"/>
      <c r="I34" s="381"/>
      <c r="J34" s="381"/>
      <c r="K34" s="381"/>
      <c r="L34" s="380"/>
    </row>
    <row r="36" spans="2:24">
      <c r="E36" s="381"/>
      <c r="F36" s="381"/>
      <c r="G36" s="381"/>
      <c r="H36" s="381"/>
      <c r="I36" s="381"/>
      <c r="J36" s="381"/>
      <c r="K36" s="381"/>
    </row>
    <row r="37" spans="2:24">
      <c r="E37" s="381"/>
      <c r="F37" s="381"/>
      <c r="G37" s="381"/>
      <c r="H37" s="381"/>
      <c r="I37" s="381"/>
      <c r="J37" s="381"/>
      <c r="K37" s="381"/>
    </row>
    <row r="38" spans="2:24">
      <c r="E38" s="345"/>
      <c r="H38" s="381"/>
      <c r="I38" s="381"/>
    </row>
    <row r="39" spans="2:24" ht="12.6" thickBot="1">
      <c r="K39" s="381"/>
      <c r="T39" s="460" t="s">
        <v>544</v>
      </c>
      <c r="U39" s="368"/>
      <c r="V39" s="368"/>
      <c r="W39" s="368"/>
      <c r="X39" s="368"/>
    </row>
    <row r="40" spans="2:24" ht="12.6" thickTop="1">
      <c r="D40" s="345"/>
      <c r="E40" s="345"/>
      <c r="F40" s="345"/>
      <c r="G40" s="345"/>
      <c r="H40" s="345"/>
      <c r="I40" s="345"/>
      <c r="K40" s="381"/>
      <c r="T40" s="370" t="s">
        <v>649</v>
      </c>
      <c r="X40" s="394">
        <f>J11/(J17)</f>
        <v>0.74862783169405611</v>
      </c>
    </row>
    <row r="41" spans="2:24">
      <c r="D41" s="345"/>
      <c r="E41" s="345"/>
      <c r="F41" s="345"/>
      <c r="G41" s="345"/>
      <c r="H41" s="345"/>
      <c r="I41" s="345"/>
      <c r="K41" s="381"/>
      <c r="T41" s="370" t="s">
        <v>445</v>
      </c>
      <c r="X41" s="394">
        <f>J16/(J17)</f>
        <v>0.25137216830594383</v>
      </c>
    </row>
    <row r="42" spans="2:24">
      <c r="D42" s="345"/>
      <c r="E42" s="345"/>
      <c r="F42" s="345"/>
      <c r="G42" s="345"/>
      <c r="H42" s="345"/>
      <c r="I42" s="345"/>
    </row>
    <row r="43" spans="2:24">
      <c r="D43" s="345"/>
      <c r="E43" s="345"/>
      <c r="F43" s="345"/>
      <c r="G43" s="345"/>
      <c r="H43" s="345"/>
      <c r="I43" s="345"/>
    </row>
    <row r="44" spans="2:24">
      <c r="D44" s="345"/>
      <c r="E44" s="345"/>
      <c r="F44" s="345"/>
      <c r="G44" s="345"/>
      <c r="H44" s="345"/>
      <c r="I44" s="345"/>
    </row>
    <row r="45" spans="2:24">
      <c r="D45" s="345"/>
      <c r="E45" s="345"/>
      <c r="F45" s="345"/>
      <c r="G45" s="345"/>
      <c r="H45" s="345"/>
      <c r="I45" s="345"/>
    </row>
    <row r="46" spans="2:24">
      <c r="D46" s="345"/>
      <c r="E46" s="345"/>
      <c r="F46" s="345"/>
      <c r="G46" s="345"/>
      <c r="H46" s="345"/>
      <c r="I46" s="345"/>
    </row>
    <row r="47" spans="2:24">
      <c r="D47" s="345"/>
      <c r="E47" s="381"/>
      <c r="F47" s="381"/>
      <c r="G47" s="381"/>
      <c r="H47" s="381"/>
      <c r="I47" s="381"/>
    </row>
    <row r="48" spans="2:24">
      <c r="D48" s="345"/>
      <c r="E48" s="381"/>
      <c r="F48" s="381"/>
      <c r="G48" s="381"/>
      <c r="H48" s="381"/>
      <c r="I48" s="381"/>
    </row>
    <row r="49" spans="4:24">
      <c r="D49" s="370"/>
      <c r="E49" s="381"/>
      <c r="F49" s="381"/>
      <c r="G49" s="381"/>
      <c r="H49" s="381"/>
      <c r="I49" s="381"/>
    </row>
    <row r="50" spans="4:24">
      <c r="D50" s="370"/>
      <c r="E50" s="381"/>
      <c r="F50" s="381"/>
      <c r="G50" s="381"/>
      <c r="H50" s="381"/>
      <c r="I50" s="381"/>
    </row>
    <row r="51" spans="4:24">
      <c r="D51" s="370"/>
      <c r="Q51" s="249"/>
      <c r="R51" s="249"/>
    </row>
    <row r="52" spans="4:24">
      <c r="D52" s="345"/>
      <c r="E52" s="381"/>
      <c r="F52" s="381"/>
      <c r="G52" s="381"/>
      <c r="H52" s="381"/>
      <c r="I52" s="381"/>
      <c r="Q52" s="388"/>
      <c r="R52" s="388"/>
    </row>
    <row r="53" spans="4:24">
      <c r="D53" s="370"/>
      <c r="E53" s="381"/>
      <c r="F53" s="381"/>
      <c r="G53" s="381"/>
      <c r="H53" s="381"/>
      <c r="I53" s="381"/>
      <c r="M53" s="249"/>
      <c r="N53" s="249"/>
      <c r="O53" s="249"/>
      <c r="P53" s="249"/>
    </row>
    <row r="54" spans="4:24">
      <c r="D54" s="370"/>
      <c r="E54" s="381"/>
      <c r="F54" s="381"/>
      <c r="G54" s="381"/>
      <c r="H54" s="381"/>
      <c r="I54" s="381"/>
      <c r="L54" s="249"/>
      <c r="N54" s="388"/>
      <c r="O54" s="388"/>
      <c r="P54" s="388"/>
    </row>
    <row r="55" spans="4:24">
      <c r="D55" s="370"/>
      <c r="Q55" s="249"/>
      <c r="R55" s="249"/>
    </row>
    <row r="56" spans="4:24">
      <c r="D56" s="370"/>
      <c r="Q56" s="388"/>
      <c r="R56" s="388"/>
    </row>
    <row r="57" spans="4:24">
      <c r="D57" s="370"/>
      <c r="J57" s="381"/>
      <c r="M57" s="249"/>
      <c r="N57" s="249"/>
      <c r="O57" s="249"/>
      <c r="P57" s="249"/>
    </row>
    <row r="58" spans="4:24">
      <c r="D58" s="370"/>
      <c r="J58" s="381"/>
      <c r="L58" s="249"/>
      <c r="N58" s="388"/>
      <c r="O58" s="388"/>
      <c r="P58" s="388"/>
      <c r="Q58" s="249"/>
      <c r="R58" s="249"/>
    </row>
    <row r="59" spans="4:24">
      <c r="D59" s="370"/>
      <c r="Q59" s="388"/>
      <c r="R59" s="388"/>
    </row>
    <row r="60" spans="4:24">
      <c r="D60" s="370"/>
      <c r="J60" s="381"/>
      <c r="M60" s="249"/>
      <c r="N60" s="249"/>
      <c r="O60" s="249"/>
      <c r="P60" s="249"/>
    </row>
    <row r="61" spans="4:24">
      <c r="D61" s="370"/>
      <c r="J61" s="381"/>
      <c r="L61" s="249"/>
      <c r="N61" s="388"/>
      <c r="O61" s="388"/>
      <c r="P61" s="388"/>
      <c r="Q61" s="249"/>
      <c r="R61" s="249"/>
      <c r="S61" s="249"/>
      <c r="T61" s="249"/>
      <c r="U61" s="249"/>
      <c r="V61" s="249"/>
      <c r="W61" s="249"/>
      <c r="X61" s="249"/>
    </row>
    <row r="62" spans="4:24">
      <c r="D62" s="370"/>
      <c r="J62" s="381"/>
      <c r="K62" s="381"/>
      <c r="Q62" s="388"/>
      <c r="R62" s="388"/>
      <c r="S62" s="388"/>
      <c r="T62" s="388"/>
      <c r="U62" s="388"/>
      <c r="V62" s="388"/>
      <c r="W62" s="388"/>
      <c r="X62" s="388"/>
    </row>
    <row r="63" spans="4:24">
      <c r="D63" s="370"/>
      <c r="K63" s="381"/>
      <c r="M63" s="249"/>
      <c r="N63" s="249"/>
      <c r="O63" s="249"/>
      <c r="P63" s="249"/>
    </row>
    <row r="64" spans="4:24">
      <c r="D64" s="345"/>
      <c r="E64" s="381"/>
      <c r="F64" s="381"/>
      <c r="G64" s="381"/>
      <c r="H64" s="381"/>
      <c r="I64" s="381"/>
      <c r="L64" s="249"/>
      <c r="N64" s="388"/>
      <c r="O64" s="388"/>
      <c r="P64" s="388"/>
      <c r="Q64" s="249"/>
      <c r="R64" s="249"/>
    </row>
    <row r="65" spans="4:24">
      <c r="D65" s="370"/>
      <c r="J65" s="381"/>
      <c r="K65" s="381"/>
      <c r="Q65" s="388"/>
      <c r="R65" s="388"/>
      <c r="S65" s="249"/>
      <c r="T65" s="249"/>
      <c r="U65" s="249"/>
      <c r="V65" s="249"/>
      <c r="W65" s="249"/>
      <c r="X65" s="249"/>
    </row>
    <row r="66" spans="4:24">
      <c r="D66" s="370"/>
      <c r="J66" s="381"/>
      <c r="K66" s="381"/>
      <c r="M66" s="249"/>
      <c r="N66" s="249"/>
      <c r="O66" s="249"/>
      <c r="P66" s="249"/>
      <c r="Q66" s="389"/>
      <c r="R66" s="389"/>
      <c r="S66" s="388"/>
      <c r="T66" s="388"/>
      <c r="U66" s="388"/>
      <c r="V66" s="388"/>
      <c r="W66" s="388"/>
      <c r="X66" s="388"/>
    </row>
    <row r="67" spans="4:24">
      <c r="D67" s="345"/>
      <c r="E67" s="381"/>
      <c r="F67" s="381"/>
      <c r="G67" s="381"/>
      <c r="H67" s="381"/>
      <c r="I67" s="381"/>
      <c r="K67" s="381"/>
      <c r="L67" s="249"/>
      <c r="N67" s="388"/>
      <c r="O67" s="388"/>
      <c r="P67" s="388"/>
      <c r="Q67" s="388"/>
      <c r="R67" s="388"/>
    </row>
    <row r="68" spans="4:24">
      <c r="D68" s="370"/>
      <c r="M68" s="389"/>
      <c r="N68" s="389"/>
      <c r="O68" s="389"/>
      <c r="P68" s="389"/>
      <c r="S68" s="249"/>
      <c r="T68" s="249"/>
      <c r="U68" s="249"/>
      <c r="V68" s="249"/>
      <c r="W68" s="249"/>
      <c r="X68" s="249"/>
    </row>
    <row r="69" spans="4:24">
      <c r="D69" s="345"/>
      <c r="E69" s="381"/>
      <c r="F69" s="381"/>
      <c r="G69" s="381"/>
      <c r="H69" s="381"/>
      <c r="I69" s="381"/>
      <c r="L69" s="389"/>
      <c r="N69" s="388"/>
      <c r="O69" s="388"/>
      <c r="P69" s="388"/>
      <c r="Q69" s="249"/>
      <c r="R69" s="249"/>
      <c r="S69" s="388"/>
      <c r="T69" s="388"/>
      <c r="U69" s="388"/>
      <c r="V69" s="388"/>
      <c r="W69" s="388"/>
      <c r="X69" s="388"/>
    </row>
    <row r="70" spans="4:24">
      <c r="D70" s="370"/>
      <c r="E70" s="381"/>
      <c r="F70" s="381"/>
      <c r="G70" s="381"/>
      <c r="H70" s="381"/>
      <c r="I70" s="381"/>
      <c r="K70" s="381"/>
      <c r="Q70" s="390"/>
      <c r="R70" s="390"/>
    </row>
    <row r="71" spans="4:24">
      <c r="D71" s="370"/>
      <c r="K71" s="381"/>
      <c r="M71" s="249"/>
      <c r="N71" s="249"/>
      <c r="O71" s="249"/>
      <c r="P71" s="249"/>
      <c r="Q71" s="249"/>
      <c r="R71" s="249"/>
      <c r="S71" s="249"/>
      <c r="T71" s="249"/>
      <c r="U71" s="249"/>
      <c r="V71" s="249"/>
      <c r="W71" s="249"/>
      <c r="X71" s="249"/>
    </row>
    <row r="72" spans="4:24">
      <c r="D72" s="370"/>
      <c r="L72" s="249"/>
      <c r="N72" s="388"/>
      <c r="O72" s="388"/>
      <c r="P72" s="390"/>
      <c r="Q72" s="388"/>
      <c r="R72" s="388"/>
      <c r="S72" s="388"/>
      <c r="T72" s="388"/>
      <c r="U72" s="388"/>
      <c r="V72" s="388"/>
      <c r="W72" s="388"/>
      <c r="X72" s="388"/>
    </row>
    <row r="73" spans="4:24">
      <c r="D73" s="345"/>
      <c r="E73" s="381"/>
      <c r="F73" s="381"/>
      <c r="G73" s="381"/>
      <c r="H73" s="381"/>
      <c r="I73" s="381"/>
      <c r="M73" s="249"/>
      <c r="N73" s="249"/>
      <c r="O73" s="249"/>
      <c r="P73" s="249"/>
      <c r="Q73" s="248"/>
      <c r="R73" s="248"/>
    </row>
    <row r="74" spans="4:24">
      <c r="D74" s="370"/>
      <c r="E74" s="381"/>
      <c r="F74" s="381"/>
      <c r="G74" s="381"/>
      <c r="H74" s="381"/>
      <c r="I74" s="381"/>
      <c r="L74" s="249"/>
      <c r="N74" s="388"/>
      <c r="O74" s="388"/>
      <c r="P74" s="388"/>
      <c r="S74" s="249"/>
      <c r="T74" s="249"/>
      <c r="U74" s="249"/>
      <c r="V74" s="249"/>
      <c r="W74" s="249"/>
      <c r="X74" s="249"/>
    </row>
    <row r="75" spans="4:24">
      <c r="D75" s="370"/>
      <c r="M75" s="248"/>
      <c r="N75" s="248"/>
      <c r="O75" s="248"/>
      <c r="P75" s="248"/>
      <c r="Q75" s="247"/>
      <c r="R75" s="247"/>
      <c r="S75" s="388"/>
      <c r="T75" s="388"/>
      <c r="U75" s="388"/>
      <c r="V75" s="388"/>
      <c r="W75" s="388"/>
      <c r="X75" s="388"/>
    </row>
    <row r="76" spans="4:24">
      <c r="D76" s="345"/>
      <c r="E76" s="381"/>
      <c r="F76" s="381"/>
      <c r="G76" s="381"/>
      <c r="H76" s="381"/>
      <c r="I76" s="381"/>
      <c r="L76" s="248"/>
      <c r="Q76" s="388"/>
      <c r="R76" s="388"/>
      <c r="S76" s="389"/>
      <c r="T76" s="389"/>
      <c r="U76" s="389"/>
      <c r="V76" s="389"/>
      <c r="W76" s="389"/>
      <c r="X76" s="389"/>
    </row>
    <row r="77" spans="4:24">
      <c r="D77" s="370"/>
      <c r="J77" s="381"/>
      <c r="M77" s="247"/>
      <c r="N77" s="247"/>
      <c r="O77" s="247"/>
      <c r="P77" s="247"/>
      <c r="S77" s="388"/>
      <c r="T77" s="388"/>
      <c r="U77" s="388"/>
      <c r="V77" s="388"/>
      <c r="W77" s="388"/>
      <c r="X77" s="388"/>
    </row>
    <row r="78" spans="4:24">
      <c r="D78" s="370"/>
      <c r="J78" s="381"/>
      <c r="L78" s="247"/>
      <c r="N78" s="388"/>
      <c r="O78" s="388"/>
      <c r="P78" s="388"/>
      <c r="Q78" s="389"/>
      <c r="R78" s="389"/>
    </row>
    <row r="79" spans="4:24">
      <c r="D79" s="345"/>
      <c r="E79" s="381"/>
      <c r="F79" s="381"/>
      <c r="G79" s="381"/>
      <c r="H79" s="381"/>
      <c r="I79" s="381"/>
      <c r="Q79" s="388"/>
      <c r="R79" s="388"/>
      <c r="S79" s="249"/>
      <c r="T79" s="249"/>
      <c r="U79" s="249"/>
      <c r="V79" s="249"/>
      <c r="W79" s="249"/>
      <c r="X79" s="249"/>
    </row>
    <row r="80" spans="4:24">
      <c r="D80" s="370"/>
      <c r="M80" s="389"/>
      <c r="N80" s="389"/>
      <c r="O80" s="389"/>
      <c r="P80" s="389"/>
      <c r="S80" s="390"/>
      <c r="T80" s="390"/>
      <c r="U80" s="390"/>
      <c r="V80" s="390"/>
      <c r="W80" s="390"/>
      <c r="X80" s="390"/>
    </row>
    <row r="81" spans="4:24">
      <c r="D81" s="370"/>
      <c r="J81" s="381"/>
      <c r="L81" s="389"/>
      <c r="N81" s="388"/>
      <c r="O81" s="388"/>
      <c r="P81" s="388"/>
      <c r="Q81" s="391"/>
      <c r="R81" s="391"/>
      <c r="S81" s="249"/>
      <c r="T81" s="249"/>
      <c r="U81" s="249"/>
      <c r="V81" s="249"/>
      <c r="W81" s="249"/>
      <c r="X81" s="249"/>
    </row>
    <row r="82" spans="4:24">
      <c r="D82" s="370"/>
      <c r="J82" s="381"/>
      <c r="K82" s="381"/>
      <c r="Q82" s="388"/>
      <c r="R82" s="388"/>
      <c r="S82" s="388"/>
      <c r="T82" s="388"/>
      <c r="U82" s="388"/>
      <c r="V82" s="388"/>
      <c r="W82" s="388"/>
      <c r="X82" s="388"/>
    </row>
    <row r="83" spans="4:24">
      <c r="D83" s="345"/>
      <c r="E83" s="381"/>
      <c r="F83" s="381"/>
      <c r="G83" s="381"/>
      <c r="H83" s="381"/>
      <c r="I83" s="381"/>
      <c r="K83" s="381"/>
      <c r="M83" s="391"/>
      <c r="N83" s="391"/>
      <c r="O83" s="391"/>
      <c r="P83" s="391"/>
      <c r="Q83" s="248"/>
      <c r="R83" s="248"/>
      <c r="S83" s="248"/>
      <c r="T83" s="248"/>
      <c r="U83" s="248"/>
      <c r="V83" s="248"/>
      <c r="W83" s="248"/>
      <c r="X83" s="248"/>
    </row>
    <row r="84" spans="4:24">
      <c r="D84" s="370"/>
      <c r="L84" s="391"/>
      <c r="N84" s="388"/>
      <c r="O84" s="388"/>
      <c r="P84" s="388"/>
    </row>
    <row r="85" spans="4:24">
      <c r="D85" s="370"/>
      <c r="E85" s="345"/>
      <c r="F85" s="345"/>
      <c r="G85" s="345"/>
      <c r="H85" s="345"/>
      <c r="I85" s="345"/>
      <c r="J85" s="381"/>
      <c r="N85" s="248"/>
      <c r="O85" s="248"/>
      <c r="P85" s="248"/>
      <c r="Q85" s="247"/>
      <c r="R85" s="247"/>
      <c r="S85" s="247"/>
      <c r="T85" s="247"/>
      <c r="U85" s="247"/>
      <c r="V85" s="247"/>
      <c r="W85" s="247"/>
      <c r="X85" s="247"/>
    </row>
    <row r="86" spans="4:24">
      <c r="D86" s="370"/>
      <c r="E86" s="345"/>
      <c r="F86" s="345"/>
      <c r="G86" s="345"/>
      <c r="H86" s="345"/>
      <c r="I86" s="345"/>
      <c r="K86" s="381"/>
      <c r="Q86" s="388"/>
      <c r="R86" s="388"/>
      <c r="S86" s="388"/>
      <c r="T86" s="388"/>
      <c r="U86" s="388"/>
      <c r="V86" s="388"/>
      <c r="W86" s="388"/>
      <c r="X86" s="388"/>
    </row>
    <row r="87" spans="4:24">
      <c r="D87" s="370"/>
      <c r="K87" s="381"/>
      <c r="M87" s="247"/>
      <c r="N87" s="247"/>
      <c r="O87" s="247"/>
      <c r="P87" s="247"/>
      <c r="Q87" s="274"/>
      <c r="R87" s="274"/>
    </row>
    <row r="88" spans="4:24">
      <c r="D88" s="370"/>
      <c r="L88" s="247"/>
      <c r="N88" s="388"/>
      <c r="O88" s="388"/>
      <c r="P88" s="388"/>
      <c r="S88" s="389"/>
      <c r="T88" s="389"/>
      <c r="U88" s="389"/>
      <c r="V88" s="389"/>
      <c r="W88" s="389"/>
      <c r="X88" s="389"/>
    </row>
    <row r="89" spans="4:24">
      <c r="D89" s="370"/>
      <c r="M89" s="274"/>
      <c r="N89" s="274"/>
      <c r="O89" s="274"/>
      <c r="P89" s="274"/>
      <c r="Q89" s="389"/>
      <c r="R89" s="389"/>
      <c r="S89" s="388"/>
      <c r="T89" s="388"/>
      <c r="U89" s="388"/>
      <c r="V89" s="388"/>
      <c r="W89" s="388"/>
      <c r="X89" s="388"/>
    </row>
    <row r="90" spans="4:24">
      <c r="D90" s="345"/>
      <c r="E90" s="381"/>
      <c r="F90" s="381"/>
      <c r="G90" s="381"/>
      <c r="H90" s="381"/>
      <c r="I90" s="381"/>
      <c r="K90" s="381"/>
      <c r="L90" s="274"/>
      <c r="Q90" s="388"/>
      <c r="R90" s="388"/>
    </row>
    <row r="91" spans="4:24">
      <c r="D91" s="345"/>
      <c r="E91" s="381"/>
      <c r="F91" s="381"/>
      <c r="G91" s="381"/>
      <c r="H91" s="381"/>
      <c r="I91" s="381"/>
      <c r="M91" s="389"/>
      <c r="N91" s="389"/>
      <c r="O91" s="389"/>
      <c r="P91" s="389"/>
      <c r="S91" s="391"/>
      <c r="T91" s="391"/>
      <c r="U91" s="391"/>
      <c r="V91" s="391"/>
      <c r="W91" s="391"/>
      <c r="X91" s="391"/>
    </row>
    <row r="92" spans="4:24">
      <c r="D92" s="370"/>
      <c r="E92" s="381"/>
      <c r="F92" s="381"/>
      <c r="G92" s="381"/>
      <c r="H92" s="381"/>
      <c r="I92" s="381"/>
      <c r="L92" s="389"/>
      <c r="N92" s="388"/>
      <c r="O92" s="388"/>
      <c r="P92" s="388"/>
      <c r="S92" s="388"/>
      <c r="T92" s="388"/>
      <c r="U92" s="388"/>
      <c r="V92" s="388"/>
      <c r="W92" s="388"/>
      <c r="X92" s="388"/>
    </row>
    <row r="93" spans="4:24">
      <c r="D93" s="370"/>
      <c r="E93" s="381"/>
      <c r="F93" s="381"/>
      <c r="G93" s="381"/>
      <c r="H93" s="381"/>
      <c r="I93" s="381"/>
      <c r="Q93" s="249"/>
      <c r="R93" s="249"/>
      <c r="S93" s="248"/>
      <c r="T93" s="248"/>
      <c r="U93" s="248"/>
      <c r="V93" s="248"/>
      <c r="W93" s="248"/>
      <c r="X93" s="248"/>
    </row>
    <row r="94" spans="4:24">
      <c r="D94" s="370"/>
      <c r="Q94" s="388"/>
      <c r="R94" s="388"/>
    </row>
    <row r="95" spans="4:24">
      <c r="D95" s="345"/>
      <c r="E95" s="381"/>
      <c r="F95" s="381"/>
      <c r="G95" s="381"/>
      <c r="H95" s="381"/>
      <c r="I95" s="381"/>
      <c r="M95" s="249"/>
      <c r="N95" s="249"/>
      <c r="O95" s="249"/>
      <c r="P95" s="249"/>
      <c r="S95" s="247"/>
      <c r="T95" s="247"/>
      <c r="U95" s="247"/>
      <c r="V95" s="247"/>
      <c r="W95" s="247"/>
      <c r="X95" s="247"/>
    </row>
    <row r="96" spans="4:24">
      <c r="D96" s="370"/>
      <c r="E96" s="381"/>
      <c r="F96" s="381"/>
      <c r="G96" s="381"/>
      <c r="H96" s="381"/>
      <c r="I96" s="381"/>
      <c r="L96" s="249"/>
      <c r="N96" s="388"/>
      <c r="O96" s="388"/>
      <c r="P96" s="388"/>
      <c r="Q96" s="249"/>
      <c r="R96" s="249"/>
      <c r="S96" s="388"/>
      <c r="T96" s="388"/>
      <c r="U96" s="388"/>
      <c r="V96" s="388"/>
      <c r="W96" s="388"/>
      <c r="X96" s="388"/>
    </row>
    <row r="97" spans="4:24">
      <c r="D97" s="370"/>
      <c r="E97" s="381"/>
      <c r="F97" s="381"/>
      <c r="G97" s="381"/>
      <c r="H97" s="381"/>
      <c r="I97" s="381"/>
      <c r="Q97" s="390"/>
      <c r="R97" s="390"/>
      <c r="S97" s="274"/>
      <c r="T97" s="274"/>
      <c r="U97" s="274"/>
      <c r="V97" s="274"/>
      <c r="W97" s="274"/>
      <c r="X97" s="274"/>
    </row>
    <row r="98" spans="4:24">
      <c r="D98" s="370"/>
      <c r="M98" s="249"/>
      <c r="N98" s="249"/>
      <c r="O98" s="249"/>
      <c r="P98" s="249"/>
    </row>
    <row r="99" spans="4:24">
      <c r="D99" s="370"/>
      <c r="L99" s="249"/>
      <c r="N99" s="388"/>
      <c r="O99" s="388"/>
      <c r="P99" s="390"/>
      <c r="Q99" s="389"/>
      <c r="R99" s="389"/>
      <c r="S99" s="389"/>
      <c r="T99" s="389"/>
      <c r="U99" s="389"/>
      <c r="V99" s="389"/>
      <c r="W99" s="389"/>
      <c r="X99" s="389"/>
    </row>
    <row r="100" spans="4:24">
      <c r="D100" s="370"/>
      <c r="J100" s="381"/>
      <c r="Q100" s="392"/>
      <c r="R100" s="392"/>
      <c r="S100" s="388"/>
      <c r="T100" s="388"/>
      <c r="U100" s="388"/>
      <c r="V100" s="388"/>
      <c r="W100" s="388"/>
      <c r="X100" s="388"/>
    </row>
    <row r="101" spans="4:24">
      <c r="D101" s="370"/>
      <c r="J101" s="381"/>
      <c r="M101" s="389"/>
      <c r="N101" s="389"/>
      <c r="O101" s="389"/>
      <c r="P101" s="389"/>
      <c r="Q101" s="392"/>
      <c r="R101" s="392"/>
    </row>
    <row r="102" spans="4:24">
      <c r="D102" s="370"/>
      <c r="L102" s="389"/>
      <c r="N102" s="392"/>
      <c r="O102" s="392"/>
      <c r="P102" s="392"/>
    </row>
    <row r="103" spans="4:24">
      <c r="D103" s="370"/>
      <c r="J103" s="381"/>
      <c r="M103" s="392"/>
      <c r="N103" s="392"/>
      <c r="O103" s="392"/>
      <c r="P103" s="392"/>
      <c r="Q103" s="388"/>
      <c r="R103" s="388"/>
      <c r="S103" s="249"/>
      <c r="T103" s="249"/>
      <c r="U103" s="249"/>
      <c r="V103" s="249"/>
      <c r="W103" s="249"/>
      <c r="X103" s="249"/>
    </row>
    <row r="104" spans="4:24">
      <c r="D104" s="370"/>
      <c r="J104" s="381"/>
      <c r="L104" s="392"/>
      <c r="Q104" s="389"/>
      <c r="R104" s="389"/>
      <c r="S104" s="388"/>
      <c r="T104" s="388"/>
      <c r="U104" s="388"/>
      <c r="V104" s="388"/>
      <c r="W104" s="388"/>
      <c r="X104" s="388"/>
    </row>
    <row r="105" spans="4:24">
      <c r="D105" s="370"/>
      <c r="J105" s="381"/>
      <c r="K105" s="381"/>
      <c r="M105" s="388"/>
      <c r="N105" s="388"/>
      <c r="O105" s="388"/>
      <c r="P105" s="388"/>
      <c r="R105" s="392"/>
    </row>
    <row r="106" spans="4:24">
      <c r="D106" s="370"/>
      <c r="K106" s="381"/>
      <c r="L106" s="388"/>
      <c r="M106" s="389"/>
      <c r="N106" s="389"/>
      <c r="O106" s="389"/>
      <c r="P106" s="389"/>
      <c r="S106" s="249"/>
      <c r="T106" s="249"/>
      <c r="U106" s="249"/>
      <c r="V106" s="249"/>
      <c r="W106" s="249"/>
      <c r="X106" s="249"/>
    </row>
    <row r="107" spans="4:24">
      <c r="D107" s="345"/>
      <c r="E107" s="381"/>
      <c r="F107" s="381"/>
      <c r="G107" s="381"/>
      <c r="H107" s="381"/>
      <c r="I107" s="381"/>
      <c r="L107" s="389"/>
      <c r="Q107" s="389"/>
      <c r="R107" s="389"/>
      <c r="S107" s="390"/>
      <c r="T107" s="390"/>
      <c r="U107" s="390"/>
      <c r="V107" s="390"/>
      <c r="W107" s="390"/>
      <c r="X107" s="390"/>
    </row>
    <row r="108" spans="4:24">
      <c r="D108" s="370"/>
      <c r="J108" s="381"/>
      <c r="K108" s="381"/>
      <c r="Q108" s="392"/>
      <c r="R108" s="392"/>
    </row>
    <row r="109" spans="4:24">
      <c r="D109" s="370"/>
      <c r="J109" s="381"/>
      <c r="K109" s="381"/>
      <c r="M109" s="389"/>
      <c r="N109" s="389"/>
      <c r="O109" s="389"/>
      <c r="P109" s="389"/>
      <c r="S109" s="389"/>
      <c r="T109" s="389"/>
      <c r="U109" s="389"/>
      <c r="V109" s="389"/>
      <c r="W109" s="389"/>
      <c r="X109" s="389"/>
    </row>
    <row r="110" spans="4:24">
      <c r="D110" s="345"/>
      <c r="E110" s="381"/>
      <c r="F110" s="381"/>
      <c r="G110" s="381"/>
      <c r="H110" s="381"/>
      <c r="I110" s="381"/>
      <c r="K110" s="381"/>
      <c r="L110" s="389"/>
      <c r="N110" s="392"/>
      <c r="O110" s="392"/>
      <c r="P110" s="392"/>
      <c r="S110" s="392"/>
      <c r="T110" s="392"/>
      <c r="U110" s="392"/>
      <c r="V110" s="392"/>
      <c r="W110" s="392"/>
      <c r="X110" s="392"/>
    </row>
    <row r="111" spans="4:24">
      <c r="D111" s="370"/>
      <c r="S111" s="392"/>
      <c r="T111" s="392"/>
      <c r="U111" s="392"/>
      <c r="V111" s="392"/>
      <c r="W111" s="392"/>
      <c r="X111" s="392"/>
    </row>
    <row r="112" spans="4:24">
      <c r="D112" s="345"/>
      <c r="E112" s="381"/>
      <c r="F112" s="381"/>
      <c r="G112" s="381"/>
      <c r="H112" s="381"/>
      <c r="I112" s="381"/>
    </row>
    <row r="113" spans="4:24">
      <c r="D113" s="370"/>
      <c r="E113" s="381"/>
      <c r="F113" s="381"/>
      <c r="G113" s="381"/>
      <c r="H113" s="381"/>
      <c r="I113" s="381"/>
      <c r="K113" s="381"/>
      <c r="S113" s="388"/>
      <c r="T113" s="388"/>
      <c r="U113" s="388"/>
      <c r="V113" s="388"/>
      <c r="W113" s="388"/>
      <c r="X113" s="388"/>
    </row>
    <row r="114" spans="4:24">
      <c r="D114" s="370"/>
      <c r="K114" s="381"/>
      <c r="S114" s="389"/>
      <c r="T114" s="389"/>
      <c r="U114" s="389"/>
      <c r="V114" s="389"/>
      <c r="W114" s="389"/>
      <c r="X114" s="389"/>
    </row>
    <row r="115" spans="4:24">
      <c r="D115" s="370"/>
      <c r="S115" s="392"/>
      <c r="T115" s="392"/>
      <c r="U115" s="392"/>
      <c r="V115" s="392"/>
      <c r="W115" s="392"/>
      <c r="X115" s="392"/>
    </row>
    <row r="116" spans="4:24">
      <c r="D116" s="345"/>
      <c r="E116" s="381"/>
      <c r="F116" s="381"/>
      <c r="G116" s="381"/>
      <c r="H116" s="381"/>
      <c r="I116" s="381"/>
    </row>
    <row r="117" spans="4:24">
      <c r="D117" s="370"/>
      <c r="E117" s="381"/>
      <c r="F117" s="381"/>
      <c r="G117" s="381"/>
      <c r="H117" s="381"/>
      <c r="I117" s="381"/>
      <c r="S117" s="389"/>
      <c r="T117" s="389"/>
      <c r="U117" s="389"/>
      <c r="V117" s="389"/>
      <c r="W117" s="389"/>
      <c r="X117" s="389"/>
    </row>
    <row r="118" spans="4:24">
      <c r="D118" s="370"/>
      <c r="S118" s="392"/>
      <c r="T118" s="392"/>
      <c r="U118" s="392"/>
      <c r="V118" s="392"/>
      <c r="W118" s="392"/>
      <c r="X118" s="392"/>
    </row>
    <row r="119" spans="4:24">
      <c r="D119" s="345"/>
      <c r="E119" s="381"/>
      <c r="F119" s="381"/>
      <c r="G119" s="381"/>
      <c r="H119" s="381"/>
      <c r="I119" s="381"/>
    </row>
    <row r="120" spans="4:24">
      <c r="D120" s="370"/>
      <c r="J120" s="381"/>
    </row>
    <row r="121" spans="4:24">
      <c r="D121" s="370"/>
      <c r="J121" s="381"/>
    </row>
    <row r="122" spans="4:24">
      <c r="D122" s="345"/>
      <c r="E122" s="381"/>
      <c r="F122" s="381"/>
      <c r="G122" s="381"/>
      <c r="H122" s="381"/>
      <c r="I122" s="381"/>
    </row>
    <row r="123" spans="4:24">
      <c r="D123" s="370"/>
    </row>
    <row r="124" spans="4:24">
      <c r="D124" s="370"/>
      <c r="J124" s="381"/>
    </row>
    <row r="125" spans="4:24">
      <c r="D125" s="370"/>
      <c r="J125" s="381"/>
      <c r="K125" s="381"/>
    </row>
    <row r="126" spans="4:24">
      <c r="D126" s="345"/>
      <c r="E126" s="381"/>
      <c r="F126" s="381"/>
      <c r="G126" s="381"/>
      <c r="H126" s="381"/>
      <c r="I126" s="381"/>
      <c r="K126" s="381"/>
    </row>
    <row r="127" spans="4:24">
      <c r="D127" s="370"/>
    </row>
    <row r="128" spans="4:24">
      <c r="D128" s="370"/>
      <c r="E128" s="345"/>
      <c r="F128" s="345"/>
      <c r="G128" s="345"/>
      <c r="H128" s="345"/>
      <c r="I128" s="345"/>
      <c r="J128" s="381"/>
    </row>
    <row r="129" spans="4:11">
      <c r="D129" s="370"/>
      <c r="E129" s="345"/>
      <c r="F129" s="345"/>
      <c r="G129" s="345"/>
      <c r="H129" s="345"/>
      <c r="I129" s="345"/>
      <c r="K129" s="381"/>
    </row>
    <row r="130" spans="4:11">
      <c r="D130" s="370"/>
      <c r="K130" s="381"/>
    </row>
    <row r="131" spans="4:11">
      <c r="D131" s="370"/>
    </row>
    <row r="133" spans="4:11">
      <c r="D133" s="345"/>
      <c r="E133" s="381"/>
      <c r="F133" s="381"/>
      <c r="G133" s="381"/>
      <c r="H133" s="381"/>
      <c r="I133" s="381"/>
      <c r="K133" s="381"/>
    </row>
    <row r="134" spans="4:11">
      <c r="D134" s="345"/>
      <c r="E134" s="381"/>
      <c r="F134" s="381"/>
      <c r="G134" s="381"/>
      <c r="H134" s="381"/>
      <c r="I134" s="381"/>
    </row>
    <row r="135" spans="4:11">
      <c r="D135" s="370"/>
      <c r="E135" s="381"/>
      <c r="F135" s="381"/>
      <c r="G135" s="381"/>
      <c r="H135" s="381"/>
      <c r="I135" s="381"/>
    </row>
    <row r="136" spans="4:11">
      <c r="D136" s="370"/>
      <c r="E136" s="381"/>
      <c r="F136" s="381"/>
      <c r="G136" s="381"/>
      <c r="H136" s="381"/>
      <c r="I136" s="381"/>
    </row>
    <row r="137" spans="4:11">
      <c r="D137" s="370"/>
    </row>
    <row r="138" spans="4:11">
      <c r="D138" s="345"/>
      <c r="E138" s="381"/>
      <c r="F138" s="381"/>
      <c r="G138" s="381"/>
      <c r="H138" s="381"/>
      <c r="I138" s="381"/>
    </row>
    <row r="139" spans="4:11">
      <c r="D139" s="370"/>
      <c r="E139" s="381"/>
      <c r="F139" s="381"/>
      <c r="G139" s="381"/>
      <c r="H139" s="381"/>
      <c r="I139" s="381"/>
    </row>
    <row r="140" spans="4:11">
      <c r="D140" s="370"/>
      <c r="E140" s="381"/>
      <c r="F140" s="381"/>
      <c r="G140" s="381"/>
      <c r="H140" s="381"/>
      <c r="I140" s="381"/>
    </row>
    <row r="141" spans="4:11">
      <c r="D141" s="370"/>
    </row>
    <row r="142" spans="4:11">
      <c r="D142" s="370"/>
    </row>
    <row r="143" spans="4:11">
      <c r="D143" s="370"/>
      <c r="J143" s="381"/>
    </row>
    <row r="144" spans="4:11">
      <c r="D144" s="370"/>
      <c r="J144" s="381"/>
    </row>
    <row r="145" spans="4:11">
      <c r="D145" s="370"/>
    </row>
    <row r="146" spans="4:11">
      <c r="D146" s="370"/>
      <c r="J146" s="381"/>
    </row>
    <row r="147" spans="4:11">
      <c r="D147" s="370"/>
      <c r="J147" s="381"/>
    </row>
    <row r="148" spans="4:11">
      <c r="D148" s="370"/>
      <c r="J148" s="381"/>
      <c r="K148" s="381"/>
    </row>
    <row r="149" spans="4:11">
      <c r="D149" s="370"/>
      <c r="K149" s="381"/>
    </row>
    <row r="150" spans="4:11">
      <c r="D150" s="345"/>
      <c r="E150" s="381"/>
      <c r="F150" s="381"/>
      <c r="G150" s="381"/>
      <c r="H150" s="381"/>
      <c r="I150" s="381"/>
    </row>
    <row r="151" spans="4:11">
      <c r="D151" s="370"/>
      <c r="J151" s="381"/>
      <c r="K151" s="381"/>
    </row>
    <row r="152" spans="4:11">
      <c r="D152" s="370"/>
      <c r="J152" s="381"/>
      <c r="K152" s="381"/>
    </row>
    <row r="153" spans="4:11">
      <c r="D153" s="345"/>
      <c r="E153" s="381"/>
      <c r="F153" s="381"/>
      <c r="G153" s="381"/>
      <c r="H153" s="381"/>
      <c r="I153" s="381"/>
      <c r="K153" s="381"/>
    </row>
    <row r="154" spans="4:11">
      <c r="D154" s="370"/>
    </row>
    <row r="155" spans="4:11">
      <c r="D155" s="345"/>
      <c r="E155" s="381"/>
      <c r="F155" s="381"/>
      <c r="G155" s="381"/>
      <c r="H155" s="381"/>
      <c r="I155" s="381"/>
    </row>
    <row r="156" spans="4:11">
      <c r="D156" s="370"/>
      <c r="E156" s="381"/>
      <c r="F156" s="381"/>
      <c r="G156" s="381"/>
      <c r="H156" s="381"/>
      <c r="I156" s="381"/>
      <c r="K156" s="381"/>
    </row>
    <row r="157" spans="4:11">
      <c r="D157" s="370"/>
      <c r="K157" s="381"/>
    </row>
    <row r="158" spans="4:11">
      <c r="D158" s="370"/>
    </row>
    <row r="159" spans="4:11">
      <c r="D159" s="345"/>
      <c r="E159" s="381"/>
      <c r="F159" s="381"/>
      <c r="G159" s="381"/>
      <c r="H159" s="381"/>
      <c r="I159" s="381"/>
    </row>
    <row r="160" spans="4:11">
      <c r="D160" s="370"/>
      <c r="E160" s="381"/>
      <c r="F160" s="381"/>
      <c r="G160" s="381"/>
      <c r="H160" s="381"/>
      <c r="I160" s="381"/>
    </row>
    <row r="161" spans="4:11">
      <c r="D161" s="370"/>
    </row>
    <row r="162" spans="4:11">
      <c r="D162" s="345"/>
      <c r="E162" s="381"/>
      <c r="F162" s="381"/>
      <c r="G162" s="381"/>
      <c r="H162" s="381"/>
      <c r="I162" s="381"/>
    </row>
    <row r="163" spans="4:11">
      <c r="D163" s="370"/>
      <c r="J163" s="381"/>
    </row>
    <row r="164" spans="4:11">
      <c r="D164" s="370"/>
      <c r="J164" s="381"/>
    </row>
    <row r="165" spans="4:11">
      <c r="D165" s="345"/>
      <c r="E165" s="381"/>
      <c r="F165" s="381"/>
      <c r="G165" s="381"/>
      <c r="H165" s="381"/>
      <c r="I165" s="381"/>
    </row>
    <row r="166" spans="4:11">
      <c r="D166" s="370"/>
    </row>
    <row r="167" spans="4:11">
      <c r="D167" s="370"/>
      <c r="J167" s="381"/>
    </row>
    <row r="168" spans="4:11">
      <c r="D168" s="370"/>
      <c r="J168" s="381"/>
      <c r="K168" s="381"/>
    </row>
    <row r="169" spans="4:11">
      <c r="D169" s="345"/>
      <c r="E169" s="381"/>
      <c r="F169" s="381"/>
      <c r="G169" s="381"/>
      <c r="H169" s="381"/>
      <c r="I169" s="381"/>
      <c r="K169" s="381"/>
    </row>
    <row r="170" spans="4:11">
      <c r="D170" s="370"/>
    </row>
    <row r="171" spans="4:11">
      <c r="D171" s="370"/>
      <c r="E171" s="345"/>
      <c r="F171" s="345"/>
      <c r="G171" s="345"/>
      <c r="H171" s="345"/>
      <c r="I171" s="345"/>
      <c r="J171" s="381"/>
    </row>
    <row r="172" spans="4:11">
      <c r="D172" s="370"/>
      <c r="E172" s="345"/>
      <c r="F172" s="345"/>
      <c r="G172" s="345"/>
      <c r="H172" s="345"/>
      <c r="I172" s="345"/>
      <c r="K172" s="381"/>
    </row>
    <row r="173" spans="4:11">
      <c r="D173" s="370"/>
      <c r="K173" s="381"/>
    </row>
    <row r="174" spans="4:11">
      <c r="D174" s="370"/>
    </row>
    <row r="175" spans="4:11">
      <c r="D175" s="370"/>
    </row>
    <row r="176" spans="4:11">
      <c r="D176" s="345"/>
      <c r="E176" s="381"/>
      <c r="F176" s="381"/>
      <c r="G176" s="381"/>
      <c r="H176" s="381"/>
      <c r="I176" s="381"/>
      <c r="K176" s="381"/>
    </row>
    <row r="177" spans="4:11">
      <c r="D177" s="345"/>
      <c r="E177" s="381"/>
      <c r="F177" s="381"/>
      <c r="G177" s="381"/>
      <c r="H177" s="381"/>
      <c r="I177" s="381"/>
    </row>
    <row r="178" spans="4:11">
      <c r="D178" s="370"/>
      <c r="E178" s="381"/>
      <c r="F178" s="381"/>
      <c r="G178" s="381"/>
      <c r="H178" s="381"/>
      <c r="I178" s="381"/>
    </row>
    <row r="179" spans="4:11">
      <c r="D179" s="370"/>
      <c r="E179" s="381"/>
      <c r="F179" s="381"/>
      <c r="G179" s="381"/>
      <c r="H179" s="381"/>
      <c r="I179" s="381"/>
    </row>
    <row r="180" spans="4:11">
      <c r="D180" s="370"/>
    </row>
    <row r="181" spans="4:11">
      <c r="D181" s="345"/>
      <c r="E181" s="381"/>
      <c r="F181" s="381"/>
      <c r="G181" s="381"/>
      <c r="H181" s="381"/>
      <c r="I181" s="381"/>
    </row>
    <row r="182" spans="4:11">
      <c r="D182" s="370"/>
      <c r="E182" s="381"/>
      <c r="F182" s="381"/>
      <c r="G182" s="381"/>
      <c r="H182" s="381"/>
      <c r="I182" s="381"/>
    </row>
    <row r="183" spans="4:11">
      <c r="D183" s="370"/>
      <c r="E183" s="381"/>
      <c r="F183" s="381"/>
      <c r="G183" s="381"/>
      <c r="H183" s="381"/>
      <c r="I183" s="381"/>
    </row>
    <row r="184" spans="4:11">
      <c r="D184" s="370"/>
    </row>
    <row r="185" spans="4:11">
      <c r="D185" s="370"/>
    </row>
    <row r="186" spans="4:11">
      <c r="D186" s="370"/>
      <c r="J186" s="381"/>
    </row>
    <row r="187" spans="4:11">
      <c r="D187" s="370"/>
      <c r="J187" s="381"/>
    </row>
    <row r="188" spans="4:11">
      <c r="D188" s="370"/>
    </row>
    <row r="189" spans="4:11">
      <c r="D189" s="370"/>
      <c r="J189" s="381"/>
    </row>
    <row r="190" spans="4:11">
      <c r="D190" s="370"/>
      <c r="J190" s="381"/>
    </row>
    <row r="191" spans="4:11">
      <c r="D191" s="370"/>
      <c r="J191" s="381"/>
      <c r="K191" s="381"/>
    </row>
    <row r="192" spans="4:11">
      <c r="D192" s="370"/>
      <c r="K192" s="381"/>
    </row>
    <row r="193" spans="4:11">
      <c r="D193" s="345"/>
      <c r="E193" s="381"/>
      <c r="F193" s="381"/>
      <c r="G193" s="381"/>
      <c r="H193" s="381"/>
      <c r="I193" s="381"/>
    </row>
    <row r="194" spans="4:11">
      <c r="D194" s="370"/>
      <c r="J194" s="381"/>
      <c r="K194" s="381"/>
    </row>
    <row r="195" spans="4:11">
      <c r="D195" s="370"/>
      <c r="J195" s="381"/>
      <c r="K195" s="381"/>
    </row>
    <row r="196" spans="4:11">
      <c r="D196" s="345"/>
      <c r="E196" s="381"/>
      <c r="F196" s="381"/>
      <c r="G196" s="381"/>
      <c r="H196" s="381"/>
      <c r="I196" s="381"/>
      <c r="K196" s="381"/>
    </row>
    <row r="197" spans="4:11">
      <c r="D197" s="370"/>
    </row>
    <row r="198" spans="4:11">
      <c r="D198" s="345"/>
      <c r="E198" s="381"/>
      <c r="F198" s="381"/>
      <c r="G198" s="381"/>
      <c r="H198" s="381"/>
      <c r="I198" s="381"/>
    </row>
    <row r="199" spans="4:11">
      <c r="D199" s="370"/>
      <c r="E199" s="381"/>
      <c r="F199" s="381"/>
      <c r="G199" s="381"/>
      <c r="H199" s="381"/>
      <c r="I199" s="381"/>
      <c r="K199" s="381"/>
    </row>
    <row r="200" spans="4:11">
      <c r="D200" s="370"/>
      <c r="K200" s="381"/>
    </row>
    <row r="201" spans="4:11">
      <c r="D201" s="370"/>
    </row>
    <row r="202" spans="4:11">
      <c r="D202" s="345"/>
      <c r="E202" s="381"/>
      <c r="F202" s="381"/>
      <c r="G202" s="381"/>
      <c r="H202" s="381"/>
      <c r="I202" s="381"/>
    </row>
    <row r="203" spans="4:11">
      <c r="D203" s="370"/>
      <c r="E203" s="381"/>
      <c r="F203" s="381"/>
      <c r="G203" s="381"/>
      <c r="H203" s="381"/>
      <c r="I203" s="381"/>
    </row>
    <row r="204" spans="4:11">
      <c r="D204" s="370"/>
    </row>
    <row r="205" spans="4:11">
      <c r="D205" s="345"/>
      <c r="E205" s="381"/>
      <c r="F205" s="381"/>
      <c r="G205" s="381"/>
      <c r="H205" s="381"/>
      <c r="I205" s="381"/>
    </row>
    <row r="206" spans="4:11">
      <c r="D206" s="370"/>
      <c r="J206" s="381"/>
    </row>
    <row r="207" spans="4:11">
      <c r="D207" s="370"/>
      <c r="J207" s="381"/>
    </row>
    <row r="208" spans="4:11">
      <c r="D208" s="345"/>
      <c r="E208" s="381"/>
      <c r="F208" s="381"/>
      <c r="G208" s="381"/>
      <c r="H208" s="381"/>
      <c r="I208" s="381"/>
    </row>
    <row r="209" spans="4:11">
      <c r="D209" s="370"/>
    </row>
    <row r="210" spans="4:11">
      <c r="D210" s="370"/>
      <c r="J210" s="381"/>
    </row>
    <row r="211" spans="4:11">
      <c r="D211" s="370"/>
      <c r="J211" s="381"/>
      <c r="K211" s="381"/>
    </row>
    <row r="212" spans="4:11">
      <c r="D212" s="345"/>
      <c r="E212" s="381"/>
      <c r="F212" s="381"/>
      <c r="G212" s="381"/>
      <c r="H212" s="381"/>
      <c r="I212" s="381"/>
      <c r="K212" s="381"/>
    </row>
    <row r="213" spans="4:11">
      <c r="D213" s="370"/>
    </row>
    <row r="214" spans="4:11">
      <c r="D214" s="370"/>
      <c r="E214" s="345"/>
      <c r="F214" s="345"/>
      <c r="G214" s="345"/>
      <c r="H214" s="345"/>
      <c r="I214" s="345"/>
      <c r="J214" s="381"/>
    </row>
    <row r="215" spans="4:11">
      <c r="D215" s="370"/>
      <c r="E215" s="345"/>
      <c r="F215" s="345"/>
      <c r="G215" s="345"/>
      <c r="H215" s="345"/>
      <c r="I215" s="345"/>
      <c r="K215" s="381"/>
    </row>
    <row r="216" spans="4:11">
      <c r="D216" s="370"/>
      <c r="K216" s="381"/>
    </row>
    <row r="217" spans="4:11">
      <c r="D217" s="370"/>
    </row>
    <row r="218" spans="4:11">
      <c r="D218" s="370"/>
    </row>
    <row r="219" spans="4:11">
      <c r="D219" s="345"/>
      <c r="E219" s="381"/>
      <c r="F219" s="381"/>
      <c r="G219" s="381"/>
      <c r="H219" s="381"/>
      <c r="I219" s="381"/>
      <c r="K219" s="381"/>
    </row>
    <row r="220" spans="4:11">
      <c r="D220" s="345"/>
      <c r="E220" s="381"/>
      <c r="F220" s="381"/>
      <c r="G220" s="381"/>
      <c r="H220" s="381"/>
      <c r="I220" s="381"/>
    </row>
    <row r="221" spans="4:11">
      <c r="D221" s="370"/>
      <c r="E221" s="381"/>
      <c r="F221" s="381"/>
      <c r="G221" s="381"/>
      <c r="H221" s="381"/>
      <c r="I221" s="381"/>
    </row>
    <row r="222" spans="4:11">
      <c r="D222" s="370"/>
      <c r="E222" s="381"/>
      <c r="F222" s="381"/>
      <c r="G222" s="381"/>
      <c r="H222" s="381"/>
      <c r="I222" s="381"/>
    </row>
    <row r="223" spans="4:11">
      <c r="D223" s="370"/>
    </row>
    <row r="224" spans="4:11">
      <c r="D224" s="345"/>
      <c r="E224" s="381"/>
      <c r="F224" s="381"/>
      <c r="G224" s="381"/>
      <c r="H224" s="381"/>
      <c r="I224" s="381"/>
    </row>
    <row r="225" spans="4:11">
      <c r="D225" s="370"/>
      <c r="E225" s="381"/>
      <c r="F225" s="381"/>
      <c r="G225" s="381"/>
      <c r="H225" s="381"/>
      <c r="I225" s="381"/>
    </row>
    <row r="226" spans="4:11">
      <c r="D226" s="370"/>
      <c r="E226" s="381"/>
      <c r="F226" s="381"/>
      <c r="G226" s="381"/>
      <c r="H226" s="381"/>
      <c r="I226" s="381"/>
    </row>
    <row r="227" spans="4:11">
      <c r="D227" s="370"/>
    </row>
    <row r="228" spans="4:11">
      <c r="D228" s="370"/>
    </row>
    <row r="229" spans="4:11">
      <c r="D229" s="370"/>
      <c r="J229" s="381"/>
    </row>
    <row r="230" spans="4:11">
      <c r="D230" s="370"/>
      <c r="J230" s="381"/>
    </row>
    <row r="231" spans="4:11">
      <c r="D231" s="370"/>
    </row>
    <row r="232" spans="4:11">
      <c r="D232" s="370"/>
      <c r="J232" s="381"/>
    </row>
    <row r="233" spans="4:11">
      <c r="D233" s="370"/>
      <c r="J233" s="381"/>
    </row>
    <row r="234" spans="4:11">
      <c r="D234" s="370"/>
      <c r="J234" s="381"/>
      <c r="K234" s="381"/>
    </row>
    <row r="235" spans="4:11">
      <c r="D235" s="370"/>
      <c r="K235" s="381"/>
    </row>
    <row r="236" spans="4:11">
      <c r="D236" s="345"/>
      <c r="E236" s="381"/>
      <c r="F236" s="381"/>
      <c r="G236" s="381"/>
      <c r="H236" s="381"/>
      <c r="I236" s="381"/>
    </row>
    <row r="237" spans="4:11">
      <c r="D237" s="370"/>
      <c r="J237" s="381"/>
      <c r="K237" s="381"/>
    </row>
    <row r="238" spans="4:11">
      <c r="D238" s="370"/>
      <c r="J238" s="381"/>
      <c r="K238" s="381"/>
    </row>
    <row r="239" spans="4:11">
      <c r="D239" s="345"/>
      <c r="E239" s="381"/>
      <c r="F239" s="381"/>
      <c r="G239" s="381"/>
      <c r="H239" s="381"/>
      <c r="I239" s="381"/>
      <c r="K239" s="381"/>
    </row>
    <row r="240" spans="4:11">
      <c r="D240" s="370"/>
    </row>
    <row r="241" spans="4:11">
      <c r="D241" s="345"/>
      <c r="E241" s="381"/>
      <c r="F241" s="381"/>
      <c r="G241" s="381"/>
      <c r="H241" s="381"/>
      <c r="I241" s="381"/>
    </row>
    <row r="242" spans="4:11">
      <c r="D242" s="370"/>
      <c r="E242" s="381"/>
      <c r="F242" s="381"/>
      <c r="G242" s="381"/>
      <c r="H242" s="381"/>
      <c r="I242" s="381"/>
      <c r="K242" s="381"/>
    </row>
    <row r="243" spans="4:11">
      <c r="D243" s="370"/>
      <c r="K243" s="381"/>
    </row>
    <row r="244" spans="4:11">
      <c r="D244" s="370"/>
    </row>
    <row r="245" spans="4:11">
      <c r="D245" s="345"/>
      <c r="E245" s="381"/>
      <c r="F245" s="381"/>
      <c r="G245" s="381"/>
      <c r="H245" s="381"/>
      <c r="I245" s="381"/>
    </row>
    <row r="246" spans="4:11">
      <c r="D246" s="370"/>
      <c r="E246" s="381"/>
      <c r="F246" s="381"/>
      <c r="G246" s="381"/>
      <c r="H246" s="381"/>
      <c r="I246" s="381"/>
    </row>
    <row r="247" spans="4:11">
      <c r="D247" s="370"/>
    </row>
    <row r="248" spans="4:11">
      <c r="D248" s="345"/>
      <c r="E248" s="381"/>
      <c r="F248" s="381"/>
      <c r="G248" s="381"/>
      <c r="H248" s="381"/>
      <c r="I248" s="381"/>
    </row>
    <row r="249" spans="4:11">
      <c r="D249" s="370"/>
      <c r="J249" s="381"/>
    </row>
    <row r="250" spans="4:11">
      <c r="D250" s="370"/>
      <c r="J250" s="381"/>
    </row>
    <row r="251" spans="4:11">
      <c r="D251" s="345"/>
      <c r="E251" s="381"/>
      <c r="F251" s="381"/>
      <c r="G251" s="381"/>
      <c r="H251" s="381"/>
      <c r="I251" s="381"/>
    </row>
    <row r="252" spans="4:11">
      <c r="D252" s="370"/>
    </row>
    <row r="253" spans="4:11">
      <c r="D253" s="370"/>
      <c r="J253" s="381"/>
    </row>
    <row r="254" spans="4:11">
      <c r="D254" s="370"/>
      <c r="J254" s="381"/>
      <c r="K254" s="381"/>
    </row>
    <row r="255" spans="4:11">
      <c r="D255" s="345"/>
      <c r="E255" s="381"/>
      <c r="F255" s="381"/>
      <c r="G255" s="381"/>
      <c r="H255" s="381"/>
      <c r="I255" s="381"/>
      <c r="K255" s="381"/>
    </row>
    <row r="256" spans="4:11">
      <c r="D256" s="370"/>
    </row>
    <row r="257" spans="4:11">
      <c r="D257" s="370"/>
      <c r="E257" s="345"/>
      <c r="F257" s="345"/>
      <c r="G257" s="345"/>
      <c r="H257" s="345"/>
      <c r="I257" s="345"/>
      <c r="J257" s="381"/>
    </row>
    <row r="258" spans="4:11">
      <c r="D258" s="370"/>
      <c r="E258" s="345"/>
      <c r="F258" s="345"/>
      <c r="G258" s="345"/>
      <c r="H258" s="345"/>
      <c r="I258" s="345"/>
      <c r="K258" s="381"/>
    </row>
    <row r="259" spans="4:11">
      <c r="D259" s="370"/>
      <c r="K259" s="381"/>
    </row>
    <row r="260" spans="4:11">
      <c r="D260" s="370"/>
    </row>
    <row r="261" spans="4:11">
      <c r="D261" s="370"/>
    </row>
    <row r="262" spans="4:11">
      <c r="D262" s="370"/>
      <c r="K262" s="381"/>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sheetData>
  <phoneticPr fontId="26" type="noConversion"/>
  <pageMargins left="0.75" right="0.75" top="1" bottom="1" header="0.5" footer="0.5"/>
  <pageSetup scale="47" orientation="landscape" r:id="rId1"/>
  <headerFooter alignWithMargins="0"/>
  <drawing r:id="rId2"/>
  <legacy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44">
    <pageSetUpPr fitToPage="1"/>
  </sheetPr>
  <dimension ref="A1:X460"/>
  <sheetViews>
    <sheetView showGridLines="0" zoomScale="80" zoomScaleNormal="80" workbookViewId="0"/>
  </sheetViews>
  <sheetFormatPr defaultColWidth="9.109375" defaultRowHeight="12"/>
  <cols>
    <col min="1" max="1" width="2.33203125" style="367" customWidth="1"/>
    <col min="2" max="4" width="10" style="367" customWidth="1"/>
    <col min="5" max="5" width="25.10937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1:24" s="472" customFormat="1">
      <c r="E1" s="150"/>
    </row>
    <row r="2" spans="1:24" s="472" customFormat="1">
      <c r="E2" s="150"/>
      <c r="T2" s="476"/>
    </row>
    <row r="3" spans="1:24" s="472" customFormat="1"/>
    <row r="4" spans="1:24" s="477" customFormat="1" ht="21">
      <c r="B4" s="129" t="s">
        <v>1457</v>
      </c>
      <c r="C4" s="129"/>
    </row>
    <row r="5" spans="1:24" s="472" customFormat="1">
      <c r="D5" s="132"/>
      <c r="E5" s="132"/>
      <c r="F5" s="132"/>
      <c r="G5" s="132"/>
      <c r="H5" s="132"/>
      <c r="I5" s="132"/>
      <c r="L5" s="473"/>
      <c r="M5" s="473"/>
      <c r="N5" s="473"/>
      <c r="O5" s="473"/>
      <c r="P5" s="473"/>
      <c r="Q5" s="473"/>
      <c r="R5" s="473"/>
      <c r="S5" s="473"/>
      <c r="T5" s="473"/>
      <c r="U5" s="473"/>
      <c r="V5" s="473"/>
      <c r="W5" s="473"/>
      <c r="X5" s="473"/>
    </row>
    <row r="6" spans="1:24">
      <c r="B6" s="456"/>
      <c r="C6" s="456"/>
      <c r="D6" s="456"/>
      <c r="E6" s="456"/>
      <c r="F6" s="456"/>
      <c r="G6" s="456"/>
      <c r="H6" s="456"/>
      <c r="I6" s="456"/>
      <c r="L6" s="440"/>
      <c r="M6" s="440"/>
      <c r="N6" s="440"/>
      <c r="O6" s="440"/>
      <c r="P6" s="440"/>
      <c r="Q6" s="440"/>
      <c r="R6" s="440"/>
      <c r="S6" s="440"/>
      <c r="T6" s="440"/>
      <c r="U6" s="440"/>
      <c r="V6" s="440"/>
      <c r="W6" s="440"/>
      <c r="X6" s="440"/>
    </row>
    <row r="7" spans="1:24" ht="12.6" thickBot="1">
      <c r="B7" s="306" t="s">
        <v>347</v>
      </c>
      <c r="C7" s="306"/>
      <c r="D7" s="368"/>
      <c r="E7" s="457"/>
      <c r="F7" s="457"/>
      <c r="G7" s="457"/>
      <c r="H7" s="457"/>
      <c r="I7" s="457"/>
      <c r="J7" s="368"/>
      <c r="K7" s="368"/>
      <c r="L7" s="368"/>
      <c r="M7" s="368"/>
      <c r="N7" s="368"/>
      <c r="O7" s="368"/>
      <c r="P7" s="368"/>
      <c r="Q7" s="368"/>
      <c r="R7" s="368"/>
      <c r="S7" s="368"/>
      <c r="T7" s="368"/>
      <c r="U7" s="368"/>
      <c r="V7" s="368"/>
      <c r="W7" s="368"/>
      <c r="X7" s="368"/>
    </row>
    <row r="8" spans="1:24" ht="12.6" thickTop="1">
      <c r="B8" s="345"/>
      <c r="C8" s="345"/>
      <c r="E8" s="345"/>
      <c r="F8" s="345"/>
      <c r="G8" s="345"/>
      <c r="H8" s="345"/>
      <c r="I8" s="345"/>
    </row>
    <row r="9" spans="1:24">
      <c r="D9" s="345"/>
      <c r="E9" s="382" t="s">
        <v>80</v>
      </c>
      <c r="F9" s="458" t="s">
        <v>81</v>
      </c>
      <c r="G9" s="458"/>
      <c r="H9" s="458" t="s">
        <v>82</v>
      </c>
      <c r="I9" s="458"/>
      <c r="J9" s="458" t="s">
        <v>83</v>
      </c>
      <c r="K9" s="458"/>
      <c r="L9" s="458" t="s">
        <v>84</v>
      </c>
      <c r="M9" s="458"/>
      <c r="N9" s="458" t="s">
        <v>127</v>
      </c>
      <c r="O9" s="458"/>
      <c r="P9" s="458" t="s">
        <v>128</v>
      </c>
      <c r="Q9" s="458"/>
      <c r="R9" s="458" t="s">
        <v>647</v>
      </c>
      <c r="S9" s="458"/>
      <c r="T9" s="458" t="s">
        <v>129</v>
      </c>
      <c r="U9" s="458"/>
      <c r="V9" s="458" t="s">
        <v>130</v>
      </c>
      <c r="W9" s="458"/>
      <c r="X9" s="458" t="s">
        <v>120</v>
      </c>
    </row>
    <row r="10" spans="1: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1:24">
      <c r="A11" s="370"/>
      <c r="B11" s="501" t="s">
        <v>446</v>
      </c>
      <c r="E11" s="367" t="str">
        <f>"DCF, "&amp;TEXT(H11,"0.0")&amp;"x 22E FCF"</f>
        <v>DCF, 8.2x 22E FCF</v>
      </c>
      <c r="F11" s="484">
        <v>4066.3197791513066</v>
      </c>
      <c r="G11" s="178" t="s">
        <v>133</v>
      </c>
      <c r="H11" s="486">
        <v>8.1536785416497093</v>
      </c>
      <c r="I11" s="178" t="s">
        <v>134</v>
      </c>
      <c r="J11" s="484">
        <v>35054.132954545363</v>
      </c>
      <c r="K11" s="178" t="s">
        <v>135</v>
      </c>
      <c r="L11" s="484"/>
      <c r="M11" s="178" t="s">
        <v>134</v>
      </c>
      <c r="N11" s="216">
        <f t="shared" ref="N11:N16" si="0">J11-L11</f>
        <v>35054.132954545363</v>
      </c>
      <c r="O11" s="178" t="s">
        <v>133</v>
      </c>
      <c r="P11" s="490">
        <v>1</v>
      </c>
      <c r="Q11" s="393" t="s">
        <v>134</v>
      </c>
      <c r="R11" s="208">
        <f>P11*N11</f>
        <v>35054.132954545363</v>
      </c>
      <c r="S11" s="216"/>
      <c r="T11" s="216">
        <f t="shared" ref="T11:T16" si="1">N11-R11</f>
        <v>0</v>
      </c>
      <c r="U11" s="216"/>
      <c r="V11" s="397">
        <f t="shared" ref="V11:V18" si="2">N11/$J$44</f>
        <v>1.4714465418084706</v>
      </c>
      <c r="W11" s="370"/>
      <c r="X11" s="373">
        <f>$J$48*V11</f>
        <v>6.6574125936064981</v>
      </c>
    </row>
    <row r="12" spans="1:24">
      <c r="A12" s="370"/>
      <c r="B12" s="501" t="s">
        <v>444</v>
      </c>
      <c r="C12" s="370"/>
      <c r="E12" s="367" t="s">
        <v>1015</v>
      </c>
      <c r="F12" s="484">
        <v>2974.5549930000002</v>
      </c>
      <c r="G12" s="178" t="s">
        <v>133</v>
      </c>
      <c r="H12" s="486">
        <v>1.4</v>
      </c>
      <c r="I12" s="178" t="s">
        <v>134</v>
      </c>
      <c r="J12" s="484">
        <v>4610.9653187227605</v>
      </c>
      <c r="K12" s="178" t="s">
        <v>135</v>
      </c>
      <c r="L12" s="216">
        <f>J12-N12</f>
        <v>446.58832852276009</v>
      </c>
      <c r="M12" s="178" t="s">
        <v>134</v>
      </c>
      <c r="N12" s="484">
        <v>4164.3769902000004</v>
      </c>
      <c r="O12" s="178" t="s">
        <v>133</v>
      </c>
      <c r="P12" s="490">
        <v>1</v>
      </c>
      <c r="Q12" s="393" t="s">
        <v>134</v>
      </c>
      <c r="R12" s="216">
        <f>P12*N12</f>
        <v>4164.3769902000004</v>
      </c>
      <c r="S12" s="370"/>
      <c r="T12" s="216">
        <f t="shared" si="1"/>
        <v>0</v>
      </c>
      <c r="U12" s="370"/>
      <c r="V12" s="394">
        <f t="shared" si="2"/>
        <v>0.17480558223939763</v>
      </c>
      <c r="W12" s="370"/>
      <c r="X12" s="373">
        <f>$J$46*V12</f>
        <v>0.73844868496229976</v>
      </c>
    </row>
    <row r="13" spans="1:24">
      <c r="A13" s="370"/>
      <c r="B13" s="370" t="s">
        <v>567</v>
      </c>
      <c r="C13" s="370"/>
      <c r="E13" s="367" t="s">
        <v>1519</v>
      </c>
      <c r="F13" s="484">
        <v>1633.3532347692308</v>
      </c>
      <c r="G13" s="178" t="s">
        <v>133</v>
      </c>
      <c r="H13" s="486">
        <v>61</v>
      </c>
      <c r="I13" s="178" t="s">
        <v>134</v>
      </c>
      <c r="J13" s="484">
        <v>19991.431453486977</v>
      </c>
      <c r="K13" s="178" t="s">
        <v>135</v>
      </c>
      <c r="L13" s="216">
        <f>J13-N13</f>
        <v>1449.1493518795141</v>
      </c>
      <c r="M13" s="178" t="s">
        <v>134</v>
      </c>
      <c r="N13" s="484">
        <v>18542.282101607463</v>
      </c>
      <c r="O13" s="178" t="s">
        <v>133</v>
      </c>
      <c r="P13" s="490">
        <v>0.749</v>
      </c>
      <c r="Q13" s="393" t="s">
        <v>134</v>
      </c>
      <c r="R13" s="216">
        <f t="shared" ref="R13" si="3">P13*N13</f>
        <v>13888.169294103989</v>
      </c>
      <c r="S13" s="216"/>
      <c r="T13" s="216">
        <f t="shared" si="1"/>
        <v>4654.112807503474</v>
      </c>
      <c r="U13" s="216"/>
      <c r="V13" s="394">
        <f t="shared" si="2"/>
        <v>0.77833837485087676</v>
      </c>
      <c r="W13" s="370"/>
      <c r="X13" s="373">
        <f>$J$46*V13</f>
        <v>3.2880125565851843</v>
      </c>
    </row>
    <row r="14" spans="1:24">
      <c r="A14" s="370"/>
      <c r="B14" s="501" t="s">
        <v>1517</v>
      </c>
      <c r="C14" s="370"/>
      <c r="E14" s="367" t="str">
        <f>"DCF, "&amp;TEXT(H14,"0.0")&amp;"x 22E EBITDA"</f>
        <v>DCF, 4.3x 22E EBITDA</v>
      </c>
      <c r="F14" s="484">
        <v>1175.3755675110735</v>
      </c>
      <c r="G14" s="178" t="s">
        <v>133</v>
      </c>
      <c r="H14" s="486">
        <v>4.3222350171156076</v>
      </c>
      <c r="I14" s="178" t="s">
        <v>134</v>
      </c>
      <c r="J14" s="484">
        <v>5764.8611508747636</v>
      </c>
      <c r="K14" s="178" t="s">
        <v>135</v>
      </c>
      <c r="L14" s="484"/>
      <c r="M14" s="178" t="s">
        <v>134</v>
      </c>
      <c r="N14" s="216">
        <f t="shared" si="0"/>
        <v>5764.8611508747636</v>
      </c>
      <c r="O14" s="178" t="s">
        <v>133</v>
      </c>
      <c r="P14" s="490">
        <v>1</v>
      </c>
      <c r="Q14" s="393" t="s">
        <v>134</v>
      </c>
      <c r="R14" s="216">
        <f t="shared" ref="R14" si="4">P14*N14</f>
        <v>5764.8611508747636</v>
      </c>
      <c r="S14" s="216"/>
      <c r="T14" s="216">
        <f t="shared" si="1"/>
        <v>0</v>
      </c>
      <c r="U14" s="216"/>
      <c r="V14" s="394">
        <f t="shared" si="2"/>
        <v>0.24198815630271484</v>
      </c>
      <c r="W14" s="370"/>
      <c r="X14" s="373">
        <f>$J$46*V14</f>
        <v>1.0222547444363983</v>
      </c>
    </row>
    <row r="15" spans="1:24">
      <c r="A15" s="370"/>
      <c r="B15" s="370" t="s">
        <v>1016</v>
      </c>
      <c r="C15" s="370"/>
      <c r="E15" s="367" t="str">
        <f>"DCF, "&amp;TEXT(H15,"0.0")&amp;"x 22E FCF"</f>
        <v>DCF, 11.8x 22E FCF</v>
      </c>
      <c r="F15" s="484">
        <v>233.0627556</v>
      </c>
      <c r="G15" s="178" t="s">
        <v>133</v>
      </c>
      <c r="H15" s="486">
        <v>11.788514670149345</v>
      </c>
      <c r="I15" s="178" t="s">
        <v>134</v>
      </c>
      <c r="J15" s="484">
        <v>2747.4637134560317</v>
      </c>
      <c r="K15" s="178" t="s">
        <v>135</v>
      </c>
      <c r="L15" s="484">
        <v>201</v>
      </c>
      <c r="M15" s="178" t="s">
        <v>134</v>
      </c>
      <c r="N15" s="216">
        <f t="shared" si="0"/>
        <v>2546.4637134560317</v>
      </c>
      <c r="O15" s="178" t="s">
        <v>133</v>
      </c>
      <c r="P15" s="490">
        <v>0.7</v>
      </c>
      <c r="Q15" s="393" t="s">
        <v>134</v>
      </c>
      <c r="R15" s="216">
        <f>P15*N15</f>
        <v>1782.5245994192221</v>
      </c>
      <c r="S15" s="216"/>
      <c r="T15" s="216">
        <f t="shared" si="1"/>
        <v>763.93911403680954</v>
      </c>
      <c r="U15" s="216"/>
      <c r="V15" s="394">
        <f t="shared" si="2"/>
        <v>0.10689139651134272</v>
      </c>
      <c r="W15" s="370"/>
      <c r="X15" s="373">
        <f>$J$46*V15</f>
        <v>0.45155200524136757</v>
      </c>
    </row>
    <row r="16" spans="1:24">
      <c r="A16" s="370"/>
      <c r="B16" s="501" t="s">
        <v>1518</v>
      </c>
      <c r="C16" s="370"/>
      <c r="E16" s="367" t="str">
        <f>"DCF, "&amp;TEXT(H16,"0.0")&amp;"x 22E FCF"</f>
        <v>DCF, 5.1x 22E FCF</v>
      </c>
      <c r="F16" s="484">
        <v>-269.72213748000007</v>
      </c>
      <c r="G16" s="178" t="s">
        <v>133</v>
      </c>
      <c r="H16" s="486">
        <v>5.0680467725791392</v>
      </c>
      <c r="I16" s="178" t="s">
        <v>134</v>
      </c>
      <c r="J16" s="484">
        <v>-1366.9644083486612</v>
      </c>
      <c r="K16" s="178" t="s">
        <v>135</v>
      </c>
      <c r="L16" s="484"/>
      <c r="M16" s="178" t="s">
        <v>134</v>
      </c>
      <c r="N16" s="216">
        <f t="shared" si="0"/>
        <v>-1366.9644083486612</v>
      </c>
      <c r="O16" s="178" t="s">
        <v>133</v>
      </c>
      <c r="P16" s="490">
        <v>1</v>
      </c>
      <c r="Q16" s="393" t="s">
        <v>134</v>
      </c>
      <c r="R16" s="216">
        <f>P16*N16</f>
        <v>-1366.9644083486612</v>
      </c>
      <c r="S16" s="370"/>
      <c r="T16" s="208">
        <f t="shared" si="1"/>
        <v>0</v>
      </c>
      <c r="U16" s="370"/>
      <c r="V16" s="394">
        <f t="shared" si="2"/>
        <v>-5.7380253964578104E-2</v>
      </c>
      <c r="W16" s="370"/>
      <c r="X16" s="373">
        <f>$J$46*V16</f>
        <v>-0.24239713938263246</v>
      </c>
    </row>
    <row r="17" spans="1:24" s="381" customFormat="1">
      <c r="A17" s="345"/>
      <c r="B17" s="382" t="s">
        <v>1425</v>
      </c>
      <c r="C17" s="345"/>
      <c r="J17" s="398">
        <f>SUM(J11:J16)</f>
        <v>66801.890182737232</v>
      </c>
      <c r="N17" s="398">
        <f>SUM(N11:N16)</f>
        <v>64705.152502334953</v>
      </c>
      <c r="P17" s="196"/>
      <c r="R17" s="398">
        <f>SUM(R11:R16)</f>
        <v>59287.100580794671</v>
      </c>
      <c r="S17" s="210"/>
      <c r="T17" s="398">
        <f>SUM(T11:T16)</f>
        <v>5418.0519215402837</v>
      </c>
      <c r="U17" s="210"/>
      <c r="V17" s="436">
        <f t="shared" si="2"/>
        <v>2.7160897977482241</v>
      </c>
      <c r="W17" s="345"/>
      <c r="X17" s="416">
        <f>$J$48*V17</f>
        <v>12.28867642223104</v>
      </c>
    </row>
    <row r="18" spans="1:24" s="597" customFormat="1">
      <c r="A18" s="595"/>
      <c r="B18" s="596" t="s">
        <v>1490</v>
      </c>
      <c r="C18" s="595"/>
      <c r="J18" s="598">
        <v>2100</v>
      </c>
      <c r="N18" s="599">
        <f>J18</f>
        <v>2100</v>
      </c>
      <c r="P18" s="600">
        <v>0.55000000000000004</v>
      </c>
      <c r="R18" s="601">
        <f>P18*N18</f>
        <v>1155</v>
      </c>
      <c r="S18" s="599"/>
      <c r="T18" s="601">
        <f>N18-R18</f>
        <v>945</v>
      </c>
      <c r="U18" s="599"/>
      <c r="V18" s="602">
        <f t="shared" si="2"/>
        <v>8.8150454093519737E-2</v>
      </c>
      <c r="W18" s="595"/>
      <c r="X18" s="603">
        <f>$J$48*V18</f>
        <v>0.39882790610460184</v>
      </c>
    </row>
    <row r="19" spans="1:24">
      <c r="A19" s="370"/>
    </row>
    <row r="20" spans="1:24">
      <c r="A20" s="370"/>
    </row>
    <row r="21" spans="1:24">
      <c r="B21" s="370" t="s">
        <v>1520</v>
      </c>
      <c r="E21" s="367" t="str">
        <f>"DCF, "&amp;TEXT(H21,"0.0")&amp;"x 22E EBITDA"</f>
        <v>DCF, 7.7x 22E EBITDA</v>
      </c>
      <c r="F21" s="484">
        <v>4224.3464971622234</v>
      </c>
      <c r="G21" s="178" t="s">
        <v>133</v>
      </c>
      <c r="H21" s="485">
        <v>7.6574600711195631</v>
      </c>
      <c r="I21" s="178" t="s">
        <v>134</v>
      </c>
      <c r="J21" s="484">
        <v>29016.222624801583</v>
      </c>
      <c r="K21" s="178" t="s">
        <v>135</v>
      </c>
      <c r="L21" s="484">
        <v>23327.41338297</v>
      </c>
      <c r="M21" s="178" t="s">
        <v>134</v>
      </c>
      <c r="N21" s="216">
        <f>J21-L21</f>
        <v>5688.8092418315828</v>
      </c>
      <c r="O21" s="178" t="s">
        <v>133</v>
      </c>
      <c r="P21" s="490">
        <v>0.5</v>
      </c>
      <c r="Q21" s="393" t="s">
        <v>134</v>
      </c>
      <c r="R21" s="216">
        <f t="shared" ref="R21:R28" si="5">P21*N21</f>
        <v>2844.4046209157914</v>
      </c>
      <c r="S21" s="216"/>
      <c r="T21" s="216">
        <f t="shared" ref="T21" si="6">N21-R21</f>
        <v>2844.4046209157914</v>
      </c>
      <c r="U21" s="216"/>
      <c r="V21" s="394">
        <f>N21/$J$44</f>
        <v>0.23879577043755512</v>
      </c>
      <c r="W21" s="370"/>
      <c r="X21" s="373">
        <f>$J$46*V21</f>
        <v>1.0087688298916848</v>
      </c>
    </row>
    <row r="22" spans="1:24">
      <c r="B22" s="370" t="s">
        <v>1614</v>
      </c>
      <c r="E22" s="367" t="str">
        <f>"DCF, "&amp;TEXT(H22,"0.0")&amp;"x 22E EBITDA"</f>
        <v>DCF, 0.0x 22E EBITDA</v>
      </c>
      <c r="F22" s="484"/>
      <c r="G22" s="178"/>
      <c r="H22" s="485"/>
      <c r="I22" s="178"/>
      <c r="J22" s="484"/>
      <c r="K22" s="178"/>
      <c r="L22" s="484"/>
      <c r="M22" s="178"/>
      <c r="N22" s="216"/>
      <c r="O22" s="178"/>
      <c r="P22" s="490">
        <v>0.25</v>
      </c>
      <c r="Q22" s="393"/>
      <c r="R22" s="216"/>
      <c r="S22" s="216"/>
      <c r="T22" s="216"/>
      <c r="U22" s="216"/>
      <c r="V22" s="394"/>
      <c r="W22" s="370"/>
      <c r="X22" s="373"/>
    </row>
    <row r="23" spans="1:24">
      <c r="B23" s="370" t="s">
        <v>1426</v>
      </c>
      <c r="C23" s="370"/>
      <c r="E23" s="367" t="s">
        <v>1429</v>
      </c>
      <c r="J23" s="484">
        <v>800</v>
      </c>
      <c r="K23" s="178" t="s">
        <v>135</v>
      </c>
      <c r="L23" s="484">
        <v>173.91304347826087</v>
      </c>
      <c r="M23" s="178" t="s">
        <v>134</v>
      </c>
      <c r="N23" s="216">
        <f t="shared" ref="N23:N27" si="7">J23-L23</f>
        <v>626.08695652173913</v>
      </c>
      <c r="O23" s="178" t="s">
        <v>133</v>
      </c>
      <c r="P23" s="490">
        <v>0.4</v>
      </c>
      <c r="Q23" s="393" t="s">
        <v>134</v>
      </c>
      <c r="R23" s="216">
        <f t="shared" si="5"/>
        <v>250.43478260869566</v>
      </c>
      <c r="S23" s="370"/>
      <c r="T23" s="216">
        <f t="shared" ref="T23:T27" si="8">N23-R23</f>
        <v>375.6521739130435</v>
      </c>
      <c r="U23" s="216"/>
      <c r="V23" s="394">
        <f t="shared" ref="V23:V27" si="9">N23/$J$44</f>
        <v>2.6280880723533833E-2</v>
      </c>
      <c r="W23" s="370"/>
      <c r="X23" s="373">
        <f t="shared" ref="X23:X27" si="10">$J$46*V23</f>
        <v>0.11102095002530561</v>
      </c>
    </row>
    <row r="24" spans="1:24">
      <c r="A24" s="501"/>
      <c r="B24" s="370" t="s">
        <v>1427</v>
      </c>
      <c r="C24" s="370"/>
      <c r="E24" s="367" t="s">
        <v>1429</v>
      </c>
      <c r="J24" s="484">
        <v>475</v>
      </c>
      <c r="K24" s="178" t="s">
        <v>135</v>
      </c>
      <c r="L24" s="484">
        <v>-125</v>
      </c>
      <c r="M24" s="178" t="s">
        <v>134</v>
      </c>
      <c r="N24" s="216">
        <f t="shared" si="7"/>
        <v>600</v>
      </c>
      <c r="O24" s="178" t="s">
        <v>133</v>
      </c>
      <c r="P24" s="490">
        <v>0.25</v>
      </c>
      <c r="Q24" s="393" t="s">
        <v>134</v>
      </c>
      <c r="R24" s="216">
        <f t="shared" si="5"/>
        <v>150</v>
      </c>
      <c r="S24" s="216"/>
      <c r="T24" s="216">
        <f t="shared" si="8"/>
        <v>450</v>
      </c>
      <c r="U24" s="216"/>
      <c r="V24" s="394">
        <f t="shared" si="9"/>
        <v>2.5185844026719924E-2</v>
      </c>
      <c r="W24" s="370"/>
      <c r="X24" s="373">
        <f t="shared" si="10"/>
        <v>0.10639507710758454</v>
      </c>
    </row>
    <row r="25" spans="1:24">
      <c r="A25" s="501"/>
      <c r="B25" s="370" t="s">
        <v>1428</v>
      </c>
      <c r="E25" s="367" t="s">
        <v>1429</v>
      </c>
      <c r="J25" s="484">
        <v>400</v>
      </c>
      <c r="K25" s="178" t="s">
        <v>135</v>
      </c>
      <c r="L25" s="484">
        <v>80</v>
      </c>
      <c r="M25" s="178" t="s">
        <v>134</v>
      </c>
      <c r="N25" s="216">
        <f t="shared" si="7"/>
        <v>320</v>
      </c>
      <c r="O25" s="178" t="s">
        <v>133</v>
      </c>
      <c r="P25" s="490">
        <v>0.4</v>
      </c>
      <c r="Q25" s="393" t="s">
        <v>134</v>
      </c>
      <c r="R25" s="216">
        <f t="shared" si="5"/>
        <v>128</v>
      </c>
      <c r="T25" s="216">
        <f t="shared" si="8"/>
        <v>192</v>
      </c>
      <c r="U25" s="216"/>
      <c r="V25" s="394">
        <f t="shared" si="9"/>
        <v>1.3432450147583959E-2</v>
      </c>
      <c r="W25" s="370"/>
      <c r="X25" s="373">
        <f t="shared" si="10"/>
        <v>5.6744041124045089E-2</v>
      </c>
    </row>
    <row r="26" spans="1:24">
      <c r="A26" s="501"/>
      <c r="B26" s="370" t="s">
        <v>1482</v>
      </c>
      <c r="C26" s="370"/>
      <c r="E26" s="367" t="s">
        <v>114</v>
      </c>
      <c r="F26" s="484">
        <v>708</v>
      </c>
      <c r="G26" s="178" t="s">
        <v>133</v>
      </c>
      <c r="H26" s="485">
        <v>0.57999999999999996</v>
      </c>
      <c r="J26" s="484">
        <v>205.32</v>
      </c>
      <c r="K26" s="178" t="s">
        <v>135</v>
      </c>
      <c r="L26" s="484"/>
      <c r="M26" s="178" t="s">
        <v>134</v>
      </c>
      <c r="N26" s="216">
        <f t="shared" ref="N26" si="11">J26-L26</f>
        <v>205.32</v>
      </c>
      <c r="O26" s="178" t="s">
        <v>133</v>
      </c>
      <c r="P26" s="490">
        <v>1.9529999999999999E-2</v>
      </c>
      <c r="Q26" s="393" t="s">
        <v>134</v>
      </c>
      <c r="R26" s="216">
        <f t="shared" ref="R26" si="12">P26*N26</f>
        <v>4.0098995999999998</v>
      </c>
      <c r="S26" s="216"/>
      <c r="T26" s="216">
        <f t="shared" ref="T26" si="13">N26-R26</f>
        <v>201.31010039999998</v>
      </c>
      <c r="U26" s="216"/>
      <c r="V26" s="394">
        <f t="shared" ref="V26" si="14">N26/$J$44</f>
        <v>8.6185958259435581E-3</v>
      </c>
      <c r="W26" s="370"/>
      <c r="X26" s="373">
        <f t="shared" ref="X26" si="15">$J$46*V26</f>
        <v>3.6408395386215431E-2</v>
      </c>
    </row>
    <row r="27" spans="1:24">
      <c r="A27" s="501"/>
      <c r="B27" s="370" t="s">
        <v>523</v>
      </c>
      <c r="C27" s="370"/>
      <c r="E27" s="367" t="s">
        <v>114</v>
      </c>
      <c r="F27" s="484">
        <v>6668</v>
      </c>
      <c r="G27" s="178" t="s">
        <v>133</v>
      </c>
      <c r="H27" s="485">
        <v>4.5</v>
      </c>
      <c r="J27" s="484">
        <v>56011.200000000004</v>
      </c>
      <c r="K27" s="178" t="s">
        <v>135</v>
      </c>
      <c r="L27" s="484"/>
      <c r="M27" s="178" t="s">
        <v>134</v>
      </c>
      <c r="N27" s="216">
        <f t="shared" si="7"/>
        <v>56011.200000000004</v>
      </c>
      <c r="O27" s="178" t="s">
        <v>133</v>
      </c>
      <c r="P27" s="490">
        <v>7.0000000000000001E-3</v>
      </c>
      <c r="Q27" s="393" t="s">
        <v>134</v>
      </c>
      <c r="R27" s="216">
        <f t="shared" si="5"/>
        <v>392.07840000000004</v>
      </c>
      <c r="S27" s="216"/>
      <c r="T27" s="216">
        <f t="shared" si="8"/>
        <v>55619.121600000006</v>
      </c>
      <c r="U27" s="216"/>
      <c r="V27" s="394">
        <f t="shared" si="9"/>
        <v>2.3511489115823583</v>
      </c>
      <c r="W27" s="370"/>
      <c r="X27" s="373">
        <f t="shared" si="10"/>
        <v>9.9321932381472315</v>
      </c>
    </row>
    <row r="28" spans="1:24">
      <c r="A28" s="370"/>
      <c r="B28" s="370" t="s">
        <v>235</v>
      </c>
      <c r="C28" s="370"/>
      <c r="E28" s="367" t="s">
        <v>995</v>
      </c>
      <c r="F28" s="484">
        <v>30598</v>
      </c>
      <c r="G28" s="178" t="s">
        <v>133</v>
      </c>
      <c r="H28" s="486">
        <v>5.0999999999999996</v>
      </c>
      <c r="J28" s="484">
        <v>19547.614080834421</v>
      </c>
      <c r="K28" s="178" t="s">
        <v>135</v>
      </c>
      <c r="L28" s="484"/>
      <c r="M28" s="178" t="s">
        <v>134</v>
      </c>
      <c r="N28" s="216">
        <f>J28-L28</f>
        <v>19547.614080834421</v>
      </c>
      <c r="O28" s="178" t="s">
        <v>133</v>
      </c>
      <c r="P28" s="490">
        <v>6.0000000000000001E-3</v>
      </c>
      <c r="Q28" s="393" t="s">
        <v>134</v>
      </c>
      <c r="R28" s="216">
        <f t="shared" si="5"/>
        <v>117.28568448500653</v>
      </c>
      <c r="S28" s="370"/>
      <c r="T28" s="216">
        <f>N28-R28</f>
        <v>19430.328396349414</v>
      </c>
      <c r="U28" s="370"/>
      <c r="V28" s="397">
        <f>N28/$J$44</f>
        <v>0.82053859889068315</v>
      </c>
      <c r="W28" s="370"/>
      <c r="X28" s="373">
        <f>$J$46*V28</f>
        <v>3.4662831789994728</v>
      </c>
    </row>
    <row r="29" spans="1:24" s="381" customFormat="1">
      <c r="A29" s="345"/>
      <c r="B29" s="382" t="s">
        <v>138</v>
      </c>
      <c r="C29" s="345"/>
      <c r="J29" s="398">
        <f>SUM(J21:J28)</f>
        <v>106455.356705636</v>
      </c>
      <c r="N29" s="398">
        <f>SUM(N21:N28)</f>
        <v>82999.030279187748</v>
      </c>
      <c r="P29" s="196"/>
      <c r="R29" s="398">
        <f>SUM(R21:R28)</f>
        <v>3886.2133876094936</v>
      </c>
      <c r="S29" s="210"/>
      <c r="T29" s="398">
        <f>SUM(T27:T28)</f>
        <v>75049.449996349416</v>
      </c>
      <c r="U29" s="210"/>
      <c r="V29" s="436">
        <f t="shared" ref="V29" si="16">N29/$J$44</f>
        <v>3.4840010516343778</v>
      </c>
      <c r="W29" s="345"/>
      <c r="X29" s="416">
        <f>$J$48*V29</f>
        <v>15.763014026171852</v>
      </c>
    </row>
    <row r="30" spans="1:24">
      <c r="A30" s="345"/>
      <c r="B30" s="465"/>
      <c r="C30" s="345"/>
      <c r="F30" s="210"/>
      <c r="G30" s="196"/>
      <c r="H30" s="437"/>
      <c r="I30" s="196"/>
      <c r="J30" s="210"/>
      <c r="K30" s="196"/>
      <c r="L30" s="210"/>
      <c r="M30" s="196"/>
      <c r="N30" s="210"/>
      <c r="O30" s="196"/>
      <c r="P30" s="211"/>
      <c r="Q30" s="369"/>
      <c r="R30" s="210"/>
      <c r="S30" s="370"/>
      <c r="T30" s="210"/>
      <c r="U30" s="370"/>
      <c r="V30" s="438"/>
      <c r="W30" s="370"/>
      <c r="X30" s="372"/>
    </row>
    <row r="31" spans="1:24">
      <c r="A31" s="345"/>
      <c r="B31" s="345" t="s">
        <v>137</v>
      </c>
      <c r="C31" s="370"/>
      <c r="F31" s="210"/>
      <c r="G31" s="196"/>
      <c r="H31" s="372"/>
      <c r="I31" s="376"/>
      <c r="J31" s="398">
        <f>J17</f>
        <v>66801.890182737232</v>
      </c>
      <c r="K31" s="375"/>
      <c r="L31" s="398">
        <f>-J35</f>
        <v>28000.882361854827</v>
      </c>
      <c r="M31" s="196"/>
      <c r="N31" s="398">
        <f>J31-L31</f>
        <v>38801.007820882405</v>
      </c>
      <c r="P31" s="377"/>
      <c r="Q31" s="378"/>
      <c r="R31" s="398">
        <f>SUM(R17,R24,R29)</f>
        <v>63323.313968404167</v>
      </c>
      <c r="S31" s="370"/>
      <c r="T31" s="398">
        <f>T17+T18</f>
        <v>6363.0519215402837</v>
      </c>
      <c r="U31" s="370"/>
      <c r="V31" s="436">
        <f>N31/$J$44</f>
        <v>1.628726885093807</v>
      </c>
      <c r="W31" s="370"/>
      <c r="X31" s="416">
        <f>$J$46*V31</f>
        <v>6.8803936982579579</v>
      </c>
    </row>
    <row r="32" spans="1:24">
      <c r="D32" s="345"/>
      <c r="E32" s="381"/>
      <c r="F32" s="381"/>
      <c r="G32" s="381"/>
      <c r="H32" s="381"/>
      <c r="I32" s="381"/>
      <c r="J32" s="381"/>
      <c r="K32" s="381"/>
      <c r="R32" s="370"/>
    </row>
    <row r="33" spans="2:24">
      <c r="D33" s="345"/>
      <c r="E33" s="381"/>
      <c r="F33" s="381"/>
      <c r="G33" s="381"/>
      <c r="H33" s="381"/>
      <c r="I33" s="381"/>
      <c r="J33" s="381"/>
      <c r="K33" s="381"/>
      <c r="R33" s="370"/>
    </row>
    <row r="34" spans="2:24" ht="12.6" thickBot="1">
      <c r="B34" s="382" t="s">
        <v>141</v>
      </c>
      <c r="D34" s="345"/>
      <c r="E34" s="381"/>
      <c r="H34" s="381"/>
      <c r="I34" s="381"/>
      <c r="J34" s="374">
        <f>J31</f>
        <v>66801.890182737232</v>
      </c>
      <c r="T34" s="460" t="s">
        <v>544</v>
      </c>
      <c r="U34" s="460"/>
      <c r="V34" s="368"/>
      <c r="W34" s="368"/>
      <c r="X34" s="368"/>
    </row>
    <row r="35" spans="2:24" ht="12.6" thickTop="1">
      <c r="B35" s="383" t="s">
        <v>1494</v>
      </c>
      <c r="J35" s="484">
        <v>-28000.882361854827</v>
      </c>
    </row>
    <row r="36" spans="2:24">
      <c r="B36" s="383" t="s">
        <v>864</v>
      </c>
      <c r="J36" s="216">
        <f>-T31</f>
        <v>-6363.0519215402837</v>
      </c>
      <c r="K36" s="381"/>
    </row>
    <row r="37" spans="2:24">
      <c r="B37" s="383" t="s">
        <v>533</v>
      </c>
      <c r="J37" s="216">
        <f>R29</f>
        <v>3886.2133876094936</v>
      </c>
      <c r="K37" s="381"/>
    </row>
    <row r="38" spans="2:24">
      <c r="B38" s="383" t="s">
        <v>1521</v>
      </c>
      <c r="J38" s="484">
        <v>-2203.9915508809231</v>
      </c>
      <c r="K38" s="381"/>
    </row>
    <row r="39" spans="2:24">
      <c r="B39" s="384" t="s">
        <v>1430</v>
      </c>
      <c r="J39" s="484">
        <v>-3160.1850046627014</v>
      </c>
      <c r="K39" s="381"/>
    </row>
    <row r="40" spans="2:24">
      <c r="B40" s="384" t="s">
        <v>1431</v>
      </c>
      <c r="J40" s="484"/>
      <c r="K40" s="381"/>
    </row>
    <row r="41" spans="2:24">
      <c r="B41" s="384" t="s">
        <v>1017</v>
      </c>
      <c r="J41" s="484">
        <v>-7550</v>
      </c>
      <c r="K41" s="381"/>
    </row>
    <row r="42" spans="2:24">
      <c r="B42" s="384" t="s">
        <v>1432</v>
      </c>
      <c r="J42" s="484"/>
      <c r="K42" s="381"/>
    </row>
    <row r="43" spans="2:24">
      <c r="B43" s="384" t="s">
        <v>1522</v>
      </c>
      <c r="J43" s="484">
        <v>412.91347588264546</v>
      </c>
      <c r="K43" s="381"/>
    </row>
    <row r="44" spans="2:24">
      <c r="B44" s="382" t="s">
        <v>490</v>
      </c>
      <c r="D44" s="345"/>
      <c r="E44" s="381"/>
      <c r="F44" s="381"/>
      <c r="G44" s="381"/>
      <c r="H44" s="381"/>
      <c r="I44" s="381"/>
      <c r="J44" s="398">
        <f>J34+J35+J36+J37+J38+J39+J40+J42+J43+J41</f>
        <v>23822.906207290642</v>
      </c>
      <c r="K44" s="381"/>
    </row>
    <row r="45" spans="2:24" ht="12.6" thickBot="1">
      <c r="B45" s="384" t="s">
        <v>491</v>
      </c>
      <c r="D45" s="370"/>
      <c r="J45" s="216">
        <f>(TEF!E10)</f>
        <v>5639.3586649999997</v>
      </c>
      <c r="K45" s="381"/>
    </row>
    <row r="46" spans="2:24" ht="12.6" thickBot="1">
      <c r="B46" s="382" t="s">
        <v>492</v>
      </c>
      <c r="D46" s="370"/>
      <c r="J46" s="461">
        <f>J44/J45</f>
        <v>4.2243999047524037</v>
      </c>
      <c r="K46" s="381"/>
      <c r="U46" s="345"/>
      <c r="X46" s="387"/>
    </row>
    <row r="47" spans="2:24" ht="12.6" thickBot="1">
      <c r="B47" s="384" t="s">
        <v>742</v>
      </c>
      <c r="J47" s="519">
        <v>0.3</v>
      </c>
      <c r="K47" s="381"/>
    </row>
    <row r="48" spans="2:24" ht="12.6" thickBot="1">
      <c r="B48" s="382" t="s">
        <v>61</v>
      </c>
      <c r="D48" s="345"/>
      <c r="E48" s="381"/>
      <c r="H48" s="381"/>
      <c r="I48" s="381"/>
      <c r="J48" s="461">
        <f>J46+J47</f>
        <v>4.5243999047524035</v>
      </c>
    </row>
    <row r="49" spans="2:24">
      <c r="B49" s="384" t="s">
        <v>493</v>
      </c>
      <c r="D49" s="370"/>
      <c r="J49" s="373">
        <f>Prices!C17</f>
        <v>4.2130000000000001</v>
      </c>
    </row>
    <row r="50" spans="2:24">
      <c r="B50" s="382" t="s">
        <v>96</v>
      </c>
      <c r="D50" s="345"/>
      <c r="E50" s="381"/>
      <c r="F50" s="381"/>
      <c r="G50" s="381"/>
      <c r="H50" s="381"/>
      <c r="I50" s="381"/>
      <c r="J50" s="387">
        <f>J48/J49-1</f>
        <v>7.3914052872633196E-2</v>
      </c>
      <c r="K50" s="381"/>
    </row>
    <row r="51" spans="2:24">
      <c r="B51" s="382"/>
      <c r="D51" s="345"/>
      <c r="E51" s="345"/>
      <c r="H51" s="381"/>
      <c r="I51" s="381"/>
    </row>
    <row r="52" spans="2:24">
      <c r="D52" s="345"/>
      <c r="E52" s="345"/>
      <c r="F52" s="345"/>
      <c r="G52" s="345"/>
      <c r="H52" s="345"/>
      <c r="I52" s="345"/>
    </row>
    <row r="53" spans="2:24">
      <c r="D53" s="345"/>
      <c r="E53" s="345"/>
      <c r="F53" s="345"/>
      <c r="G53" s="345"/>
      <c r="H53" s="345"/>
      <c r="I53" s="345"/>
    </row>
    <row r="54" spans="2:24">
      <c r="D54" s="345"/>
      <c r="E54" s="345"/>
      <c r="F54" s="345"/>
      <c r="G54" s="345"/>
      <c r="H54" s="345"/>
      <c r="I54" s="345"/>
    </row>
    <row r="55" spans="2:24" ht="12.6" thickBot="1">
      <c r="D55" s="345"/>
      <c r="E55" s="345"/>
      <c r="F55" s="345"/>
      <c r="G55" s="345"/>
      <c r="H55" s="345"/>
      <c r="I55" s="345"/>
      <c r="T55" s="460" t="s">
        <v>544</v>
      </c>
      <c r="U55" s="460"/>
      <c r="V55" s="368"/>
      <c r="W55" s="368"/>
      <c r="X55" s="368"/>
    </row>
    <row r="56" spans="2:24" ht="12.6" thickTop="1">
      <c r="D56" s="345"/>
      <c r="E56" s="345"/>
      <c r="F56" s="345"/>
      <c r="G56" s="345"/>
      <c r="H56" s="345"/>
      <c r="I56" s="345"/>
      <c r="T56" s="370" t="s">
        <v>107</v>
      </c>
      <c r="X56" s="523">
        <f>(N11+N12+N15+N16+R21)/(N17+R29)</f>
        <v>0.63043523495583131</v>
      </c>
    </row>
    <row r="57" spans="2:24">
      <c r="D57" s="345"/>
      <c r="E57" s="345"/>
      <c r="F57" s="345"/>
      <c r="G57" s="345"/>
      <c r="H57" s="345"/>
      <c r="I57" s="345"/>
      <c r="T57" s="370" t="s">
        <v>648</v>
      </c>
      <c r="X57" s="523">
        <f>1-X56</f>
        <v>0.36956476504416869</v>
      </c>
    </row>
    <row r="58" spans="2:24">
      <c r="D58" s="345"/>
      <c r="E58" s="345"/>
      <c r="F58" s="345"/>
      <c r="G58" s="345"/>
      <c r="H58" s="345"/>
      <c r="I58" s="345"/>
    </row>
    <row r="59" spans="2:24">
      <c r="D59" s="345"/>
      <c r="E59" s="345"/>
      <c r="F59" s="345"/>
      <c r="G59" s="345"/>
      <c r="H59" s="345"/>
      <c r="I59" s="345"/>
    </row>
    <row r="60" spans="2:24">
      <c r="D60" s="345"/>
      <c r="E60" s="381"/>
      <c r="F60" s="381"/>
      <c r="G60" s="381"/>
      <c r="H60" s="381"/>
      <c r="I60" s="381"/>
    </row>
    <row r="61" spans="2:24">
      <c r="D61" s="345"/>
      <c r="E61" s="381"/>
      <c r="F61" s="381"/>
      <c r="G61" s="381"/>
      <c r="H61" s="381"/>
      <c r="I61" s="381"/>
    </row>
    <row r="62" spans="2:24">
      <c r="D62" s="370"/>
      <c r="E62" s="381"/>
      <c r="F62" s="381"/>
      <c r="G62" s="381"/>
      <c r="H62" s="381"/>
      <c r="I62" s="381"/>
      <c r="L62" s="249"/>
      <c r="M62" s="249"/>
      <c r="N62" s="249"/>
      <c r="O62" s="249"/>
      <c r="P62" s="249"/>
      <c r="Q62" s="249"/>
    </row>
    <row r="63" spans="2:24">
      <c r="D63" s="370"/>
      <c r="E63" s="381"/>
      <c r="F63" s="381"/>
      <c r="G63" s="381"/>
      <c r="H63" s="381"/>
      <c r="I63" s="381"/>
      <c r="N63" s="388"/>
      <c r="O63" s="388"/>
      <c r="P63" s="388"/>
      <c r="Q63" s="388"/>
      <c r="R63" s="388"/>
      <c r="S63" s="388"/>
    </row>
    <row r="64" spans="2:24">
      <c r="D64" s="370"/>
      <c r="T64" s="249"/>
      <c r="U64" s="249"/>
      <c r="V64" s="249"/>
      <c r="W64" s="249"/>
      <c r="X64" s="249"/>
    </row>
    <row r="65" spans="4:24">
      <c r="D65" s="345"/>
      <c r="E65" s="381"/>
      <c r="F65" s="381"/>
      <c r="G65" s="381"/>
      <c r="H65" s="381"/>
      <c r="I65" s="381"/>
      <c r="T65" s="388"/>
      <c r="U65" s="388"/>
      <c r="V65" s="388"/>
      <c r="W65" s="388"/>
      <c r="X65" s="388"/>
    </row>
    <row r="66" spans="4:24">
      <c r="D66" s="370"/>
      <c r="E66" s="381"/>
      <c r="F66" s="381"/>
      <c r="G66" s="381"/>
      <c r="H66" s="381"/>
      <c r="I66" s="381"/>
      <c r="L66" s="249"/>
      <c r="M66" s="249"/>
      <c r="N66" s="249"/>
      <c r="O66" s="249"/>
      <c r="P66" s="249"/>
      <c r="Q66" s="249"/>
      <c r="R66" s="249"/>
      <c r="S66" s="249"/>
    </row>
    <row r="67" spans="4:24">
      <c r="D67" s="370"/>
      <c r="E67" s="381"/>
      <c r="F67" s="381"/>
      <c r="G67" s="381"/>
      <c r="H67" s="381"/>
      <c r="I67" s="381"/>
      <c r="N67" s="388"/>
      <c r="O67" s="388"/>
      <c r="P67" s="388"/>
      <c r="Q67" s="388"/>
      <c r="R67" s="388"/>
      <c r="S67" s="388"/>
    </row>
    <row r="68" spans="4:24">
      <c r="D68" s="370"/>
      <c r="T68" s="249"/>
      <c r="U68" s="249"/>
      <c r="V68" s="249"/>
      <c r="W68" s="249"/>
      <c r="X68" s="249"/>
    </row>
    <row r="69" spans="4:24">
      <c r="D69" s="370"/>
      <c r="L69" s="249"/>
      <c r="M69" s="249"/>
      <c r="N69" s="249"/>
      <c r="O69" s="249"/>
      <c r="P69" s="249"/>
      <c r="Q69" s="249"/>
      <c r="R69" s="249"/>
      <c r="S69" s="249"/>
      <c r="T69" s="388"/>
      <c r="U69" s="388"/>
      <c r="V69" s="388"/>
      <c r="W69" s="388"/>
      <c r="X69" s="388"/>
    </row>
    <row r="70" spans="4:24">
      <c r="D70" s="370"/>
      <c r="J70" s="381"/>
      <c r="K70" s="381"/>
      <c r="N70" s="388"/>
      <c r="O70" s="388"/>
      <c r="P70" s="388"/>
      <c r="Q70" s="388"/>
      <c r="R70" s="388"/>
      <c r="S70" s="388"/>
    </row>
    <row r="71" spans="4:24">
      <c r="D71" s="370"/>
      <c r="J71" s="381"/>
      <c r="K71" s="381"/>
      <c r="T71" s="249"/>
      <c r="U71" s="249"/>
      <c r="V71" s="249"/>
      <c r="W71" s="249"/>
      <c r="X71" s="249"/>
    </row>
    <row r="72" spans="4:24">
      <c r="D72" s="370"/>
      <c r="L72" s="249"/>
      <c r="M72" s="249"/>
      <c r="N72" s="249"/>
      <c r="O72" s="249"/>
      <c r="P72" s="249"/>
      <c r="Q72" s="249"/>
      <c r="R72" s="249"/>
      <c r="S72" s="249"/>
      <c r="T72" s="388"/>
      <c r="U72" s="388"/>
      <c r="V72" s="388"/>
      <c r="W72" s="388"/>
      <c r="X72" s="388"/>
    </row>
    <row r="73" spans="4:24">
      <c r="D73" s="370"/>
      <c r="J73" s="381"/>
      <c r="K73" s="381"/>
      <c r="N73" s="388"/>
      <c r="O73" s="388"/>
      <c r="P73" s="388"/>
      <c r="Q73" s="388"/>
      <c r="R73" s="388"/>
      <c r="S73" s="388"/>
    </row>
    <row r="74" spans="4:24">
      <c r="D74" s="370"/>
      <c r="J74" s="381"/>
      <c r="K74" s="381"/>
      <c r="T74" s="249"/>
      <c r="U74" s="249"/>
      <c r="V74" s="249"/>
      <c r="W74" s="249"/>
      <c r="X74" s="249"/>
    </row>
    <row r="75" spans="4:24">
      <c r="D75" s="370"/>
      <c r="J75" s="381"/>
      <c r="K75" s="381"/>
      <c r="L75" s="249"/>
      <c r="M75" s="249"/>
      <c r="N75" s="249"/>
      <c r="O75" s="249"/>
      <c r="P75" s="249"/>
      <c r="Q75" s="249"/>
      <c r="R75" s="249"/>
      <c r="S75" s="249"/>
      <c r="T75" s="388"/>
      <c r="U75" s="388"/>
      <c r="V75" s="388"/>
      <c r="W75" s="388"/>
      <c r="X75" s="388"/>
    </row>
    <row r="76" spans="4:24">
      <c r="D76" s="370"/>
      <c r="N76" s="388"/>
      <c r="O76" s="388"/>
      <c r="P76" s="388"/>
      <c r="Q76" s="388"/>
      <c r="R76" s="388"/>
      <c r="S76" s="388"/>
    </row>
    <row r="77" spans="4:24">
      <c r="D77" s="345"/>
      <c r="E77" s="381"/>
      <c r="F77" s="381"/>
      <c r="G77" s="381"/>
      <c r="H77" s="381"/>
      <c r="I77" s="381"/>
      <c r="L77" s="389"/>
      <c r="M77" s="389"/>
      <c r="N77" s="389"/>
      <c r="O77" s="389"/>
      <c r="P77" s="389"/>
      <c r="Q77" s="389"/>
      <c r="R77" s="389"/>
      <c r="S77" s="389"/>
      <c r="T77" s="249"/>
      <c r="U77" s="249"/>
      <c r="V77" s="249"/>
      <c r="W77" s="249"/>
      <c r="X77" s="249"/>
    </row>
    <row r="78" spans="4:24">
      <c r="D78" s="370"/>
      <c r="J78" s="381"/>
      <c r="K78" s="381"/>
      <c r="N78" s="388"/>
      <c r="O78" s="388"/>
      <c r="P78" s="388"/>
      <c r="Q78" s="388"/>
      <c r="R78" s="388"/>
      <c r="S78" s="388"/>
      <c r="T78" s="388"/>
      <c r="U78" s="388"/>
      <c r="V78" s="388"/>
      <c r="W78" s="388"/>
      <c r="X78" s="388"/>
    </row>
    <row r="79" spans="4:24">
      <c r="D79" s="370"/>
      <c r="J79" s="381"/>
      <c r="K79" s="381"/>
      <c r="T79" s="389"/>
      <c r="U79" s="389"/>
      <c r="V79" s="389"/>
      <c r="W79" s="389"/>
      <c r="X79" s="389"/>
    </row>
    <row r="80" spans="4:24">
      <c r="D80" s="345"/>
      <c r="E80" s="381"/>
      <c r="F80" s="381"/>
      <c r="G80" s="381"/>
      <c r="H80" s="381"/>
      <c r="I80" s="381"/>
      <c r="L80" s="249"/>
      <c r="M80" s="249"/>
      <c r="N80" s="249"/>
      <c r="O80" s="249"/>
      <c r="P80" s="249"/>
      <c r="Q80" s="249"/>
      <c r="R80" s="249"/>
      <c r="S80" s="249"/>
      <c r="T80" s="388"/>
      <c r="U80" s="388"/>
      <c r="V80" s="388"/>
      <c r="W80" s="388"/>
      <c r="X80" s="388"/>
    </row>
    <row r="81" spans="4:24">
      <c r="D81" s="370"/>
      <c r="N81" s="388"/>
      <c r="O81" s="388"/>
      <c r="P81" s="390"/>
      <c r="Q81" s="390"/>
      <c r="R81" s="390"/>
      <c r="S81" s="390"/>
    </row>
    <row r="82" spans="4:24">
      <c r="D82" s="345"/>
      <c r="E82" s="381"/>
      <c r="F82" s="381"/>
      <c r="G82" s="381"/>
      <c r="H82" s="381"/>
      <c r="I82" s="381"/>
      <c r="L82" s="249"/>
      <c r="M82" s="249"/>
      <c r="N82" s="249"/>
      <c r="O82" s="249"/>
      <c r="P82" s="249"/>
      <c r="Q82" s="249"/>
      <c r="R82" s="249"/>
      <c r="S82" s="249"/>
      <c r="T82" s="249"/>
      <c r="U82" s="249"/>
      <c r="V82" s="249"/>
      <c r="W82" s="249"/>
      <c r="X82" s="249"/>
    </row>
    <row r="83" spans="4:24">
      <c r="D83" s="370"/>
      <c r="E83" s="381"/>
      <c r="F83" s="381"/>
      <c r="G83" s="381"/>
      <c r="H83" s="381"/>
      <c r="I83" s="381"/>
      <c r="N83" s="388"/>
      <c r="O83" s="388"/>
      <c r="P83" s="388"/>
      <c r="Q83" s="388"/>
      <c r="R83" s="388"/>
      <c r="S83" s="388"/>
      <c r="T83" s="390"/>
      <c r="U83" s="390"/>
      <c r="V83" s="390"/>
      <c r="W83" s="390"/>
      <c r="X83" s="390"/>
    </row>
    <row r="84" spans="4:24">
      <c r="D84" s="370"/>
      <c r="L84" s="248"/>
      <c r="M84" s="248"/>
      <c r="N84" s="248"/>
      <c r="O84" s="248"/>
      <c r="P84" s="248"/>
      <c r="Q84" s="248"/>
      <c r="R84" s="248"/>
      <c r="S84" s="248"/>
      <c r="T84" s="249"/>
      <c r="U84" s="249"/>
      <c r="V84" s="249"/>
      <c r="W84" s="249"/>
      <c r="X84" s="249"/>
    </row>
    <row r="85" spans="4:24">
      <c r="D85" s="370"/>
      <c r="T85" s="388"/>
      <c r="U85" s="388"/>
      <c r="V85" s="388"/>
      <c r="W85" s="388"/>
      <c r="X85" s="388"/>
    </row>
    <row r="86" spans="4:24">
      <c r="D86" s="345"/>
      <c r="E86" s="381"/>
      <c r="F86" s="381"/>
      <c r="G86" s="381"/>
      <c r="H86" s="381"/>
      <c r="I86" s="381"/>
      <c r="L86" s="247"/>
      <c r="M86" s="247"/>
      <c r="N86" s="247"/>
      <c r="O86" s="247"/>
      <c r="P86" s="247"/>
      <c r="Q86" s="247"/>
      <c r="R86" s="247"/>
      <c r="S86" s="247"/>
      <c r="T86" s="248"/>
      <c r="U86" s="248"/>
      <c r="V86" s="248"/>
      <c r="W86" s="248"/>
      <c r="X86" s="248"/>
    </row>
    <row r="87" spans="4:24">
      <c r="D87" s="370"/>
      <c r="E87" s="381"/>
      <c r="F87" s="381"/>
      <c r="G87" s="381"/>
      <c r="H87" s="381"/>
      <c r="I87" s="381"/>
      <c r="N87" s="388"/>
      <c r="O87" s="388"/>
      <c r="P87" s="388"/>
      <c r="Q87" s="388"/>
      <c r="R87" s="388"/>
      <c r="S87" s="388"/>
    </row>
    <row r="88" spans="4:24">
      <c r="D88" s="370"/>
      <c r="T88" s="247"/>
      <c r="U88" s="247"/>
      <c r="V88" s="247"/>
      <c r="W88" s="247"/>
      <c r="X88" s="247"/>
    </row>
    <row r="89" spans="4:24">
      <c r="D89" s="345"/>
      <c r="E89" s="381"/>
      <c r="F89" s="381"/>
      <c r="G89" s="381"/>
      <c r="H89" s="381"/>
      <c r="I89" s="381"/>
      <c r="L89" s="389"/>
      <c r="M89" s="389"/>
      <c r="N89" s="389"/>
      <c r="O89" s="389"/>
      <c r="P89" s="389"/>
      <c r="Q89" s="389"/>
      <c r="R89" s="389"/>
      <c r="S89" s="389"/>
      <c r="T89" s="388"/>
      <c r="U89" s="388"/>
      <c r="V89" s="388"/>
      <c r="W89" s="388"/>
      <c r="X89" s="388"/>
    </row>
    <row r="90" spans="4:24">
      <c r="D90" s="370"/>
      <c r="J90" s="381"/>
      <c r="K90" s="381"/>
      <c r="N90" s="388"/>
      <c r="O90" s="388"/>
      <c r="P90" s="388"/>
      <c r="Q90" s="388"/>
      <c r="R90" s="388"/>
      <c r="S90" s="388"/>
    </row>
    <row r="91" spans="4:24">
      <c r="D91" s="370"/>
      <c r="J91" s="381"/>
      <c r="K91" s="381"/>
      <c r="T91" s="389"/>
      <c r="U91" s="389"/>
      <c r="V91" s="389"/>
      <c r="W91" s="389"/>
      <c r="X91" s="389"/>
    </row>
    <row r="92" spans="4:24">
      <c r="D92" s="345"/>
      <c r="E92" s="381"/>
      <c r="F92" s="381"/>
      <c r="G92" s="381"/>
      <c r="H92" s="381"/>
      <c r="I92" s="381"/>
      <c r="L92" s="391"/>
      <c r="M92" s="391"/>
      <c r="N92" s="391"/>
      <c r="O92" s="391"/>
      <c r="P92" s="391"/>
      <c r="Q92" s="391"/>
      <c r="R92" s="391"/>
      <c r="S92" s="391"/>
      <c r="T92" s="388"/>
      <c r="U92" s="388"/>
      <c r="V92" s="388"/>
      <c r="W92" s="388"/>
      <c r="X92" s="388"/>
    </row>
    <row r="93" spans="4:24">
      <c r="D93" s="370"/>
      <c r="N93" s="388"/>
      <c r="O93" s="388"/>
      <c r="P93" s="388"/>
      <c r="Q93" s="388"/>
      <c r="R93" s="388"/>
      <c r="S93" s="388"/>
    </row>
    <row r="94" spans="4:24">
      <c r="D94" s="370"/>
      <c r="J94" s="381"/>
      <c r="K94" s="381"/>
      <c r="N94" s="248"/>
      <c r="O94" s="248"/>
      <c r="P94" s="248"/>
      <c r="Q94" s="248"/>
      <c r="R94" s="248"/>
      <c r="S94" s="248"/>
      <c r="T94" s="391"/>
      <c r="U94" s="391"/>
      <c r="V94" s="391"/>
      <c r="W94" s="391"/>
      <c r="X94" s="391"/>
    </row>
    <row r="95" spans="4:24">
      <c r="D95" s="370"/>
      <c r="J95" s="381"/>
      <c r="K95" s="381"/>
      <c r="T95" s="388"/>
      <c r="U95" s="388"/>
      <c r="V95" s="388"/>
      <c r="W95" s="388"/>
      <c r="X95" s="388"/>
    </row>
    <row r="96" spans="4:24">
      <c r="D96" s="345"/>
      <c r="E96" s="381"/>
      <c r="F96" s="381"/>
      <c r="G96" s="381"/>
      <c r="H96" s="381"/>
      <c r="I96" s="381"/>
      <c r="L96" s="247"/>
      <c r="M96" s="247"/>
      <c r="N96" s="247"/>
      <c r="O96" s="247"/>
      <c r="P96" s="247"/>
      <c r="Q96" s="247"/>
      <c r="R96" s="247"/>
      <c r="S96" s="247"/>
      <c r="T96" s="248"/>
      <c r="U96" s="248"/>
      <c r="V96" s="248"/>
      <c r="W96" s="248"/>
      <c r="X96" s="248"/>
    </row>
    <row r="97" spans="4:24">
      <c r="D97" s="370"/>
      <c r="N97" s="388"/>
      <c r="O97" s="388"/>
      <c r="P97" s="388"/>
      <c r="Q97" s="388"/>
      <c r="R97" s="388"/>
      <c r="S97" s="388"/>
    </row>
    <row r="98" spans="4:24">
      <c r="D98" s="370"/>
      <c r="E98" s="345"/>
      <c r="F98" s="345"/>
      <c r="G98" s="345"/>
      <c r="H98" s="345"/>
      <c r="I98" s="345"/>
      <c r="J98" s="381"/>
      <c r="K98" s="381"/>
      <c r="L98" s="274"/>
      <c r="M98" s="274"/>
      <c r="N98" s="274"/>
      <c r="O98" s="274"/>
      <c r="P98" s="274"/>
      <c r="Q98" s="274"/>
      <c r="R98" s="274"/>
      <c r="S98" s="274"/>
      <c r="T98" s="247"/>
      <c r="U98" s="247"/>
      <c r="V98" s="247"/>
      <c r="W98" s="247"/>
      <c r="X98" s="247"/>
    </row>
    <row r="99" spans="4:24">
      <c r="D99" s="370"/>
      <c r="E99" s="345"/>
      <c r="F99" s="345"/>
      <c r="G99" s="345"/>
      <c r="H99" s="345"/>
      <c r="I99" s="345"/>
      <c r="T99" s="388"/>
      <c r="U99" s="388"/>
      <c r="V99" s="388"/>
      <c r="W99" s="388"/>
      <c r="X99" s="388"/>
    </row>
    <row r="100" spans="4:24">
      <c r="D100" s="370"/>
      <c r="L100" s="389"/>
      <c r="M100" s="389"/>
      <c r="N100" s="389"/>
      <c r="O100" s="389"/>
      <c r="P100" s="389"/>
      <c r="Q100" s="389"/>
      <c r="R100" s="389"/>
      <c r="S100" s="389"/>
      <c r="T100" s="274"/>
      <c r="U100" s="274"/>
      <c r="V100" s="274"/>
      <c r="W100" s="274"/>
      <c r="X100" s="274"/>
    </row>
    <row r="101" spans="4:24">
      <c r="D101" s="370"/>
      <c r="N101" s="388"/>
      <c r="O101" s="388"/>
      <c r="P101" s="388"/>
      <c r="Q101" s="388"/>
      <c r="R101" s="388"/>
      <c r="S101" s="388"/>
    </row>
    <row r="102" spans="4:24">
      <c r="D102" s="370"/>
      <c r="T102" s="389"/>
      <c r="U102" s="389"/>
      <c r="V102" s="389"/>
      <c r="W102" s="389"/>
      <c r="X102" s="389"/>
    </row>
    <row r="103" spans="4:24">
      <c r="D103" s="345"/>
      <c r="E103" s="381"/>
      <c r="F103" s="381"/>
      <c r="G103" s="381"/>
      <c r="H103" s="381"/>
      <c r="I103" s="381"/>
      <c r="T103" s="388"/>
      <c r="U103" s="388"/>
      <c r="V103" s="388"/>
      <c r="W103" s="388"/>
      <c r="X103" s="388"/>
    </row>
    <row r="104" spans="4:24">
      <c r="D104" s="345"/>
      <c r="E104" s="381"/>
      <c r="F104" s="381"/>
      <c r="G104" s="381"/>
      <c r="H104" s="381"/>
      <c r="I104" s="381"/>
      <c r="L104" s="249"/>
      <c r="M104" s="249"/>
      <c r="N104" s="249"/>
      <c r="O104" s="249"/>
      <c r="P104" s="249"/>
      <c r="Q104" s="249"/>
      <c r="R104" s="249"/>
      <c r="S104" s="249"/>
    </row>
    <row r="105" spans="4:24">
      <c r="D105" s="370"/>
      <c r="E105" s="381"/>
      <c r="F105" s="381"/>
      <c r="G105" s="381"/>
      <c r="H105" s="381"/>
      <c r="I105" s="381"/>
      <c r="N105" s="388"/>
      <c r="O105" s="388"/>
      <c r="P105" s="388"/>
      <c r="Q105" s="388"/>
      <c r="R105" s="388"/>
      <c r="S105" s="388"/>
    </row>
    <row r="106" spans="4:24">
      <c r="D106" s="370"/>
      <c r="E106" s="381"/>
      <c r="F106" s="381"/>
      <c r="G106" s="381"/>
      <c r="H106" s="381"/>
      <c r="I106" s="381"/>
      <c r="T106" s="249"/>
      <c r="U106" s="249"/>
      <c r="V106" s="249"/>
      <c r="W106" s="249"/>
      <c r="X106" s="249"/>
    </row>
    <row r="107" spans="4:24">
      <c r="D107" s="370"/>
      <c r="L107" s="249"/>
      <c r="M107" s="249"/>
      <c r="N107" s="249"/>
      <c r="O107" s="249"/>
      <c r="P107" s="249"/>
      <c r="Q107" s="249"/>
      <c r="R107" s="249"/>
      <c r="S107" s="249"/>
      <c r="T107" s="388"/>
      <c r="U107" s="388"/>
      <c r="V107" s="388"/>
      <c r="W107" s="388"/>
      <c r="X107" s="388"/>
    </row>
    <row r="108" spans="4:24">
      <c r="D108" s="345"/>
      <c r="E108" s="381"/>
      <c r="F108" s="381"/>
      <c r="G108" s="381"/>
      <c r="H108" s="381"/>
      <c r="I108" s="381"/>
      <c r="N108" s="388"/>
      <c r="O108" s="388"/>
      <c r="P108" s="390"/>
      <c r="Q108" s="390"/>
      <c r="R108" s="390"/>
      <c r="S108" s="390"/>
    </row>
    <row r="109" spans="4:24">
      <c r="D109" s="370"/>
      <c r="E109" s="381"/>
      <c r="F109" s="381"/>
      <c r="G109" s="381"/>
      <c r="H109" s="381"/>
      <c r="I109" s="381"/>
      <c r="T109" s="249"/>
      <c r="U109" s="249"/>
      <c r="V109" s="249"/>
      <c r="W109" s="249"/>
      <c r="X109" s="249"/>
    </row>
    <row r="110" spans="4:24">
      <c r="D110" s="370"/>
      <c r="E110" s="381"/>
      <c r="F110" s="381"/>
      <c r="G110" s="381"/>
      <c r="H110" s="381"/>
      <c r="I110" s="381"/>
      <c r="L110" s="389"/>
      <c r="M110" s="389"/>
      <c r="N110" s="389"/>
      <c r="O110" s="389"/>
      <c r="P110" s="389"/>
      <c r="Q110" s="389"/>
      <c r="R110" s="389"/>
      <c r="S110" s="389"/>
      <c r="T110" s="390"/>
      <c r="U110" s="390"/>
      <c r="V110" s="390"/>
      <c r="W110" s="390"/>
      <c r="X110" s="390"/>
    </row>
    <row r="111" spans="4:24">
      <c r="D111" s="370"/>
      <c r="N111" s="392"/>
      <c r="O111" s="392"/>
      <c r="P111" s="392"/>
      <c r="Q111" s="392"/>
      <c r="R111" s="392"/>
      <c r="S111" s="392"/>
    </row>
    <row r="112" spans="4:24">
      <c r="D112" s="370"/>
      <c r="L112" s="392"/>
      <c r="M112" s="392"/>
      <c r="N112" s="392"/>
      <c r="O112" s="392"/>
      <c r="P112" s="392"/>
      <c r="Q112" s="392"/>
      <c r="R112" s="392"/>
      <c r="S112" s="392"/>
      <c r="T112" s="389"/>
      <c r="U112" s="389"/>
      <c r="V112" s="389"/>
      <c r="W112" s="389"/>
      <c r="X112" s="389"/>
    </row>
    <row r="113" spans="4:24">
      <c r="D113" s="370"/>
      <c r="J113" s="381"/>
      <c r="K113" s="381"/>
      <c r="T113" s="392"/>
      <c r="U113" s="392"/>
      <c r="V113" s="392"/>
      <c r="W113" s="392"/>
      <c r="X113" s="392"/>
    </row>
    <row r="114" spans="4:24">
      <c r="D114" s="370"/>
      <c r="J114" s="381"/>
      <c r="K114" s="381"/>
      <c r="L114" s="388"/>
      <c r="M114" s="388"/>
      <c r="N114" s="388"/>
      <c r="O114" s="388"/>
      <c r="P114" s="388"/>
      <c r="Q114" s="388"/>
      <c r="R114" s="388"/>
      <c r="S114" s="388"/>
      <c r="T114" s="392"/>
      <c r="U114" s="392"/>
      <c r="V114" s="392"/>
      <c r="W114" s="392"/>
      <c r="X114" s="392"/>
    </row>
    <row r="115" spans="4:24">
      <c r="D115" s="370"/>
      <c r="L115" s="389"/>
      <c r="M115" s="389"/>
      <c r="N115" s="389"/>
      <c r="O115" s="389"/>
      <c r="P115" s="389"/>
      <c r="Q115" s="389"/>
      <c r="R115" s="389"/>
      <c r="S115" s="389"/>
    </row>
    <row r="116" spans="4:24">
      <c r="D116" s="370"/>
      <c r="J116" s="381"/>
      <c r="K116" s="381"/>
      <c r="R116" s="392"/>
      <c r="S116" s="392"/>
      <c r="T116" s="388"/>
      <c r="U116" s="388"/>
      <c r="V116" s="388"/>
      <c r="W116" s="388"/>
      <c r="X116" s="388"/>
    </row>
    <row r="117" spans="4:24">
      <c r="D117" s="370"/>
      <c r="J117" s="381"/>
      <c r="K117" s="381"/>
      <c r="T117" s="389"/>
      <c r="U117" s="389"/>
      <c r="V117" s="389"/>
      <c r="W117" s="389"/>
      <c r="X117" s="389"/>
    </row>
    <row r="118" spans="4:24">
      <c r="D118" s="370"/>
      <c r="J118" s="381"/>
      <c r="K118" s="381"/>
      <c r="L118" s="389"/>
      <c r="M118" s="389"/>
      <c r="N118" s="389"/>
      <c r="O118" s="389"/>
      <c r="P118" s="389"/>
      <c r="Q118" s="389"/>
      <c r="R118" s="389"/>
      <c r="S118" s="389"/>
      <c r="T118" s="392"/>
      <c r="U118" s="392"/>
      <c r="V118" s="392"/>
      <c r="W118" s="392"/>
      <c r="X118" s="392"/>
    </row>
    <row r="119" spans="4:24">
      <c r="D119" s="370"/>
      <c r="N119" s="392"/>
      <c r="O119" s="392"/>
      <c r="P119" s="392"/>
      <c r="Q119" s="392"/>
      <c r="R119" s="392"/>
      <c r="S119" s="392"/>
    </row>
    <row r="120" spans="4:24">
      <c r="D120" s="345"/>
      <c r="E120" s="381"/>
      <c r="F120" s="381"/>
      <c r="G120" s="381"/>
      <c r="H120" s="381"/>
      <c r="I120" s="381"/>
      <c r="T120" s="389"/>
      <c r="U120" s="389"/>
      <c r="V120" s="389"/>
      <c r="W120" s="389"/>
      <c r="X120" s="389"/>
    </row>
    <row r="121" spans="4:24">
      <c r="D121" s="370"/>
      <c r="J121" s="381"/>
      <c r="K121" s="381"/>
      <c r="T121" s="392"/>
      <c r="U121" s="392"/>
      <c r="V121" s="392"/>
      <c r="W121" s="392"/>
      <c r="X121" s="392"/>
    </row>
    <row r="122" spans="4:24">
      <c r="D122" s="370"/>
      <c r="J122" s="381"/>
      <c r="K122" s="381"/>
    </row>
    <row r="123" spans="4:24">
      <c r="D123" s="345"/>
      <c r="E123" s="381"/>
      <c r="F123" s="381"/>
      <c r="G123" s="381"/>
      <c r="H123" s="381"/>
      <c r="I123" s="381"/>
    </row>
    <row r="124" spans="4:24">
      <c r="D124" s="370"/>
    </row>
    <row r="125" spans="4:24">
      <c r="D125" s="345"/>
      <c r="E125" s="381"/>
      <c r="F125" s="381"/>
      <c r="G125" s="381"/>
      <c r="H125" s="381"/>
      <c r="I125" s="381"/>
    </row>
    <row r="126" spans="4:24">
      <c r="D126" s="370"/>
      <c r="E126" s="381"/>
      <c r="F126" s="381"/>
      <c r="G126" s="381"/>
      <c r="H126" s="381"/>
      <c r="I126" s="381"/>
    </row>
    <row r="127" spans="4:24">
      <c r="D127" s="370"/>
    </row>
    <row r="128" spans="4:24">
      <c r="D128" s="370"/>
    </row>
    <row r="129" spans="4:11">
      <c r="D129" s="345"/>
      <c r="E129" s="381"/>
      <c r="F129" s="381"/>
      <c r="G129" s="381"/>
      <c r="H129" s="381"/>
      <c r="I129" s="381"/>
    </row>
    <row r="130" spans="4:11">
      <c r="D130" s="370"/>
      <c r="E130" s="381"/>
      <c r="F130" s="381"/>
      <c r="G130" s="381"/>
      <c r="H130" s="381"/>
      <c r="I130" s="381"/>
    </row>
    <row r="131" spans="4:11">
      <c r="D131" s="370"/>
    </row>
    <row r="132" spans="4:11">
      <c r="D132" s="345"/>
      <c r="E132" s="381"/>
      <c r="F132" s="381"/>
      <c r="G132" s="381"/>
      <c r="H132" s="381"/>
      <c r="I132" s="381"/>
    </row>
    <row r="133" spans="4:11">
      <c r="D133" s="370"/>
      <c r="J133" s="381"/>
      <c r="K133" s="381"/>
    </row>
    <row r="134" spans="4:11">
      <c r="D134" s="370"/>
      <c r="J134" s="381"/>
      <c r="K134" s="381"/>
    </row>
    <row r="135" spans="4:11">
      <c r="D135" s="345"/>
      <c r="E135" s="381"/>
      <c r="F135" s="381"/>
      <c r="G135" s="381"/>
      <c r="H135" s="381"/>
      <c r="I135" s="381"/>
    </row>
    <row r="136" spans="4:11">
      <c r="D136" s="370"/>
    </row>
    <row r="137" spans="4:11">
      <c r="D137" s="370"/>
      <c r="J137" s="381"/>
      <c r="K137" s="381"/>
    </row>
    <row r="138" spans="4:11">
      <c r="D138" s="370"/>
      <c r="J138" s="381"/>
      <c r="K138" s="381"/>
    </row>
    <row r="139" spans="4:11">
      <c r="D139" s="345"/>
      <c r="E139" s="381"/>
      <c r="F139" s="381"/>
      <c r="G139" s="381"/>
      <c r="H139" s="381"/>
      <c r="I139" s="381"/>
    </row>
    <row r="140" spans="4:11">
      <c r="D140" s="370"/>
    </row>
    <row r="141" spans="4:11">
      <c r="D141" s="370"/>
      <c r="E141" s="345"/>
      <c r="F141" s="345"/>
      <c r="G141" s="345"/>
      <c r="H141" s="345"/>
      <c r="I141" s="345"/>
      <c r="J141" s="381"/>
      <c r="K141" s="381"/>
    </row>
    <row r="142" spans="4:11">
      <c r="D142" s="370"/>
      <c r="E142" s="345"/>
      <c r="F142" s="345"/>
      <c r="G142" s="345"/>
      <c r="H142" s="345"/>
      <c r="I142" s="345"/>
    </row>
    <row r="143" spans="4:11">
      <c r="D143" s="370"/>
    </row>
    <row r="144" spans="4:11">
      <c r="D144" s="370"/>
    </row>
    <row r="146" spans="4:11">
      <c r="D146" s="345"/>
      <c r="E146" s="381"/>
      <c r="F146" s="381"/>
      <c r="G146" s="381"/>
      <c r="H146" s="381"/>
      <c r="I146" s="381"/>
    </row>
    <row r="147" spans="4:11">
      <c r="D147" s="345"/>
      <c r="E147" s="381"/>
      <c r="F147" s="381"/>
      <c r="G147" s="381"/>
      <c r="H147" s="381"/>
      <c r="I147" s="381"/>
    </row>
    <row r="148" spans="4:11">
      <c r="D148" s="370"/>
      <c r="E148" s="381"/>
      <c r="F148" s="381"/>
      <c r="G148" s="381"/>
      <c r="H148" s="381"/>
      <c r="I148" s="381"/>
    </row>
    <row r="149" spans="4:11">
      <c r="D149" s="370"/>
      <c r="E149" s="381"/>
      <c r="F149" s="381"/>
      <c r="G149" s="381"/>
      <c r="H149" s="381"/>
      <c r="I149" s="381"/>
    </row>
    <row r="150" spans="4:11">
      <c r="D150" s="370"/>
    </row>
    <row r="151" spans="4:11">
      <c r="D151" s="345"/>
      <c r="E151" s="381"/>
      <c r="F151" s="381"/>
      <c r="G151" s="381"/>
      <c r="H151" s="381"/>
      <c r="I151" s="381"/>
    </row>
    <row r="152" spans="4:11">
      <c r="D152" s="370"/>
      <c r="E152" s="381"/>
      <c r="F152" s="381"/>
      <c r="G152" s="381"/>
      <c r="H152" s="381"/>
      <c r="I152" s="381"/>
    </row>
    <row r="153" spans="4:11">
      <c r="D153" s="370"/>
      <c r="E153" s="381"/>
      <c r="F153" s="381"/>
      <c r="G153" s="381"/>
      <c r="H153" s="381"/>
      <c r="I153" s="381"/>
    </row>
    <row r="154" spans="4:11">
      <c r="D154" s="370"/>
    </row>
    <row r="155" spans="4:11">
      <c r="D155" s="370"/>
    </row>
    <row r="156" spans="4:11">
      <c r="D156" s="370"/>
      <c r="J156" s="381"/>
      <c r="K156" s="381"/>
    </row>
    <row r="157" spans="4:11">
      <c r="D157" s="370"/>
      <c r="J157" s="381"/>
      <c r="K157" s="381"/>
    </row>
    <row r="158" spans="4:11">
      <c r="D158" s="370"/>
    </row>
    <row r="159" spans="4:11">
      <c r="D159" s="370"/>
      <c r="J159" s="381"/>
      <c r="K159" s="381"/>
    </row>
    <row r="160" spans="4:11">
      <c r="D160" s="370"/>
      <c r="J160" s="381"/>
      <c r="K160" s="381"/>
    </row>
    <row r="161" spans="4:11">
      <c r="D161" s="370"/>
      <c r="J161" s="381"/>
      <c r="K161" s="381"/>
    </row>
    <row r="162" spans="4:11">
      <c r="D162" s="370"/>
    </row>
    <row r="163" spans="4:11">
      <c r="D163" s="345"/>
      <c r="E163" s="381"/>
      <c r="F163" s="381"/>
      <c r="G163" s="381"/>
      <c r="H163" s="381"/>
      <c r="I163" s="381"/>
    </row>
    <row r="164" spans="4:11">
      <c r="D164" s="370"/>
      <c r="J164" s="381"/>
      <c r="K164" s="381"/>
    </row>
    <row r="165" spans="4:11">
      <c r="D165" s="370"/>
      <c r="J165" s="381"/>
      <c r="K165" s="381"/>
    </row>
    <row r="166" spans="4:11">
      <c r="D166" s="345"/>
      <c r="E166" s="381"/>
      <c r="F166" s="381"/>
      <c r="G166" s="381"/>
      <c r="H166" s="381"/>
      <c r="I166" s="381"/>
    </row>
    <row r="167" spans="4:11">
      <c r="D167" s="370"/>
    </row>
    <row r="168" spans="4:11">
      <c r="D168" s="345"/>
      <c r="E168" s="381"/>
      <c r="F168" s="381"/>
      <c r="G168" s="381"/>
      <c r="H168" s="381"/>
      <c r="I168" s="381"/>
    </row>
    <row r="169" spans="4:11">
      <c r="D169" s="370"/>
      <c r="E169" s="381"/>
      <c r="F169" s="381"/>
      <c r="G169" s="381"/>
      <c r="H169" s="381"/>
      <c r="I169" s="381"/>
    </row>
    <row r="170" spans="4:11">
      <c r="D170" s="370"/>
    </row>
    <row r="171" spans="4:11">
      <c r="D171" s="370"/>
    </row>
    <row r="172" spans="4:11">
      <c r="D172" s="345"/>
      <c r="E172" s="381"/>
      <c r="F172" s="381"/>
      <c r="G172" s="381"/>
      <c r="H172" s="381"/>
      <c r="I172" s="381"/>
    </row>
    <row r="173" spans="4:11">
      <c r="D173" s="370"/>
      <c r="E173" s="381"/>
      <c r="F173" s="381"/>
      <c r="G173" s="381"/>
      <c r="H173" s="381"/>
      <c r="I173" s="381"/>
    </row>
    <row r="174" spans="4:11">
      <c r="D174" s="370"/>
    </row>
    <row r="175" spans="4:11">
      <c r="D175" s="345"/>
      <c r="E175" s="381"/>
      <c r="F175" s="381"/>
      <c r="G175" s="381"/>
      <c r="H175" s="381"/>
      <c r="I175" s="381"/>
    </row>
    <row r="176" spans="4:11">
      <c r="D176" s="370"/>
      <c r="J176" s="381"/>
      <c r="K176" s="381"/>
    </row>
    <row r="177" spans="4:11">
      <c r="D177" s="370"/>
      <c r="J177" s="381"/>
      <c r="K177" s="381"/>
    </row>
    <row r="178" spans="4:11">
      <c r="D178" s="345"/>
      <c r="E178" s="381"/>
      <c r="F178" s="381"/>
      <c r="G178" s="381"/>
      <c r="H178" s="381"/>
      <c r="I178" s="381"/>
    </row>
    <row r="179" spans="4:11">
      <c r="D179" s="370"/>
    </row>
    <row r="180" spans="4:11">
      <c r="D180" s="370"/>
      <c r="J180" s="381"/>
      <c r="K180" s="381"/>
    </row>
    <row r="181" spans="4:11">
      <c r="D181" s="370"/>
      <c r="J181" s="381"/>
      <c r="K181" s="381"/>
    </row>
    <row r="182" spans="4:11">
      <c r="D182" s="345"/>
      <c r="E182" s="381"/>
      <c r="F182" s="381"/>
      <c r="G182" s="381"/>
      <c r="H182" s="381"/>
      <c r="I182" s="381"/>
    </row>
    <row r="183" spans="4:11">
      <c r="D183" s="370"/>
    </row>
    <row r="184" spans="4:11">
      <c r="D184" s="370"/>
      <c r="E184" s="345"/>
      <c r="F184" s="345"/>
      <c r="G184" s="345"/>
      <c r="H184" s="345"/>
      <c r="I184" s="345"/>
      <c r="J184" s="381"/>
      <c r="K184" s="381"/>
    </row>
    <row r="185" spans="4:11">
      <c r="D185" s="370"/>
      <c r="E185" s="345"/>
      <c r="F185" s="345"/>
      <c r="G185" s="345"/>
      <c r="H185" s="345"/>
      <c r="I185" s="345"/>
    </row>
    <row r="186" spans="4:11">
      <c r="D186" s="370"/>
    </row>
    <row r="187" spans="4:11">
      <c r="D187" s="370"/>
    </row>
    <row r="188" spans="4:11">
      <c r="D188" s="370"/>
    </row>
    <row r="189" spans="4:11">
      <c r="D189" s="345"/>
      <c r="E189" s="381"/>
      <c r="F189" s="381"/>
      <c r="G189" s="381"/>
      <c r="H189" s="381"/>
      <c r="I189" s="381"/>
    </row>
    <row r="190" spans="4:11">
      <c r="D190" s="345"/>
      <c r="E190" s="381"/>
      <c r="F190" s="381"/>
      <c r="G190" s="381"/>
      <c r="H190" s="381"/>
      <c r="I190" s="381"/>
    </row>
    <row r="191" spans="4:11">
      <c r="D191" s="370"/>
      <c r="E191" s="381"/>
      <c r="F191" s="381"/>
      <c r="G191" s="381"/>
      <c r="H191" s="381"/>
      <c r="I191" s="381"/>
    </row>
    <row r="192" spans="4:11">
      <c r="D192" s="370"/>
      <c r="E192" s="381"/>
      <c r="F192" s="381"/>
      <c r="G192" s="381"/>
      <c r="H192" s="381"/>
      <c r="I192" s="381"/>
    </row>
    <row r="193" spans="4:11">
      <c r="D193" s="370"/>
    </row>
    <row r="194" spans="4:11">
      <c r="D194" s="345"/>
      <c r="E194" s="381"/>
      <c r="F194" s="381"/>
      <c r="G194" s="381"/>
      <c r="H194" s="381"/>
      <c r="I194" s="381"/>
    </row>
    <row r="195" spans="4:11">
      <c r="D195" s="370"/>
      <c r="E195" s="381"/>
      <c r="F195" s="381"/>
      <c r="G195" s="381"/>
      <c r="H195" s="381"/>
      <c r="I195" s="381"/>
    </row>
    <row r="196" spans="4:11">
      <c r="D196" s="370"/>
      <c r="E196" s="381"/>
      <c r="F196" s="381"/>
      <c r="G196" s="381"/>
      <c r="H196" s="381"/>
      <c r="I196" s="381"/>
    </row>
    <row r="197" spans="4:11">
      <c r="D197" s="370"/>
    </row>
    <row r="198" spans="4:11">
      <c r="D198" s="370"/>
    </row>
    <row r="199" spans="4:11">
      <c r="D199" s="370"/>
      <c r="J199" s="381"/>
      <c r="K199" s="381"/>
    </row>
    <row r="200" spans="4:11">
      <c r="D200" s="370"/>
      <c r="J200" s="381"/>
      <c r="K200" s="381"/>
    </row>
    <row r="201" spans="4:11">
      <c r="D201" s="370"/>
    </row>
    <row r="202" spans="4:11">
      <c r="D202" s="370"/>
      <c r="J202" s="381"/>
      <c r="K202" s="381"/>
    </row>
    <row r="203" spans="4:11">
      <c r="D203" s="370"/>
      <c r="J203" s="381"/>
      <c r="K203" s="381"/>
    </row>
    <row r="204" spans="4:11">
      <c r="D204" s="370"/>
      <c r="J204" s="381"/>
      <c r="K204" s="381"/>
    </row>
    <row r="205" spans="4:11">
      <c r="D205" s="370"/>
    </row>
    <row r="206" spans="4:11">
      <c r="D206" s="345"/>
      <c r="E206" s="381"/>
      <c r="F206" s="381"/>
      <c r="G206" s="381"/>
      <c r="H206" s="381"/>
      <c r="I206" s="381"/>
    </row>
    <row r="207" spans="4:11">
      <c r="D207" s="370"/>
      <c r="J207" s="381"/>
      <c r="K207" s="381"/>
    </row>
    <row r="208" spans="4:11">
      <c r="D208" s="370"/>
      <c r="J208" s="381"/>
      <c r="K208" s="381"/>
    </row>
    <row r="209" spans="4:11">
      <c r="D209" s="345"/>
      <c r="E209" s="381"/>
      <c r="F209" s="381"/>
      <c r="G209" s="381"/>
      <c r="H209" s="381"/>
      <c r="I209" s="381"/>
    </row>
    <row r="210" spans="4:11">
      <c r="D210" s="370"/>
    </row>
    <row r="211" spans="4:11">
      <c r="D211" s="345"/>
      <c r="E211" s="381"/>
      <c r="F211" s="381"/>
      <c r="G211" s="381"/>
      <c r="H211" s="381"/>
      <c r="I211" s="381"/>
    </row>
    <row r="212" spans="4:11">
      <c r="D212" s="370"/>
      <c r="E212" s="381"/>
      <c r="F212" s="381"/>
      <c r="G212" s="381"/>
      <c r="H212" s="381"/>
      <c r="I212" s="381"/>
    </row>
    <row r="213" spans="4:11">
      <c r="D213" s="370"/>
    </row>
    <row r="214" spans="4:11">
      <c r="D214" s="370"/>
    </row>
    <row r="215" spans="4:11">
      <c r="D215" s="345"/>
      <c r="E215" s="381"/>
      <c r="F215" s="381"/>
      <c r="G215" s="381"/>
      <c r="H215" s="381"/>
      <c r="I215" s="381"/>
    </row>
    <row r="216" spans="4:11">
      <c r="D216" s="370"/>
      <c r="E216" s="381"/>
      <c r="F216" s="381"/>
      <c r="G216" s="381"/>
      <c r="H216" s="381"/>
      <c r="I216" s="381"/>
    </row>
    <row r="217" spans="4:11">
      <c r="D217" s="370"/>
    </row>
    <row r="218" spans="4:11">
      <c r="D218" s="345"/>
      <c r="E218" s="381"/>
      <c r="F218" s="381"/>
      <c r="G218" s="381"/>
      <c r="H218" s="381"/>
      <c r="I218" s="381"/>
    </row>
    <row r="219" spans="4:11">
      <c r="D219" s="370"/>
      <c r="J219" s="381"/>
      <c r="K219" s="381"/>
    </row>
    <row r="220" spans="4:11">
      <c r="D220" s="370"/>
      <c r="J220" s="381"/>
      <c r="K220" s="381"/>
    </row>
    <row r="221" spans="4:11">
      <c r="D221" s="345"/>
      <c r="E221" s="381"/>
      <c r="F221" s="381"/>
      <c r="G221" s="381"/>
      <c r="H221" s="381"/>
      <c r="I221" s="381"/>
    </row>
    <row r="222" spans="4:11">
      <c r="D222" s="370"/>
    </row>
    <row r="223" spans="4:11">
      <c r="D223" s="370"/>
      <c r="J223" s="381"/>
      <c r="K223" s="381"/>
    </row>
    <row r="224" spans="4:11">
      <c r="D224" s="370"/>
      <c r="J224" s="381"/>
      <c r="K224" s="381"/>
    </row>
    <row r="225" spans="4:11">
      <c r="D225" s="345"/>
      <c r="E225" s="381"/>
      <c r="F225" s="381"/>
      <c r="G225" s="381"/>
      <c r="H225" s="381"/>
      <c r="I225" s="381"/>
    </row>
    <row r="226" spans="4:11">
      <c r="D226" s="370"/>
    </row>
    <row r="227" spans="4:11">
      <c r="D227" s="370"/>
      <c r="E227" s="345"/>
      <c r="F227" s="345"/>
      <c r="G227" s="345"/>
      <c r="H227" s="345"/>
      <c r="I227" s="345"/>
      <c r="J227" s="381"/>
      <c r="K227" s="381"/>
    </row>
    <row r="228" spans="4:11">
      <c r="D228" s="370"/>
      <c r="E228" s="345"/>
      <c r="F228" s="345"/>
      <c r="G228" s="345"/>
      <c r="H228" s="345"/>
      <c r="I228" s="345"/>
    </row>
    <row r="229" spans="4:11">
      <c r="D229" s="370"/>
    </row>
    <row r="230" spans="4:11">
      <c r="D230" s="370"/>
    </row>
    <row r="231" spans="4:11">
      <c r="D231" s="370"/>
    </row>
    <row r="232" spans="4:11">
      <c r="D232" s="345"/>
      <c r="E232" s="381"/>
      <c r="F232" s="381"/>
      <c r="G232" s="381"/>
      <c r="H232" s="381"/>
      <c r="I232" s="381"/>
    </row>
    <row r="233" spans="4:11">
      <c r="D233" s="345"/>
      <c r="E233" s="381"/>
      <c r="F233" s="381"/>
      <c r="G233" s="381"/>
      <c r="H233" s="381"/>
      <c r="I233" s="381"/>
    </row>
    <row r="234" spans="4:11">
      <c r="D234" s="370"/>
      <c r="E234" s="381"/>
      <c r="F234" s="381"/>
      <c r="G234" s="381"/>
      <c r="H234" s="381"/>
      <c r="I234" s="381"/>
    </row>
    <row r="235" spans="4:11">
      <c r="D235" s="370"/>
      <c r="E235" s="381"/>
      <c r="F235" s="381"/>
      <c r="G235" s="381"/>
      <c r="H235" s="381"/>
      <c r="I235" s="381"/>
    </row>
    <row r="236" spans="4:11">
      <c r="D236" s="370"/>
    </row>
    <row r="237" spans="4:11">
      <c r="D237" s="345"/>
      <c r="E237" s="381"/>
      <c r="F237" s="381"/>
      <c r="G237" s="381"/>
      <c r="H237" s="381"/>
      <c r="I237" s="381"/>
    </row>
    <row r="238" spans="4:11">
      <c r="D238" s="370"/>
      <c r="E238" s="381"/>
      <c r="F238" s="381"/>
      <c r="G238" s="381"/>
      <c r="H238" s="381"/>
      <c r="I238" s="381"/>
    </row>
    <row r="239" spans="4:11">
      <c r="D239" s="370"/>
      <c r="E239" s="381"/>
      <c r="F239" s="381"/>
      <c r="G239" s="381"/>
      <c r="H239" s="381"/>
      <c r="I239" s="381"/>
    </row>
    <row r="240" spans="4:11">
      <c r="D240" s="370"/>
    </row>
    <row r="241" spans="4:11">
      <c r="D241" s="370"/>
    </row>
    <row r="242" spans="4:11">
      <c r="D242" s="370"/>
      <c r="J242" s="381"/>
      <c r="K242" s="381"/>
    </row>
    <row r="243" spans="4:11">
      <c r="D243" s="370"/>
      <c r="J243" s="381"/>
      <c r="K243" s="381"/>
    </row>
    <row r="244" spans="4:11">
      <c r="D244" s="370"/>
    </row>
    <row r="245" spans="4:11">
      <c r="D245" s="370"/>
      <c r="J245" s="381"/>
      <c r="K245" s="381"/>
    </row>
    <row r="246" spans="4:11">
      <c r="D246" s="370"/>
      <c r="J246" s="381"/>
      <c r="K246" s="381"/>
    </row>
    <row r="247" spans="4:11">
      <c r="D247" s="370"/>
      <c r="J247" s="381"/>
      <c r="K247" s="381"/>
    </row>
    <row r="248" spans="4:11">
      <c r="D248" s="370"/>
    </row>
    <row r="249" spans="4:11">
      <c r="D249" s="345"/>
      <c r="E249" s="381"/>
      <c r="F249" s="381"/>
      <c r="G249" s="381"/>
      <c r="H249" s="381"/>
      <c r="I249" s="381"/>
    </row>
    <row r="250" spans="4:11">
      <c r="D250" s="370"/>
      <c r="J250" s="381"/>
      <c r="K250" s="381"/>
    </row>
    <row r="251" spans="4:11">
      <c r="D251" s="370"/>
      <c r="J251" s="381"/>
      <c r="K251" s="381"/>
    </row>
    <row r="252" spans="4:11">
      <c r="D252" s="345"/>
      <c r="E252" s="381"/>
      <c r="F252" s="381"/>
      <c r="G252" s="381"/>
      <c r="H252" s="381"/>
      <c r="I252" s="381"/>
    </row>
    <row r="253" spans="4:11">
      <c r="D253" s="370"/>
    </row>
    <row r="254" spans="4:11">
      <c r="D254" s="345"/>
      <c r="E254" s="381"/>
      <c r="F254" s="381"/>
      <c r="G254" s="381"/>
      <c r="H254" s="381"/>
      <c r="I254" s="381"/>
    </row>
    <row r="255" spans="4:11">
      <c r="D255" s="370"/>
      <c r="E255" s="381"/>
      <c r="F255" s="381"/>
      <c r="G255" s="381"/>
      <c r="H255" s="381"/>
      <c r="I255" s="381"/>
    </row>
    <row r="256" spans="4:11">
      <c r="D256" s="370"/>
    </row>
    <row r="257" spans="4:11">
      <c r="D257" s="370"/>
    </row>
    <row r="258" spans="4:11">
      <c r="D258" s="345"/>
      <c r="E258" s="381"/>
      <c r="F258" s="381"/>
      <c r="G258" s="381"/>
      <c r="H258" s="381"/>
      <c r="I258" s="381"/>
    </row>
    <row r="259" spans="4:11">
      <c r="D259" s="370"/>
      <c r="E259" s="381"/>
      <c r="F259" s="381"/>
      <c r="G259" s="381"/>
      <c r="H259" s="381"/>
      <c r="I259" s="381"/>
    </row>
    <row r="260" spans="4:11">
      <c r="D260" s="370"/>
    </row>
    <row r="261" spans="4:11">
      <c r="D261" s="345"/>
      <c r="E261" s="381"/>
      <c r="F261" s="381"/>
      <c r="G261" s="381"/>
      <c r="H261" s="381"/>
      <c r="I261" s="381"/>
    </row>
    <row r="262" spans="4:11">
      <c r="D262" s="370"/>
      <c r="J262" s="381"/>
      <c r="K262" s="381"/>
    </row>
    <row r="263" spans="4:11">
      <c r="D263" s="370"/>
      <c r="J263" s="381"/>
      <c r="K263" s="381"/>
    </row>
    <row r="264" spans="4:11">
      <c r="D264" s="345"/>
      <c r="E264" s="381"/>
      <c r="F264" s="381"/>
      <c r="G264" s="381"/>
      <c r="H264" s="381"/>
      <c r="I264" s="381"/>
    </row>
    <row r="265" spans="4:11">
      <c r="D265" s="370"/>
    </row>
    <row r="266" spans="4:11">
      <c r="D266" s="370"/>
      <c r="J266" s="381"/>
      <c r="K266" s="381"/>
    </row>
    <row r="267" spans="4:11">
      <c r="D267" s="370"/>
      <c r="J267" s="381"/>
      <c r="K267" s="381"/>
    </row>
    <row r="268" spans="4:11">
      <c r="D268" s="345"/>
      <c r="E268" s="381"/>
      <c r="F268" s="381"/>
      <c r="G268" s="381"/>
      <c r="H268" s="381"/>
      <c r="I268" s="381"/>
    </row>
    <row r="269" spans="4:11">
      <c r="D269" s="370"/>
    </row>
    <row r="270" spans="4:11">
      <c r="D270" s="370"/>
      <c r="E270" s="345"/>
      <c r="F270" s="345"/>
      <c r="G270" s="345"/>
      <c r="H270" s="345"/>
      <c r="I270" s="345"/>
      <c r="J270" s="381"/>
      <c r="K270" s="381"/>
    </row>
    <row r="271" spans="4:11">
      <c r="D271" s="370"/>
      <c r="E271" s="345"/>
      <c r="F271" s="345"/>
      <c r="G271" s="345"/>
      <c r="H271" s="345"/>
      <c r="I271" s="345"/>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sheetData>
  <phoneticPr fontId="26" type="noConversion"/>
  <pageMargins left="0.75" right="0.75" top="1" bottom="1" header="0.5" footer="0.5"/>
  <pageSetup scale="46" orientation="landscape"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70">
    <pageSetUpPr fitToPage="1"/>
  </sheetPr>
  <dimension ref="B1:X444"/>
  <sheetViews>
    <sheetView showGridLines="0" zoomScale="80" zoomScaleNormal="80" workbookViewId="0">
      <selection activeCell="J22" sqref="J22"/>
    </sheetView>
  </sheetViews>
  <sheetFormatPr defaultColWidth="9.109375" defaultRowHeight="12"/>
  <cols>
    <col min="1" max="1" width="2.33203125" style="367" customWidth="1"/>
    <col min="2" max="4" width="10" style="367" customWidth="1"/>
    <col min="5" max="5" width="22.66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1458</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D6" s="456"/>
      <c r="E6" s="456"/>
      <c r="F6" s="456"/>
      <c r="G6" s="456"/>
      <c r="H6" s="456"/>
      <c r="I6" s="456"/>
      <c r="L6" s="440"/>
      <c r="M6" s="440"/>
      <c r="N6" s="440"/>
      <c r="O6" s="440"/>
      <c r="P6" s="440"/>
      <c r="Q6" s="440"/>
      <c r="R6" s="440"/>
      <c r="S6" s="440"/>
      <c r="T6" s="440"/>
      <c r="U6" s="440"/>
      <c r="V6" s="440"/>
      <c r="W6" s="440"/>
      <c r="X6" s="440"/>
    </row>
    <row r="7" spans="2:24" ht="12.6" thickBot="1">
      <c r="B7" s="306" t="s">
        <v>394</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row r="9" spans="2:24">
      <c r="D9" s="345"/>
      <c r="E9" s="382" t="s">
        <v>80</v>
      </c>
      <c r="F9" s="458" t="s">
        <v>81</v>
      </c>
      <c r="G9" s="458"/>
      <c r="H9" s="458" t="s">
        <v>82</v>
      </c>
      <c r="I9" s="458"/>
      <c r="J9" s="458" t="s">
        <v>83</v>
      </c>
      <c r="K9" s="458"/>
      <c r="L9" s="458" t="s">
        <v>84</v>
      </c>
      <c r="M9" s="458"/>
      <c r="N9" s="459" t="s">
        <v>127</v>
      </c>
      <c r="O9" s="459"/>
      <c r="P9" s="458" t="s">
        <v>128</v>
      </c>
      <c r="Q9" s="458"/>
      <c r="R9" s="458" t="s">
        <v>12</v>
      </c>
      <c r="S9" s="458"/>
      <c r="T9" s="458" t="s">
        <v>129</v>
      </c>
      <c r="U9" s="458"/>
      <c r="V9" s="458" t="s">
        <v>130</v>
      </c>
      <c r="W9" s="458"/>
      <c r="X9" s="458" t="s">
        <v>120</v>
      </c>
    </row>
    <row r="10" spans="2:24">
      <c r="D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223</v>
      </c>
      <c r="C11" s="370"/>
      <c r="E11" s="367" t="str">
        <f>"DCF, "&amp;TEXT(H11,"0.0")&amp;"x 22E EBITDA"</f>
        <v>DCF, 9.1x 22E EBITDA</v>
      </c>
      <c r="F11" s="484">
        <v>7756.2510000000002</v>
      </c>
      <c r="G11" s="178" t="s">
        <v>133</v>
      </c>
      <c r="H11" s="487">
        <v>9.0658469382156515</v>
      </c>
      <c r="I11" s="178" t="s">
        <v>134</v>
      </c>
      <c r="J11" s="216">
        <f>H11*F11</f>
        <v>70316.984380382084</v>
      </c>
      <c r="K11" s="178"/>
      <c r="L11" s="484"/>
      <c r="M11" s="178" t="s">
        <v>134</v>
      </c>
      <c r="N11" s="178">
        <f t="shared" ref="N11" si="0">J11-L11</f>
        <v>70316.984380382084</v>
      </c>
      <c r="O11" s="178" t="s">
        <v>133</v>
      </c>
      <c r="P11" s="490">
        <v>1</v>
      </c>
      <c r="Q11" s="393" t="s">
        <v>134</v>
      </c>
      <c r="R11" s="216">
        <f t="shared" ref="R11" si="1">P11*N11</f>
        <v>70316.984380382084</v>
      </c>
      <c r="S11" s="216"/>
      <c r="T11" s="216">
        <f t="shared" ref="T11" si="2">N11-R11</f>
        <v>0</v>
      </c>
      <c r="U11" s="216"/>
      <c r="V11" s="397">
        <f>N11/$J$28</f>
        <v>0.94393448340186525</v>
      </c>
      <c r="W11" s="370"/>
      <c r="X11" s="373">
        <f>$J$33*V11</f>
        <v>105.42461404870078</v>
      </c>
    </row>
    <row r="12" spans="2:24">
      <c r="B12" s="370" t="s">
        <v>794</v>
      </c>
      <c r="C12" s="370"/>
      <c r="E12" s="367" t="str">
        <f t="shared" ref="E12:E14" si="3">"DCF, "&amp;TEXT(H12,"0.0")&amp;"x 22E EBITDA"</f>
        <v>DCF, 22.9x 22E EBITDA</v>
      </c>
      <c r="F12" s="484">
        <v>1112.298</v>
      </c>
      <c r="G12" s="178" t="s">
        <v>133</v>
      </c>
      <c r="H12" s="487">
        <v>22.872427332744344</v>
      </c>
      <c r="I12" s="178" t="s">
        <v>134</v>
      </c>
      <c r="J12" s="216">
        <f>H12*F12</f>
        <v>25440.955177356867</v>
      </c>
      <c r="K12" s="178"/>
      <c r="L12" s="484"/>
      <c r="M12" s="178" t="s">
        <v>134</v>
      </c>
      <c r="N12" s="178">
        <f t="shared" ref="N12" si="4">J12-L12</f>
        <v>25440.955177356867</v>
      </c>
      <c r="O12" s="178" t="s">
        <v>133</v>
      </c>
      <c r="P12" s="490">
        <v>1</v>
      </c>
      <c r="Q12" s="393" t="s">
        <v>134</v>
      </c>
      <c r="R12" s="216">
        <f t="shared" ref="R12" si="5">P12*N12</f>
        <v>25440.955177356867</v>
      </c>
      <c r="S12" s="216"/>
      <c r="T12" s="216">
        <f t="shared" ref="T12" si="6">N12-R12</f>
        <v>0</v>
      </c>
      <c r="U12" s="216"/>
      <c r="V12" s="397">
        <f>N12/$J$28</f>
        <v>0.34151912363989628</v>
      </c>
      <c r="W12" s="370"/>
      <c r="X12" s="373">
        <f>$J$33*V12</f>
        <v>38.143030510156947</v>
      </c>
    </row>
    <row r="13" spans="2:24">
      <c r="B13" s="370" t="s">
        <v>796</v>
      </c>
      <c r="C13" s="370"/>
      <c r="E13" s="367" t="str">
        <f t="shared" si="3"/>
        <v>DCF, 15.4x 22E EBITDA</v>
      </c>
      <c r="F13" s="484">
        <v>591.61500000000001</v>
      </c>
      <c r="G13" s="178" t="s">
        <v>133</v>
      </c>
      <c r="H13" s="487">
        <v>15.395784471375803</v>
      </c>
      <c r="I13" s="178" t="s">
        <v>134</v>
      </c>
      <c r="J13" s="216">
        <f>H13*F13</f>
        <v>9108.3770300329961</v>
      </c>
      <c r="K13" s="178"/>
      <c r="L13" s="484"/>
      <c r="M13" s="178" t="s">
        <v>134</v>
      </c>
      <c r="N13" s="178">
        <f t="shared" ref="N13" si="7">J13-L13</f>
        <v>9108.3770300329961</v>
      </c>
      <c r="O13" s="178" t="s">
        <v>133</v>
      </c>
      <c r="P13" s="490">
        <v>1</v>
      </c>
      <c r="Q13" s="393" t="s">
        <v>134</v>
      </c>
      <c r="R13" s="216">
        <f t="shared" ref="R13" si="8">P13*N13</f>
        <v>9108.3770300329961</v>
      </c>
      <c r="S13" s="216"/>
      <c r="T13" s="216">
        <f t="shared" ref="T13" si="9">N13-R13</f>
        <v>0</v>
      </c>
      <c r="U13" s="216"/>
      <c r="V13" s="397">
        <f>N13/$J$28</f>
        <v>0.12227076064530876</v>
      </c>
      <c r="W13" s="370"/>
      <c r="X13" s="373">
        <f>$J$33*V13</f>
        <v>13.655977164873724</v>
      </c>
    </row>
    <row r="14" spans="2:24">
      <c r="B14" s="370" t="s">
        <v>795</v>
      </c>
      <c r="C14" s="370"/>
      <c r="E14" s="367" t="str">
        <f t="shared" si="3"/>
        <v>DCF, 8.1x 22E EBITDA</v>
      </c>
      <c r="F14" s="484">
        <v>178.96799999999999</v>
      </c>
      <c r="G14" s="178" t="s">
        <v>133</v>
      </c>
      <c r="H14" s="487">
        <v>8.1218384737404374</v>
      </c>
      <c r="I14" s="178" t="s">
        <v>134</v>
      </c>
      <c r="J14" s="216">
        <f>H14*F14</f>
        <v>1453.5491879683784</v>
      </c>
      <c r="K14" s="178" t="s">
        <v>135</v>
      </c>
      <c r="L14" s="484"/>
      <c r="M14" s="178" t="s">
        <v>134</v>
      </c>
      <c r="N14" s="178">
        <f t="shared" ref="N14" si="10">J14-L14</f>
        <v>1453.5491879683784</v>
      </c>
      <c r="O14" s="178" t="s">
        <v>133</v>
      </c>
      <c r="P14" s="490">
        <v>1</v>
      </c>
      <c r="Q14" s="393" t="s">
        <v>134</v>
      </c>
      <c r="R14" s="216">
        <f t="shared" ref="R14" si="11">P14*N14</f>
        <v>1453.5491879683784</v>
      </c>
      <c r="S14" s="216"/>
      <c r="T14" s="216">
        <f t="shared" ref="T14" si="12">N14-R14</f>
        <v>0</v>
      </c>
      <c r="U14" s="216"/>
      <c r="V14" s="397">
        <f>N14/$J$28</f>
        <v>1.9512429520895741E-2</v>
      </c>
      <c r="W14" s="370"/>
      <c r="X14" s="373">
        <f>$J$33*V14</f>
        <v>2.1792723833748693</v>
      </c>
    </row>
    <row r="15" spans="2:24">
      <c r="B15" s="345" t="s">
        <v>137</v>
      </c>
      <c r="C15" s="370"/>
      <c r="F15" s="210"/>
      <c r="G15" s="196"/>
      <c r="H15" s="372"/>
      <c r="I15" s="196"/>
      <c r="J15" s="398">
        <f>SUM(J11:J14)</f>
        <v>106319.86577574033</v>
      </c>
      <c r="K15" s="196"/>
      <c r="L15" s="210"/>
      <c r="M15" s="196"/>
      <c r="N15" s="398">
        <f>SUM(N11:N14)</f>
        <v>106319.86577574033</v>
      </c>
      <c r="O15" s="196"/>
      <c r="P15" s="211"/>
      <c r="Q15" s="369"/>
      <c r="R15" s="398">
        <f>SUM(R11:R14)</f>
        <v>106319.86577574033</v>
      </c>
      <c r="S15" s="210"/>
      <c r="T15" s="398">
        <f>SUM(T11:T14)</f>
        <v>0</v>
      </c>
      <c r="U15" s="210"/>
      <c r="V15" s="211"/>
      <c r="W15" s="370"/>
      <c r="X15" s="372"/>
    </row>
    <row r="16" spans="2:24">
      <c r="B16" s="370"/>
      <c r="C16" s="370"/>
      <c r="F16" s="210"/>
      <c r="G16" s="196"/>
      <c r="H16" s="372"/>
      <c r="J16" s="210"/>
      <c r="K16" s="196"/>
      <c r="L16" s="210"/>
      <c r="M16" s="196"/>
      <c r="N16" s="196"/>
      <c r="O16" s="196"/>
      <c r="P16" s="211"/>
      <c r="Q16" s="369"/>
      <c r="R16" s="210"/>
      <c r="S16" s="210"/>
      <c r="T16" s="210"/>
      <c r="U16" s="210"/>
      <c r="V16" s="211"/>
      <c r="W16" s="370"/>
      <c r="X16" s="372"/>
    </row>
    <row r="17" spans="2:24">
      <c r="B17" s="345" t="s">
        <v>138</v>
      </c>
      <c r="C17" s="345"/>
      <c r="F17" s="210"/>
      <c r="G17" s="196"/>
      <c r="H17" s="372"/>
      <c r="J17" s="210"/>
      <c r="K17" s="196"/>
      <c r="L17" s="210"/>
      <c r="M17" s="196"/>
      <c r="N17" s="196"/>
      <c r="O17" s="196"/>
      <c r="P17" s="211"/>
      <c r="Q17" s="369"/>
      <c r="R17" s="210"/>
      <c r="S17" s="210"/>
      <c r="T17" s="210"/>
      <c r="U17" s="210"/>
      <c r="V17" s="211"/>
      <c r="W17" s="370"/>
      <c r="X17" s="372"/>
    </row>
    <row r="18" spans="2:24">
      <c r="B18" s="345" t="s">
        <v>1115</v>
      </c>
      <c r="C18" s="345"/>
      <c r="E18" s="367" t="s">
        <v>1404</v>
      </c>
      <c r="Q18" s="369"/>
      <c r="R18" s="482">
        <v>0</v>
      </c>
      <c r="S18" s="210"/>
      <c r="T18" s="210"/>
      <c r="U18" s="216"/>
      <c r="V18" s="394"/>
      <c r="W18" s="370"/>
      <c r="X18" s="373"/>
    </row>
    <row r="19" spans="2:24">
      <c r="B19" s="345" t="s">
        <v>137</v>
      </c>
      <c r="C19" s="370"/>
      <c r="I19" s="196"/>
      <c r="J19" s="210"/>
      <c r="K19" s="196"/>
      <c r="L19" s="196"/>
      <c r="M19" s="196"/>
      <c r="N19" s="210"/>
      <c r="O19" s="196"/>
      <c r="P19" s="196"/>
      <c r="Q19" s="196"/>
      <c r="R19" s="210">
        <f>R18</f>
        <v>0</v>
      </c>
      <c r="S19" s="196"/>
      <c r="T19" s="210"/>
      <c r="U19" s="196"/>
      <c r="V19" s="378"/>
      <c r="W19" s="196"/>
      <c r="X19" s="432"/>
    </row>
    <row r="20" spans="2:24">
      <c r="B20" s="345"/>
      <c r="C20" s="370"/>
      <c r="I20" s="196"/>
      <c r="J20" s="210"/>
      <c r="K20" s="196"/>
      <c r="L20" s="196"/>
      <c r="M20" s="196"/>
      <c r="N20" s="210"/>
      <c r="O20" s="196"/>
      <c r="P20" s="196"/>
      <c r="Q20" s="196"/>
      <c r="R20" s="210"/>
      <c r="S20" s="196"/>
      <c r="T20" s="210"/>
      <c r="U20" s="196"/>
      <c r="V20" s="378"/>
      <c r="W20" s="196"/>
      <c r="X20" s="432"/>
    </row>
    <row r="21" spans="2:24" ht="12.6" thickBot="1">
      <c r="B21" s="382" t="s">
        <v>141</v>
      </c>
      <c r="D21" s="345"/>
      <c r="E21" s="381"/>
      <c r="H21" s="381"/>
      <c r="I21" s="381"/>
      <c r="J21" s="374">
        <f>J15</f>
        <v>106319.86577574033</v>
      </c>
      <c r="M21" s="196"/>
      <c r="N21" s="210"/>
      <c r="P21" s="377"/>
      <c r="Q21" s="378"/>
      <c r="R21" s="210"/>
      <c r="S21" s="370"/>
      <c r="T21" s="460" t="s">
        <v>544</v>
      </c>
      <c r="U21" s="368"/>
      <c r="V21" s="368"/>
      <c r="W21" s="368"/>
      <c r="X21" s="368"/>
    </row>
    <row r="22" spans="2:24" ht="12.6" thickTop="1">
      <c r="B22" s="383" t="s">
        <v>1367</v>
      </c>
      <c r="D22" s="383"/>
      <c r="J22" s="216">
        <f>-TELE2!D12</f>
        <v>-25648.239542963041</v>
      </c>
    </row>
    <row r="23" spans="2:24">
      <c r="B23" s="384" t="s">
        <v>1116</v>
      </c>
      <c r="D23" s="383"/>
      <c r="J23" s="484">
        <v>-6717.9273060184032</v>
      </c>
      <c r="M23" s="196"/>
    </row>
    <row r="24" spans="2:24">
      <c r="B24" s="384" t="s">
        <v>987</v>
      </c>
      <c r="D24" s="383"/>
      <c r="J24" s="484">
        <v>122.63849999999999</v>
      </c>
    </row>
    <row r="25" spans="2:24">
      <c r="B25" s="384" t="s">
        <v>988</v>
      </c>
      <c r="D25" s="383"/>
      <c r="J25" s="484">
        <v>417.16357022263082</v>
      </c>
    </row>
    <row r="26" spans="2:24">
      <c r="B26" s="384" t="s">
        <v>370</v>
      </c>
      <c r="J26" s="216">
        <f>-T15</f>
        <v>0</v>
      </c>
      <c r="K26" s="381"/>
    </row>
    <row r="27" spans="2:24">
      <c r="B27" s="384" t="s">
        <v>996</v>
      </c>
      <c r="J27" s="216">
        <f>R18</f>
        <v>0</v>
      </c>
      <c r="K27" s="381"/>
    </row>
    <row r="28" spans="2:24">
      <c r="B28" s="382" t="s">
        <v>490</v>
      </c>
      <c r="D28" s="345"/>
      <c r="E28" s="381"/>
      <c r="F28" s="381"/>
      <c r="G28" s="381"/>
      <c r="H28" s="381"/>
      <c r="I28" s="381"/>
      <c r="J28" s="398">
        <f>SUM(J21:J27)</f>
        <v>74493.500996981515</v>
      </c>
      <c r="K28" s="381"/>
    </row>
    <row r="29" spans="2:24">
      <c r="B29" s="384" t="s">
        <v>491</v>
      </c>
      <c r="D29" s="370"/>
      <c r="J29" s="216">
        <f>TELE2!D10</f>
        <v>687.93055300000003</v>
      </c>
    </row>
    <row r="30" spans="2:24">
      <c r="B30" s="382" t="s">
        <v>492</v>
      </c>
      <c r="D30" s="370"/>
      <c r="J30" s="433">
        <f>J28/J29</f>
        <v>108.28636796566515</v>
      </c>
      <c r="K30" s="381"/>
    </row>
    <row r="31" spans="2:24">
      <c r="B31" s="384" t="s">
        <v>692</v>
      </c>
      <c r="D31" s="370"/>
      <c r="J31" s="486">
        <v>3.4</v>
      </c>
      <c r="K31" s="381"/>
    </row>
    <row r="32" spans="2:24" ht="12.6" thickBot="1">
      <c r="B32" s="384" t="s">
        <v>1141</v>
      </c>
      <c r="D32" s="370"/>
      <c r="J32" s="486">
        <v>0</v>
      </c>
      <c r="K32" s="381"/>
    </row>
    <row r="33" spans="2:24" ht="12.6" thickBot="1">
      <c r="B33" s="382" t="s">
        <v>61</v>
      </c>
      <c r="D33" s="345"/>
      <c r="E33" s="381"/>
      <c r="H33" s="381"/>
      <c r="I33" s="381"/>
      <c r="J33" s="462">
        <f>J30+J31+J32</f>
        <v>111.68636796566516</v>
      </c>
      <c r="K33" s="381"/>
    </row>
    <row r="34" spans="2:24">
      <c r="B34" s="384" t="s">
        <v>493</v>
      </c>
      <c r="D34" s="370"/>
      <c r="J34" s="373">
        <f>Prices!C30</f>
        <v>117.65</v>
      </c>
    </row>
    <row r="35" spans="2:24">
      <c r="B35" s="382" t="s">
        <v>96</v>
      </c>
      <c r="D35" s="345"/>
      <c r="E35" s="381"/>
      <c r="F35" s="381"/>
      <c r="G35" s="381"/>
      <c r="H35" s="381"/>
      <c r="I35" s="381"/>
      <c r="J35" s="387">
        <f>J33/J34-1</f>
        <v>-5.0689605051719933E-2</v>
      </c>
      <c r="K35" s="381"/>
    </row>
    <row r="37" spans="2:24">
      <c r="D37" s="345"/>
      <c r="E37" s="345"/>
      <c r="J37" s="381"/>
      <c r="K37" s="381"/>
    </row>
    <row r="38" spans="2:24">
      <c r="J38" s="376"/>
    </row>
    <row r="39" spans="2:24">
      <c r="D39" s="345"/>
      <c r="E39" s="345"/>
      <c r="F39" s="345"/>
      <c r="G39" s="345"/>
      <c r="J39" s="376"/>
      <c r="K39" s="381"/>
    </row>
    <row r="40" spans="2:24">
      <c r="D40" s="386"/>
      <c r="E40" s="345"/>
      <c r="F40" s="345"/>
      <c r="G40" s="345"/>
      <c r="H40" s="345"/>
      <c r="I40" s="345"/>
      <c r="J40" s="425"/>
      <c r="K40" s="381"/>
      <c r="L40" s="381"/>
    </row>
    <row r="41" spans="2:24">
      <c r="D41" s="386"/>
      <c r="E41" s="345"/>
      <c r="F41" s="345"/>
      <c r="G41" s="345"/>
      <c r="H41" s="345"/>
      <c r="I41" s="345"/>
      <c r="K41" s="381"/>
      <c r="L41" s="381"/>
    </row>
    <row r="44" spans="2:24" ht="12.6" thickBot="1">
      <c r="T44" s="460" t="s">
        <v>544</v>
      </c>
      <c r="U44" s="368"/>
      <c r="V44" s="368"/>
      <c r="W44" s="368"/>
      <c r="X44" s="368"/>
    </row>
    <row r="45" spans="2:24" ht="12.6" thickTop="1">
      <c r="T45" s="370" t="str">
        <f>B11</f>
        <v>Sweden</v>
      </c>
      <c r="X45" s="394">
        <f>(J11)/$J$21</f>
        <v>0.66137201986975003</v>
      </c>
    </row>
    <row r="46" spans="2:24">
      <c r="N46" s="381"/>
      <c r="T46" s="370" t="str">
        <f>B12</f>
        <v>Lithuania</v>
      </c>
      <c r="X46" s="394">
        <f>(J12)/$J$21</f>
        <v>0.23928693844496829</v>
      </c>
    </row>
    <row r="47" spans="2:24">
      <c r="D47" s="345"/>
      <c r="E47" s="345"/>
      <c r="F47" s="345"/>
      <c r="G47" s="345"/>
      <c r="H47" s="345"/>
      <c r="I47" s="345"/>
      <c r="N47" s="381"/>
      <c r="T47" s="370" t="str">
        <f>B13</f>
        <v>Latvia</v>
      </c>
      <c r="X47" s="394">
        <f>(J13)/$J$21</f>
        <v>8.566956855687935E-2</v>
      </c>
    </row>
    <row r="48" spans="2:24">
      <c r="D48" s="370"/>
      <c r="E48" s="381"/>
      <c r="F48" s="381"/>
      <c r="G48" s="381"/>
      <c r="H48" s="381"/>
      <c r="I48" s="381"/>
      <c r="T48" s="370" t="str">
        <f>B14</f>
        <v>Estonia</v>
      </c>
      <c r="W48" s="247"/>
      <c r="X48" s="394">
        <f>(J14)/$J$21</f>
        <v>1.3671473128402349E-2</v>
      </c>
    </row>
    <row r="49" spans="4:24">
      <c r="D49" s="370"/>
      <c r="E49" s="381"/>
      <c r="F49" s="381"/>
      <c r="G49" s="381"/>
      <c r="H49" s="381"/>
      <c r="I49" s="381"/>
      <c r="U49" s="247"/>
    </row>
    <row r="50" spans="4:24">
      <c r="D50" s="370"/>
      <c r="L50" s="249"/>
      <c r="Q50" s="249"/>
      <c r="T50" s="249"/>
      <c r="U50" s="388"/>
      <c r="W50" s="249"/>
      <c r="X50" s="249"/>
    </row>
    <row r="51" spans="4:24">
      <c r="D51" s="345"/>
      <c r="E51" s="381"/>
      <c r="F51" s="381"/>
      <c r="G51" s="381"/>
      <c r="H51" s="381"/>
      <c r="I51" s="381"/>
      <c r="M51" s="249"/>
      <c r="N51" s="249"/>
      <c r="O51" s="249"/>
      <c r="P51" s="249"/>
      <c r="Q51" s="388"/>
    </row>
    <row r="52" spans="4:24">
      <c r="D52" s="370"/>
      <c r="E52" s="381"/>
      <c r="F52" s="381"/>
      <c r="G52" s="381"/>
      <c r="H52" s="381"/>
      <c r="I52" s="381"/>
      <c r="N52" s="388"/>
      <c r="O52" s="388"/>
      <c r="P52" s="388"/>
    </row>
    <row r="53" spans="4:24">
      <c r="D53" s="370"/>
      <c r="E53" s="381"/>
      <c r="F53" s="381"/>
      <c r="G53" s="381"/>
      <c r="H53" s="381"/>
      <c r="I53" s="381"/>
      <c r="X53" s="249"/>
    </row>
    <row r="54" spans="4:24">
      <c r="D54" s="370"/>
      <c r="J54" s="381"/>
      <c r="N54" s="388"/>
      <c r="O54" s="388"/>
      <c r="P54" s="388"/>
    </row>
    <row r="55" spans="4:24">
      <c r="D55" s="370"/>
      <c r="J55" s="381"/>
      <c r="L55" s="249"/>
      <c r="Q55" s="249"/>
      <c r="X55" s="249"/>
    </row>
    <row r="56" spans="4:24">
      <c r="D56" s="370"/>
      <c r="K56" s="381"/>
      <c r="M56" s="249"/>
      <c r="N56" s="249"/>
      <c r="O56" s="249"/>
      <c r="P56" s="249"/>
      <c r="Q56" s="388"/>
      <c r="R56" s="388"/>
      <c r="T56" s="388"/>
      <c r="U56" s="388"/>
      <c r="V56" s="388"/>
      <c r="W56" s="388"/>
      <c r="X56" s="388"/>
    </row>
    <row r="57" spans="4:24">
      <c r="D57" s="370"/>
      <c r="J57" s="381"/>
      <c r="K57" s="381"/>
      <c r="N57" s="388"/>
      <c r="O57" s="388"/>
      <c r="P57" s="388"/>
      <c r="S57" s="249"/>
    </row>
    <row r="58" spans="4:24">
      <c r="D58" s="370"/>
      <c r="J58" s="381"/>
      <c r="L58" s="249"/>
      <c r="Q58" s="249"/>
      <c r="R58" s="249"/>
      <c r="S58" s="388"/>
      <c r="T58" s="249"/>
      <c r="U58" s="249"/>
      <c r="V58" s="249"/>
      <c r="W58" s="249"/>
      <c r="X58" s="249"/>
    </row>
    <row r="59" spans="4:24">
      <c r="D59" s="370"/>
      <c r="J59" s="381"/>
      <c r="K59" s="381"/>
      <c r="M59" s="249"/>
      <c r="N59" s="249"/>
      <c r="O59" s="249"/>
      <c r="P59" s="249"/>
      <c r="Q59" s="388"/>
      <c r="R59" s="388"/>
      <c r="T59" s="388"/>
      <c r="U59" s="388"/>
      <c r="V59" s="388"/>
      <c r="W59" s="388"/>
      <c r="X59" s="388"/>
    </row>
    <row r="60" spans="4:24">
      <c r="D60" s="370"/>
      <c r="K60" s="381"/>
      <c r="N60" s="388"/>
      <c r="O60" s="388"/>
      <c r="P60" s="388"/>
      <c r="S60" s="249"/>
    </row>
    <row r="61" spans="4:24">
      <c r="D61" s="345"/>
      <c r="E61" s="381"/>
      <c r="F61" s="381"/>
      <c r="G61" s="381"/>
      <c r="H61" s="381"/>
      <c r="I61" s="381"/>
      <c r="K61" s="381"/>
      <c r="L61" s="249"/>
      <c r="Q61" s="249"/>
      <c r="R61" s="249"/>
      <c r="S61" s="388"/>
      <c r="T61" s="249"/>
      <c r="U61" s="249"/>
      <c r="V61" s="249"/>
      <c r="W61" s="249"/>
      <c r="X61" s="249"/>
    </row>
    <row r="62" spans="4:24">
      <c r="D62" s="370"/>
      <c r="J62" s="381"/>
      <c r="M62" s="249"/>
      <c r="N62" s="249"/>
      <c r="O62" s="249"/>
      <c r="P62" s="249"/>
      <c r="Q62" s="388"/>
      <c r="R62" s="388"/>
      <c r="T62" s="388"/>
      <c r="U62" s="388"/>
      <c r="V62" s="388"/>
      <c r="W62" s="388"/>
      <c r="X62" s="388"/>
    </row>
    <row r="63" spans="4:24">
      <c r="D63" s="370"/>
      <c r="J63" s="381"/>
      <c r="L63" s="389"/>
      <c r="N63" s="388"/>
      <c r="O63" s="388"/>
      <c r="P63" s="388"/>
      <c r="Q63" s="389"/>
      <c r="R63" s="389"/>
      <c r="S63" s="249"/>
    </row>
    <row r="64" spans="4:24">
      <c r="D64" s="345"/>
      <c r="E64" s="381"/>
      <c r="F64" s="381"/>
      <c r="G64" s="381"/>
      <c r="H64" s="381"/>
      <c r="I64" s="381"/>
      <c r="K64" s="381"/>
      <c r="M64" s="389"/>
      <c r="N64" s="389"/>
      <c r="O64" s="389"/>
      <c r="P64" s="389"/>
      <c r="Q64" s="388"/>
      <c r="R64" s="388"/>
      <c r="S64" s="388"/>
      <c r="T64" s="249"/>
      <c r="U64" s="249"/>
      <c r="V64" s="249"/>
      <c r="W64" s="249"/>
      <c r="X64" s="249"/>
    </row>
    <row r="65" spans="4:24">
      <c r="D65" s="370"/>
      <c r="K65" s="381"/>
      <c r="N65" s="388"/>
      <c r="O65" s="388"/>
      <c r="P65" s="388"/>
      <c r="S65" s="389"/>
      <c r="T65" s="388"/>
      <c r="U65" s="388"/>
      <c r="V65" s="388"/>
      <c r="W65" s="388"/>
      <c r="X65" s="388"/>
    </row>
    <row r="66" spans="4:24">
      <c r="D66" s="345"/>
      <c r="E66" s="381"/>
      <c r="F66" s="381"/>
      <c r="G66" s="381"/>
      <c r="H66" s="381"/>
      <c r="I66" s="381"/>
      <c r="L66" s="249"/>
      <c r="Q66" s="249"/>
      <c r="R66" s="249"/>
      <c r="S66" s="388"/>
      <c r="T66" s="389"/>
      <c r="U66" s="389"/>
      <c r="V66" s="389"/>
      <c r="W66" s="389"/>
      <c r="X66" s="389"/>
    </row>
    <row r="67" spans="4:24">
      <c r="D67" s="370"/>
      <c r="E67" s="381"/>
      <c r="F67" s="381"/>
      <c r="G67" s="381"/>
      <c r="H67" s="381"/>
      <c r="I67" s="381"/>
      <c r="M67" s="249"/>
      <c r="N67" s="249"/>
      <c r="O67" s="249"/>
      <c r="P67" s="249"/>
      <c r="Q67" s="390"/>
      <c r="R67" s="390"/>
      <c r="T67" s="388"/>
      <c r="U67" s="388"/>
      <c r="V67" s="388"/>
      <c r="W67" s="388"/>
      <c r="X67" s="388"/>
    </row>
    <row r="68" spans="4:24">
      <c r="D68" s="370"/>
      <c r="L68" s="249"/>
      <c r="N68" s="388"/>
      <c r="O68" s="388"/>
      <c r="P68" s="390"/>
      <c r="Q68" s="249"/>
      <c r="R68" s="249"/>
      <c r="S68" s="249"/>
    </row>
    <row r="69" spans="4:24">
      <c r="D69" s="370"/>
      <c r="M69" s="249"/>
      <c r="N69" s="249"/>
      <c r="O69" s="249"/>
      <c r="P69" s="249"/>
      <c r="Q69" s="388"/>
      <c r="R69" s="388"/>
      <c r="S69" s="390"/>
      <c r="T69" s="249"/>
      <c r="U69" s="249"/>
      <c r="V69" s="249"/>
      <c r="W69" s="249"/>
      <c r="X69" s="249"/>
    </row>
    <row r="70" spans="4:24">
      <c r="D70" s="345"/>
      <c r="E70" s="381"/>
      <c r="F70" s="381"/>
      <c r="G70" s="381"/>
      <c r="H70" s="381"/>
      <c r="I70" s="381"/>
      <c r="L70" s="248"/>
      <c r="N70" s="388"/>
      <c r="O70" s="388"/>
      <c r="P70" s="388"/>
      <c r="Q70" s="248"/>
      <c r="R70" s="248"/>
      <c r="S70" s="249"/>
      <c r="T70" s="390"/>
      <c r="U70" s="390"/>
      <c r="V70" s="390"/>
      <c r="W70" s="390"/>
      <c r="X70" s="390"/>
    </row>
    <row r="71" spans="4:24">
      <c r="D71" s="370"/>
      <c r="E71" s="381"/>
      <c r="F71" s="381"/>
      <c r="G71" s="381"/>
      <c r="H71" s="381"/>
      <c r="I71" s="381"/>
      <c r="M71" s="248"/>
      <c r="N71" s="248"/>
      <c r="O71" s="248"/>
      <c r="P71" s="248"/>
      <c r="S71" s="388"/>
      <c r="T71" s="249"/>
      <c r="U71" s="249"/>
      <c r="V71" s="249"/>
      <c r="W71" s="249"/>
      <c r="X71" s="249"/>
    </row>
    <row r="72" spans="4:24">
      <c r="D72" s="370"/>
      <c r="L72" s="247"/>
      <c r="Q72" s="247"/>
      <c r="R72" s="247"/>
      <c r="S72" s="248"/>
      <c r="T72" s="388"/>
      <c r="U72" s="388"/>
      <c r="V72" s="388"/>
      <c r="W72" s="388"/>
      <c r="X72" s="388"/>
    </row>
    <row r="73" spans="4:24">
      <c r="D73" s="345"/>
      <c r="E73" s="381"/>
      <c r="F73" s="381"/>
      <c r="G73" s="381"/>
      <c r="H73" s="381"/>
      <c r="I73" s="381"/>
      <c r="M73" s="247"/>
      <c r="N73" s="247"/>
      <c r="O73" s="247"/>
      <c r="P73" s="247"/>
      <c r="Q73" s="388"/>
      <c r="R73" s="388"/>
      <c r="T73" s="248"/>
      <c r="U73" s="248"/>
      <c r="V73" s="248"/>
      <c r="W73" s="248"/>
      <c r="X73" s="248"/>
    </row>
    <row r="74" spans="4:24">
      <c r="D74" s="370"/>
      <c r="J74" s="381"/>
      <c r="N74" s="388"/>
      <c r="O74" s="388"/>
      <c r="P74" s="388"/>
      <c r="S74" s="247"/>
    </row>
    <row r="75" spans="4:24">
      <c r="D75" s="370"/>
      <c r="J75" s="381"/>
      <c r="L75" s="389"/>
      <c r="Q75" s="389"/>
      <c r="R75" s="389"/>
      <c r="S75" s="388"/>
      <c r="T75" s="247"/>
      <c r="U75" s="247"/>
      <c r="V75" s="247"/>
      <c r="W75" s="247"/>
      <c r="X75" s="247"/>
    </row>
    <row r="76" spans="4:24">
      <c r="D76" s="345"/>
      <c r="E76" s="381"/>
      <c r="F76" s="381"/>
      <c r="G76" s="381"/>
      <c r="H76" s="381"/>
      <c r="I76" s="381"/>
      <c r="K76" s="381"/>
      <c r="M76" s="389"/>
      <c r="N76" s="389"/>
      <c r="O76" s="389"/>
      <c r="P76" s="389"/>
      <c r="Q76" s="388"/>
      <c r="R76" s="388"/>
      <c r="T76" s="388"/>
      <c r="U76" s="388"/>
      <c r="V76" s="388"/>
      <c r="W76" s="388"/>
      <c r="X76" s="388"/>
    </row>
    <row r="77" spans="4:24">
      <c r="D77" s="370"/>
      <c r="K77" s="381"/>
      <c r="N77" s="388"/>
      <c r="O77" s="388"/>
      <c r="P77" s="388"/>
      <c r="S77" s="389"/>
    </row>
    <row r="78" spans="4:24">
      <c r="D78" s="370"/>
      <c r="J78" s="381"/>
      <c r="L78" s="391"/>
      <c r="Q78" s="391"/>
      <c r="R78" s="391"/>
      <c r="S78" s="388"/>
      <c r="T78" s="389"/>
      <c r="U78" s="389"/>
      <c r="V78" s="389"/>
      <c r="W78" s="389"/>
      <c r="X78" s="389"/>
    </row>
    <row r="79" spans="4:24">
      <c r="D79" s="370"/>
      <c r="J79" s="381"/>
      <c r="M79" s="391"/>
      <c r="N79" s="391"/>
      <c r="O79" s="391"/>
      <c r="P79" s="391"/>
      <c r="Q79" s="388"/>
      <c r="R79" s="388"/>
      <c r="T79" s="388"/>
      <c r="U79" s="388"/>
      <c r="V79" s="388"/>
      <c r="W79" s="388"/>
      <c r="X79" s="388"/>
    </row>
    <row r="80" spans="4:24">
      <c r="D80" s="345"/>
      <c r="E80" s="381"/>
      <c r="F80" s="381"/>
      <c r="G80" s="381"/>
      <c r="H80" s="381"/>
      <c r="I80" s="381"/>
      <c r="K80" s="381"/>
      <c r="N80" s="388"/>
      <c r="O80" s="388"/>
      <c r="P80" s="388"/>
      <c r="Q80" s="248"/>
      <c r="R80" s="248"/>
      <c r="S80" s="391"/>
    </row>
    <row r="81" spans="4:24">
      <c r="D81" s="370"/>
      <c r="K81" s="381"/>
      <c r="N81" s="248"/>
      <c r="O81" s="248"/>
      <c r="P81" s="248"/>
      <c r="S81" s="388"/>
      <c r="T81" s="391"/>
      <c r="U81" s="391"/>
      <c r="V81" s="391"/>
      <c r="W81" s="391"/>
      <c r="X81" s="391"/>
    </row>
    <row r="82" spans="4:24">
      <c r="D82" s="370"/>
      <c r="E82" s="345"/>
      <c r="F82" s="345"/>
      <c r="G82" s="345"/>
      <c r="H82" s="345"/>
      <c r="I82" s="345"/>
      <c r="J82" s="381"/>
      <c r="L82" s="247"/>
      <c r="Q82" s="247"/>
      <c r="R82" s="247"/>
      <c r="S82" s="248"/>
      <c r="T82" s="388"/>
      <c r="U82" s="388"/>
      <c r="V82" s="388"/>
      <c r="W82" s="388"/>
      <c r="X82" s="388"/>
    </row>
    <row r="83" spans="4:24">
      <c r="D83" s="370"/>
      <c r="E83" s="345"/>
      <c r="F83" s="345"/>
      <c r="G83" s="345"/>
      <c r="H83" s="345"/>
      <c r="I83" s="345"/>
      <c r="M83" s="247"/>
      <c r="N83" s="247"/>
      <c r="O83" s="247"/>
      <c r="P83" s="247"/>
      <c r="Q83" s="388"/>
      <c r="R83" s="388"/>
      <c r="T83" s="248"/>
      <c r="U83" s="248"/>
      <c r="V83" s="248"/>
      <c r="W83" s="248"/>
      <c r="X83" s="248"/>
    </row>
    <row r="84" spans="4:24">
      <c r="D84" s="370"/>
      <c r="K84" s="381"/>
      <c r="L84" s="274"/>
      <c r="N84" s="388"/>
      <c r="O84" s="388"/>
      <c r="P84" s="388"/>
      <c r="Q84" s="274"/>
      <c r="R84" s="274"/>
      <c r="S84" s="247"/>
    </row>
    <row r="85" spans="4:24">
      <c r="D85" s="370"/>
      <c r="M85" s="274"/>
      <c r="N85" s="274"/>
      <c r="O85" s="274"/>
      <c r="P85" s="274"/>
      <c r="S85" s="388"/>
      <c r="T85" s="247"/>
      <c r="U85" s="247"/>
      <c r="V85" s="247"/>
      <c r="W85" s="247"/>
      <c r="X85" s="247"/>
    </row>
    <row r="86" spans="4:24">
      <c r="D86" s="370"/>
      <c r="L86" s="389"/>
      <c r="Q86" s="389"/>
      <c r="R86" s="389"/>
      <c r="S86" s="274"/>
      <c r="T86" s="388"/>
      <c r="U86" s="388"/>
      <c r="V86" s="388"/>
      <c r="W86" s="388"/>
      <c r="X86" s="388"/>
    </row>
    <row r="87" spans="4:24">
      <c r="D87" s="345"/>
      <c r="E87" s="381"/>
      <c r="F87" s="381"/>
      <c r="G87" s="381"/>
      <c r="H87" s="381"/>
      <c r="I87" s="381"/>
      <c r="M87" s="389"/>
      <c r="N87" s="389"/>
      <c r="O87" s="389"/>
      <c r="P87" s="389"/>
      <c r="Q87" s="388"/>
      <c r="R87" s="388"/>
      <c r="T87" s="274"/>
      <c r="U87" s="274"/>
      <c r="V87" s="274"/>
      <c r="W87" s="274"/>
      <c r="X87" s="274"/>
    </row>
    <row r="88" spans="4:24">
      <c r="D88" s="345"/>
      <c r="E88" s="381"/>
      <c r="F88" s="381"/>
      <c r="G88" s="381"/>
      <c r="H88" s="381"/>
      <c r="I88" s="381"/>
      <c r="N88" s="388"/>
      <c r="O88" s="388"/>
      <c r="P88" s="388"/>
      <c r="S88" s="389"/>
    </row>
    <row r="89" spans="4:24">
      <c r="D89" s="370"/>
      <c r="E89" s="381"/>
      <c r="F89" s="381"/>
      <c r="G89" s="381"/>
      <c r="H89" s="381"/>
      <c r="I89" s="381"/>
      <c r="S89" s="388"/>
      <c r="T89" s="389"/>
      <c r="U89" s="389"/>
      <c r="V89" s="389"/>
      <c r="W89" s="389"/>
      <c r="X89" s="389"/>
    </row>
    <row r="90" spans="4:24">
      <c r="D90" s="370"/>
      <c r="E90" s="381"/>
      <c r="F90" s="381"/>
      <c r="G90" s="381"/>
      <c r="H90" s="381"/>
      <c r="I90" s="381"/>
      <c r="L90" s="249"/>
      <c r="Q90" s="249"/>
      <c r="R90" s="249"/>
      <c r="T90" s="388"/>
      <c r="U90" s="388"/>
      <c r="V90" s="388"/>
      <c r="W90" s="388"/>
      <c r="X90" s="388"/>
    </row>
    <row r="91" spans="4:24">
      <c r="D91" s="370"/>
      <c r="M91" s="249"/>
      <c r="N91" s="249"/>
      <c r="O91" s="249"/>
      <c r="P91" s="249"/>
      <c r="Q91" s="388"/>
      <c r="R91" s="388"/>
    </row>
    <row r="92" spans="4:24">
      <c r="D92" s="345"/>
      <c r="E92" s="381"/>
      <c r="F92" s="381"/>
      <c r="G92" s="381"/>
      <c r="H92" s="381"/>
      <c r="I92" s="381"/>
      <c r="N92" s="388"/>
      <c r="O92" s="388"/>
      <c r="P92" s="388"/>
      <c r="S92" s="249"/>
    </row>
    <row r="93" spans="4:24">
      <c r="D93" s="370"/>
      <c r="E93" s="381"/>
      <c r="F93" s="381"/>
      <c r="G93" s="381"/>
      <c r="H93" s="381"/>
      <c r="I93" s="381"/>
      <c r="L93" s="249"/>
      <c r="Q93" s="249"/>
      <c r="R93" s="249"/>
      <c r="S93" s="388"/>
      <c r="T93" s="249"/>
      <c r="U93" s="249"/>
      <c r="V93" s="249"/>
      <c r="W93" s="249"/>
      <c r="X93" s="249"/>
    </row>
    <row r="94" spans="4:24">
      <c r="D94" s="370"/>
      <c r="E94" s="381"/>
      <c r="F94" s="381"/>
      <c r="G94" s="381"/>
      <c r="H94" s="381"/>
      <c r="I94" s="381"/>
      <c r="M94" s="249"/>
      <c r="N94" s="249"/>
      <c r="O94" s="249"/>
      <c r="P94" s="249"/>
      <c r="Q94" s="390"/>
      <c r="R94" s="390"/>
      <c r="T94" s="388"/>
      <c r="U94" s="388"/>
      <c r="V94" s="388"/>
      <c r="W94" s="388"/>
      <c r="X94" s="388"/>
    </row>
    <row r="95" spans="4:24">
      <c r="D95" s="370"/>
      <c r="N95" s="388"/>
      <c r="O95" s="388"/>
      <c r="P95" s="390"/>
      <c r="S95" s="249"/>
    </row>
    <row r="96" spans="4:24">
      <c r="D96" s="370"/>
      <c r="L96" s="389"/>
      <c r="Q96" s="389"/>
      <c r="R96" s="389"/>
      <c r="S96" s="390"/>
      <c r="T96" s="249"/>
      <c r="U96" s="249"/>
      <c r="V96" s="249"/>
      <c r="W96" s="249"/>
      <c r="X96" s="249"/>
    </row>
    <row r="97" spans="4:24">
      <c r="D97" s="370"/>
      <c r="J97" s="381"/>
      <c r="M97" s="389"/>
      <c r="N97" s="389"/>
      <c r="O97" s="389"/>
      <c r="P97" s="389"/>
      <c r="Q97" s="392"/>
      <c r="R97" s="392"/>
      <c r="T97" s="390"/>
      <c r="U97" s="390"/>
      <c r="V97" s="390"/>
      <c r="W97" s="390"/>
      <c r="X97" s="390"/>
    </row>
    <row r="98" spans="4:24">
      <c r="D98" s="370"/>
      <c r="J98" s="381"/>
      <c r="L98" s="392"/>
      <c r="N98" s="392"/>
      <c r="O98" s="392"/>
      <c r="P98" s="392"/>
      <c r="Q98" s="392"/>
      <c r="R98" s="392"/>
      <c r="S98" s="389"/>
    </row>
    <row r="99" spans="4:24">
      <c r="D99" s="370"/>
      <c r="K99" s="381"/>
      <c r="M99" s="392"/>
      <c r="N99" s="392"/>
      <c r="O99" s="392"/>
      <c r="P99" s="392"/>
      <c r="S99" s="392"/>
      <c r="T99" s="389"/>
      <c r="U99" s="389"/>
      <c r="V99" s="389"/>
      <c r="W99" s="389"/>
      <c r="X99" s="389"/>
    </row>
    <row r="100" spans="4:24">
      <c r="D100" s="370"/>
      <c r="J100" s="381"/>
      <c r="K100" s="381"/>
      <c r="L100" s="388"/>
      <c r="Q100" s="388"/>
      <c r="R100" s="388"/>
      <c r="S100" s="392"/>
      <c r="T100" s="392"/>
      <c r="U100" s="392"/>
      <c r="V100" s="392"/>
      <c r="W100" s="392"/>
      <c r="X100" s="392"/>
    </row>
    <row r="101" spans="4:24">
      <c r="D101" s="370"/>
      <c r="J101" s="381"/>
      <c r="L101" s="389"/>
      <c r="M101" s="388"/>
      <c r="N101" s="388"/>
      <c r="O101" s="388"/>
      <c r="P101" s="388"/>
      <c r="Q101" s="389"/>
      <c r="R101" s="389"/>
      <c r="T101" s="392"/>
      <c r="U101" s="392"/>
      <c r="V101" s="392"/>
      <c r="W101" s="392"/>
      <c r="X101" s="392"/>
    </row>
    <row r="102" spans="4:24">
      <c r="D102" s="370"/>
      <c r="J102" s="381"/>
      <c r="K102" s="381"/>
      <c r="M102" s="389"/>
      <c r="N102" s="389"/>
      <c r="O102" s="389"/>
      <c r="P102" s="389"/>
      <c r="R102" s="392"/>
      <c r="S102" s="388"/>
    </row>
    <row r="103" spans="4:24">
      <c r="D103" s="370"/>
      <c r="K103" s="381"/>
      <c r="S103" s="389"/>
      <c r="T103" s="388"/>
      <c r="U103" s="388"/>
      <c r="V103" s="388"/>
      <c r="W103" s="388"/>
      <c r="X103" s="388"/>
    </row>
    <row r="104" spans="4:24">
      <c r="D104" s="345"/>
      <c r="E104" s="381"/>
      <c r="F104" s="381"/>
      <c r="G104" s="381"/>
      <c r="H104" s="381"/>
      <c r="I104" s="381"/>
      <c r="K104" s="381"/>
      <c r="L104" s="389"/>
      <c r="Q104" s="389"/>
      <c r="R104" s="389"/>
      <c r="S104" s="392"/>
      <c r="T104" s="389"/>
      <c r="U104" s="389"/>
      <c r="V104" s="389"/>
      <c r="W104" s="389"/>
      <c r="X104" s="389"/>
    </row>
    <row r="105" spans="4:24">
      <c r="D105" s="370"/>
      <c r="J105" s="381"/>
      <c r="M105" s="389"/>
      <c r="N105" s="389"/>
      <c r="O105" s="389"/>
      <c r="P105" s="389"/>
      <c r="Q105" s="392"/>
      <c r="R105" s="392"/>
      <c r="T105" s="392"/>
      <c r="U105" s="392"/>
      <c r="V105" s="392"/>
      <c r="W105" s="392"/>
      <c r="X105" s="392"/>
    </row>
    <row r="106" spans="4:24">
      <c r="D106" s="370"/>
      <c r="J106" s="381"/>
      <c r="N106" s="392"/>
      <c r="O106" s="392"/>
      <c r="P106" s="392"/>
      <c r="S106" s="389"/>
    </row>
    <row r="107" spans="4:24">
      <c r="D107" s="345"/>
      <c r="E107" s="381"/>
      <c r="F107" s="381"/>
      <c r="G107" s="381"/>
      <c r="H107" s="381"/>
      <c r="I107" s="381"/>
      <c r="K107" s="381"/>
      <c r="S107" s="392"/>
      <c r="T107" s="389"/>
      <c r="U107" s="389"/>
      <c r="V107" s="389"/>
      <c r="W107" s="389"/>
      <c r="X107" s="389"/>
    </row>
    <row r="108" spans="4:24">
      <c r="D108" s="370"/>
      <c r="K108" s="381"/>
      <c r="T108" s="392"/>
      <c r="U108" s="392"/>
      <c r="V108" s="392"/>
      <c r="W108" s="392"/>
      <c r="X108" s="392"/>
    </row>
    <row r="109" spans="4:24">
      <c r="D109" s="345"/>
      <c r="E109" s="381"/>
      <c r="F109" s="381"/>
      <c r="G109" s="381"/>
      <c r="H109" s="381"/>
      <c r="I109" s="381"/>
    </row>
    <row r="110" spans="4:24">
      <c r="D110" s="370"/>
      <c r="E110" s="381"/>
      <c r="F110" s="381"/>
      <c r="G110" s="381"/>
      <c r="H110" s="381"/>
      <c r="I110" s="381"/>
    </row>
    <row r="111" spans="4:24">
      <c r="D111" s="370"/>
    </row>
    <row r="112" spans="4:24">
      <c r="D112" s="370"/>
    </row>
    <row r="113" spans="4:11">
      <c r="D113" s="345"/>
      <c r="E113" s="381"/>
      <c r="F113" s="381"/>
      <c r="G113" s="381"/>
      <c r="H113" s="381"/>
      <c r="I113" s="381"/>
    </row>
    <row r="114" spans="4:11">
      <c r="D114" s="370"/>
      <c r="E114" s="381"/>
      <c r="F114" s="381"/>
      <c r="G114" s="381"/>
      <c r="H114" s="381"/>
      <c r="I114" s="381"/>
    </row>
    <row r="115" spans="4:11">
      <c r="D115" s="370"/>
    </row>
    <row r="116" spans="4:11">
      <c r="D116" s="345"/>
      <c r="E116" s="381"/>
      <c r="F116" s="381"/>
      <c r="G116" s="381"/>
      <c r="H116" s="381"/>
      <c r="I116" s="381"/>
    </row>
    <row r="117" spans="4:11">
      <c r="D117" s="370"/>
      <c r="J117" s="381"/>
    </row>
    <row r="118" spans="4:11">
      <c r="D118" s="370"/>
      <c r="J118" s="381"/>
    </row>
    <row r="119" spans="4:11">
      <c r="D119" s="345"/>
      <c r="E119" s="381"/>
      <c r="F119" s="381"/>
      <c r="G119" s="381"/>
      <c r="H119" s="381"/>
      <c r="I119" s="381"/>
      <c r="K119" s="381"/>
    </row>
    <row r="120" spans="4:11">
      <c r="D120" s="370"/>
      <c r="K120" s="381"/>
    </row>
    <row r="121" spans="4:11">
      <c r="D121" s="370"/>
      <c r="J121" s="381"/>
    </row>
    <row r="122" spans="4:11">
      <c r="D122" s="370"/>
      <c r="J122" s="381"/>
    </row>
    <row r="123" spans="4:11">
      <c r="D123" s="345"/>
      <c r="E123" s="381"/>
      <c r="F123" s="381"/>
      <c r="G123" s="381"/>
      <c r="H123" s="381"/>
      <c r="I123" s="381"/>
      <c r="K123" s="381"/>
    </row>
    <row r="124" spans="4:11">
      <c r="D124" s="370"/>
      <c r="K124" s="381"/>
    </row>
    <row r="125" spans="4:11">
      <c r="D125" s="370"/>
      <c r="E125" s="345"/>
      <c r="F125" s="345"/>
      <c r="G125" s="345"/>
      <c r="H125" s="345"/>
      <c r="I125" s="345"/>
      <c r="J125" s="381"/>
    </row>
    <row r="126" spans="4:11">
      <c r="D126" s="370"/>
      <c r="E126" s="345"/>
      <c r="F126" s="345"/>
      <c r="G126" s="345"/>
      <c r="H126" s="345"/>
      <c r="I126" s="345"/>
    </row>
    <row r="127" spans="4:11">
      <c r="D127" s="370"/>
      <c r="K127" s="381"/>
    </row>
    <row r="128" spans="4:11">
      <c r="D128" s="370"/>
    </row>
    <row r="130" spans="4:11">
      <c r="D130" s="345"/>
      <c r="E130" s="381"/>
      <c r="F130" s="381"/>
      <c r="G130" s="381"/>
      <c r="H130" s="381"/>
      <c r="I130" s="381"/>
    </row>
    <row r="131" spans="4:11">
      <c r="D131" s="345"/>
      <c r="E131" s="381"/>
      <c r="F131" s="381"/>
      <c r="G131" s="381"/>
      <c r="H131" s="381"/>
      <c r="I131" s="381"/>
    </row>
    <row r="132" spans="4:11">
      <c r="D132" s="370"/>
      <c r="E132" s="381"/>
      <c r="F132" s="381"/>
      <c r="G132" s="381"/>
      <c r="H132" s="381"/>
      <c r="I132" s="381"/>
    </row>
    <row r="133" spans="4:11">
      <c r="D133" s="370"/>
      <c r="E133" s="381"/>
      <c r="F133" s="381"/>
      <c r="G133" s="381"/>
      <c r="H133" s="381"/>
      <c r="I133" s="381"/>
    </row>
    <row r="134" spans="4:11">
      <c r="D134" s="370"/>
    </row>
    <row r="135" spans="4:11">
      <c r="D135" s="345"/>
      <c r="E135" s="381"/>
      <c r="F135" s="381"/>
      <c r="G135" s="381"/>
      <c r="H135" s="381"/>
      <c r="I135" s="381"/>
    </row>
    <row r="136" spans="4:11">
      <c r="D136" s="370"/>
      <c r="E136" s="381"/>
      <c r="F136" s="381"/>
      <c r="G136" s="381"/>
      <c r="H136" s="381"/>
      <c r="I136" s="381"/>
    </row>
    <row r="137" spans="4:11">
      <c r="D137" s="370"/>
      <c r="E137" s="381"/>
      <c r="F137" s="381"/>
      <c r="G137" s="381"/>
      <c r="H137" s="381"/>
      <c r="I137" s="381"/>
    </row>
    <row r="138" spans="4:11">
      <c r="D138" s="370"/>
    </row>
    <row r="139" spans="4:11">
      <c r="D139" s="370"/>
    </row>
    <row r="140" spans="4:11">
      <c r="D140" s="370"/>
      <c r="J140" s="381"/>
    </row>
    <row r="141" spans="4:11">
      <c r="D141" s="370"/>
      <c r="J141" s="381"/>
    </row>
    <row r="142" spans="4:11">
      <c r="D142" s="370"/>
      <c r="K142" s="381"/>
    </row>
    <row r="143" spans="4:11">
      <c r="D143" s="370"/>
      <c r="J143" s="381"/>
      <c r="K143" s="381"/>
    </row>
    <row r="144" spans="4:11">
      <c r="D144" s="370"/>
      <c r="J144" s="381"/>
    </row>
    <row r="145" spans="4:11">
      <c r="D145" s="370"/>
      <c r="J145" s="381"/>
      <c r="K145" s="381"/>
    </row>
    <row r="146" spans="4:11">
      <c r="D146" s="370"/>
      <c r="K146" s="381"/>
    </row>
    <row r="147" spans="4:11">
      <c r="D147" s="345"/>
      <c r="E147" s="381"/>
      <c r="F147" s="381"/>
      <c r="G147" s="381"/>
      <c r="H147" s="381"/>
      <c r="I147" s="381"/>
      <c r="K147" s="381"/>
    </row>
    <row r="148" spans="4:11">
      <c r="D148" s="370"/>
      <c r="J148" s="381"/>
    </row>
    <row r="149" spans="4:11">
      <c r="D149" s="370"/>
      <c r="J149" s="381"/>
    </row>
    <row r="150" spans="4:11">
      <c r="D150" s="345"/>
      <c r="E150" s="381"/>
      <c r="F150" s="381"/>
      <c r="G150" s="381"/>
      <c r="H150" s="381"/>
      <c r="I150" s="381"/>
      <c r="K150" s="381"/>
    </row>
    <row r="151" spans="4:11">
      <c r="D151" s="370"/>
      <c r="K151" s="381"/>
    </row>
    <row r="152" spans="4:11">
      <c r="D152" s="345"/>
      <c r="E152" s="381"/>
      <c r="F152" s="381"/>
      <c r="G152" s="381"/>
      <c r="H152" s="381"/>
      <c r="I152" s="381"/>
    </row>
    <row r="153" spans="4:11">
      <c r="D153" s="370"/>
      <c r="E153" s="381"/>
      <c r="F153" s="381"/>
      <c r="G153" s="381"/>
      <c r="H153" s="381"/>
      <c r="I153" s="381"/>
    </row>
    <row r="154" spans="4:11">
      <c r="D154" s="370"/>
    </row>
    <row r="155" spans="4:11">
      <c r="D155" s="370"/>
    </row>
    <row r="156" spans="4:11">
      <c r="D156" s="345"/>
      <c r="E156" s="381"/>
      <c r="F156" s="381"/>
      <c r="G156" s="381"/>
      <c r="H156" s="381"/>
      <c r="I156" s="381"/>
    </row>
    <row r="157" spans="4:11">
      <c r="D157" s="370"/>
      <c r="E157" s="381"/>
      <c r="F157" s="381"/>
      <c r="G157" s="381"/>
      <c r="H157" s="381"/>
      <c r="I157" s="381"/>
    </row>
    <row r="158" spans="4:11">
      <c r="D158" s="370"/>
    </row>
    <row r="159" spans="4:11">
      <c r="D159" s="345"/>
      <c r="E159" s="381"/>
      <c r="F159" s="381"/>
      <c r="G159" s="381"/>
      <c r="H159" s="381"/>
      <c r="I159" s="381"/>
    </row>
    <row r="160" spans="4:11">
      <c r="D160" s="370"/>
      <c r="J160" s="381"/>
    </row>
    <row r="161" spans="4:11">
      <c r="D161" s="370"/>
      <c r="J161" s="381"/>
    </row>
    <row r="162" spans="4:11">
      <c r="D162" s="345"/>
      <c r="E162" s="381"/>
      <c r="F162" s="381"/>
      <c r="G162" s="381"/>
      <c r="H162" s="381"/>
      <c r="I162" s="381"/>
      <c r="K162" s="381"/>
    </row>
    <row r="163" spans="4:11">
      <c r="D163" s="370"/>
      <c r="K163" s="381"/>
    </row>
    <row r="164" spans="4:11">
      <c r="D164" s="370"/>
      <c r="J164" s="381"/>
    </row>
    <row r="165" spans="4:11">
      <c r="D165" s="370"/>
      <c r="J165" s="381"/>
    </row>
    <row r="166" spans="4:11">
      <c r="D166" s="345"/>
      <c r="E166" s="381"/>
      <c r="F166" s="381"/>
      <c r="G166" s="381"/>
      <c r="H166" s="381"/>
      <c r="I166" s="381"/>
      <c r="K166" s="381"/>
    </row>
    <row r="167" spans="4:11">
      <c r="D167" s="370"/>
      <c r="K167" s="381"/>
    </row>
    <row r="168" spans="4:11">
      <c r="D168" s="370"/>
      <c r="E168" s="345"/>
      <c r="F168" s="345"/>
      <c r="G168" s="345"/>
      <c r="H168" s="345"/>
      <c r="I168" s="345"/>
      <c r="J168" s="381"/>
    </row>
    <row r="169" spans="4:11">
      <c r="D169" s="370"/>
      <c r="E169" s="345"/>
      <c r="F169" s="345"/>
      <c r="G169" s="345"/>
      <c r="H169" s="345"/>
      <c r="I169" s="345"/>
    </row>
    <row r="170" spans="4:11">
      <c r="D170" s="370"/>
      <c r="K170" s="381"/>
    </row>
    <row r="171" spans="4:11">
      <c r="D171" s="370"/>
    </row>
    <row r="172" spans="4:11">
      <c r="D172" s="370"/>
    </row>
    <row r="173" spans="4:11">
      <c r="D173" s="345"/>
      <c r="E173" s="381"/>
      <c r="F173" s="381"/>
      <c r="G173" s="381"/>
      <c r="H173" s="381"/>
      <c r="I173" s="381"/>
    </row>
    <row r="174" spans="4:11">
      <c r="D174" s="345"/>
      <c r="E174" s="381"/>
      <c r="F174" s="381"/>
      <c r="G174" s="381"/>
      <c r="H174" s="381"/>
      <c r="I174" s="381"/>
    </row>
    <row r="175" spans="4:11">
      <c r="D175" s="370"/>
      <c r="E175" s="381"/>
      <c r="F175" s="381"/>
      <c r="G175" s="381"/>
      <c r="H175" s="381"/>
      <c r="I175" s="381"/>
    </row>
    <row r="176" spans="4:11">
      <c r="D176" s="370"/>
      <c r="E176" s="381"/>
      <c r="F176" s="381"/>
      <c r="G176" s="381"/>
      <c r="H176" s="381"/>
      <c r="I176" s="381"/>
    </row>
    <row r="177" spans="4:11">
      <c r="D177" s="370"/>
    </row>
    <row r="178" spans="4:11">
      <c r="D178" s="345"/>
      <c r="E178" s="381"/>
      <c r="F178" s="381"/>
      <c r="G178" s="381"/>
      <c r="H178" s="381"/>
      <c r="I178" s="381"/>
    </row>
    <row r="179" spans="4:11">
      <c r="D179" s="370"/>
      <c r="E179" s="381"/>
      <c r="F179" s="381"/>
      <c r="G179" s="381"/>
      <c r="H179" s="381"/>
      <c r="I179" s="381"/>
    </row>
    <row r="180" spans="4:11">
      <c r="D180" s="370"/>
      <c r="E180" s="381"/>
      <c r="F180" s="381"/>
      <c r="G180" s="381"/>
      <c r="H180" s="381"/>
      <c r="I180" s="381"/>
    </row>
    <row r="181" spans="4:11">
      <c r="D181" s="370"/>
    </row>
    <row r="182" spans="4:11">
      <c r="D182" s="370"/>
    </row>
    <row r="183" spans="4:11">
      <c r="D183" s="370"/>
      <c r="J183" s="381"/>
    </row>
    <row r="184" spans="4:11">
      <c r="D184" s="370"/>
      <c r="J184" s="381"/>
    </row>
    <row r="185" spans="4:11">
      <c r="D185" s="370"/>
      <c r="K185" s="381"/>
    </row>
    <row r="186" spans="4:11">
      <c r="D186" s="370"/>
      <c r="J186" s="381"/>
      <c r="K186" s="381"/>
    </row>
    <row r="187" spans="4:11">
      <c r="D187" s="370"/>
      <c r="J187" s="381"/>
    </row>
    <row r="188" spans="4:11">
      <c r="D188" s="370"/>
      <c r="J188" s="381"/>
      <c r="K188" s="381"/>
    </row>
    <row r="189" spans="4:11">
      <c r="D189" s="370"/>
      <c r="K189" s="381"/>
    </row>
    <row r="190" spans="4:11">
      <c r="D190" s="345"/>
      <c r="E190" s="381"/>
      <c r="F190" s="381"/>
      <c r="G190" s="381"/>
      <c r="H190" s="381"/>
      <c r="I190" s="381"/>
      <c r="K190" s="381"/>
    </row>
    <row r="191" spans="4:11">
      <c r="D191" s="370"/>
      <c r="J191" s="381"/>
    </row>
    <row r="192" spans="4:11">
      <c r="D192" s="370"/>
      <c r="J192" s="381"/>
    </row>
    <row r="193" spans="4:11">
      <c r="D193" s="345"/>
      <c r="E193" s="381"/>
      <c r="F193" s="381"/>
      <c r="G193" s="381"/>
      <c r="H193" s="381"/>
      <c r="I193" s="381"/>
      <c r="K193" s="381"/>
    </row>
    <row r="194" spans="4:11">
      <c r="D194" s="370"/>
      <c r="K194" s="381"/>
    </row>
    <row r="195" spans="4:11">
      <c r="D195" s="345"/>
      <c r="E195" s="381"/>
      <c r="F195" s="381"/>
      <c r="G195" s="381"/>
      <c r="H195" s="381"/>
      <c r="I195" s="381"/>
    </row>
    <row r="196" spans="4:11">
      <c r="D196" s="370"/>
      <c r="E196" s="381"/>
      <c r="F196" s="381"/>
      <c r="G196" s="381"/>
      <c r="H196" s="381"/>
      <c r="I196" s="381"/>
    </row>
    <row r="197" spans="4:11">
      <c r="D197" s="370"/>
    </row>
    <row r="198" spans="4:11">
      <c r="D198" s="370"/>
    </row>
    <row r="199" spans="4:11">
      <c r="D199" s="345"/>
      <c r="E199" s="381"/>
      <c r="F199" s="381"/>
      <c r="G199" s="381"/>
      <c r="H199" s="381"/>
      <c r="I199" s="381"/>
    </row>
    <row r="200" spans="4:11">
      <c r="D200" s="370"/>
      <c r="E200" s="381"/>
      <c r="F200" s="381"/>
      <c r="G200" s="381"/>
      <c r="H200" s="381"/>
      <c r="I200" s="381"/>
    </row>
    <row r="201" spans="4:11">
      <c r="D201" s="370"/>
    </row>
    <row r="202" spans="4:11">
      <c r="D202" s="345"/>
      <c r="E202" s="381"/>
      <c r="F202" s="381"/>
      <c r="G202" s="381"/>
      <c r="H202" s="381"/>
      <c r="I202" s="381"/>
    </row>
    <row r="203" spans="4:11">
      <c r="D203" s="370"/>
      <c r="J203" s="381"/>
    </row>
    <row r="204" spans="4:11">
      <c r="D204" s="370"/>
      <c r="J204" s="381"/>
    </row>
    <row r="205" spans="4:11">
      <c r="D205" s="345"/>
      <c r="E205" s="381"/>
      <c r="F205" s="381"/>
      <c r="G205" s="381"/>
      <c r="H205" s="381"/>
      <c r="I205" s="381"/>
      <c r="K205" s="381"/>
    </row>
    <row r="206" spans="4:11">
      <c r="D206" s="370"/>
      <c r="K206" s="381"/>
    </row>
    <row r="207" spans="4:11">
      <c r="D207" s="370"/>
      <c r="J207" s="381"/>
    </row>
    <row r="208" spans="4:11">
      <c r="D208" s="370"/>
      <c r="J208" s="381"/>
    </row>
    <row r="209" spans="4:11">
      <c r="D209" s="345"/>
      <c r="E209" s="381"/>
      <c r="F209" s="381"/>
      <c r="G209" s="381"/>
      <c r="H209" s="381"/>
      <c r="I209" s="381"/>
      <c r="K209" s="381"/>
    </row>
    <row r="210" spans="4:11">
      <c r="D210" s="370"/>
      <c r="K210" s="381"/>
    </row>
    <row r="211" spans="4:11">
      <c r="D211" s="370"/>
      <c r="E211" s="345"/>
      <c r="F211" s="345"/>
      <c r="G211" s="345"/>
      <c r="H211" s="345"/>
      <c r="I211" s="345"/>
      <c r="J211" s="381"/>
    </row>
    <row r="212" spans="4:11">
      <c r="D212" s="370"/>
      <c r="E212" s="345"/>
      <c r="F212" s="345"/>
      <c r="G212" s="345"/>
      <c r="H212" s="345"/>
      <c r="I212" s="345"/>
    </row>
    <row r="213" spans="4:11">
      <c r="D213" s="370"/>
      <c r="K213" s="381"/>
    </row>
    <row r="214" spans="4:11">
      <c r="D214" s="370"/>
    </row>
    <row r="215" spans="4:11">
      <c r="D215" s="370"/>
    </row>
    <row r="216" spans="4:11">
      <c r="D216" s="345"/>
      <c r="E216" s="381"/>
      <c r="F216" s="381"/>
      <c r="G216" s="381"/>
      <c r="H216" s="381"/>
      <c r="I216" s="381"/>
    </row>
    <row r="217" spans="4:11">
      <c r="D217" s="345"/>
      <c r="E217" s="381"/>
      <c r="F217" s="381"/>
      <c r="G217" s="381"/>
      <c r="H217" s="381"/>
      <c r="I217" s="381"/>
    </row>
    <row r="218" spans="4:11">
      <c r="D218" s="370"/>
      <c r="E218" s="381"/>
      <c r="F218" s="381"/>
      <c r="G218" s="381"/>
      <c r="H218" s="381"/>
      <c r="I218" s="381"/>
    </row>
    <row r="219" spans="4:11">
      <c r="D219" s="370"/>
      <c r="E219" s="381"/>
      <c r="F219" s="381"/>
      <c r="G219" s="381"/>
      <c r="H219" s="381"/>
      <c r="I219" s="381"/>
    </row>
    <row r="220" spans="4:11">
      <c r="D220" s="370"/>
    </row>
    <row r="221" spans="4:11">
      <c r="D221" s="345"/>
      <c r="E221" s="381"/>
      <c r="F221" s="381"/>
      <c r="G221" s="381"/>
      <c r="H221" s="381"/>
      <c r="I221" s="381"/>
    </row>
    <row r="222" spans="4:11">
      <c r="D222" s="370"/>
      <c r="E222" s="381"/>
      <c r="F222" s="381"/>
      <c r="G222" s="381"/>
      <c r="H222" s="381"/>
      <c r="I222" s="381"/>
    </row>
    <row r="223" spans="4:11">
      <c r="D223" s="370"/>
      <c r="E223" s="381"/>
      <c r="F223" s="381"/>
      <c r="G223" s="381"/>
      <c r="H223" s="381"/>
      <c r="I223" s="381"/>
    </row>
    <row r="224" spans="4:11">
      <c r="D224" s="370"/>
    </row>
    <row r="225" spans="4:11">
      <c r="D225" s="370"/>
    </row>
    <row r="226" spans="4:11">
      <c r="D226" s="370"/>
      <c r="J226" s="381"/>
    </row>
    <row r="227" spans="4:11">
      <c r="D227" s="370"/>
      <c r="J227" s="381"/>
    </row>
    <row r="228" spans="4:11">
      <c r="D228" s="370"/>
      <c r="K228" s="381"/>
    </row>
    <row r="229" spans="4:11">
      <c r="D229" s="370"/>
      <c r="J229" s="381"/>
      <c r="K229" s="381"/>
    </row>
    <row r="230" spans="4:11">
      <c r="D230" s="370"/>
      <c r="J230" s="381"/>
    </row>
    <row r="231" spans="4:11">
      <c r="D231" s="370"/>
      <c r="J231" s="381"/>
      <c r="K231" s="381"/>
    </row>
    <row r="232" spans="4:11">
      <c r="D232" s="370"/>
      <c r="K232" s="381"/>
    </row>
    <row r="233" spans="4:11">
      <c r="D233" s="345"/>
      <c r="E233" s="381"/>
      <c r="F233" s="381"/>
      <c r="G233" s="381"/>
      <c r="H233" s="381"/>
      <c r="I233" s="381"/>
      <c r="K233" s="381"/>
    </row>
    <row r="234" spans="4:11">
      <c r="D234" s="370"/>
      <c r="J234" s="381"/>
    </row>
    <row r="235" spans="4:11">
      <c r="D235" s="370"/>
      <c r="J235" s="381"/>
    </row>
    <row r="236" spans="4:11">
      <c r="D236" s="345"/>
      <c r="E236" s="381"/>
      <c r="F236" s="381"/>
      <c r="G236" s="381"/>
      <c r="H236" s="381"/>
      <c r="I236" s="381"/>
      <c r="K236" s="381"/>
    </row>
    <row r="237" spans="4:11">
      <c r="D237" s="370"/>
      <c r="K237" s="381"/>
    </row>
    <row r="238" spans="4:11">
      <c r="D238" s="345"/>
      <c r="E238" s="381"/>
      <c r="F238" s="381"/>
      <c r="G238" s="381"/>
      <c r="H238" s="381"/>
      <c r="I238" s="381"/>
    </row>
    <row r="239" spans="4:11">
      <c r="D239" s="370"/>
      <c r="E239" s="381"/>
      <c r="F239" s="381"/>
      <c r="G239" s="381"/>
      <c r="H239" s="381"/>
      <c r="I239" s="381"/>
    </row>
    <row r="240" spans="4:11">
      <c r="D240" s="370"/>
    </row>
    <row r="241" spans="4:11">
      <c r="D241" s="370"/>
    </row>
    <row r="242" spans="4:11">
      <c r="D242" s="345"/>
      <c r="E242" s="381"/>
      <c r="F242" s="381"/>
      <c r="G242" s="381"/>
      <c r="H242" s="381"/>
      <c r="I242" s="381"/>
    </row>
    <row r="243" spans="4:11">
      <c r="D243" s="370"/>
      <c r="E243" s="381"/>
      <c r="F243" s="381"/>
      <c r="G243" s="381"/>
      <c r="H243" s="381"/>
      <c r="I243" s="381"/>
    </row>
    <row r="244" spans="4:11">
      <c r="D244" s="370"/>
    </row>
    <row r="245" spans="4:11">
      <c r="D245" s="345"/>
      <c r="E245" s="381"/>
      <c r="F245" s="381"/>
      <c r="G245" s="381"/>
      <c r="H245" s="381"/>
      <c r="I245" s="381"/>
    </row>
    <row r="246" spans="4:11">
      <c r="D246" s="370"/>
      <c r="J246" s="381"/>
    </row>
    <row r="247" spans="4:11">
      <c r="D247" s="370"/>
      <c r="J247" s="381"/>
    </row>
    <row r="248" spans="4:11">
      <c r="D248" s="345"/>
      <c r="E248" s="381"/>
      <c r="F248" s="381"/>
      <c r="G248" s="381"/>
      <c r="H248" s="381"/>
      <c r="I248" s="381"/>
      <c r="K248" s="381"/>
    </row>
    <row r="249" spans="4:11">
      <c r="D249" s="370"/>
      <c r="K249" s="381"/>
    </row>
    <row r="250" spans="4:11">
      <c r="D250" s="370"/>
      <c r="J250" s="381"/>
    </row>
    <row r="251" spans="4:11">
      <c r="D251" s="370"/>
      <c r="J251" s="381"/>
    </row>
    <row r="252" spans="4:11">
      <c r="D252" s="345"/>
      <c r="E252" s="381"/>
      <c r="F252" s="381"/>
      <c r="G252" s="381"/>
      <c r="H252" s="381"/>
      <c r="I252" s="381"/>
      <c r="K252" s="381"/>
    </row>
    <row r="253" spans="4:11">
      <c r="D253" s="370"/>
      <c r="K253" s="381"/>
    </row>
    <row r="254" spans="4:11">
      <c r="D254" s="370"/>
      <c r="E254" s="345"/>
      <c r="F254" s="345"/>
      <c r="G254" s="345"/>
      <c r="H254" s="345"/>
      <c r="I254" s="345"/>
      <c r="J254" s="381"/>
    </row>
    <row r="255" spans="4:11">
      <c r="D255" s="370"/>
      <c r="E255" s="345"/>
      <c r="F255" s="345"/>
      <c r="G255" s="345"/>
      <c r="H255" s="345"/>
      <c r="I255" s="345"/>
    </row>
    <row r="256" spans="4:11">
      <c r="D256" s="370"/>
      <c r="K256" s="381"/>
    </row>
    <row r="257" spans="4:4">
      <c r="D257" s="370"/>
    </row>
    <row r="258" spans="4:4">
      <c r="D258" s="370"/>
    </row>
    <row r="259" spans="4:4">
      <c r="D259" s="370"/>
    </row>
    <row r="260" spans="4:4">
      <c r="D260" s="370"/>
    </row>
    <row r="261" spans="4:4">
      <c r="D261" s="370"/>
    </row>
    <row r="262" spans="4:4">
      <c r="D262" s="370"/>
    </row>
    <row r="263" spans="4:4">
      <c r="D263" s="370"/>
    </row>
    <row r="264" spans="4:4">
      <c r="D264" s="370"/>
    </row>
    <row r="265" spans="4:4">
      <c r="D265" s="370"/>
    </row>
    <row r="266" spans="4:4">
      <c r="D266" s="370"/>
    </row>
    <row r="267" spans="4:4">
      <c r="D267" s="370"/>
    </row>
    <row r="268" spans="4:4">
      <c r="D268" s="370"/>
    </row>
    <row r="269" spans="4:4">
      <c r="D269" s="370"/>
    </row>
    <row r="270" spans="4:4">
      <c r="D270" s="370"/>
    </row>
    <row r="271" spans="4:4">
      <c r="D271" s="370"/>
    </row>
    <row r="272" spans="4:4">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sheetData>
  <phoneticPr fontId="26" type="noConversion"/>
  <pageMargins left="0.75" right="0.75" top="1" bottom="1" header="0.5" footer="0.5"/>
  <pageSetup scale="46" orientation="landscape"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37">
    <pageSetUpPr fitToPage="1"/>
  </sheetPr>
  <dimension ref="B1:X449"/>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1459</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97</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1128</v>
      </c>
      <c r="M9" s="458"/>
      <c r="N9" s="459" t="s">
        <v>127</v>
      </c>
      <c r="O9" s="459"/>
      <c r="P9" s="458" t="s">
        <v>128</v>
      </c>
      <c r="Q9" s="458"/>
      <c r="R9" s="458" t="s">
        <v>346</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1126</v>
      </c>
      <c r="C11" s="370"/>
      <c r="E11" s="367" t="str">
        <f>"DCF, "&amp;TEXT(H11,"0.0")&amp;"x 19E FCF"</f>
        <v>DCF, 5.0x 19E FCF</v>
      </c>
      <c r="F11" s="216">
        <f>J11/H11</f>
        <v>2852.4920627239817</v>
      </c>
      <c r="G11" s="178" t="s">
        <v>133</v>
      </c>
      <c r="H11" s="487">
        <v>5.0322036025686119</v>
      </c>
      <c r="I11" s="178" t="s">
        <v>134</v>
      </c>
      <c r="J11" s="484">
        <v>14354.320834337992</v>
      </c>
      <c r="K11" s="178" t="s">
        <v>135</v>
      </c>
      <c r="L11" s="484">
        <v>17296.881952609405</v>
      </c>
      <c r="M11" s="178" t="s">
        <v>134</v>
      </c>
      <c r="N11" s="178">
        <f>J11-L11</f>
        <v>-2942.5611182714129</v>
      </c>
      <c r="O11" s="178" t="s">
        <v>133</v>
      </c>
      <c r="P11" s="490">
        <v>1</v>
      </c>
      <c r="Q11" s="393" t="s">
        <v>134</v>
      </c>
      <c r="R11" s="216">
        <f>P11*N11</f>
        <v>-2942.5611182714129</v>
      </c>
      <c r="S11" s="216"/>
      <c r="T11" s="216">
        <f>N11-R11</f>
        <v>0</v>
      </c>
      <c r="U11" s="216"/>
      <c r="V11" s="394">
        <f>N11/$J$27</f>
        <v>-0.69505084990461541</v>
      </c>
      <c r="W11" s="370"/>
      <c r="X11" s="427">
        <f>$J$35*V11</f>
        <v>-0.13741592039647466</v>
      </c>
    </row>
    <row r="12" spans="2:24">
      <c r="B12" s="370" t="s">
        <v>1127</v>
      </c>
      <c r="C12" s="370"/>
      <c r="E12" s="367" t="s">
        <v>1082</v>
      </c>
      <c r="F12" s="216"/>
      <c r="G12" s="178"/>
      <c r="H12" s="373"/>
      <c r="I12" s="178"/>
      <c r="J12" s="484">
        <v>7608.2228051597504</v>
      </c>
      <c r="K12" s="178" t="s">
        <v>135</v>
      </c>
      <c r="L12" s="484">
        <v>3000</v>
      </c>
      <c r="M12" s="178" t="s">
        <v>134</v>
      </c>
      <c r="N12" s="216">
        <f>J12-L12</f>
        <v>4608.2228051597504</v>
      </c>
      <c r="O12" s="178" t="s">
        <v>133</v>
      </c>
      <c r="P12" s="490">
        <v>0.57999999999999996</v>
      </c>
      <c r="Q12" s="393" t="s">
        <v>134</v>
      </c>
      <c r="R12" s="216">
        <f>P12*N12</f>
        <v>2672.7692269926551</v>
      </c>
      <c r="S12" s="216"/>
      <c r="T12" s="216">
        <f>N12-R12</f>
        <v>1935.4535781670952</v>
      </c>
      <c r="U12" s="216"/>
      <c r="V12" s="394">
        <f>N12/$J$27</f>
        <v>1.0884902805885186</v>
      </c>
      <c r="W12" s="370"/>
      <c r="X12" s="427">
        <f>$J$35*V12</f>
        <v>0.2152013680297134</v>
      </c>
    </row>
    <row r="13" spans="2:24">
      <c r="B13" s="370" t="s">
        <v>567</v>
      </c>
      <c r="C13" s="370"/>
      <c r="E13" s="367" t="s">
        <v>995</v>
      </c>
      <c r="F13" s="216"/>
      <c r="G13" s="178"/>
      <c r="H13" s="373"/>
      <c r="I13" s="178"/>
      <c r="J13" s="484">
        <v>9215.5795381867192</v>
      </c>
      <c r="K13" s="178" t="s">
        <v>135</v>
      </c>
      <c r="L13" s="484">
        <v>314.04366405095931</v>
      </c>
      <c r="M13" s="178" t="s">
        <v>134</v>
      </c>
      <c r="N13" s="216">
        <f>J13-L13</f>
        <v>8901.5358741357595</v>
      </c>
      <c r="O13" s="178" t="s">
        <v>133</v>
      </c>
      <c r="P13" s="490">
        <v>0.66900000000000004</v>
      </c>
      <c r="Q13" s="393" t="s">
        <v>134</v>
      </c>
      <c r="R13" s="216">
        <f>P13*N13</f>
        <v>5955.127499796823</v>
      </c>
      <c r="S13" s="216"/>
      <c r="T13" s="216">
        <f>N13-R13</f>
        <v>2946.4083743389365</v>
      </c>
      <c r="U13" s="216"/>
      <c r="V13" s="394">
        <f>N13/$J$27</f>
        <v>2.1025969643780944</v>
      </c>
      <c r="W13" s="370"/>
      <c r="X13" s="427">
        <f>$J$35*V13</f>
        <v>0.41569663158098508</v>
      </c>
    </row>
    <row r="14" spans="2:24">
      <c r="B14" s="345" t="s">
        <v>137</v>
      </c>
      <c r="C14" s="370"/>
      <c r="F14" s="210"/>
      <c r="G14" s="196"/>
      <c r="H14" s="372"/>
      <c r="I14" s="376"/>
      <c r="J14" s="398">
        <f>SUM(J11:J13)</f>
        <v>31178.123177684465</v>
      </c>
      <c r="K14" s="375"/>
      <c r="L14" s="398">
        <f>-J18</f>
        <v>20610.925616660363</v>
      </c>
      <c r="M14" s="196"/>
      <c r="N14" s="398">
        <f>SUM(N11:N13)</f>
        <v>10567.197561024097</v>
      </c>
      <c r="P14" s="377"/>
      <c r="Q14" s="378"/>
      <c r="R14" s="398">
        <f>SUM(R11:R13)</f>
        <v>5685.3356085180658</v>
      </c>
      <c r="S14" s="370"/>
      <c r="T14" s="398">
        <f>SUM(T11:T13)</f>
        <v>4881.8619525060312</v>
      </c>
      <c r="U14" s="370"/>
      <c r="V14" s="387">
        <f>N14/$J$27</f>
        <v>2.4960363950619975</v>
      </c>
      <c r="W14" s="370"/>
      <c r="X14" s="428">
        <f>$J$35*V14</f>
        <v>0.49348207921422382</v>
      </c>
    </row>
    <row r="16" spans="2:24">
      <c r="B16" s="345" t="s">
        <v>137</v>
      </c>
      <c r="C16" s="370"/>
    </row>
    <row r="17" spans="2:24">
      <c r="B17" s="382" t="s">
        <v>141</v>
      </c>
      <c r="D17" s="345"/>
      <c r="E17" s="381"/>
      <c r="H17" s="381"/>
      <c r="I17" s="381"/>
      <c r="J17" s="429">
        <f>J14</f>
        <v>31178.123177684465</v>
      </c>
      <c r="R17" s="210"/>
    </row>
    <row r="18" spans="2:24" ht="12.6" thickBot="1">
      <c r="B18" s="383" t="s">
        <v>1523</v>
      </c>
      <c r="J18" s="491">
        <v>-20610.925616660363</v>
      </c>
      <c r="T18" s="460" t="s">
        <v>544</v>
      </c>
      <c r="U18" s="368"/>
      <c r="V18" s="368"/>
      <c r="W18" s="368"/>
      <c r="X18" s="368"/>
    </row>
    <row r="19" spans="2:24" ht="12.6" thickTop="1">
      <c r="B19" s="384" t="s">
        <v>1524</v>
      </c>
      <c r="J19" s="491">
        <v>-4881.8619525060312</v>
      </c>
    </row>
    <row r="20" spans="2:24">
      <c r="B20" s="384" t="s">
        <v>1129</v>
      </c>
      <c r="J20" s="491">
        <v>353.70240000000001</v>
      </c>
      <c r="K20" s="381"/>
    </row>
    <row r="21" spans="2:24">
      <c r="B21" s="384" t="s">
        <v>1130</v>
      </c>
      <c r="D21" s="424"/>
      <c r="J21" s="491">
        <v>-2117.9579466171026</v>
      </c>
      <c r="K21" s="381"/>
    </row>
    <row r="22" spans="2:24">
      <c r="B22" s="384" t="s">
        <v>1525</v>
      </c>
      <c r="D22" s="424"/>
      <c r="J22" s="491">
        <v>-550.12300000000005</v>
      </c>
      <c r="K22" s="381"/>
    </row>
    <row r="23" spans="2:24">
      <c r="B23" s="384" t="s">
        <v>1526</v>
      </c>
      <c r="D23" s="424"/>
      <c r="J23" s="491">
        <v>-480.18600000000004</v>
      </c>
      <c r="K23" s="381"/>
    </row>
    <row r="24" spans="2:24">
      <c r="B24" s="384" t="s">
        <v>1527</v>
      </c>
      <c r="D24" s="370"/>
      <c r="J24" s="491">
        <v>-395.10800000000006</v>
      </c>
    </row>
    <row r="25" spans="2:24">
      <c r="B25" s="384" t="s">
        <v>1528</v>
      </c>
      <c r="D25" s="370"/>
      <c r="J25" s="491">
        <v>1279.7594883173776</v>
      </c>
      <c r="K25" s="381"/>
    </row>
    <row r="26" spans="2:24">
      <c r="B26" s="384" t="s">
        <v>1529</v>
      </c>
      <c r="D26" s="370"/>
      <c r="J26" s="491">
        <v>458.16858728653142</v>
      </c>
      <c r="K26" s="381"/>
    </row>
    <row r="27" spans="2:24">
      <c r="B27" s="382" t="s">
        <v>490</v>
      </c>
      <c r="D27" s="345"/>
      <c r="E27" s="381"/>
      <c r="F27" s="381"/>
      <c r="G27" s="381"/>
      <c r="H27" s="381"/>
      <c r="I27" s="381"/>
      <c r="J27" s="430">
        <f>SUM(J17:J26)</f>
        <v>4233.5911375048781</v>
      </c>
    </row>
    <row r="28" spans="2:24">
      <c r="B28" s="384" t="s">
        <v>98</v>
      </c>
      <c r="D28" s="370"/>
      <c r="J28" s="491">
        <v>15213.524299999997</v>
      </c>
      <c r="K28" s="381"/>
    </row>
    <row r="29" spans="2:24">
      <c r="B29" s="384" t="s">
        <v>99</v>
      </c>
      <c r="D29" s="370"/>
      <c r="E29" s="384"/>
      <c r="J29" s="491">
        <v>6027.7916990000003</v>
      </c>
      <c r="K29" s="381"/>
    </row>
    <row r="30" spans="2:24" ht="12.6" thickBot="1">
      <c r="B30" s="384" t="s">
        <v>239</v>
      </c>
      <c r="D30" s="345"/>
      <c r="E30" s="381"/>
      <c r="F30" s="381"/>
      <c r="G30" s="381"/>
      <c r="H30" s="381"/>
      <c r="I30" s="381"/>
      <c r="J30" s="492">
        <v>1.0285714285714287</v>
      </c>
      <c r="K30" s="381"/>
    </row>
    <row r="31" spans="2:24" ht="12.6" thickBot="1">
      <c r="B31" s="382" t="s">
        <v>237</v>
      </c>
      <c r="D31" s="345"/>
      <c r="E31" s="381"/>
      <c r="H31" s="381"/>
      <c r="I31" s="381"/>
      <c r="J31" s="466">
        <f>J$27/(J$28+J$29*J$30)</f>
        <v>0.19770628352635319</v>
      </c>
      <c r="K31" s="381"/>
    </row>
    <row r="32" spans="2:24" ht="12.6" thickBot="1">
      <c r="B32" s="382" t="s">
        <v>238</v>
      </c>
      <c r="D32" s="345"/>
      <c r="E32" s="381"/>
      <c r="H32" s="381"/>
      <c r="I32" s="381"/>
      <c r="J32" s="466">
        <f>J30*J31</f>
        <v>0.20335503448424902</v>
      </c>
      <c r="K32" s="381"/>
    </row>
    <row r="33" spans="2:24">
      <c r="B33" s="384" t="s">
        <v>1084</v>
      </c>
      <c r="J33" s="485">
        <v>0</v>
      </c>
      <c r="K33" s="381"/>
    </row>
    <row r="34" spans="2:24" ht="12.6" thickBot="1">
      <c r="B34" s="384" t="s">
        <v>1085</v>
      </c>
      <c r="J34" s="485">
        <v>0</v>
      </c>
      <c r="K34" s="381"/>
    </row>
    <row r="35" spans="2:24" ht="12.6" thickBot="1">
      <c r="B35" s="382" t="s">
        <v>208</v>
      </c>
      <c r="D35" s="345"/>
      <c r="E35" s="381"/>
      <c r="H35" s="381"/>
      <c r="I35" s="381"/>
      <c r="J35" s="466">
        <f>J31+J33</f>
        <v>0.19770628352635319</v>
      </c>
      <c r="K35" s="381"/>
    </row>
    <row r="36" spans="2:24" ht="12.6" thickBot="1">
      <c r="B36" s="382" t="s">
        <v>209</v>
      </c>
      <c r="D36" s="345"/>
      <c r="E36" s="381"/>
      <c r="H36" s="381"/>
      <c r="I36" s="381"/>
      <c r="J36" s="466">
        <f>J32+J34</f>
        <v>0.20335503448424902</v>
      </c>
      <c r="K36" s="381"/>
    </row>
    <row r="37" spans="2:24">
      <c r="B37" s="384" t="s">
        <v>240</v>
      </c>
      <c r="D37" s="370"/>
      <c r="J37" s="427">
        <f>Prices!C15</f>
        <v>0.2361</v>
      </c>
    </row>
    <row r="38" spans="2:24">
      <c r="B38" s="384" t="s">
        <v>241</v>
      </c>
      <c r="D38" s="370"/>
      <c r="J38" s="427">
        <f>Prices!C16</f>
        <v>0.26250000000000001</v>
      </c>
    </row>
    <row r="39" spans="2:24">
      <c r="B39" s="382" t="s">
        <v>3</v>
      </c>
      <c r="D39" s="345"/>
      <c r="E39" s="381"/>
      <c r="F39" s="381"/>
      <c r="G39" s="381"/>
      <c r="H39" s="381"/>
      <c r="I39" s="381"/>
      <c r="J39" s="387">
        <f>J35/J37-1</f>
        <v>-0.16261633406881326</v>
      </c>
    </row>
    <row r="40" spans="2:24" ht="12.6" thickBot="1">
      <c r="B40" s="382" t="s">
        <v>4</v>
      </c>
      <c r="D40" s="345"/>
      <c r="E40" s="381"/>
      <c r="F40" s="381"/>
      <c r="G40" s="381"/>
      <c r="H40" s="381"/>
      <c r="I40" s="381"/>
      <c r="J40" s="387">
        <f>J36/J38-1</f>
        <v>-0.225314154345718</v>
      </c>
      <c r="K40" s="381"/>
      <c r="T40" s="460" t="s">
        <v>544</v>
      </c>
      <c r="U40" s="460"/>
      <c r="V40" s="460"/>
      <c r="W40" s="460"/>
      <c r="X40" s="460"/>
    </row>
    <row r="41" spans="2:24" ht="12.6" thickTop="1">
      <c r="T41" s="370" t="str">
        <f>B11</f>
        <v>Italy (ex. FiberCop)</v>
      </c>
      <c r="X41" s="394">
        <f>(R11)/($R$14)</f>
        <v>-0.51757034604302243</v>
      </c>
    </row>
    <row r="42" spans="2:24">
      <c r="B42" s="370"/>
      <c r="D42" s="345"/>
      <c r="E42" s="345"/>
      <c r="H42" s="381"/>
      <c r="I42" s="381"/>
      <c r="K42" s="381"/>
      <c r="T42" s="370" t="str">
        <f t="shared" ref="T42:T44" si="0">B12</f>
        <v>FiberCop</v>
      </c>
      <c r="X42" s="394">
        <f t="shared" ref="X42:X44" si="1">(R12)/($R$14)</f>
        <v>0.47011635038539734</v>
      </c>
    </row>
    <row r="43" spans="2:24">
      <c r="D43" s="345"/>
      <c r="E43" s="345"/>
      <c r="F43" s="345"/>
      <c r="G43" s="345"/>
      <c r="H43" s="345"/>
      <c r="I43" s="345"/>
      <c r="K43" s="381"/>
      <c r="T43" s="370" t="str">
        <f t="shared" si="0"/>
        <v>Brazil</v>
      </c>
      <c r="X43" s="394">
        <f t="shared" si="1"/>
        <v>1.047453995657625</v>
      </c>
    </row>
    <row r="44" spans="2:24">
      <c r="D44" s="345"/>
      <c r="E44" s="345"/>
      <c r="F44" s="345"/>
      <c r="G44" s="345"/>
      <c r="H44" s="345"/>
      <c r="I44" s="345"/>
      <c r="T44" s="370" t="str">
        <f t="shared" si="0"/>
        <v>Total</v>
      </c>
      <c r="X44" s="394">
        <f t="shared" si="1"/>
        <v>1</v>
      </c>
    </row>
    <row r="45" spans="2:24">
      <c r="B45" s="367" t="s">
        <v>476</v>
      </c>
      <c r="D45" s="431">
        <f>Prices!F165</f>
        <v>1047.2121670238819</v>
      </c>
      <c r="E45" s="345"/>
      <c r="F45" s="345"/>
      <c r="G45" s="345"/>
      <c r="H45" s="345"/>
      <c r="I45" s="345"/>
    </row>
    <row r="46" spans="2:24">
      <c r="B46" s="367" t="s">
        <v>646</v>
      </c>
      <c r="D46" s="386">
        <f>Prices!F160</f>
        <v>6.1943221858379207</v>
      </c>
      <c r="E46" s="345"/>
      <c r="F46" s="345"/>
      <c r="G46" s="345"/>
      <c r="H46" s="345"/>
      <c r="I46" s="345"/>
    </row>
    <row r="47" spans="2:24">
      <c r="B47" s="367" t="s">
        <v>483</v>
      </c>
      <c r="D47" s="386">
        <f>Prices!F182</f>
        <v>1059.90978030271</v>
      </c>
      <c r="E47" s="345"/>
      <c r="F47" s="345"/>
      <c r="G47" s="345"/>
      <c r="H47" s="345"/>
      <c r="I47" s="345"/>
    </row>
    <row r="49" spans="4:24">
      <c r="D49" s="345"/>
      <c r="E49" s="345"/>
      <c r="F49" s="345"/>
      <c r="G49" s="345"/>
      <c r="H49" s="345"/>
      <c r="I49" s="345"/>
    </row>
    <row r="50" spans="4:24">
      <c r="D50" s="345"/>
      <c r="E50" s="381"/>
      <c r="F50" s="381"/>
      <c r="G50" s="381"/>
      <c r="H50" s="381"/>
      <c r="I50" s="381"/>
    </row>
    <row r="51" spans="4:24">
      <c r="D51" s="370"/>
      <c r="E51" s="381"/>
      <c r="F51" s="381"/>
      <c r="G51" s="381"/>
      <c r="H51" s="381"/>
      <c r="I51" s="381"/>
      <c r="S51" s="249"/>
    </row>
    <row r="52" spans="4:24">
      <c r="D52" s="370"/>
      <c r="E52" s="381"/>
      <c r="F52" s="381"/>
      <c r="G52" s="381"/>
      <c r="H52" s="381"/>
      <c r="I52" s="381"/>
      <c r="S52" s="388"/>
    </row>
    <row r="53" spans="4:24">
      <c r="D53" s="370"/>
      <c r="L53" s="249"/>
      <c r="M53" s="249"/>
      <c r="N53" s="249"/>
      <c r="O53" s="249"/>
      <c r="P53" s="249"/>
      <c r="Q53" s="249"/>
      <c r="R53" s="249"/>
    </row>
    <row r="54" spans="4:24">
      <c r="D54" s="345"/>
      <c r="E54" s="381"/>
      <c r="F54" s="381"/>
      <c r="G54" s="381"/>
      <c r="H54" s="381"/>
      <c r="I54" s="381"/>
      <c r="N54" s="388"/>
      <c r="O54" s="388"/>
      <c r="P54" s="388"/>
      <c r="Q54" s="388"/>
      <c r="R54" s="388"/>
      <c r="T54" s="249"/>
      <c r="U54" s="249"/>
      <c r="V54" s="249"/>
      <c r="W54" s="249"/>
      <c r="X54" s="249"/>
    </row>
    <row r="55" spans="4:24">
      <c r="D55" s="370"/>
      <c r="E55" s="381"/>
      <c r="F55" s="381"/>
      <c r="G55" s="381"/>
      <c r="H55" s="381"/>
      <c r="I55" s="381"/>
      <c r="S55" s="249"/>
      <c r="T55" s="388"/>
      <c r="U55" s="388"/>
      <c r="V55" s="388"/>
      <c r="W55" s="388"/>
      <c r="X55" s="388"/>
    </row>
    <row r="56" spans="4:24">
      <c r="D56" s="370"/>
      <c r="E56" s="381"/>
      <c r="F56" s="381"/>
      <c r="G56" s="381"/>
      <c r="H56" s="381"/>
      <c r="I56" s="381"/>
      <c r="S56" s="388"/>
    </row>
    <row r="57" spans="4:24">
      <c r="D57" s="370"/>
      <c r="L57" s="249"/>
      <c r="M57" s="249"/>
      <c r="N57" s="249"/>
      <c r="O57" s="249"/>
      <c r="P57" s="249"/>
      <c r="Q57" s="249"/>
      <c r="R57" s="249"/>
    </row>
    <row r="58" spans="4:24">
      <c r="D58" s="370"/>
      <c r="N58" s="388"/>
      <c r="O58" s="388"/>
      <c r="P58" s="388"/>
      <c r="Q58" s="388"/>
      <c r="R58" s="388"/>
      <c r="S58" s="249"/>
      <c r="T58" s="249"/>
      <c r="U58" s="249"/>
      <c r="V58" s="249"/>
      <c r="W58" s="249"/>
      <c r="X58" s="249"/>
    </row>
    <row r="59" spans="4:24">
      <c r="D59" s="370"/>
      <c r="J59" s="381"/>
      <c r="S59" s="388"/>
      <c r="T59" s="388"/>
      <c r="U59" s="388"/>
      <c r="V59" s="388"/>
      <c r="W59" s="388"/>
      <c r="X59" s="388"/>
    </row>
    <row r="60" spans="4:24">
      <c r="D60" s="370"/>
      <c r="J60" s="381"/>
      <c r="K60" s="381"/>
      <c r="L60" s="249"/>
      <c r="M60" s="249"/>
      <c r="N60" s="249"/>
      <c r="O60" s="249"/>
      <c r="P60" s="249"/>
      <c r="Q60" s="249"/>
      <c r="R60" s="249"/>
    </row>
    <row r="61" spans="4:24">
      <c r="D61" s="370"/>
      <c r="K61" s="381"/>
      <c r="N61" s="388"/>
      <c r="O61" s="388"/>
      <c r="P61" s="388"/>
      <c r="Q61" s="388"/>
      <c r="R61" s="388"/>
      <c r="S61" s="249"/>
      <c r="T61" s="249"/>
      <c r="U61" s="249"/>
      <c r="V61" s="249"/>
      <c r="W61" s="249"/>
      <c r="X61" s="249"/>
    </row>
    <row r="62" spans="4:24">
      <c r="D62" s="370"/>
      <c r="J62" s="381"/>
      <c r="S62" s="388"/>
      <c r="T62" s="388"/>
      <c r="U62" s="388"/>
      <c r="V62" s="388"/>
      <c r="W62" s="388"/>
      <c r="X62" s="388"/>
    </row>
    <row r="63" spans="4:24">
      <c r="D63" s="370"/>
      <c r="J63" s="381"/>
      <c r="K63" s="381"/>
      <c r="L63" s="249"/>
      <c r="M63" s="249"/>
      <c r="N63" s="249"/>
      <c r="O63" s="249"/>
      <c r="P63" s="249"/>
      <c r="Q63" s="249"/>
      <c r="R63" s="249"/>
    </row>
    <row r="64" spans="4:24">
      <c r="D64" s="370"/>
      <c r="J64" s="381"/>
      <c r="K64" s="381"/>
      <c r="N64" s="388"/>
      <c r="O64" s="388"/>
      <c r="P64" s="388"/>
      <c r="Q64" s="388"/>
      <c r="R64" s="388"/>
      <c r="S64" s="249"/>
      <c r="T64" s="249"/>
      <c r="U64" s="249"/>
      <c r="V64" s="249"/>
      <c r="W64" s="249"/>
      <c r="X64" s="249"/>
    </row>
    <row r="65" spans="4:24">
      <c r="D65" s="370"/>
      <c r="K65" s="381"/>
      <c r="S65" s="388"/>
      <c r="T65" s="388"/>
      <c r="U65" s="388"/>
      <c r="V65" s="388"/>
      <c r="W65" s="388"/>
      <c r="X65" s="388"/>
    </row>
    <row r="66" spans="4:24">
      <c r="D66" s="345"/>
      <c r="E66" s="381"/>
      <c r="F66" s="381"/>
      <c r="G66" s="381"/>
      <c r="H66" s="381"/>
      <c r="I66" s="381"/>
      <c r="L66" s="249"/>
      <c r="M66" s="249"/>
      <c r="N66" s="249"/>
      <c r="O66" s="249"/>
      <c r="P66" s="249"/>
      <c r="Q66" s="249"/>
      <c r="R66" s="249"/>
      <c r="S66" s="389"/>
    </row>
    <row r="67" spans="4:24">
      <c r="D67" s="370"/>
      <c r="J67" s="381"/>
      <c r="N67" s="388"/>
      <c r="O67" s="388"/>
      <c r="P67" s="388"/>
      <c r="Q67" s="388"/>
      <c r="R67" s="388"/>
      <c r="S67" s="388"/>
      <c r="T67" s="249"/>
      <c r="U67" s="249"/>
      <c r="V67" s="249"/>
      <c r="W67" s="249"/>
      <c r="X67" s="249"/>
    </row>
    <row r="68" spans="4:24">
      <c r="D68" s="370"/>
      <c r="J68" s="381"/>
      <c r="K68" s="381"/>
      <c r="L68" s="389"/>
      <c r="M68" s="389"/>
      <c r="N68" s="389"/>
      <c r="O68" s="389"/>
      <c r="P68" s="389"/>
      <c r="Q68" s="389"/>
      <c r="R68" s="389"/>
      <c r="T68" s="388"/>
      <c r="U68" s="388"/>
      <c r="V68" s="388"/>
      <c r="W68" s="388"/>
      <c r="X68" s="388"/>
    </row>
    <row r="69" spans="4:24">
      <c r="D69" s="345"/>
      <c r="E69" s="381"/>
      <c r="F69" s="381"/>
      <c r="G69" s="381"/>
      <c r="H69" s="381"/>
      <c r="I69" s="381"/>
      <c r="K69" s="381"/>
      <c r="N69" s="388"/>
      <c r="O69" s="388"/>
      <c r="P69" s="388"/>
      <c r="Q69" s="388"/>
      <c r="R69" s="388"/>
      <c r="S69" s="249"/>
      <c r="T69" s="389"/>
      <c r="U69" s="389"/>
      <c r="V69" s="389"/>
      <c r="W69" s="389"/>
      <c r="X69" s="389"/>
    </row>
    <row r="70" spans="4:24">
      <c r="D70" s="370"/>
      <c r="S70" s="390"/>
      <c r="T70" s="388"/>
      <c r="U70" s="388"/>
      <c r="V70" s="388"/>
      <c r="W70" s="388"/>
      <c r="X70" s="388"/>
    </row>
    <row r="71" spans="4:24">
      <c r="D71" s="345"/>
      <c r="E71" s="381"/>
      <c r="F71" s="381"/>
      <c r="G71" s="381"/>
      <c r="H71" s="381"/>
      <c r="I71" s="381"/>
      <c r="L71" s="249"/>
      <c r="M71" s="249"/>
      <c r="N71" s="249"/>
      <c r="O71" s="249"/>
      <c r="P71" s="249"/>
      <c r="Q71" s="249"/>
      <c r="R71" s="249"/>
      <c r="S71" s="249"/>
    </row>
    <row r="72" spans="4:24">
      <c r="D72" s="370"/>
      <c r="E72" s="381"/>
      <c r="F72" s="381"/>
      <c r="G72" s="381"/>
      <c r="H72" s="381"/>
      <c r="I72" s="381"/>
      <c r="N72" s="388"/>
      <c r="O72" s="388"/>
      <c r="P72" s="390"/>
      <c r="Q72" s="390"/>
      <c r="R72" s="390"/>
      <c r="S72" s="388"/>
      <c r="T72" s="249"/>
      <c r="U72" s="249"/>
      <c r="V72" s="249"/>
      <c r="W72" s="249"/>
      <c r="X72" s="249"/>
    </row>
    <row r="73" spans="4:24">
      <c r="D73" s="370"/>
      <c r="L73" s="249"/>
      <c r="M73" s="249"/>
      <c r="N73" s="249"/>
      <c r="O73" s="249"/>
      <c r="P73" s="249"/>
      <c r="Q73" s="249"/>
      <c r="R73" s="249"/>
      <c r="S73" s="248"/>
      <c r="T73" s="390"/>
      <c r="U73" s="390"/>
      <c r="V73" s="390"/>
      <c r="W73" s="390"/>
      <c r="X73" s="390"/>
    </row>
    <row r="74" spans="4:24">
      <c r="D74" s="370"/>
      <c r="N74" s="388"/>
      <c r="O74" s="388"/>
      <c r="P74" s="388"/>
      <c r="Q74" s="388"/>
      <c r="R74" s="388"/>
      <c r="T74" s="249"/>
      <c r="U74" s="249"/>
      <c r="V74" s="249"/>
      <c r="W74" s="249"/>
      <c r="X74" s="249"/>
    </row>
    <row r="75" spans="4:24">
      <c r="D75" s="345"/>
      <c r="E75" s="381"/>
      <c r="F75" s="381"/>
      <c r="G75" s="381"/>
      <c r="H75" s="381"/>
      <c r="I75" s="381"/>
      <c r="L75" s="248"/>
      <c r="M75" s="248"/>
      <c r="N75" s="248"/>
      <c r="O75" s="248"/>
      <c r="P75" s="248"/>
      <c r="Q75" s="248"/>
      <c r="R75" s="248"/>
      <c r="S75" s="247"/>
      <c r="T75" s="388"/>
      <c r="U75" s="388"/>
      <c r="V75" s="388"/>
      <c r="W75" s="388"/>
      <c r="X75" s="388"/>
    </row>
    <row r="76" spans="4:24">
      <c r="D76" s="370"/>
      <c r="E76" s="381"/>
      <c r="F76" s="381"/>
      <c r="G76" s="381"/>
      <c r="H76" s="381"/>
      <c r="I76" s="381"/>
      <c r="S76" s="388"/>
      <c r="T76" s="248"/>
      <c r="U76" s="248"/>
      <c r="V76" s="248"/>
      <c r="W76" s="248"/>
      <c r="X76" s="248"/>
    </row>
    <row r="77" spans="4:24">
      <c r="D77" s="370"/>
      <c r="L77" s="247"/>
      <c r="M77" s="247"/>
      <c r="N77" s="247"/>
      <c r="O77" s="247"/>
      <c r="P77" s="247"/>
      <c r="Q77" s="247"/>
      <c r="R77" s="247"/>
    </row>
    <row r="78" spans="4:24">
      <c r="D78" s="345"/>
      <c r="E78" s="381"/>
      <c r="F78" s="381"/>
      <c r="G78" s="381"/>
      <c r="H78" s="381"/>
      <c r="I78" s="381"/>
      <c r="N78" s="388"/>
      <c r="O78" s="388"/>
      <c r="P78" s="388"/>
      <c r="Q78" s="388"/>
      <c r="R78" s="388"/>
      <c r="S78" s="389"/>
      <c r="T78" s="247"/>
      <c r="U78" s="247"/>
      <c r="V78" s="247"/>
      <c r="W78" s="247"/>
      <c r="X78" s="247"/>
    </row>
    <row r="79" spans="4:24">
      <c r="D79" s="370"/>
      <c r="J79" s="381"/>
      <c r="S79" s="388"/>
      <c r="T79" s="388"/>
      <c r="U79" s="388"/>
      <c r="V79" s="388"/>
      <c r="W79" s="388"/>
      <c r="X79" s="388"/>
    </row>
    <row r="80" spans="4:24">
      <c r="D80" s="370"/>
      <c r="J80" s="381"/>
      <c r="K80" s="381"/>
      <c r="L80" s="389"/>
      <c r="M80" s="389"/>
      <c r="N80" s="389"/>
      <c r="O80" s="389"/>
      <c r="P80" s="389"/>
      <c r="Q80" s="389"/>
      <c r="R80" s="389"/>
    </row>
    <row r="81" spans="4:24">
      <c r="D81" s="345"/>
      <c r="E81" s="381"/>
      <c r="F81" s="381"/>
      <c r="G81" s="381"/>
      <c r="H81" s="381"/>
      <c r="I81" s="381"/>
      <c r="K81" s="381"/>
      <c r="N81" s="388"/>
      <c r="O81" s="388"/>
      <c r="P81" s="388"/>
      <c r="Q81" s="388"/>
      <c r="R81" s="388"/>
      <c r="S81" s="391"/>
      <c r="T81" s="389"/>
      <c r="U81" s="389"/>
      <c r="V81" s="389"/>
      <c r="W81" s="389"/>
      <c r="X81" s="389"/>
    </row>
    <row r="82" spans="4:24">
      <c r="D82" s="370"/>
      <c r="S82" s="388"/>
      <c r="T82" s="388"/>
      <c r="U82" s="388"/>
      <c r="V82" s="388"/>
      <c r="W82" s="388"/>
      <c r="X82" s="388"/>
    </row>
    <row r="83" spans="4:24">
      <c r="D83" s="370"/>
      <c r="J83" s="381"/>
      <c r="L83" s="391"/>
      <c r="M83" s="391"/>
      <c r="N83" s="391"/>
      <c r="O83" s="391"/>
      <c r="P83" s="391"/>
      <c r="Q83" s="391"/>
      <c r="R83" s="391"/>
      <c r="S83" s="248"/>
    </row>
    <row r="84" spans="4:24">
      <c r="D84" s="370"/>
      <c r="J84" s="381"/>
      <c r="K84" s="381"/>
      <c r="N84" s="388"/>
      <c r="O84" s="388"/>
      <c r="P84" s="388"/>
      <c r="Q84" s="388"/>
      <c r="R84" s="388"/>
      <c r="T84" s="391"/>
      <c r="U84" s="391"/>
      <c r="V84" s="391"/>
      <c r="W84" s="391"/>
      <c r="X84" s="391"/>
    </row>
    <row r="85" spans="4:24">
      <c r="D85" s="345"/>
      <c r="E85" s="381"/>
      <c r="F85" s="381"/>
      <c r="G85" s="381"/>
      <c r="H85" s="381"/>
      <c r="I85" s="381"/>
      <c r="K85" s="381"/>
      <c r="N85" s="248"/>
      <c r="O85" s="248"/>
      <c r="P85" s="248"/>
      <c r="Q85" s="248"/>
      <c r="R85" s="248"/>
      <c r="S85" s="247"/>
      <c r="T85" s="388"/>
      <c r="U85" s="388"/>
      <c r="V85" s="388"/>
      <c r="W85" s="388"/>
      <c r="X85" s="388"/>
    </row>
    <row r="86" spans="4:24">
      <c r="D86" s="370"/>
      <c r="S86" s="388"/>
      <c r="T86" s="248"/>
      <c r="U86" s="248"/>
      <c r="V86" s="248"/>
      <c r="W86" s="248"/>
      <c r="X86" s="248"/>
    </row>
    <row r="87" spans="4:24">
      <c r="D87" s="370"/>
      <c r="E87" s="345"/>
      <c r="F87" s="345"/>
      <c r="G87" s="345"/>
      <c r="H87" s="345"/>
      <c r="I87" s="345"/>
      <c r="J87" s="381"/>
      <c r="L87" s="247"/>
      <c r="M87" s="247"/>
      <c r="N87" s="247"/>
      <c r="O87" s="247"/>
      <c r="P87" s="247"/>
      <c r="Q87" s="247"/>
      <c r="R87" s="247"/>
      <c r="S87" s="274"/>
    </row>
    <row r="88" spans="4:24">
      <c r="D88" s="370"/>
      <c r="E88" s="345"/>
      <c r="F88" s="345"/>
      <c r="G88" s="345"/>
      <c r="H88" s="345"/>
      <c r="I88" s="345"/>
      <c r="K88" s="381"/>
      <c r="N88" s="388"/>
      <c r="O88" s="388"/>
      <c r="P88" s="388"/>
      <c r="Q88" s="388"/>
      <c r="R88" s="388"/>
      <c r="T88" s="247"/>
      <c r="U88" s="247"/>
      <c r="V88" s="247"/>
      <c r="W88" s="247"/>
      <c r="X88" s="247"/>
    </row>
    <row r="89" spans="4:24">
      <c r="D89" s="370"/>
      <c r="L89" s="274"/>
      <c r="M89" s="274"/>
      <c r="N89" s="274"/>
      <c r="O89" s="274"/>
      <c r="P89" s="274"/>
      <c r="Q89" s="274"/>
      <c r="R89" s="274"/>
      <c r="S89" s="389"/>
      <c r="T89" s="388"/>
      <c r="U89" s="388"/>
      <c r="V89" s="388"/>
      <c r="W89" s="388"/>
      <c r="X89" s="388"/>
    </row>
    <row r="90" spans="4:24">
      <c r="D90" s="370"/>
      <c r="S90" s="388"/>
      <c r="T90" s="274"/>
      <c r="U90" s="274"/>
      <c r="V90" s="274"/>
      <c r="W90" s="274"/>
      <c r="X90" s="274"/>
    </row>
    <row r="91" spans="4:24">
      <c r="D91" s="370"/>
      <c r="L91" s="389"/>
      <c r="M91" s="389"/>
      <c r="N91" s="389"/>
      <c r="O91" s="389"/>
      <c r="P91" s="389"/>
      <c r="Q91" s="389"/>
      <c r="R91" s="389"/>
    </row>
    <row r="92" spans="4:24">
      <c r="D92" s="345"/>
      <c r="E92" s="381"/>
      <c r="F92" s="381"/>
      <c r="G92" s="381"/>
      <c r="H92" s="381"/>
      <c r="I92" s="381"/>
      <c r="N92" s="388"/>
      <c r="O92" s="388"/>
      <c r="P92" s="388"/>
      <c r="Q92" s="388"/>
      <c r="R92" s="388"/>
      <c r="T92" s="389"/>
      <c r="U92" s="389"/>
      <c r="V92" s="389"/>
      <c r="W92" s="389"/>
      <c r="X92" s="389"/>
    </row>
    <row r="93" spans="4:24">
      <c r="D93" s="345"/>
      <c r="E93" s="381"/>
      <c r="F93" s="381"/>
      <c r="G93" s="381"/>
      <c r="H93" s="381"/>
      <c r="I93" s="381"/>
      <c r="S93" s="249"/>
      <c r="T93" s="388"/>
      <c r="U93" s="388"/>
      <c r="V93" s="388"/>
      <c r="W93" s="388"/>
      <c r="X93" s="388"/>
    </row>
    <row r="94" spans="4:24">
      <c r="D94" s="370"/>
      <c r="E94" s="381"/>
      <c r="F94" s="381"/>
      <c r="G94" s="381"/>
      <c r="H94" s="381"/>
      <c r="I94" s="381"/>
      <c r="S94" s="388"/>
    </row>
    <row r="95" spans="4:24">
      <c r="D95" s="370"/>
      <c r="E95" s="381"/>
      <c r="F95" s="381"/>
      <c r="G95" s="381"/>
      <c r="H95" s="381"/>
      <c r="I95" s="381"/>
      <c r="L95" s="249"/>
      <c r="M95" s="249"/>
      <c r="N95" s="249"/>
      <c r="O95" s="249"/>
      <c r="P95" s="249"/>
      <c r="Q95" s="249"/>
      <c r="R95" s="249"/>
    </row>
    <row r="96" spans="4:24">
      <c r="D96" s="370"/>
      <c r="N96" s="388"/>
      <c r="O96" s="388"/>
      <c r="P96" s="388"/>
      <c r="Q96" s="388"/>
      <c r="R96" s="388"/>
      <c r="S96" s="249"/>
      <c r="T96" s="249"/>
      <c r="U96" s="249"/>
      <c r="V96" s="249"/>
      <c r="W96" s="249"/>
      <c r="X96" s="249"/>
    </row>
    <row r="97" spans="4:24">
      <c r="D97" s="345"/>
      <c r="E97" s="381"/>
      <c r="F97" s="381"/>
      <c r="G97" s="381"/>
      <c r="H97" s="381"/>
      <c r="I97" s="381"/>
      <c r="S97" s="390"/>
      <c r="T97" s="388"/>
      <c r="U97" s="388"/>
      <c r="V97" s="388"/>
      <c r="W97" s="388"/>
      <c r="X97" s="388"/>
    </row>
    <row r="98" spans="4:24">
      <c r="D98" s="370"/>
      <c r="E98" s="381"/>
      <c r="F98" s="381"/>
      <c r="G98" s="381"/>
      <c r="H98" s="381"/>
      <c r="I98" s="381"/>
      <c r="L98" s="249"/>
      <c r="M98" s="249"/>
      <c r="N98" s="249"/>
      <c r="O98" s="249"/>
      <c r="P98" s="249"/>
      <c r="Q98" s="249"/>
      <c r="R98" s="249"/>
    </row>
    <row r="99" spans="4:24">
      <c r="D99" s="370"/>
      <c r="E99" s="381"/>
      <c r="F99" s="381"/>
      <c r="G99" s="381"/>
      <c r="H99" s="381"/>
      <c r="I99" s="381"/>
      <c r="N99" s="388"/>
      <c r="O99" s="388"/>
      <c r="P99" s="390"/>
      <c r="Q99" s="390"/>
      <c r="R99" s="390"/>
      <c r="S99" s="389"/>
      <c r="T99" s="249"/>
      <c r="U99" s="249"/>
      <c r="V99" s="249"/>
      <c r="W99" s="249"/>
      <c r="X99" s="249"/>
    </row>
    <row r="100" spans="4:24">
      <c r="D100" s="370"/>
      <c r="S100" s="392"/>
      <c r="T100" s="390"/>
      <c r="U100" s="390"/>
      <c r="V100" s="390"/>
      <c r="W100" s="390"/>
      <c r="X100" s="390"/>
    </row>
    <row r="101" spans="4:24">
      <c r="D101" s="370"/>
      <c r="L101" s="389"/>
      <c r="M101" s="389"/>
      <c r="N101" s="389"/>
      <c r="O101" s="389"/>
      <c r="P101" s="389"/>
      <c r="Q101" s="389"/>
      <c r="R101" s="389"/>
      <c r="S101" s="392"/>
    </row>
    <row r="102" spans="4:24">
      <c r="D102" s="370"/>
      <c r="J102" s="381"/>
      <c r="N102" s="392"/>
      <c r="O102" s="392"/>
      <c r="P102" s="392"/>
      <c r="Q102" s="392"/>
      <c r="R102" s="392"/>
      <c r="T102" s="389"/>
      <c r="U102" s="389"/>
      <c r="V102" s="389"/>
      <c r="W102" s="389"/>
      <c r="X102" s="389"/>
    </row>
    <row r="103" spans="4:24">
      <c r="D103" s="370"/>
      <c r="J103" s="381"/>
      <c r="K103" s="381"/>
      <c r="L103" s="392"/>
      <c r="M103" s="392"/>
      <c r="N103" s="392"/>
      <c r="O103" s="392"/>
      <c r="P103" s="392"/>
      <c r="Q103" s="392"/>
      <c r="R103" s="392"/>
      <c r="S103" s="388"/>
      <c r="T103" s="392"/>
      <c r="U103" s="392"/>
      <c r="V103" s="392"/>
      <c r="W103" s="392"/>
      <c r="X103" s="392"/>
    </row>
    <row r="104" spans="4:24">
      <c r="D104" s="370"/>
      <c r="K104" s="381"/>
      <c r="S104" s="389"/>
      <c r="T104" s="392"/>
      <c r="U104" s="392"/>
      <c r="V104" s="392"/>
      <c r="W104" s="392"/>
      <c r="X104" s="392"/>
    </row>
    <row r="105" spans="4:24">
      <c r="D105" s="370"/>
      <c r="J105" s="381"/>
      <c r="L105" s="388"/>
      <c r="M105" s="388"/>
      <c r="N105" s="388"/>
      <c r="O105" s="388"/>
      <c r="P105" s="388"/>
      <c r="Q105" s="388"/>
      <c r="R105" s="388"/>
      <c r="S105" s="392"/>
    </row>
    <row r="106" spans="4:24">
      <c r="D106" s="370"/>
      <c r="J106" s="381"/>
      <c r="K106" s="381"/>
      <c r="L106" s="389"/>
      <c r="M106" s="389"/>
      <c r="N106" s="389"/>
      <c r="O106" s="389"/>
      <c r="P106" s="389"/>
      <c r="Q106" s="389"/>
      <c r="R106" s="389"/>
      <c r="T106" s="388"/>
      <c r="U106" s="388"/>
      <c r="V106" s="388"/>
      <c r="W106" s="388"/>
      <c r="X106" s="388"/>
    </row>
    <row r="107" spans="4:24">
      <c r="D107" s="370"/>
      <c r="J107" s="381"/>
      <c r="K107" s="381"/>
      <c r="R107" s="392"/>
      <c r="S107" s="389"/>
      <c r="T107" s="389"/>
      <c r="U107" s="389"/>
      <c r="V107" s="389"/>
      <c r="W107" s="389"/>
      <c r="X107" s="389"/>
    </row>
    <row r="108" spans="4:24">
      <c r="D108" s="370"/>
      <c r="K108" s="381"/>
      <c r="S108" s="392"/>
      <c r="T108" s="392"/>
      <c r="U108" s="392"/>
      <c r="V108" s="392"/>
      <c r="W108" s="392"/>
      <c r="X108" s="392"/>
    </row>
    <row r="109" spans="4:24">
      <c r="D109" s="345"/>
      <c r="E109" s="381"/>
      <c r="F109" s="381"/>
      <c r="G109" s="381"/>
      <c r="H109" s="381"/>
      <c r="I109" s="381"/>
      <c r="L109" s="389"/>
      <c r="M109" s="389"/>
      <c r="N109" s="389"/>
      <c r="O109" s="389"/>
      <c r="P109" s="389"/>
      <c r="Q109" s="389"/>
      <c r="R109" s="389"/>
    </row>
    <row r="110" spans="4:24">
      <c r="D110" s="370"/>
      <c r="J110" s="381"/>
      <c r="N110" s="392"/>
      <c r="O110" s="392"/>
      <c r="P110" s="392"/>
      <c r="Q110" s="392"/>
      <c r="R110" s="392"/>
      <c r="T110" s="389"/>
      <c r="U110" s="389"/>
      <c r="V110" s="389"/>
      <c r="W110" s="389"/>
      <c r="X110" s="389"/>
    </row>
    <row r="111" spans="4:24">
      <c r="D111" s="370"/>
      <c r="J111" s="381"/>
      <c r="K111" s="381"/>
      <c r="T111" s="392"/>
      <c r="U111" s="392"/>
      <c r="V111" s="392"/>
      <c r="W111" s="392"/>
      <c r="X111" s="392"/>
    </row>
    <row r="112" spans="4:24">
      <c r="D112" s="345"/>
      <c r="E112" s="381"/>
      <c r="F112" s="381"/>
      <c r="G112" s="381"/>
      <c r="H112" s="381"/>
      <c r="I112" s="381"/>
      <c r="K112" s="381"/>
    </row>
    <row r="113" spans="4:11">
      <c r="D113" s="370"/>
    </row>
    <row r="114" spans="4:11">
      <c r="D114" s="345"/>
      <c r="E114" s="381"/>
      <c r="F114" s="381"/>
      <c r="G114" s="381"/>
      <c r="H114" s="381"/>
      <c r="I114" s="381"/>
    </row>
    <row r="115" spans="4:11">
      <c r="D115" s="370"/>
      <c r="E115" s="381"/>
      <c r="F115" s="381"/>
      <c r="G115" s="381"/>
      <c r="H115" s="381"/>
      <c r="I115" s="381"/>
    </row>
    <row r="116" spans="4:11">
      <c r="D116" s="370"/>
    </row>
    <row r="117" spans="4:11">
      <c r="D117" s="370"/>
    </row>
    <row r="118" spans="4:11">
      <c r="D118" s="345"/>
      <c r="E118" s="381"/>
      <c r="F118" s="381"/>
      <c r="G118" s="381"/>
      <c r="H118" s="381"/>
      <c r="I118" s="381"/>
    </row>
    <row r="119" spans="4:11">
      <c r="D119" s="370"/>
      <c r="E119" s="381"/>
      <c r="F119" s="381"/>
      <c r="G119" s="381"/>
      <c r="H119" s="381"/>
      <c r="I119" s="381"/>
    </row>
    <row r="120" spans="4:11">
      <c r="D120" s="370"/>
    </row>
    <row r="121" spans="4:11">
      <c r="D121" s="345"/>
      <c r="E121" s="381"/>
      <c r="F121" s="381"/>
      <c r="G121" s="381"/>
      <c r="H121" s="381"/>
      <c r="I121" s="381"/>
    </row>
    <row r="122" spans="4:11">
      <c r="D122" s="370"/>
      <c r="J122" s="381"/>
    </row>
    <row r="123" spans="4:11">
      <c r="D123" s="370"/>
      <c r="J123" s="381"/>
      <c r="K123" s="381"/>
    </row>
    <row r="124" spans="4:11">
      <c r="D124" s="345"/>
      <c r="E124" s="381"/>
      <c r="F124" s="381"/>
      <c r="G124" s="381"/>
      <c r="H124" s="381"/>
      <c r="I124" s="381"/>
      <c r="K124" s="381"/>
    </row>
    <row r="125" spans="4:11">
      <c r="D125" s="370"/>
    </row>
    <row r="126" spans="4:11">
      <c r="D126" s="370"/>
      <c r="J126" s="381"/>
    </row>
    <row r="127" spans="4:11">
      <c r="D127" s="370"/>
      <c r="J127" s="381"/>
      <c r="K127" s="381"/>
    </row>
    <row r="128" spans="4:11">
      <c r="D128" s="345"/>
      <c r="E128" s="381"/>
      <c r="F128" s="381"/>
      <c r="G128" s="381"/>
      <c r="H128" s="381"/>
      <c r="I128" s="381"/>
      <c r="K128" s="381"/>
    </row>
    <row r="129" spans="4:11">
      <c r="D129" s="370"/>
    </row>
    <row r="130" spans="4:11">
      <c r="D130" s="370"/>
      <c r="E130" s="345"/>
      <c r="F130" s="345"/>
      <c r="G130" s="345"/>
      <c r="H130" s="345"/>
      <c r="I130" s="345"/>
      <c r="J130" s="381"/>
    </row>
    <row r="131" spans="4:11">
      <c r="D131" s="370"/>
      <c r="E131" s="345"/>
      <c r="F131" s="345"/>
      <c r="G131" s="345"/>
      <c r="H131" s="345"/>
      <c r="I131" s="345"/>
      <c r="K131" s="381"/>
    </row>
    <row r="132" spans="4:11">
      <c r="D132" s="370"/>
    </row>
    <row r="133" spans="4:11">
      <c r="D133" s="370"/>
    </row>
    <row r="135" spans="4:11">
      <c r="D135" s="345"/>
      <c r="E135" s="381"/>
      <c r="F135" s="381"/>
      <c r="G135" s="381"/>
      <c r="H135" s="381"/>
      <c r="I135" s="381"/>
    </row>
    <row r="136" spans="4:11">
      <c r="D136" s="345"/>
      <c r="E136" s="381"/>
      <c r="F136" s="381"/>
      <c r="G136" s="381"/>
      <c r="H136" s="381"/>
      <c r="I136" s="381"/>
    </row>
    <row r="137" spans="4:11">
      <c r="D137" s="370"/>
      <c r="E137" s="381"/>
      <c r="F137" s="381"/>
      <c r="G137" s="381"/>
      <c r="H137" s="381"/>
      <c r="I137" s="381"/>
    </row>
    <row r="138" spans="4:11">
      <c r="D138" s="370"/>
      <c r="E138" s="381"/>
      <c r="F138" s="381"/>
      <c r="G138" s="381"/>
      <c r="H138" s="381"/>
      <c r="I138" s="381"/>
    </row>
    <row r="139" spans="4:11">
      <c r="D139" s="370"/>
    </row>
    <row r="140" spans="4:11">
      <c r="D140" s="345"/>
      <c r="E140" s="381"/>
      <c r="F140" s="381"/>
      <c r="G140" s="381"/>
      <c r="H140" s="381"/>
      <c r="I140" s="381"/>
    </row>
    <row r="141" spans="4:11">
      <c r="D141" s="370"/>
      <c r="E141" s="381"/>
      <c r="F141" s="381"/>
      <c r="G141" s="381"/>
      <c r="H141" s="381"/>
      <c r="I141" s="381"/>
    </row>
    <row r="142" spans="4:11">
      <c r="D142" s="370"/>
      <c r="E142" s="381"/>
      <c r="F142" s="381"/>
      <c r="G142" s="381"/>
      <c r="H142" s="381"/>
      <c r="I142" s="381"/>
    </row>
    <row r="143" spans="4:11">
      <c r="D143" s="370"/>
    </row>
    <row r="144" spans="4:11">
      <c r="D144" s="370"/>
    </row>
    <row r="145" spans="4:11">
      <c r="D145" s="370"/>
      <c r="J145" s="381"/>
    </row>
    <row r="146" spans="4:11">
      <c r="D146" s="370"/>
      <c r="J146" s="381"/>
      <c r="K146" s="381"/>
    </row>
    <row r="147" spans="4:11">
      <c r="D147" s="370"/>
      <c r="K147" s="381"/>
    </row>
    <row r="148" spans="4:11">
      <c r="D148" s="370"/>
      <c r="J148" s="381"/>
    </row>
    <row r="149" spans="4:11">
      <c r="D149" s="370"/>
      <c r="J149" s="381"/>
      <c r="K149" s="381"/>
    </row>
    <row r="150" spans="4:11">
      <c r="D150" s="370"/>
      <c r="J150" s="381"/>
      <c r="K150" s="381"/>
    </row>
    <row r="151" spans="4:11">
      <c r="D151" s="370"/>
      <c r="K151" s="381"/>
    </row>
    <row r="152" spans="4:11">
      <c r="D152" s="345"/>
      <c r="E152" s="381"/>
      <c r="F152" s="381"/>
      <c r="G152" s="381"/>
      <c r="H152" s="381"/>
      <c r="I152" s="381"/>
    </row>
    <row r="153" spans="4:11">
      <c r="D153" s="370"/>
      <c r="J153" s="381"/>
    </row>
    <row r="154" spans="4:11">
      <c r="D154" s="370"/>
      <c r="J154" s="381"/>
      <c r="K154" s="381"/>
    </row>
    <row r="155" spans="4:11">
      <c r="D155" s="345"/>
      <c r="E155" s="381"/>
      <c r="F155" s="381"/>
      <c r="G155" s="381"/>
      <c r="H155" s="381"/>
      <c r="I155" s="381"/>
      <c r="K155" s="381"/>
    </row>
    <row r="156" spans="4:11">
      <c r="D156" s="370"/>
    </row>
    <row r="157" spans="4:11">
      <c r="D157" s="345"/>
      <c r="E157" s="381"/>
      <c r="F157" s="381"/>
      <c r="G157" s="381"/>
      <c r="H157" s="381"/>
      <c r="I157" s="381"/>
    </row>
    <row r="158" spans="4:11">
      <c r="D158" s="370"/>
      <c r="E158" s="381"/>
      <c r="F158" s="381"/>
      <c r="G158" s="381"/>
      <c r="H158" s="381"/>
      <c r="I158" s="381"/>
    </row>
    <row r="159" spans="4:11">
      <c r="D159" s="370"/>
    </row>
    <row r="160" spans="4:11">
      <c r="D160" s="370"/>
    </row>
    <row r="161" spans="4:11">
      <c r="D161" s="345"/>
      <c r="E161" s="381"/>
      <c r="F161" s="381"/>
      <c r="G161" s="381"/>
      <c r="H161" s="381"/>
      <c r="I161" s="381"/>
    </row>
    <row r="162" spans="4:11">
      <c r="D162" s="370"/>
      <c r="E162" s="381"/>
      <c r="F162" s="381"/>
      <c r="G162" s="381"/>
      <c r="H162" s="381"/>
      <c r="I162" s="381"/>
    </row>
    <row r="163" spans="4:11">
      <c r="D163" s="370"/>
    </row>
    <row r="164" spans="4:11">
      <c r="D164" s="345"/>
      <c r="E164" s="381"/>
      <c r="F164" s="381"/>
      <c r="G164" s="381"/>
      <c r="H164" s="381"/>
      <c r="I164" s="381"/>
    </row>
    <row r="165" spans="4:11">
      <c r="D165" s="370"/>
      <c r="J165" s="381"/>
    </row>
    <row r="166" spans="4:11">
      <c r="D166" s="370"/>
      <c r="J166" s="381"/>
      <c r="K166" s="381"/>
    </row>
    <row r="167" spans="4:11">
      <c r="D167" s="345"/>
      <c r="E167" s="381"/>
      <c r="F167" s="381"/>
      <c r="G167" s="381"/>
      <c r="H167" s="381"/>
      <c r="I167" s="381"/>
      <c r="K167" s="381"/>
    </row>
    <row r="168" spans="4:11">
      <c r="D168" s="370"/>
    </row>
    <row r="169" spans="4:11">
      <c r="D169" s="370"/>
      <c r="J169" s="381"/>
    </row>
    <row r="170" spans="4:11">
      <c r="D170" s="370"/>
      <c r="J170" s="381"/>
      <c r="K170" s="381"/>
    </row>
    <row r="171" spans="4:11">
      <c r="D171" s="345"/>
      <c r="E171" s="381"/>
      <c r="F171" s="381"/>
      <c r="G171" s="381"/>
      <c r="H171" s="381"/>
      <c r="I171" s="381"/>
      <c r="K171" s="381"/>
    </row>
    <row r="172" spans="4:11">
      <c r="D172" s="370"/>
    </row>
    <row r="173" spans="4:11">
      <c r="D173" s="370"/>
      <c r="E173" s="345"/>
      <c r="F173" s="345"/>
      <c r="G173" s="345"/>
      <c r="H173" s="345"/>
      <c r="I173" s="345"/>
      <c r="J173" s="381"/>
    </row>
    <row r="174" spans="4:11">
      <c r="D174" s="370"/>
      <c r="E174" s="345"/>
      <c r="F174" s="345"/>
      <c r="G174" s="345"/>
      <c r="H174" s="345"/>
      <c r="I174" s="345"/>
      <c r="K174" s="381"/>
    </row>
    <row r="175" spans="4:11">
      <c r="D175" s="370"/>
    </row>
    <row r="176" spans="4:11">
      <c r="D176" s="370"/>
    </row>
    <row r="177" spans="4:11">
      <c r="D177" s="370"/>
    </row>
    <row r="178" spans="4:11">
      <c r="D178" s="345"/>
      <c r="E178" s="381"/>
      <c r="F178" s="381"/>
      <c r="G178" s="381"/>
      <c r="H178" s="381"/>
      <c r="I178" s="381"/>
    </row>
    <row r="179" spans="4:11">
      <c r="D179" s="345"/>
      <c r="E179" s="381"/>
      <c r="F179" s="381"/>
      <c r="G179" s="381"/>
      <c r="H179" s="381"/>
      <c r="I179" s="381"/>
    </row>
    <row r="180" spans="4:11">
      <c r="D180" s="370"/>
      <c r="E180" s="381"/>
      <c r="F180" s="381"/>
      <c r="G180" s="381"/>
      <c r="H180" s="381"/>
      <c r="I180" s="381"/>
    </row>
    <row r="181" spans="4:11">
      <c r="D181" s="370"/>
      <c r="E181" s="381"/>
      <c r="F181" s="381"/>
      <c r="G181" s="381"/>
      <c r="H181" s="381"/>
      <c r="I181" s="381"/>
    </row>
    <row r="182" spans="4:11">
      <c r="D182" s="370"/>
    </row>
    <row r="183" spans="4:11">
      <c r="D183" s="345"/>
      <c r="E183" s="381"/>
      <c r="F183" s="381"/>
      <c r="G183" s="381"/>
      <c r="H183" s="381"/>
      <c r="I183" s="381"/>
    </row>
    <row r="184" spans="4:11">
      <c r="D184" s="370"/>
      <c r="E184" s="381"/>
      <c r="F184" s="381"/>
      <c r="G184" s="381"/>
      <c r="H184" s="381"/>
      <c r="I184" s="381"/>
    </row>
    <row r="185" spans="4:11">
      <c r="D185" s="370"/>
      <c r="E185" s="381"/>
      <c r="F185" s="381"/>
      <c r="G185" s="381"/>
      <c r="H185" s="381"/>
      <c r="I185" s="381"/>
    </row>
    <row r="186" spans="4:11">
      <c r="D186" s="370"/>
    </row>
    <row r="187" spans="4:11">
      <c r="D187" s="370"/>
    </row>
    <row r="188" spans="4:11">
      <c r="D188" s="370"/>
      <c r="J188" s="381"/>
    </row>
    <row r="189" spans="4:11">
      <c r="D189" s="370"/>
      <c r="J189" s="381"/>
      <c r="K189" s="381"/>
    </row>
    <row r="190" spans="4:11">
      <c r="D190" s="370"/>
      <c r="K190" s="381"/>
    </row>
    <row r="191" spans="4:11">
      <c r="D191" s="370"/>
      <c r="J191" s="381"/>
    </row>
    <row r="192" spans="4:11">
      <c r="D192" s="370"/>
      <c r="J192" s="381"/>
      <c r="K192" s="381"/>
    </row>
    <row r="193" spans="4:11">
      <c r="D193" s="370"/>
      <c r="J193" s="381"/>
      <c r="K193" s="381"/>
    </row>
    <row r="194" spans="4:11">
      <c r="D194" s="370"/>
      <c r="K194" s="381"/>
    </row>
    <row r="195" spans="4:11">
      <c r="D195" s="345"/>
      <c r="E195" s="381"/>
      <c r="F195" s="381"/>
      <c r="G195" s="381"/>
      <c r="H195" s="381"/>
      <c r="I195" s="381"/>
    </row>
    <row r="196" spans="4:11">
      <c r="D196" s="370"/>
      <c r="J196" s="381"/>
    </row>
    <row r="197" spans="4:11">
      <c r="D197" s="370"/>
      <c r="J197" s="381"/>
      <c r="K197" s="381"/>
    </row>
    <row r="198" spans="4:11">
      <c r="D198" s="345"/>
      <c r="E198" s="381"/>
      <c r="F198" s="381"/>
      <c r="G198" s="381"/>
      <c r="H198" s="381"/>
      <c r="I198" s="381"/>
      <c r="K198" s="381"/>
    </row>
    <row r="199" spans="4:11">
      <c r="D199" s="370"/>
    </row>
    <row r="200" spans="4:11">
      <c r="D200" s="345"/>
      <c r="E200" s="381"/>
      <c r="F200" s="381"/>
      <c r="G200" s="381"/>
      <c r="H200" s="381"/>
      <c r="I200" s="381"/>
    </row>
    <row r="201" spans="4:11">
      <c r="D201" s="370"/>
      <c r="E201" s="381"/>
      <c r="F201" s="381"/>
      <c r="G201" s="381"/>
      <c r="H201" s="381"/>
      <c r="I201" s="381"/>
    </row>
    <row r="202" spans="4:11">
      <c r="D202" s="370"/>
    </row>
    <row r="203" spans="4:11">
      <c r="D203" s="370"/>
    </row>
    <row r="204" spans="4:11">
      <c r="D204" s="345"/>
      <c r="E204" s="381"/>
      <c r="F204" s="381"/>
      <c r="G204" s="381"/>
      <c r="H204" s="381"/>
      <c r="I204" s="381"/>
    </row>
    <row r="205" spans="4:11">
      <c r="D205" s="370"/>
      <c r="E205" s="381"/>
      <c r="F205" s="381"/>
      <c r="G205" s="381"/>
      <c r="H205" s="381"/>
      <c r="I205" s="381"/>
    </row>
    <row r="206" spans="4:11">
      <c r="D206" s="370"/>
    </row>
    <row r="207" spans="4:11">
      <c r="D207" s="345"/>
      <c r="E207" s="381"/>
      <c r="F207" s="381"/>
      <c r="G207" s="381"/>
      <c r="H207" s="381"/>
      <c r="I207" s="381"/>
    </row>
    <row r="208" spans="4:11">
      <c r="D208" s="370"/>
      <c r="J208" s="381"/>
    </row>
    <row r="209" spans="4:11">
      <c r="D209" s="370"/>
      <c r="J209" s="381"/>
      <c r="K209" s="381"/>
    </row>
    <row r="210" spans="4:11">
      <c r="D210" s="345"/>
      <c r="E210" s="381"/>
      <c r="F210" s="381"/>
      <c r="G210" s="381"/>
      <c r="H210" s="381"/>
      <c r="I210" s="381"/>
      <c r="K210" s="381"/>
    </row>
    <row r="211" spans="4:11">
      <c r="D211" s="370"/>
    </row>
    <row r="212" spans="4:11">
      <c r="D212" s="370"/>
      <c r="J212" s="381"/>
    </row>
    <row r="213" spans="4:11">
      <c r="D213" s="370"/>
      <c r="J213" s="381"/>
      <c r="K213" s="381"/>
    </row>
    <row r="214" spans="4:11">
      <c r="D214" s="345"/>
      <c r="E214" s="381"/>
      <c r="F214" s="381"/>
      <c r="G214" s="381"/>
      <c r="H214" s="381"/>
      <c r="I214" s="381"/>
      <c r="K214" s="381"/>
    </row>
    <row r="215" spans="4:11">
      <c r="D215" s="370"/>
    </row>
    <row r="216" spans="4:11">
      <c r="D216" s="370"/>
      <c r="E216" s="345"/>
      <c r="F216" s="345"/>
      <c r="G216" s="345"/>
      <c r="H216" s="345"/>
      <c r="I216" s="345"/>
      <c r="J216" s="381"/>
    </row>
    <row r="217" spans="4:11">
      <c r="D217" s="370"/>
      <c r="E217" s="345"/>
      <c r="F217" s="345"/>
      <c r="G217" s="345"/>
      <c r="H217" s="345"/>
      <c r="I217" s="345"/>
      <c r="K217" s="381"/>
    </row>
    <row r="218" spans="4:11">
      <c r="D218" s="370"/>
    </row>
    <row r="219" spans="4:11">
      <c r="D219" s="370"/>
    </row>
    <row r="220" spans="4:11">
      <c r="D220" s="370"/>
    </row>
    <row r="221" spans="4:11">
      <c r="D221" s="345"/>
      <c r="E221" s="381"/>
      <c r="F221" s="381"/>
      <c r="G221" s="381"/>
      <c r="H221" s="381"/>
      <c r="I221" s="381"/>
    </row>
    <row r="222" spans="4:11">
      <c r="D222" s="345"/>
      <c r="E222" s="381"/>
      <c r="F222" s="381"/>
      <c r="G222" s="381"/>
      <c r="H222" s="381"/>
      <c r="I222" s="381"/>
    </row>
    <row r="223" spans="4:11">
      <c r="D223" s="370"/>
      <c r="E223" s="381"/>
      <c r="F223" s="381"/>
      <c r="G223" s="381"/>
      <c r="H223" s="381"/>
      <c r="I223" s="381"/>
    </row>
    <row r="224" spans="4:11">
      <c r="D224" s="370"/>
      <c r="E224" s="381"/>
      <c r="F224" s="381"/>
      <c r="G224" s="381"/>
      <c r="H224" s="381"/>
      <c r="I224" s="381"/>
    </row>
    <row r="225" spans="4:11">
      <c r="D225" s="370"/>
    </row>
    <row r="226" spans="4:11">
      <c r="D226" s="345"/>
      <c r="E226" s="381"/>
      <c r="F226" s="381"/>
      <c r="G226" s="381"/>
      <c r="H226" s="381"/>
      <c r="I226" s="381"/>
    </row>
    <row r="227" spans="4:11">
      <c r="D227" s="370"/>
      <c r="E227" s="381"/>
      <c r="F227" s="381"/>
      <c r="G227" s="381"/>
      <c r="H227" s="381"/>
      <c r="I227" s="381"/>
    </row>
    <row r="228" spans="4:11">
      <c r="D228" s="370"/>
      <c r="E228" s="381"/>
      <c r="F228" s="381"/>
      <c r="G228" s="381"/>
      <c r="H228" s="381"/>
      <c r="I228" s="381"/>
    </row>
    <row r="229" spans="4:11">
      <c r="D229" s="370"/>
    </row>
    <row r="230" spans="4:11">
      <c r="D230" s="370"/>
    </row>
    <row r="231" spans="4:11">
      <c r="D231" s="370"/>
      <c r="J231" s="381"/>
    </row>
    <row r="232" spans="4:11">
      <c r="D232" s="370"/>
      <c r="J232" s="381"/>
      <c r="K232" s="381"/>
    </row>
    <row r="233" spans="4:11">
      <c r="D233" s="370"/>
      <c r="K233" s="381"/>
    </row>
    <row r="234" spans="4:11">
      <c r="D234" s="370"/>
      <c r="J234" s="381"/>
    </row>
    <row r="235" spans="4:11">
      <c r="D235" s="370"/>
      <c r="J235" s="381"/>
      <c r="K235" s="381"/>
    </row>
    <row r="236" spans="4:11">
      <c r="D236" s="370"/>
      <c r="J236" s="381"/>
      <c r="K236" s="381"/>
    </row>
    <row r="237" spans="4:11">
      <c r="D237" s="370"/>
      <c r="K237" s="381"/>
    </row>
    <row r="238" spans="4:11">
      <c r="D238" s="345"/>
      <c r="E238" s="381"/>
      <c r="F238" s="381"/>
      <c r="G238" s="381"/>
      <c r="H238" s="381"/>
      <c r="I238" s="381"/>
    </row>
    <row r="239" spans="4:11">
      <c r="D239" s="370"/>
      <c r="J239" s="381"/>
    </row>
    <row r="240" spans="4:11">
      <c r="D240" s="370"/>
      <c r="J240" s="381"/>
      <c r="K240" s="381"/>
    </row>
    <row r="241" spans="4:11">
      <c r="D241" s="345"/>
      <c r="E241" s="381"/>
      <c r="F241" s="381"/>
      <c r="G241" s="381"/>
      <c r="H241" s="381"/>
      <c r="I241" s="381"/>
      <c r="K241" s="381"/>
    </row>
    <row r="242" spans="4:11">
      <c r="D242" s="370"/>
    </row>
    <row r="243" spans="4:11">
      <c r="D243" s="345"/>
      <c r="E243" s="381"/>
      <c r="F243" s="381"/>
      <c r="G243" s="381"/>
      <c r="H243" s="381"/>
      <c r="I243" s="381"/>
    </row>
    <row r="244" spans="4:11">
      <c r="D244" s="370"/>
      <c r="E244" s="381"/>
      <c r="F244" s="381"/>
      <c r="G244" s="381"/>
      <c r="H244" s="381"/>
      <c r="I244" s="381"/>
    </row>
    <row r="245" spans="4:11">
      <c r="D245" s="370"/>
    </row>
    <row r="246" spans="4:11">
      <c r="D246" s="370"/>
    </row>
    <row r="247" spans="4:11">
      <c r="D247" s="345"/>
      <c r="E247" s="381"/>
      <c r="F247" s="381"/>
      <c r="G247" s="381"/>
      <c r="H247" s="381"/>
      <c r="I247" s="381"/>
    </row>
    <row r="248" spans="4:11">
      <c r="D248" s="370"/>
      <c r="E248" s="381"/>
      <c r="F248" s="381"/>
      <c r="G248" s="381"/>
      <c r="H248" s="381"/>
      <c r="I248" s="381"/>
    </row>
    <row r="249" spans="4:11">
      <c r="D249" s="370"/>
    </row>
    <row r="250" spans="4:11">
      <c r="D250" s="345"/>
      <c r="E250" s="381"/>
      <c r="F250" s="381"/>
      <c r="G250" s="381"/>
      <c r="H250" s="381"/>
      <c r="I250" s="381"/>
    </row>
    <row r="251" spans="4:11">
      <c r="D251" s="370"/>
      <c r="J251" s="381"/>
    </row>
    <row r="252" spans="4:11">
      <c r="D252" s="370"/>
      <c r="J252" s="381"/>
      <c r="K252" s="381"/>
    </row>
    <row r="253" spans="4:11">
      <c r="D253" s="345"/>
      <c r="E253" s="381"/>
      <c r="F253" s="381"/>
      <c r="G253" s="381"/>
      <c r="H253" s="381"/>
      <c r="I253" s="381"/>
      <c r="K253" s="381"/>
    </row>
    <row r="254" spans="4:11">
      <c r="D254" s="370"/>
    </row>
    <row r="255" spans="4:11">
      <c r="D255" s="370"/>
      <c r="J255" s="381"/>
    </row>
    <row r="256" spans="4:11">
      <c r="D256" s="370"/>
      <c r="J256" s="381"/>
      <c r="K256" s="381"/>
    </row>
    <row r="257" spans="4:11">
      <c r="D257" s="345"/>
      <c r="E257" s="381"/>
      <c r="F257" s="381"/>
      <c r="G257" s="381"/>
      <c r="H257" s="381"/>
      <c r="I257" s="381"/>
      <c r="K257" s="381"/>
    </row>
    <row r="258" spans="4:11">
      <c r="D258" s="370"/>
    </row>
    <row r="259" spans="4:11">
      <c r="D259" s="370"/>
      <c r="E259" s="345"/>
      <c r="F259" s="345"/>
      <c r="G259" s="345"/>
      <c r="H259" s="345"/>
      <c r="I259" s="345"/>
      <c r="J259" s="381"/>
    </row>
    <row r="260" spans="4:11">
      <c r="D260" s="370"/>
      <c r="E260" s="345"/>
      <c r="F260" s="345"/>
      <c r="G260" s="345"/>
      <c r="H260" s="345"/>
      <c r="I260" s="345"/>
      <c r="K260" s="381"/>
    </row>
    <row r="261" spans="4:11">
      <c r="D261" s="370"/>
    </row>
    <row r="262" spans="4:11">
      <c r="D262" s="370"/>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sheetData>
  <phoneticPr fontId="26" type="noConversion"/>
  <pageMargins left="0.75" right="0.75" top="1" bottom="1" header="0.5" footer="0.5"/>
  <pageSetup scale="46" orientation="landscape"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47">
    <pageSetUpPr fitToPage="1"/>
  </sheetPr>
  <dimension ref="B1:X473"/>
  <sheetViews>
    <sheetView showGridLines="0" zoomScale="80" zoomScaleNormal="80" workbookViewId="0"/>
  </sheetViews>
  <sheetFormatPr defaultColWidth="9.109375" defaultRowHeight="12"/>
  <cols>
    <col min="1" max="1" width="2.33203125" style="367" customWidth="1"/>
    <col min="2" max="4" width="10" style="367" customWidth="1"/>
    <col min="5" max="5" width="19"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1460</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212</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9" t="s">
        <v>127</v>
      </c>
      <c r="O9" s="459"/>
      <c r="P9" s="458" t="s">
        <v>128</v>
      </c>
      <c r="Q9" s="458"/>
      <c r="R9" s="458" t="s">
        <v>213</v>
      </c>
      <c r="S9" s="458"/>
      <c r="T9" s="458" t="s">
        <v>129</v>
      </c>
      <c r="U9" s="458"/>
      <c r="V9" s="458" t="s">
        <v>130</v>
      </c>
      <c r="W9" s="458"/>
      <c r="X9" s="458" t="s">
        <v>131</v>
      </c>
    </row>
    <row r="10" spans="2:24">
      <c r="B10" s="370" t="s">
        <v>216</v>
      </c>
      <c r="C10" s="370"/>
      <c r="E10" s="367" t="str">
        <f>"DCF, "&amp;TEXT(H10,"0.0")&amp;"x 22E FCF"</f>
        <v>DCF, 17.2x 22E FCF</v>
      </c>
      <c r="F10" s="484">
        <v>3886.9271203513172</v>
      </c>
      <c r="G10" s="178" t="s">
        <v>133</v>
      </c>
      <c r="H10" s="487">
        <v>17.242727381683707</v>
      </c>
      <c r="I10" s="468" t="s">
        <v>134</v>
      </c>
      <c r="J10" s="512">
        <f>H10*F10</f>
        <v>67021.224688690665</v>
      </c>
      <c r="K10" s="468" t="s">
        <v>135</v>
      </c>
      <c r="L10" s="484"/>
      <c r="M10" s="468"/>
      <c r="N10" s="512">
        <f>J10-L10</f>
        <v>67021.224688690665</v>
      </c>
      <c r="O10" s="370" t="s">
        <v>133</v>
      </c>
      <c r="P10" s="490">
        <v>1</v>
      </c>
      <c r="Q10" s="468"/>
      <c r="R10" s="512">
        <f>N10*P10</f>
        <v>67021.224688690665</v>
      </c>
      <c r="S10" s="468"/>
      <c r="T10" s="512">
        <f>N10-R10</f>
        <v>0</v>
      </c>
      <c r="U10" s="468"/>
      <c r="V10" s="513">
        <f>N10/$J$54</f>
        <v>0.35594358104514673</v>
      </c>
      <c r="W10" s="468"/>
      <c r="X10" s="373">
        <f>V10*$J$58</f>
        <v>50.236878594048981</v>
      </c>
    </row>
    <row r="11" spans="2:24">
      <c r="B11" s="370" t="s">
        <v>214</v>
      </c>
      <c r="C11" s="370"/>
      <c r="E11" s="367" t="str">
        <f>"DCF, "&amp;TEXT(H11,"0.0")&amp;"x 22E FCF"</f>
        <v>DCF, 50.7x 22E FCF</v>
      </c>
      <c r="F11" s="484">
        <v>982.80000000000007</v>
      </c>
      <c r="G11" s="178" t="s">
        <v>133</v>
      </c>
      <c r="H11" s="487">
        <v>50.661638752377371</v>
      </c>
      <c r="I11" s="468" t="s">
        <v>134</v>
      </c>
      <c r="J11" s="514">
        <f t="shared" ref="J11:J23" si="0">H11*F11</f>
        <v>49790.258565836484</v>
      </c>
      <c r="K11" s="468" t="s">
        <v>135</v>
      </c>
      <c r="L11" s="484"/>
      <c r="M11" s="468"/>
      <c r="N11" s="512">
        <f t="shared" ref="N11:N23" si="1">J11-L11</f>
        <v>49790.258565836484</v>
      </c>
      <c r="O11" s="370" t="s">
        <v>133</v>
      </c>
      <c r="P11" s="490">
        <v>1</v>
      </c>
      <c r="Q11" s="468"/>
      <c r="R11" s="512">
        <f t="shared" ref="R11:R23" si="2">N11*P11</f>
        <v>49790.258565836484</v>
      </c>
      <c r="S11" s="468"/>
      <c r="T11" s="512">
        <f t="shared" ref="T11:T23" si="3">N11-R11</f>
        <v>0</v>
      </c>
      <c r="U11" s="468"/>
      <c r="V11" s="513">
        <f>N11/$J$54</f>
        <v>0.26443149938556965</v>
      </c>
      <c r="W11" s="468"/>
      <c r="X11" s="373">
        <f>V11*$J$58</f>
        <v>37.321120083326555</v>
      </c>
    </row>
    <row r="12" spans="2:24" s="381" customFormat="1">
      <c r="B12" s="345"/>
      <c r="C12" s="345" t="s">
        <v>1099</v>
      </c>
      <c r="J12" s="577">
        <f>J11+J10</f>
        <v>116811.48325452715</v>
      </c>
      <c r="K12" s="458"/>
      <c r="L12" s="458"/>
      <c r="M12" s="458"/>
      <c r="N12" s="577"/>
      <c r="O12" s="345"/>
      <c r="P12" s="211"/>
      <c r="Q12" s="458"/>
      <c r="R12" s="577"/>
      <c r="S12" s="458"/>
      <c r="T12" s="577"/>
      <c r="U12" s="458"/>
      <c r="V12" s="578"/>
      <c r="W12" s="458"/>
      <c r="X12" s="372"/>
    </row>
    <row r="13" spans="2:24" s="381" customFormat="1">
      <c r="B13" s="370" t="s">
        <v>1486</v>
      </c>
      <c r="C13" s="345"/>
      <c r="J13" s="484">
        <v>36100</v>
      </c>
      <c r="K13" s="458"/>
      <c r="L13" s="458"/>
      <c r="M13" s="458"/>
      <c r="N13" s="512">
        <f>J13</f>
        <v>36100</v>
      </c>
      <c r="O13" s="345"/>
      <c r="P13" s="490">
        <v>0.7</v>
      </c>
      <c r="Q13" s="458"/>
      <c r="R13" s="577"/>
      <c r="S13" s="458"/>
      <c r="T13" s="512">
        <f>(1-P13)*N13</f>
        <v>10830.000000000002</v>
      </c>
      <c r="U13" s="458"/>
      <c r="V13" s="578"/>
      <c r="W13" s="458"/>
      <c r="X13" s="372"/>
    </row>
    <row r="14" spans="2:24" s="381" customFormat="1">
      <c r="B14" s="370" t="s">
        <v>1487</v>
      </c>
      <c r="C14" s="345"/>
      <c r="J14" s="484">
        <v>16345.683196744227</v>
      </c>
      <c r="K14" s="458"/>
      <c r="L14" s="458"/>
      <c r="M14" s="458"/>
      <c r="N14" s="512">
        <f>J14</f>
        <v>16345.683196744227</v>
      </c>
      <c r="O14" s="345"/>
      <c r="P14" s="211"/>
      <c r="Q14" s="458"/>
      <c r="R14" s="577"/>
      <c r="S14" s="458"/>
      <c r="T14" s="577"/>
      <c r="U14" s="458"/>
      <c r="V14" s="578"/>
      <c r="W14" s="458"/>
      <c r="X14" s="372"/>
    </row>
    <row r="15" spans="2:24">
      <c r="B15" s="370"/>
      <c r="C15" s="370"/>
      <c r="J15" s="512"/>
      <c r="K15" s="512"/>
      <c r="L15" s="512"/>
      <c r="M15" s="512"/>
      <c r="N15" s="512"/>
      <c r="O15" s="370"/>
      <c r="P15" s="215"/>
      <c r="Q15" s="468"/>
      <c r="R15" s="512"/>
      <c r="S15" s="468"/>
      <c r="T15" s="512"/>
      <c r="U15" s="468"/>
      <c r="V15" s="513"/>
      <c r="W15" s="468"/>
      <c r="X15" s="373"/>
    </row>
    <row r="16" spans="2:24">
      <c r="B16" s="370" t="s">
        <v>1027</v>
      </c>
      <c r="C16" s="370"/>
      <c r="E16" s="367" t="str">
        <f>"DCF, "&amp;TEXT(H16,"0.0")&amp;"x 22E FCF"</f>
        <v>DCF, 20.5x 22E FCF</v>
      </c>
      <c r="F16" s="484">
        <v>1394.4449597160781</v>
      </c>
      <c r="G16" s="178" t="s">
        <v>133</v>
      </c>
      <c r="H16" s="487">
        <v>20.48836663470993</v>
      </c>
      <c r="I16" s="468" t="s">
        <v>134</v>
      </c>
      <c r="J16" s="512">
        <f t="shared" si="0"/>
        <v>28569.899586586325</v>
      </c>
      <c r="K16" s="468" t="s">
        <v>135</v>
      </c>
      <c r="L16" s="484"/>
      <c r="M16" s="468"/>
      <c r="N16" s="512">
        <f t="shared" si="1"/>
        <v>28569.899586586325</v>
      </c>
      <c r="O16" s="370" t="s">
        <v>133</v>
      </c>
      <c r="P16" s="490">
        <v>1</v>
      </c>
      <c r="Q16" s="468"/>
      <c r="R16" s="512">
        <f t="shared" si="2"/>
        <v>28569.899586586325</v>
      </c>
      <c r="S16" s="468"/>
      <c r="T16" s="512">
        <f t="shared" si="3"/>
        <v>0</v>
      </c>
      <c r="U16" s="468"/>
      <c r="V16" s="513">
        <f>N16/$J$54</f>
        <v>0.15173211794003194</v>
      </c>
      <c r="W16" s="468"/>
      <c r="X16" s="373">
        <f>V16*$J$58</f>
        <v>21.4150455119585</v>
      </c>
    </row>
    <row r="17" spans="2:24">
      <c r="B17" s="370" t="s">
        <v>215</v>
      </c>
      <c r="C17" s="370"/>
      <c r="E17" s="367" t="str">
        <f>"DCF, "&amp;TEXT(H17,"0.0")&amp;"x 22E FCF"</f>
        <v>DCF, 37.4x 22E FCF</v>
      </c>
      <c r="F17" s="484">
        <v>198.5</v>
      </c>
      <c r="G17" s="178" t="s">
        <v>133</v>
      </c>
      <c r="H17" s="487">
        <v>37.372517934539296</v>
      </c>
      <c r="I17" s="468" t="s">
        <v>134</v>
      </c>
      <c r="J17" s="514">
        <f t="shared" si="0"/>
        <v>7418.4448100060499</v>
      </c>
      <c r="K17" s="468" t="s">
        <v>135</v>
      </c>
      <c r="L17" s="484"/>
      <c r="M17" s="468"/>
      <c r="N17" s="512">
        <f t="shared" si="1"/>
        <v>7418.4448100060499</v>
      </c>
      <c r="O17" s="370" t="s">
        <v>133</v>
      </c>
      <c r="P17" s="490">
        <v>1</v>
      </c>
      <c r="Q17" s="468"/>
      <c r="R17" s="512">
        <f t="shared" si="2"/>
        <v>7418.4448100060499</v>
      </c>
      <c r="S17" s="468"/>
      <c r="T17" s="512">
        <f t="shared" si="3"/>
        <v>0</v>
      </c>
      <c r="U17" s="468"/>
      <c r="V17" s="513">
        <f>N17/$J$54</f>
        <v>3.9398680399000664E-2</v>
      </c>
      <c r="W17" s="468"/>
      <c r="X17" s="373">
        <f>V17*$J$58</f>
        <v>5.560619236786545</v>
      </c>
    </row>
    <row r="18" spans="2:24" s="381" customFormat="1">
      <c r="B18" s="345"/>
      <c r="C18" s="345" t="s">
        <v>1087</v>
      </c>
      <c r="J18" s="577">
        <f>J17+J16</f>
        <v>35988.344396592373</v>
      </c>
      <c r="K18" s="458"/>
      <c r="L18" s="577"/>
      <c r="M18" s="458"/>
      <c r="N18" s="577"/>
      <c r="O18" s="345"/>
      <c r="P18" s="211"/>
      <c r="Q18" s="458"/>
      <c r="R18" s="577"/>
      <c r="S18" s="458"/>
      <c r="T18" s="577"/>
      <c r="U18" s="458"/>
      <c r="V18" s="578"/>
      <c r="W18" s="458"/>
      <c r="X18" s="372"/>
    </row>
    <row r="19" spans="2:24">
      <c r="B19" s="370"/>
      <c r="C19" s="370"/>
      <c r="J19" s="512"/>
      <c r="K19" s="512"/>
      <c r="L19" s="512"/>
      <c r="M19" s="512"/>
      <c r="N19" s="512"/>
      <c r="O19" s="370"/>
      <c r="P19" s="215"/>
      <c r="Q19" s="468"/>
      <c r="R19" s="512"/>
      <c r="S19" s="468"/>
      <c r="T19" s="512"/>
      <c r="U19" s="468"/>
      <c r="V19" s="513"/>
      <c r="W19" s="468"/>
      <c r="X19" s="373"/>
    </row>
    <row r="20" spans="2:24">
      <c r="B20" s="370" t="s">
        <v>1100</v>
      </c>
      <c r="C20" s="370"/>
      <c r="E20" s="367" t="str">
        <f>"DCF, "&amp;TEXT(H20,"0.0")&amp;"x 22E FCF"</f>
        <v>DCF, 25.3x 22E FCF</v>
      </c>
      <c r="F20" s="484">
        <v>1789.212418482464</v>
      </c>
      <c r="G20" s="178" t="s">
        <v>133</v>
      </c>
      <c r="H20" s="487">
        <v>25.319535427940369</v>
      </c>
      <c r="I20" s="468" t="s">
        <v>134</v>
      </c>
      <c r="J20" s="512">
        <f t="shared" ref="J20" si="4">H20*F20</f>
        <v>45302.027217877621</v>
      </c>
      <c r="K20" s="468" t="s">
        <v>135</v>
      </c>
      <c r="L20" s="484"/>
      <c r="M20" s="468"/>
      <c r="N20" s="512">
        <f t="shared" ref="N20" si="5">J20-L20</f>
        <v>45302.027217877621</v>
      </c>
      <c r="O20" s="370" t="s">
        <v>133</v>
      </c>
      <c r="P20" s="490">
        <v>1</v>
      </c>
      <c r="Q20" s="468"/>
      <c r="R20" s="512"/>
      <c r="S20" s="468"/>
      <c r="T20" s="512"/>
      <c r="U20" s="468"/>
      <c r="V20" s="513"/>
      <c r="W20" s="468"/>
      <c r="X20" s="373"/>
    </row>
    <row r="21" spans="2:24">
      <c r="B21" s="370"/>
      <c r="C21" s="370"/>
      <c r="J21" s="512"/>
      <c r="K21" s="512"/>
      <c r="L21" s="512"/>
      <c r="M21" s="512"/>
      <c r="N21" s="512"/>
      <c r="O21" s="370"/>
      <c r="P21" s="215"/>
      <c r="Q21" s="468"/>
      <c r="R21" s="512"/>
      <c r="S21" s="468"/>
      <c r="T21" s="512"/>
      <c r="U21" s="468"/>
      <c r="V21" s="513"/>
      <c r="W21" s="468"/>
      <c r="X21" s="373"/>
    </row>
    <row r="22" spans="2:24">
      <c r="B22" s="370" t="s">
        <v>956</v>
      </c>
      <c r="C22" s="370"/>
      <c r="E22" s="367" t="str">
        <f>"DCF, "&amp;TEXT(H22,"0.0")&amp;"x 22E FCF"</f>
        <v>DCF, 25.7x 22E FCF</v>
      </c>
      <c r="F22" s="484">
        <v>532.69048831621762</v>
      </c>
      <c r="G22" s="178" t="s">
        <v>133</v>
      </c>
      <c r="H22" s="487">
        <v>25.657442959125682</v>
      </c>
      <c r="I22" s="468" t="s">
        <v>134</v>
      </c>
      <c r="J22" s="512">
        <f t="shared" si="0"/>
        <v>13667.475818842158</v>
      </c>
      <c r="K22" s="468" t="s">
        <v>135</v>
      </c>
      <c r="L22" s="484"/>
      <c r="M22" s="468"/>
      <c r="N22" s="512">
        <f t="shared" si="1"/>
        <v>13667.475818842158</v>
      </c>
      <c r="O22" s="370" t="s">
        <v>133</v>
      </c>
      <c r="P22" s="490">
        <v>1</v>
      </c>
      <c r="Q22" s="468"/>
      <c r="R22" s="512">
        <f t="shared" si="2"/>
        <v>13667.475818842158</v>
      </c>
      <c r="S22" s="468"/>
      <c r="T22" s="512">
        <f t="shared" si="3"/>
        <v>0</v>
      </c>
      <c r="U22" s="468"/>
      <c r="V22" s="513">
        <f>N22/$J$54</f>
        <v>7.2586711290394165E-2</v>
      </c>
      <c r="W22" s="468"/>
      <c r="X22" s="373">
        <f>V22*$J$58</f>
        <v>10.244684823166686</v>
      </c>
    </row>
    <row r="23" spans="2:24">
      <c r="B23" s="370" t="s">
        <v>106</v>
      </c>
      <c r="C23" s="370"/>
      <c r="E23" s="367" t="str">
        <f>"DCF, "&amp;TEXT(H23,"0.0")&amp;"x 22E FCF"</f>
        <v>DCF, 99.3x 22E FCF</v>
      </c>
      <c r="F23" s="484">
        <v>12.109777621163548</v>
      </c>
      <c r="G23" s="178" t="s">
        <v>133</v>
      </c>
      <c r="H23" s="487">
        <v>99.279374259373455</v>
      </c>
      <c r="I23" s="468" t="s">
        <v>134</v>
      </c>
      <c r="J23" s="514">
        <f t="shared" si="0"/>
        <v>1202.2511446492811</v>
      </c>
      <c r="K23" s="468" t="s">
        <v>135</v>
      </c>
      <c r="L23" s="484"/>
      <c r="M23" s="468"/>
      <c r="N23" s="512">
        <f t="shared" si="1"/>
        <v>1202.2511446492811</v>
      </c>
      <c r="O23" s="370" t="s">
        <v>133</v>
      </c>
      <c r="P23" s="490">
        <v>1</v>
      </c>
      <c r="Q23" s="468"/>
      <c r="R23" s="512">
        <f t="shared" si="2"/>
        <v>1202.2511446492811</v>
      </c>
      <c r="S23" s="468"/>
      <c r="T23" s="512">
        <f t="shared" si="3"/>
        <v>0</v>
      </c>
      <c r="U23" s="468"/>
      <c r="V23" s="513">
        <f>N23/$J$54</f>
        <v>6.3850456289006371E-3</v>
      </c>
      <c r="W23" s="468"/>
      <c r="X23" s="373">
        <f>V23*$J$58</f>
        <v>0.90116742977831554</v>
      </c>
    </row>
    <row r="24" spans="2:24" s="381" customFormat="1">
      <c r="B24" s="345"/>
      <c r="C24" s="345" t="s">
        <v>1090</v>
      </c>
      <c r="J24" s="577">
        <f>J23+J22</f>
        <v>14869.726963491439</v>
      </c>
      <c r="K24" s="458"/>
      <c r="L24" s="210"/>
      <c r="M24" s="458"/>
      <c r="N24" s="577"/>
      <c r="O24" s="345"/>
      <c r="P24" s="211"/>
      <c r="Q24" s="458"/>
      <c r="R24" s="577"/>
      <c r="S24" s="458"/>
      <c r="T24" s="577"/>
      <c r="U24" s="458"/>
      <c r="V24" s="578"/>
      <c r="W24" s="458"/>
      <c r="X24" s="372"/>
    </row>
    <row r="25" spans="2:24" s="381" customFormat="1">
      <c r="B25" s="579" t="s">
        <v>1057</v>
      </c>
      <c r="C25" s="345"/>
      <c r="F25" s="458"/>
      <c r="G25" s="458"/>
      <c r="H25" s="458"/>
      <c r="I25" s="458"/>
      <c r="J25" s="580">
        <f>J12+J18+J20+J24+J14</f>
        <v>229317.26502923283</v>
      </c>
      <c r="K25" s="458"/>
      <c r="L25" s="458"/>
      <c r="M25" s="458"/>
      <c r="N25" s="580">
        <f>SUM(N10:N23)-N13</f>
        <v>229317.26502923283</v>
      </c>
      <c r="O25" s="459"/>
      <c r="P25" s="458"/>
      <c r="Q25" s="458"/>
      <c r="R25" s="580">
        <f>SUM(R10:R23)</f>
        <v>167669.55461461097</v>
      </c>
      <c r="S25" s="458"/>
      <c r="T25" s="458"/>
      <c r="U25" s="458"/>
      <c r="V25" s="458"/>
      <c r="W25" s="458"/>
      <c r="X25" s="458"/>
    </row>
    <row r="26" spans="2:24">
      <c r="B26" s="370"/>
      <c r="C26" s="370"/>
      <c r="E26" s="384"/>
      <c r="F26" s="468"/>
      <c r="G26" s="468"/>
      <c r="H26" s="468"/>
      <c r="I26" s="468"/>
      <c r="J26" s="468"/>
      <c r="K26" s="468"/>
      <c r="L26" s="468"/>
      <c r="M26" s="468"/>
      <c r="N26" s="515"/>
      <c r="O26" s="515"/>
      <c r="P26" s="468"/>
      <c r="Q26" s="468"/>
      <c r="R26" s="468"/>
      <c r="S26" s="468"/>
      <c r="T26" s="468"/>
      <c r="U26" s="468"/>
      <c r="V26" s="468"/>
      <c r="W26" s="468"/>
      <c r="X26" s="468"/>
    </row>
    <row r="27" spans="2:24">
      <c r="B27" s="370" t="s">
        <v>1558</v>
      </c>
      <c r="C27" s="370"/>
      <c r="E27" s="367" t="str">
        <f>"DCF, "&amp;TEXT(H27,"0.0")&amp;"x 22E FCF"</f>
        <v>DCF, 6.3x 22E FCF</v>
      </c>
      <c r="F27" s="484">
        <v>848.84005533970424</v>
      </c>
      <c r="G27" s="178" t="s">
        <v>133</v>
      </c>
      <c r="H27" s="487">
        <v>6.302374753521863</v>
      </c>
      <c r="I27" s="178" t="s">
        <v>134</v>
      </c>
      <c r="J27" s="208">
        <f>F27*H27</f>
        <v>5349.7081345510533</v>
      </c>
      <c r="K27" s="178" t="s">
        <v>135</v>
      </c>
      <c r="L27" s="484"/>
      <c r="M27" s="178"/>
      <c r="N27" s="216">
        <f>J27-L27</f>
        <v>5349.7081345510533</v>
      </c>
      <c r="O27" s="516" t="s">
        <v>133</v>
      </c>
      <c r="P27" s="490">
        <v>1</v>
      </c>
      <c r="Q27" s="393"/>
      <c r="R27" s="517">
        <f>P27*N27</f>
        <v>5349.7081345510533</v>
      </c>
      <c r="S27" s="370"/>
      <c r="T27" s="216">
        <v>0</v>
      </c>
      <c r="U27" s="370"/>
      <c r="V27" s="394">
        <f>R27/$J$54</f>
        <v>2.841180953949014E-2</v>
      </c>
      <c r="W27" s="370"/>
      <c r="X27" s="373">
        <f>$J$58*V27</f>
        <v>4.0099631022467355</v>
      </c>
    </row>
    <row r="28" spans="2:24">
      <c r="B28" s="370" t="s">
        <v>1559</v>
      </c>
      <c r="C28" s="370"/>
      <c r="E28" s="367" t="str">
        <f>"DCF, "&amp;TEXT(H28,"0.0")&amp;"x 22E FCF"</f>
        <v>DCF, 23.7x 22E FCF</v>
      </c>
      <c r="F28" s="484">
        <v>495.90308321012935</v>
      </c>
      <c r="G28" s="178" t="s">
        <v>133</v>
      </c>
      <c r="H28" s="487">
        <v>23.666233411771522</v>
      </c>
      <c r="I28" s="178" t="s">
        <v>134</v>
      </c>
      <c r="J28" s="208">
        <f>F28*H28</f>
        <v>11736.158116868077</v>
      </c>
      <c r="K28" s="178" t="s">
        <v>135</v>
      </c>
      <c r="L28" s="484"/>
      <c r="M28" s="178"/>
      <c r="N28" s="216">
        <f>J28-L28</f>
        <v>11736.158116868077</v>
      </c>
      <c r="O28" s="516" t="s">
        <v>133</v>
      </c>
      <c r="P28" s="490">
        <v>1</v>
      </c>
      <c r="Q28" s="393"/>
      <c r="R28" s="517">
        <f>P28*N28</f>
        <v>11736.158116868077</v>
      </c>
      <c r="S28" s="370"/>
      <c r="T28" s="216">
        <v>0</v>
      </c>
      <c r="U28" s="370"/>
      <c r="V28" s="394">
        <f>R28/$J$54</f>
        <v>6.2329660002990006E-2</v>
      </c>
      <c r="W28" s="370"/>
      <c r="X28" s="373">
        <f>$J$58*V28</f>
        <v>8.797033375863581</v>
      </c>
    </row>
    <row r="29" spans="2:24">
      <c r="B29" s="370" t="s">
        <v>1560</v>
      </c>
      <c r="C29" s="370"/>
      <c r="E29" s="367" t="str">
        <f>"DCF, "&amp;TEXT(H29,"0.0")&amp;"x 22E FCF"</f>
        <v>DCF, 14.5x 22E FCF</v>
      </c>
      <c r="F29" s="484">
        <v>-2480.9574090754904</v>
      </c>
      <c r="G29" s="178" t="s">
        <v>133</v>
      </c>
      <c r="H29" s="487">
        <v>14.450361528401901</v>
      </c>
      <c r="I29" s="178" t="s">
        <v>134</v>
      </c>
      <c r="J29" s="208">
        <f>F29*H29</f>
        <v>-35850.731497708126</v>
      </c>
      <c r="K29" s="178" t="s">
        <v>135</v>
      </c>
      <c r="L29" s="484"/>
      <c r="M29" s="178"/>
      <c r="N29" s="216">
        <f>J29-L29</f>
        <v>-35850.731497708126</v>
      </c>
      <c r="O29" s="516" t="s">
        <v>133</v>
      </c>
      <c r="P29" s="490">
        <v>1</v>
      </c>
      <c r="Q29" s="393"/>
      <c r="R29" s="517">
        <f>P29*N29</f>
        <v>-35850.731497708126</v>
      </c>
      <c r="S29" s="370"/>
      <c r="T29" s="216">
        <v>0</v>
      </c>
      <c r="U29" s="370"/>
      <c r="V29" s="394">
        <f>R29/$J$54</f>
        <v>-0.19039994884688466</v>
      </c>
      <c r="W29" s="370"/>
      <c r="X29" s="373">
        <f>$J$58*V29</f>
        <v>-26.872514701482633</v>
      </c>
    </row>
    <row r="30" spans="2:24" s="381" customFormat="1">
      <c r="B30" s="345" t="s">
        <v>1058</v>
      </c>
      <c r="C30" s="345"/>
      <c r="F30" s="210"/>
      <c r="G30" s="196"/>
      <c r="H30" s="372"/>
      <c r="I30" s="196"/>
      <c r="J30" s="398">
        <f>J29+J25+J28+J27</f>
        <v>210552.39978294386</v>
      </c>
      <c r="K30" s="196"/>
      <c r="L30" s="210"/>
      <c r="M30" s="196"/>
      <c r="N30" s="398">
        <f>N25+N29</f>
        <v>193466.53353152471</v>
      </c>
      <c r="O30" s="196"/>
      <c r="P30" s="211"/>
      <c r="Q30" s="369"/>
      <c r="R30" s="398">
        <f>R25+R29</f>
        <v>131818.82311690284</v>
      </c>
      <c r="S30" s="345"/>
      <c r="T30" s="210"/>
      <c r="U30" s="345"/>
      <c r="V30" s="387"/>
      <c r="W30" s="345"/>
      <c r="X30" s="372"/>
    </row>
    <row r="31" spans="2:24">
      <c r="B31" s="370"/>
      <c r="C31" s="370"/>
      <c r="F31" s="216"/>
      <c r="G31" s="178"/>
      <c r="H31" s="373"/>
      <c r="I31" s="178"/>
      <c r="J31" s="216"/>
      <c r="K31" s="178"/>
      <c r="L31" s="216"/>
      <c r="M31" s="178"/>
      <c r="N31" s="216"/>
      <c r="O31" s="178"/>
      <c r="P31" s="215"/>
      <c r="Q31" s="393"/>
      <c r="R31" s="216"/>
      <c r="S31" s="370"/>
      <c r="T31" s="216"/>
      <c r="U31" s="370"/>
      <c r="V31" s="394"/>
      <c r="W31" s="370"/>
      <c r="X31" s="373"/>
    </row>
    <row r="32" spans="2:24">
      <c r="B32" s="370" t="s">
        <v>1026</v>
      </c>
      <c r="C32" s="370"/>
      <c r="E32" s="367" t="s">
        <v>495</v>
      </c>
      <c r="F32" s="484">
        <v>1350.3000219999999</v>
      </c>
      <c r="G32" s="178" t="s">
        <v>133</v>
      </c>
      <c r="H32" s="487">
        <v>224</v>
      </c>
      <c r="I32" s="178" t="s">
        <v>134</v>
      </c>
      <c r="J32" s="216">
        <f>(F32*H32/D68)+L32</f>
        <v>29024.868791815767</v>
      </c>
      <c r="K32" s="178" t="s">
        <v>135</v>
      </c>
      <c r="L32" s="484">
        <v>2300</v>
      </c>
      <c r="M32" s="178"/>
      <c r="N32" s="216">
        <f>J32-L32</f>
        <v>26724.868791815767</v>
      </c>
      <c r="O32" s="178"/>
      <c r="P32" s="490">
        <v>0.55800000000000005</v>
      </c>
      <c r="Q32" s="393"/>
      <c r="R32" s="216">
        <f>P32*N32</f>
        <v>14912.4767858332</v>
      </c>
      <c r="S32" s="370"/>
      <c r="T32" s="216">
        <f>N32-R32</f>
        <v>11812.392005982567</v>
      </c>
      <c r="U32" s="370"/>
      <c r="V32" s="394">
        <f>N32/$J$54</f>
        <v>0.14193332850758483</v>
      </c>
      <c r="W32" s="370"/>
      <c r="X32" s="373">
        <f>V32*$J$58</f>
        <v>20.032071857422899</v>
      </c>
    </row>
    <row r="33" spans="2:24">
      <c r="B33" s="370" t="s">
        <v>536</v>
      </c>
      <c r="C33" s="370"/>
      <c r="E33" s="367" t="s">
        <v>1495</v>
      </c>
      <c r="F33" s="210"/>
      <c r="G33" s="210"/>
      <c r="H33" s="210"/>
      <c r="I33" s="210"/>
      <c r="J33" s="484">
        <v>0</v>
      </c>
      <c r="K33" s="178" t="s">
        <v>135</v>
      </c>
      <c r="L33" s="484"/>
      <c r="M33" s="178"/>
      <c r="N33" s="216">
        <f t="shared" ref="N33" si="6">J33-L33</f>
        <v>0</v>
      </c>
      <c r="O33" s="178"/>
      <c r="P33" s="490">
        <v>1</v>
      </c>
      <c r="Q33" s="393"/>
      <c r="R33" s="216">
        <f t="shared" ref="R33" si="7">P33*N33</f>
        <v>0</v>
      </c>
      <c r="S33" s="370"/>
      <c r="T33" s="216">
        <f t="shared" ref="T33" si="8">N33-R33</f>
        <v>0</v>
      </c>
      <c r="U33" s="370"/>
      <c r="V33" s="394">
        <f>N33/$J$54</f>
        <v>0</v>
      </c>
      <c r="W33" s="370"/>
      <c r="X33" s="373">
        <f>V33*$J$58</f>
        <v>0</v>
      </c>
    </row>
    <row r="34" spans="2:24" s="381" customFormat="1">
      <c r="B34" s="579" t="s">
        <v>1059</v>
      </c>
      <c r="F34" s="210"/>
      <c r="G34" s="196"/>
      <c r="H34" s="372"/>
      <c r="I34" s="372"/>
      <c r="J34" s="580">
        <f>J32+J33</f>
        <v>29024.868791815767</v>
      </c>
      <c r="K34" s="196"/>
      <c r="L34" s="210"/>
      <c r="M34" s="196"/>
      <c r="N34" s="580">
        <f>N32+N33</f>
        <v>26724.868791815767</v>
      </c>
      <c r="O34" s="196"/>
      <c r="P34" s="211"/>
      <c r="Q34" s="369"/>
      <c r="R34" s="580">
        <f>R32+R33</f>
        <v>14912.4767858332</v>
      </c>
      <c r="S34" s="345"/>
      <c r="T34" s="210"/>
      <c r="U34" s="345"/>
      <c r="V34" s="387"/>
      <c r="W34" s="345"/>
      <c r="X34" s="372"/>
    </row>
    <row r="35" spans="2:24">
      <c r="B35" s="370"/>
      <c r="C35" s="370"/>
      <c r="F35" s="216"/>
      <c r="G35" s="178"/>
      <c r="H35" s="373"/>
      <c r="I35" s="178"/>
      <c r="J35" s="216"/>
      <c r="K35" s="178"/>
      <c r="L35" s="216"/>
      <c r="M35" s="178"/>
      <c r="N35" s="216"/>
      <c r="O35" s="178"/>
      <c r="P35" s="215"/>
      <c r="Q35" s="393"/>
      <c r="R35" s="216"/>
      <c r="S35" s="370"/>
      <c r="T35" s="216"/>
      <c r="U35" s="370"/>
      <c r="V35" s="394"/>
      <c r="W35" s="370"/>
      <c r="X35" s="373"/>
    </row>
    <row r="36" spans="2:24">
      <c r="B36" s="345" t="s">
        <v>1060</v>
      </c>
      <c r="C36" s="370"/>
      <c r="F36" s="210"/>
      <c r="G36" s="196"/>
      <c r="H36" s="372"/>
      <c r="I36" s="376"/>
      <c r="J36" s="210">
        <f>J34+J30</f>
        <v>239577.26857475963</v>
      </c>
      <c r="K36" s="375"/>
      <c r="L36" s="210">
        <f>-J45</f>
        <v>77929.526139362482</v>
      </c>
      <c r="M36" s="196"/>
      <c r="N36" s="210">
        <f>N34+N30</f>
        <v>220191.40232334047</v>
      </c>
      <c r="P36" s="377"/>
      <c r="Q36" s="378"/>
      <c r="R36" s="210">
        <f>R34+R30</f>
        <v>146731.29990273603</v>
      </c>
      <c r="S36" s="370"/>
      <c r="T36" s="210">
        <f>SUM(T10:T35)</f>
        <v>22642.392005982569</v>
      </c>
      <c r="U36" s="370"/>
      <c r="V36" s="387">
        <f>N36/$J$54</f>
        <v>1.1694163546305318</v>
      </c>
      <c r="W36" s="370"/>
      <c r="X36" s="372">
        <f>$J$58*V36</f>
        <v>165.04814403723711</v>
      </c>
    </row>
    <row r="37" spans="2:24" ht="12.6" thickBot="1">
      <c r="B37" s="370"/>
      <c r="C37" s="370"/>
      <c r="F37" s="210"/>
      <c r="G37" s="196"/>
      <c r="H37" s="372"/>
      <c r="I37" s="376"/>
      <c r="J37" s="196"/>
      <c r="K37" s="375"/>
      <c r="L37" s="370"/>
      <c r="M37" s="196"/>
      <c r="N37" s="210"/>
      <c r="P37" s="377"/>
      <c r="Q37" s="378"/>
      <c r="R37" s="210"/>
      <c r="T37" s="196"/>
    </row>
    <row r="38" spans="2:24" ht="12.6" thickBot="1">
      <c r="B38" s="370" t="s">
        <v>138</v>
      </c>
      <c r="C38" s="370"/>
      <c r="F38" s="216"/>
      <c r="G38" s="178"/>
      <c r="H38" s="373"/>
      <c r="I38" s="403"/>
      <c r="L38" s="178"/>
      <c r="M38" s="178"/>
      <c r="N38" s="370"/>
      <c r="P38" s="493" t="s">
        <v>1623</v>
      </c>
      <c r="Q38" s="494"/>
      <c r="R38" s="518">
        <v>0</v>
      </c>
    </row>
    <row r="39" spans="2:24">
      <c r="B39" s="370" t="s">
        <v>1101</v>
      </c>
      <c r="C39" s="370"/>
      <c r="E39" s="367" t="str">
        <f>"DCF, "&amp;TEXT(H39,"0.0")&amp;"x 22E FCF"</f>
        <v>DCF, 25.7x 22E FCF</v>
      </c>
      <c r="F39" s="484">
        <v>441.29247645984105</v>
      </c>
      <c r="G39" s="178" t="s">
        <v>133</v>
      </c>
      <c r="H39" s="487">
        <v>25.7</v>
      </c>
      <c r="I39" s="178" t="s">
        <v>134</v>
      </c>
      <c r="J39" s="216">
        <f t="shared" ref="J39" si="9">F39*H39</f>
        <v>11341.216645017916</v>
      </c>
      <c r="K39" s="178" t="s">
        <v>135</v>
      </c>
      <c r="L39" s="484"/>
      <c r="M39" s="393" t="s">
        <v>134</v>
      </c>
      <c r="N39" s="208">
        <f>J39-L39</f>
        <v>11341.216645017916</v>
      </c>
      <c r="O39" s="178" t="s">
        <v>133</v>
      </c>
      <c r="P39" s="490">
        <v>0.5</v>
      </c>
      <c r="Q39" s="393" t="s">
        <v>134</v>
      </c>
      <c r="R39" s="216">
        <f>P39*N39*(1-$R$38)</f>
        <v>5670.6083225089578</v>
      </c>
    </row>
    <row r="40" spans="2:24">
      <c r="B40" s="501" t="s">
        <v>1622</v>
      </c>
      <c r="C40" s="370"/>
      <c r="E40" s="367" t="s">
        <v>495</v>
      </c>
      <c r="F40" s="484">
        <v>34552.100801000001</v>
      </c>
      <c r="G40" s="178" t="s">
        <v>133</v>
      </c>
      <c r="H40" s="487">
        <v>8.5</v>
      </c>
      <c r="I40" s="178" t="s">
        <v>134</v>
      </c>
      <c r="J40" s="216">
        <f>(F40*H40*D65)+L40</f>
        <v>92834.781478528719</v>
      </c>
      <c r="K40" s="178" t="s">
        <v>135</v>
      </c>
      <c r="L40" s="484"/>
      <c r="M40" s="393" t="s">
        <v>134</v>
      </c>
      <c r="N40" s="208">
        <f t="shared" ref="N40:N41" si="10">J40-L40</f>
        <v>92834.781478528719</v>
      </c>
      <c r="O40" s="178" t="s">
        <v>133</v>
      </c>
      <c r="P40" s="490">
        <v>0.3</v>
      </c>
      <c r="Q40" s="393" t="s">
        <v>134</v>
      </c>
      <c r="R40" s="216">
        <f t="shared" ref="R40:R41" si="11">P40*N40*(1-$R$38)</f>
        <v>27850.434443558614</v>
      </c>
      <c r="S40" s="370"/>
      <c r="T40" s="216"/>
      <c r="U40" s="370"/>
      <c r="V40" s="394"/>
      <c r="W40" s="370"/>
      <c r="X40" s="373"/>
    </row>
    <row r="41" spans="2:24">
      <c r="B41" s="370" t="s">
        <v>1025</v>
      </c>
      <c r="C41" s="370"/>
      <c r="E41" s="367" t="s">
        <v>495</v>
      </c>
      <c r="F41" s="484">
        <v>11732.007987999999</v>
      </c>
      <c r="G41" s="178" t="s">
        <v>133</v>
      </c>
      <c r="H41" s="487">
        <v>3.72</v>
      </c>
      <c r="I41" s="178" t="s">
        <v>134</v>
      </c>
      <c r="J41" s="216">
        <f>(F41*H41*D63)+L41</f>
        <v>106765.94109863837</v>
      </c>
      <c r="K41" s="178" t="s">
        <v>135</v>
      </c>
      <c r="L41" s="484"/>
      <c r="M41" s="393" t="s">
        <v>134</v>
      </c>
      <c r="N41" s="208">
        <f t="shared" si="10"/>
        <v>106765.94109863837</v>
      </c>
      <c r="O41" s="178" t="s">
        <v>133</v>
      </c>
      <c r="P41" s="490">
        <v>0.33100000000000002</v>
      </c>
      <c r="Q41" s="393" t="s">
        <v>134</v>
      </c>
      <c r="R41" s="446">
        <f t="shared" si="11"/>
        <v>35339.5265036493</v>
      </c>
      <c r="S41" s="370"/>
      <c r="T41" s="216"/>
      <c r="U41" s="370"/>
      <c r="V41" s="394"/>
      <c r="W41" s="370"/>
      <c r="X41" s="373"/>
    </row>
    <row r="42" spans="2:24">
      <c r="B42" s="345" t="s">
        <v>137</v>
      </c>
      <c r="C42" s="370"/>
      <c r="R42" s="210">
        <f>R41+R39+R40</f>
        <v>68860.569269716871</v>
      </c>
    </row>
    <row r="43" spans="2:24" ht="12.6" thickBot="1">
      <c r="D43" s="345"/>
      <c r="E43" s="381"/>
      <c r="F43" s="381"/>
      <c r="G43" s="381"/>
      <c r="H43" s="381"/>
      <c r="I43" s="381"/>
      <c r="J43" s="381"/>
      <c r="K43" s="381"/>
      <c r="R43" s="370"/>
      <c r="T43" s="460" t="s">
        <v>544</v>
      </c>
      <c r="U43" s="368"/>
      <c r="V43" s="368"/>
      <c r="W43" s="368"/>
      <c r="X43" s="368"/>
    </row>
    <row r="44" spans="2:24" ht="12.6" thickTop="1">
      <c r="B44" s="382" t="s">
        <v>141</v>
      </c>
      <c r="D44" s="345"/>
      <c r="E44" s="381"/>
      <c r="H44" s="381"/>
      <c r="I44" s="381"/>
      <c r="J44" s="374">
        <f>J36</f>
        <v>239577.26857475963</v>
      </c>
      <c r="L44" s="426"/>
      <c r="T44" s="134"/>
    </row>
    <row r="45" spans="2:24">
      <c r="B45" s="383" t="s">
        <v>1492</v>
      </c>
      <c r="D45" s="424"/>
      <c r="J45" s="216">
        <f>-TNOR!E12</f>
        <v>-77929.526139362482</v>
      </c>
      <c r="L45" s="426"/>
      <c r="T45" s="134"/>
    </row>
    <row r="46" spans="2:24">
      <c r="B46" s="384" t="s">
        <v>372</v>
      </c>
      <c r="D46" s="370"/>
      <c r="J46" s="216">
        <f>R42</f>
        <v>68860.569269716871</v>
      </c>
      <c r="K46" s="381"/>
      <c r="L46" s="426"/>
      <c r="T46" s="134"/>
    </row>
    <row r="47" spans="2:24">
      <c r="B47" s="384" t="s">
        <v>370</v>
      </c>
      <c r="J47" s="216">
        <f>-T36</f>
        <v>-22642.392005982569</v>
      </c>
      <c r="K47" s="381"/>
      <c r="L47" s="426"/>
      <c r="T47" s="134"/>
    </row>
    <row r="48" spans="2:24">
      <c r="B48" s="384" t="s">
        <v>1102</v>
      </c>
      <c r="J48" s="484">
        <v>-6727.1917939990672</v>
      </c>
      <c r="K48" s="381"/>
      <c r="L48" s="426"/>
    </row>
    <row r="49" spans="2:24">
      <c r="B49" s="384" t="s">
        <v>1061</v>
      </c>
      <c r="J49" s="484">
        <v>-5000</v>
      </c>
      <c r="K49" s="381"/>
      <c r="L49" s="426"/>
    </row>
    <row r="50" spans="2:24">
      <c r="B50" s="384" t="s">
        <v>980</v>
      </c>
      <c r="D50" s="345"/>
      <c r="E50" s="381"/>
      <c r="F50" s="381"/>
      <c r="G50" s="381"/>
      <c r="H50" s="381"/>
      <c r="I50" s="381"/>
      <c r="J50" s="484">
        <v>4837.2560975609758</v>
      </c>
      <c r="L50" s="426"/>
    </row>
    <row r="51" spans="2:24">
      <c r="B51" s="384" t="s">
        <v>998</v>
      </c>
      <c r="D51" s="370"/>
      <c r="J51" s="484">
        <v>0</v>
      </c>
      <c r="K51" s="381"/>
      <c r="L51" s="426"/>
    </row>
    <row r="52" spans="2:24">
      <c r="B52" s="384" t="s">
        <v>1103</v>
      </c>
      <c r="D52" s="370"/>
      <c r="J52" s="484">
        <v>0</v>
      </c>
      <c r="K52" s="381"/>
      <c r="L52" s="426"/>
    </row>
    <row r="53" spans="2:24">
      <c r="B53" s="384" t="s">
        <v>957</v>
      </c>
      <c r="D53" s="370"/>
      <c r="J53" s="498">
        <v>-12684.276390216681</v>
      </c>
      <c r="K53" s="381"/>
    </row>
    <row r="54" spans="2:24">
      <c r="B54" s="384" t="s">
        <v>490</v>
      </c>
      <c r="J54" s="210">
        <f>SUM(J44:J53)</f>
        <v>188291.70761247669</v>
      </c>
      <c r="K54" s="381"/>
    </row>
    <row r="55" spans="2:24">
      <c r="B55" s="384" t="s">
        <v>491</v>
      </c>
      <c r="D55" s="370"/>
      <c r="J55" s="216">
        <f>TNOR!D10</f>
        <v>1385.1375089999997</v>
      </c>
      <c r="K55" s="381"/>
    </row>
    <row r="56" spans="2:24">
      <c r="B56" s="382" t="s">
        <v>489</v>
      </c>
      <c r="D56" s="370"/>
      <c r="J56" s="433">
        <f>J54/J55</f>
        <v>135.93719496370719</v>
      </c>
    </row>
    <row r="57" spans="2:24" ht="12.6" thickBot="1">
      <c r="B57" s="384" t="s">
        <v>1403</v>
      </c>
      <c r="D57" s="345"/>
      <c r="E57" s="381"/>
      <c r="F57" s="381"/>
      <c r="G57" s="381"/>
      <c r="H57" s="381"/>
      <c r="I57" s="381"/>
      <c r="J57" s="486">
        <v>5.2</v>
      </c>
    </row>
    <row r="58" spans="2:24" ht="12.6" thickBot="1">
      <c r="B58" s="382" t="s">
        <v>61</v>
      </c>
      <c r="J58" s="462">
        <f>J57+J56</f>
        <v>141.13719496370717</v>
      </c>
      <c r="K58" s="381"/>
    </row>
    <row r="59" spans="2:24">
      <c r="B59" s="384" t="s">
        <v>493</v>
      </c>
      <c r="D59" s="345"/>
      <c r="E59" s="345"/>
      <c r="F59" s="345"/>
      <c r="G59" s="345"/>
      <c r="H59" s="345"/>
      <c r="I59" s="345"/>
      <c r="J59" s="373">
        <f>Prices!C18</f>
        <v>134.80000000000001</v>
      </c>
    </row>
    <row r="60" spans="2:24">
      <c r="B60" s="382" t="s">
        <v>96</v>
      </c>
      <c r="E60" s="465"/>
      <c r="F60" s="345"/>
      <c r="G60" s="345"/>
      <c r="H60" s="345"/>
      <c r="I60" s="345"/>
      <c r="J60" s="387">
        <f>J58/J59-1</f>
        <v>4.7011832074979054E-2</v>
      </c>
      <c r="K60" s="381"/>
    </row>
    <row r="61" spans="2:24">
      <c r="E61" s="345"/>
      <c r="F61" s="345"/>
      <c r="G61" s="345"/>
      <c r="H61" s="345"/>
      <c r="I61" s="345"/>
    </row>
    <row r="62" spans="2:24" ht="12.6" thickBot="1">
      <c r="E62" s="386"/>
      <c r="F62" s="345"/>
      <c r="G62" s="345"/>
      <c r="H62" s="345"/>
      <c r="I62" s="345"/>
      <c r="T62" s="460" t="s">
        <v>544</v>
      </c>
      <c r="U62" s="368"/>
      <c r="V62" s="368"/>
      <c r="W62" s="368"/>
      <c r="X62" s="368"/>
    </row>
    <row r="63" spans="2:24" ht="12.6" thickTop="1">
      <c r="B63" s="367" t="s">
        <v>752</v>
      </c>
      <c r="D63" s="386">
        <f>Prices!C157/Prices!C159</f>
        <v>2.4463435270471487</v>
      </c>
      <c r="E63" s="345"/>
      <c r="F63" s="345"/>
      <c r="G63" s="345"/>
      <c r="H63" s="345"/>
      <c r="I63" s="345"/>
      <c r="K63" s="381"/>
      <c r="T63" s="370" t="s">
        <v>107</v>
      </c>
      <c r="X63" s="394">
        <f>J30/(J44+R42)</f>
        <v>0.6826412779132196</v>
      </c>
    </row>
    <row r="64" spans="2:24">
      <c r="B64" s="367" t="s">
        <v>753</v>
      </c>
      <c r="D64" s="386">
        <f>Prices!F157</f>
        <v>11.773156779392</v>
      </c>
      <c r="E64" s="345"/>
      <c r="F64" s="345"/>
      <c r="G64" s="345"/>
      <c r="H64" s="345"/>
      <c r="I64" s="345"/>
      <c r="T64" s="370" t="s">
        <v>1402</v>
      </c>
      <c r="X64" s="394">
        <f>R42/(J36+R42)</f>
        <v>0.22325590709282045</v>
      </c>
    </row>
    <row r="65" spans="2:24">
      <c r="B65" s="367" t="s">
        <v>754</v>
      </c>
      <c r="D65" s="386">
        <f>Prices!C157/Prices!C163</f>
        <v>0.31609478857383605</v>
      </c>
      <c r="E65" s="345"/>
      <c r="T65" s="370" t="s">
        <v>140</v>
      </c>
      <c r="X65" s="394">
        <f>1-X64-X63</f>
        <v>9.4102814993960004E-2</v>
      </c>
    </row>
    <row r="66" spans="2:24">
      <c r="B66" s="367" t="s">
        <v>756</v>
      </c>
      <c r="D66" s="386">
        <f>Prices!C157</f>
        <v>10.593920000000001</v>
      </c>
      <c r="E66" s="345"/>
      <c r="F66" s="345"/>
      <c r="G66" s="345"/>
      <c r="H66" s="345"/>
      <c r="I66" s="345"/>
    </row>
    <row r="67" spans="2:24">
      <c r="B67" s="367" t="s">
        <v>755</v>
      </c>
      <c r="D67" s="386">
        <f>Prices!C157/Prices!C164</f>
        <v>7.8514210000936044</v>
      </c>
      <c r="E67" s="345"/>
    </row>
    <row r="68" spans="2:24">
      <c r="B68" s="367" t="s">
        <v>793</v>
      </c>
      <c r="D68" s="386">
        <f>Prices!$C$184/Prices!$C$157</f>
        <v>11.317818144747175</v>
      </c>
      <c r="E68" s="345"/>
      <c r="F68" s="345"/>
      <c r="G68" s="345"/>
      <c r="H68" s="345"/>
      <c r="I68" s="345"/>
    </row>
    <row r="69" spans="2:24">
      <c r="D69" s="345"/>
      <c r="E69" s="381"/>
      <c r="F69" s="381"/>
      <c r="G69" s="381"/>
      <c r="H69" s="381"/>
      <c r="I69" s="381"/>
    </row>
    <row r="74" spans="2:24">
      <c r="D74" s="345"/>
      <c r="E74" s="381"/>
      <c r="F74" s="381"/>
      <c r="G74" s="381"/>
      <c r="H74" s="381"/>
      <c r="I74" s="381"/>
    </row>
    <row r="75" spans="2:24">
      <c r="D75" s="370"/>
      <c r="E75" s="381"/>
      <c r="F75" s="381"/>
      <c r="G75" s="381"/>
      <c r="H75" s="381"/>
      <c r="I75" s="381"/>
    </row>
    <row r="76" spans="2:24">
      <c r="D76" s="370"/>
      <c r="E76" s="381"/>
      <c r="F76" s="381"/>
      <c r="G76" s="381"/>
      <c r="H76" s="381"/>
      <c r="I76" s="381"/>
    </row>
    <row r="77" spans="2:24">
      <c r="D77" s="370"/>
    </row>
    <row r="78" spans="2:24">
      <c r="D78" s="345"/>
      <c r="E78" s="381"/>
      <c r="F78" s="381"/>
      <c r="G78" s="381"/>
      <c r="H78" s="381"/>
      <c r="I78" s="381"/>
    </row>
    <row r="79" spans="2:24">
      <c r="D79" s="370"/>
      <c r="E79" s="381"/>
      <c r="F79" s="381"/>
      <c r="G79" s="381"/>
      <c r="H79" s="381"/>
      <c r="I79" s="381"/>
    </row>
    <row r="80" spans="2:24">
      <c r="D80" s="370"/>
      <c r="E80" s="381"/>
      <c r="F80" s="381"/>
      <c r="G80" s="381"/>
      <c r="H80" s="381"/>
      <c r="I80" s="381"/>
      <c r="S80" s="249"/>
      <c r="T80" s="249"/>
      <c r="U80" s="249"/>
      <c r="V80" s="249"/>
      <c r="W80" s="249"/>
      <c r="X80" s="249"/>
    </row>
    <row r="81" spans="4:24">
      <c r="D81" s="370"/>
      <c r="L81" s="249"/>
      <c r="M81" s="249"/>
      <c r="N81" s="249"/>
      <c r="O81" s="249"/>
      <c r="P81" s="249"/>
      <c r="Q81" s="249"/>
      <c r="R81" s="249"/>
      <c r="S81" s="388"/>
      <c r="T81" s="388"/>
      <c r="U81" s="388"/>
      <c r="V81" s="388"/>
      <c r="W81" s="388"/>
      <c r="X81" s="388"/>
    </row>
    <row r="82" spans="4:24">
      <c r="D82" s="370"/>
      <c r="N82" s="388"/>
      <c r="O82" s="388"/>
      <c r="P82" s="388"/>
      <c r="Q82" s="388"/>
      <c r="R82" s="388"/>
    </row>
    <row r="83" spans="4:24">
      <c r="D83" s="370"/>
      <c r="J83" s="381"/>
    </row>
    <row r="84" spans="4:24">
      <c r="D84" s="370"/>
      <c r="J84" s="381"/>
      <c r="S84" s="249"/>
      <c r="T84" s="249"/>
      <c r="U84" s="249"/>
      <c r="V84" s="249"/>
      <c r="W84" s="249"/>
      <c r="X84" s="249"/>
    </row>
    <row r="85" spans="4:24">
      <c r="D85" s="370"/>
      <c r="L85" s="249"/>
      <c r="M85" s="249"/>
      <c r="N85" s="249"/>
      <c r="O85" s="249"/>
      <c r="P85" s="249"/>
      <c r="Q85" s="249"/>
      <c r="R85" s="249"/>
      <c r="S85" s="388"/>
      <c r="T85" s="388"/>
      <c r="U85" s="388"/>
      <c r="V85" s="388"/>
      <c r="W85" s="388"/>
      <c r="X85" s="388"/>
    </row>
    <row r="86" spans="4:24">
      <c r="D86" s="370"/>
      <c r="J86" s="381"/>
      <c r="N86" s="388"/>
      <c r="O86" s="388"/>
      <c r="P86" s="388"/>
      <c r="Q86" s="388"/>
      <c r="R86" s="388"/>
    </row>
    <row r="87" spans="4:24">
      <c r="D87" s="370"/>
      <c r="J87" s="381"/>
      <c r="S87" s="249"/>
      <c r="T87" s="249"/>
      <c r="U87" s="249"/>
      <c r="V87" s="249"/>
      <c r="W87" s="249"/>
      <c r="X87" s="249"/>
    </row>
    <row r="88" spans="4:24">
      <c r="D88" s="370"/>
      <c r="J88" s="381"/>
      <c r="L88" s="249"/>
      <c r="M88" s="249"/>
      <c r="N88" s="249"/>
      <c r="O88" s="249"/>
      <c r="P88" s="249"/>
      <c r="Q88" s="249"/>
      <c r="R88" s="249"/>
      <c r="S88" s="388"/>
      <c r="T88" s="388"/>
      <c r="U88" s="388"/>
      <c r="V88" s="388"/>
      <c r="W88" s="388"/>
      <c r="X88" s="388"/>
    </row>
    <row r="89" spans="4:24">
      <c r="D89" s="370"/>
      <c r="K89" s="381"/>
      <c r="N89" s="388"/>
      <c r="O89" s="388"/>
      <c r="P89" s="388"/>
      <c r="Q89" s="388"/>
      <c r="R89" s="388"/>
    </row>
    <row r="90" spans="4:24">
      <c r="D90" s="345"/>
      <c r="E90" s="381"/>
      <c r="F90" s="381"/>
      <c r="G90" s="381"/>
      <c r="H90" s="381"/>
      <c r="I90" s="381"/>
      <c r="K90" s="381"/>
      <c r="S90" s="249"/>
      <c r="T90" s="249"/>
      <c r="U90" s="249"/>
      <c r="V90" s="249"/>
      <c r="W90" s="249"/>
      <c r="X90" s="249"/>
    </row>
    <row r="91" spans="4:24">
      <c r="D91" s="370"/>
      <c r="J91" s="381"/>
      <c r="L91" s="249"/>
      <c r="M91" s="249"/>
      <c r="N91" s="249"/>
      <c r="O91" s="249"/>
      <c r="P91" s="249"/>
      <c r="Q91" s="249"/>
      <c r="R91" s="249"/>
      <c r="S91" s="388"/>
      <c r="T91" s="388"/>
      <c r="U91" s="388"/>
      <c r="V91" s="388"/>
      <c r="W91" s="388"/>
      <c r="X91" s="388"/>
    </row>
    <row r="92" spans="4:24">
      <c r="D92" s="370"/>
      <c r="J92" s="381"/>
      <c r="K92" s="381"/>
      <c r="N92" s="388"/>
      <c r="O92" s="388"/>
      <c r="P92" s="388"/>
      <c r="Q92" s="388"/>
      <c r="R92" s="388"/>
    </row>
    <row r="93" spans="4:24">
      <c r="D93" s="345"/>
      <c r="E93" s="381"/>
      <c r="F93" s="381"/>
      <c r="G93" s="381"/>
      <c r="H93" s="381"/>
      <c r="I93" s="381"/>
      <c r="K93" s="381"/>
      <c r="S93" s="249"/>
      <c r="T93" s="249"/>
      <c r="U93" s="249"/>
      <c r="V93" s="249"/>
      <c r="W93" s="249"/>
      <c r="X93" s="249"/>
    </row>
    <row r="94" spans="4:24">
      <c r="D94" s="370"/>
      <c r="K94" s="381"/>
      <c r="L94" s="249"/>
      <c r="M94" s="249"/>
      <c r="N94" s="249"/>
      <c r="O94" s="249"/>
      <c r="P94" s="249"/>
      <c r="Q94" s="249"/>
      <c r="R94" s="249"/>
      <c r="S94" s="388"/>
      <c r="T94" s="388"/>
      <c r="U94" s="388"/>
      <c r="V94" s="388"/>
      <c r="W94" s="388"/>
      <c r="X94" s="388"/>
    </row>
    <row r="95" spans="4:24">
      <c r="D95" s="345"/>
      <c r="E95" s="381"/>
      <c r="F95" s="381"/>
      <c r="G95" s="381"/>
      <c r="H95" s="381"/>
      <c r="I95" s="381"/>
      <c r="N95" s="388"/>
      <c r="O95" s="388"/>
      <c r="P95" s="388"/>
      <c r="Q95" s="388"/>
      <c r="R95" s="388"/>
      <c r="S95" s="389"/>
      <c r="T95" s="389"/>
      <c r="U95" s="389"/>
      <c r="V95" s="389"/>
      <c r="W95" s="389"/>
      <c r="X95" s="389"/>
    </row>
    <row r="96" spans="4:24">
      <c r="D96" s="370"/>
      <c r="E96" s="381"/>
      <c r="F96" s="381"/>
      <c r="G96" s="381"/>
      <c r="H96" s="381"/>
      <c r="I96" s="381"/>
      <c r="L96" s="389"/>
      <c r="M96" s="389"/>
      <c r="N96" s="389"/>
      <c r="O96" s="389"/>
      <c r="P96" s="389"/>
      <c r="Q96" s="389"/>
      <c r="R96" s="389"/>
      <c r="S96" s="388"/>
      <c r="T96" s="388"/>
      <c r="U96" s="388"/>
      <c r="V96" s="388"/>
      <c r="W96" s="388"/>
      <c r="X96" s="388"/>
    </row>
    <row r="97" spans="4:24">
      <c r="D97" s="370"/>
      <c r="K97" s="381"/>
      <c r="N97" s="388"/>
      <c r="O97" s="388"/>
      <c r="P97" s="388"/>
      <c r="Q97" s="388"/>
      <c r="R97" s="388"/>
    </row>
    <row r="98" spans="4:24">
      <c r="D98" s="370"/>
      <c r="K98" s="381"/>
      <c r="S98" s="249"/>
      <c r="T98" s="249"/>
      <c r="U98" s="249"/>
      <c r="V98" s="249"/>
      <c r="W98" s="249"/>
      <c r="X98" s="249"/>
    </row>
    <row r="99" spans="4:24">
      <c r="D99" s="345"/>
      <c r="E99" s="381"/>
      <c r="F99" s="381"/>
      <c r="G99" s="381"/>
      <c r="H99" s="381"/>
      <c r="I99" s="381"/>
      <c r="L99" s="249"/>
      <c r="M99" s="249"/>
      <c r="N99" s="249"/>
      <c r="O99" s="249"/>
      <c r="P99" s="249"/>
      <c r="Q99" s="249"/>
      <c r="R99" s="249"/>
      <c r="S99" s="390"/>
      <c r="T99" s="390"/>
      <c r="U99" s="390"/>
      <c r="V99" s="390"/>
      <c r="W99" s="390"/>
      <c r="X99" s="390"/>
    </row>
    <row r="100" spans="4:24">
      <c r="D100" s="370"/>
      <c r="E100" s="381"/>
      <c r="F100" s="381"/>
      <c r="G100" s="381"/>
      <c r="H100" s="381"/>
      <c r="I100" s="381"/>
      <c r="N100" s="388"/>
      <c r="O100" s="388"/>
      <c r="P100" s="390"/>
      <c r="Q100" s="390"/>
      <c r="R100" s="390"/>
      <c r="S100" s="249"/>
      <c r="T100" s="249"/>
      <c r="U100" s="249"/>
      <c r="V100" s="249"/>
      <c r="W100" s="249"/>
      <c r="X100" s="249"/>
    </row>
    <row r="101" spans="4:24">
      <c r="D101" s="370"/>
      <c r="L101" s="249"/>
      <c r="M101" s="249"/>
      <c r="N101" s="249"/>
      <c r="O101" s="249"/>
      <c r="P101" s="249"/>
      <c r="Q101" s="249"/>
      <c r="R101" s="249"/>
      <c r="S101" s="388"/>
      <c r="T101" s="388"/>
      <c r="U101" s="388"/>
      <c r="V101" s="388"/>
      <c r="W101" s="388"/>
      <c r="X101" s="388"/>
    </row>
    <row r="102" spans="4:24">
      <c r="D102" s="345"/>
      <c r="E102" s="381"/>
      <c r="F102" s="381"/>
      <c r="G102" s="381"/>
      <c r="H102" s="381"/>
      <c r="I102" s="381"/>
      <c r="N102" s="388"/>
      <c r="O102" s="388"/>
      <c r="P102" s="388"/>
      <c r="Q102" s="388"/>
      <c r="R102" s="388"/>
      <c r="S102" s="248"/>
      <c r="T102" s="248"/>
      <c r="U102" s="248"/>
      <c r="V102" s="248"/>
      <c r="W102" s="248"/>
      <c r="X102" s="248"/>
    </row>
    <row r="103" spans="4:24">
      <c r="D103" s="370"/>
      <c r="J103" s="381"/>
      <c r="L103" s="248"/>
      <c r="M103" s="248"/>
      <c r="N103" s="248"/>
      <c r="O103" s="248"/>
      <c r="P103" s="248"/>
      <c r="Q103" s="248"/>
      <c r="R103" s="248"/>
    </row>
    <row r="104" spans="4:24">
      <c r="D104" s="370"/>
      <c r="J104" s="381"/>
      <c r="S104" s="247"/>
      <c r="T104" s="247"/>
      <c r="U104" s="247"/>
      <c r="V104" s="247"/>
      <c r="W104" s="247"/>
      <c r="X104" s="247"/>
    </row>
    <row r="105" spans="4:24">
      <c r="D105" s="345"/>
      <c r="E105" s="381"/>
      <c r="F105" s="381"/>
      <c r="G105" s="381"/>
      <c r="H105" s="381"/>
      <c r="I105" s="381"/>
      <c r="L105" s="247"/>
      <c r="M105" s="247"/>
      <c r="N105" s="247"/>
      <c r="O105" s="247"/>
      <c r="P105" s="247"/>
      <c r="Q105" s="247"/>
      <c r="R105" s="247"/>
      <c r="S105" s="388"/>
      <c r="T105" s="388"/>
      <c r="U105" s="388"/>
      <c r="V105" s="388"/>
      <c r="W105" s="388"/>
      <c r="X105" s="388"/>
    </row>
    <row r="106" spans="4:24">
      <c r="D106" s="370"/>
      <c r="N106" s="388"/>
      <c r="O106" s="388"/>
      <c r="P106" s="388"/>
      <c r="Q106" s="388"/>
      <c r="R106" s="388"/>
    </row>
    <row r="107" spans="4:24">
      <c r="D107" s="370"/>
      <c r="J107" s="381"/>
      <c r="S107" s="389"/>
      <c r="T107" s="389"/>
      <c r="U107" s="389"/>
      <c r="V107" s="389"/>
      <c r="W107" s="389"/>
      <c r="X107" s="389"/>
    </row>
    <row r="108" spans="4:24">
      <c r="D108" s="370"/>
      <c r="J108" s="381"/>
      <c r="L108" s="389"/>
      <c r="M108" s="389"/>
      <c r="N108" s="389"/>
      <c r="O108" s="389"/>
      <c r="P108" s="389"/>
      <c r="Q108" s="389"/>
      <c r="R108" s="389"/>
      <c r="S108" s="388"/>
      <c r="T108" s="388"/>
      <c r="U108" s="388"/>
      <c r="V108" s="388"/>
      <c r="W108" s="388"/>
      <c r="X108" s="388"/>
    </row>
    <row r="109" spans="4:24">
      <c r="D109" s="345"/>
      <c r="E109" s="381"/>
      <c r="F109" s="381"/>
      <c r="G109" s="381"/>
      <c r="H109" s="381"/>
      <c r="I109" s="381"/>
      <c r="K109" s="381"/>
      <c r="N109" s="388"/>
      <c r="O109" s="388"/>
      <c r="P109" s="388"/>
      <c r="Q109" s="388"/>
      <c r="R109" s="388"/>
    </row>
    <row r="110" spans="4:24">
      <c r="D110" s="370"/>
      <c r="K110" s="381"/>
      <c r="S110" s="391"/>
      <c r="T110" s="391"/>
      <c r="U110" s="391"/>
      <c r="V110" s="391"/>
      <c r="W110" s="391"/>
      <c r="X110" s="391"/>
    </row>
    <row r="111" spans="4:24">
      <c r="D111" s="370"/>
      <c r="E111" s="345"/>
      <c r="F111" s="345"/>
      <c r="G111" s="345"/>
      <c r="H111" s="345"/>
      <c r="I111" s="345"/>
      <c r="J111" s="381"/>
      <c r="L111" s="391"/>
      <c r="M111" s="391"/>
      <c r="N111" s="391"/>
      <c r="O111" s="391"/>
      <c r="P111" s="391"/>
      <c r="Q111" s="391"/>
      <c r="R111" s="391"/>
      <c r="S111" s="388"/>
      <c r="T111" s="388"/>
      <c r="U111" s="388"/>
      <c r="V111" s="388"/>
      <c r="W111" s="388"/>
      <c r="X111" s="388"/>
    </row>
    <row r="112" spans="4:24">
      <c r="D112" s="370"/>
      <c r="E112" s="345"/>
      <c r="F112" s="345"/>
      <c r="G112" s="345"/>
      <c r="H112" s="345"/>
      <c r="I112" s="345"/>
      <c r="N112" s="388"/>
      <c r="O112" s="388"/>
      <c r="P112" s="388"/>
      <c r="Q112" s="388"/>
      <c r="R112" s="388"/>
      <c r="S112" s="248"/>
      <c r="T112" s="248"/>
      <c r="U112" s="248"/>
      <c r="V112" s="248"/>
      <c r="W112" s="248"/>
      <c r="X112" s="248"/>
    </row>
    <row r="113" spans="4:24">
      <c r="D113" s="370"/>
      <c r="K113" s="381"/>
      <c r="N113" s="248"/>
      <c r="O113" s="248"/>
      <c r="P113" s="248"/>
      <c r="Q113" s="248"/>
      <c r="R113" s="248"/>
    </row>
    <row r="114" spans="4:24">
      <c r="D114" s="370"/>
      <c r="K114" s="381"/>
      <c r="S114" s="247"/>
      <c r="T114" s="247"/>
      <c r="U114" s="247"/>
      <c r="V114" s="247"/>
      <c r="W114" s="247"/>
      <c r="X114" s="247"/>
    </row>
    <row r="115" spans="4:24">
      <c r="D115" s="370"/>
      <c r="L115" s="247"/>
      <c r="M115" s="247"/>
      <c r="N115" s="247"/>
      <c r="O115" s="247"/>
      <c r="P115" s="247"/>
      <c r="Q115" s="247"/>
      <c r="R115" s="247"/>
      <c r="S115" s="388"/>
      <c r="T115" s="388"/>
      <c r="U115" s="388"/>
      <c r="V115" s="388"/>
      <c r="W115" s="388"/>
      <c r="X115" s="388"/>
    </row>
    <row r="116" spans="4:24">
      <c r="D116" s="345"/>
      <c r="E116" s="381"/>
      <c r="F116" s="381"/>
      <c r="G116" s="381"/>
      <c r="H116" s="381"/>
      <c r="I116" s="381"/>
      <c r="N116" s="388"/>
      <c r="O116" s="388"/>
      <c r="P116" s="388"/>
      <c r="Q116" s="388"/>
      <c r="R116" s="388"/>
      <c r="S116" s="274"/>
      <c r="T116" s="274"/>
      <c r="U116" s="274"/>
      <c r="V116" s="274"/>
      <c r="W116" s="274"/>
      <c r="X116" s="274"/>
    </row>
    <row r="117" spans="4:24">
      <c r="D117" s="345"/>
      <c r="E117" s="381"/>
      <c r="F117" s="381"/>
      <c r="G117" s="381"/>
      <c r="H117" s="381"/>
      <c r="I117" s="381"/>
      <c r="K117" s="381"/>
      <c r="L117" s="274"/>
      <c r="M117" s="274"/>
      <c r="N117" s="274"/>
      <c r="O117" s="274"/>
      <c r="P117" s="274"/>
      <c r="Q117" s="274"/>
      <c r="R117" s="274"/>
    </row>
    <row r="118" spans="4:24">
      <c r="D118" s="370"/>
      <c r="E118" s="381"/>
      <c r="F118" s="381"/>
      <c r="G118" s="381"/>
      <c r="H118" s="381"/>
      <c r="I118" s="381"/>
      <c r="S118" s="389"/>
      <c r="T118" s="389"/>
      <c r="U118" s="389"/>
      <c r="V118" s="389"/>
      <c r="W118" s="389"/>
      <c r="X118" s="389"/>
    </row>
    <row r="119" spans="4:24">
      <c r="D119" s="370"/>
      <c r="E119" s="381"/>
      <c r="F119" s="381"/>
      <c r="G119" s="381"/>
      <c r="H119" s="381"/>
      <c r="I119" s="381"/>
      <c r="L119" s="389"/>
      <c r="M119" s="389"/>
      <c r="N119" s="389"/>
      <c r="O119" s="389"/>
      <c r="P119" s="389"/>
      <c r="Q119" s="389"/>
      <c r="R119" s="389"/>
      <c r="S119" s="388"/>
      <c r="T119" s="388"/>
      <c r="U119" s="388"/>
      <c r="V119" s="388"/>
      <c r="W119" s="388"/>
      <c r="X119" s="388"/>
    </row>
    <row r="120" spans="4:24">
      <c r="D120" s="370"/>
      <c r="N120" s="388"/>
      <c r="O120" s="388"/>
      <c r="P120" s="388"/>
      <c r="Q120" s="388"/>
      <c r="R120" s="388"/>
    </row>
    <row r="121" spans="4:24">
      <c r="D121" s="345"/>
      <c r="E121" s="381"/>
      <c r="F121" s="381"/>
      <c r="G121" s="381"/>
      <c r="H121" s="381"/>
      <c r="I121" s="381"/>
    </row>
    <row r="122" spans="4:24">
      <c r="D122" s="370"/>
      <c r="E122" s="381"/>
      <c r="F122" s="381"/>
      <c r="G122" s="381"/>
      <c r="H122" s="381"/>
      <c r="I122" s="381"/>
      <c r="S122" s="249"/>
      <c r="T122" s="249"/>
      <c r="U122" s="249"/>
      <c r="V122" s="249"/>
      <c r="W122" s="249"/>
      <c r="X122" s="249"/>
    </row>
    <row r="123" spans="4:24">
      <c r="D123" s="370"/>
      <c r="E123" s="381"/>
      <c r="F123" s="381"/>
      <c r="G123" s="381"/>
      <c r="H123" s="381"/>
      <c r="I123" s="381"/>
      <c r="L123" s="249"/>
      <c r="M123" s="249"/>
      <c r="N123" s="249"/>
      <c r="O123" s="249"/>
      <c r="P123" s="249"/>
      <c r="Q123" s="249"/>
      <c r="R123" s="249"/>
      <c r="S123" s="388"/>
      <c r="T123" s="388"/>
      <c r="U123" s="388"/>
      <c r="V123" s="388"/>
      <c r="W123" s="388"/>
      <c r="X123" s="388"/>
    </row>
    <row r="124" spans="4:24">
      <c r="D124" s="370"/>
      <c r="N124" s="388"/>
      <c r="O124" s="388"/>
      <c r="P124" s="388"/>
      <c r="Q124" s="388"/>
      <c r="R124" s="388"/>
    </row>
    <row r="125" spans="4:24">
      <c r="D125" s="370"/>
      <c r="S125" s="249"/>
      <c r="T125" s="249"/>
      <c r="U125" s="249"/>
      <c r="V125" s="249"/>
      <c r="W125" s="249"/>
      <c r="X125" s="249"/>
    </row>
    <row r="126" spans="4:24">
      <c r="D126" s="370"/>
      <c r="J126" s="381"/>
      <c r="L126" s="249"/>
      <c r="M126" s="249"/>
      <c r="N126" s="249"/>
      <c r="O126" s="249"/>
      <c r="P126" s="249"/>
      <c r="Q126" s="249"/>
      <c r="R126" s="249"/>
      <c r="S126" s="390"/>
      <c r="T126" s="390"/>
      <c r="U126" s="390"/>
      <c r="V126" s="390"/>
      <c r="W126" s="390"/>
      <c r="X126" s="390"/>
    </row>
    <row r="127" spans="4:24">
      <c r="D127" s="370"/>
      <c r="J127" s="381"/>
      <c r="N127" s="388"/>
      <c r="O127" s="388"/>
      <c r="P127" s="390"/>
      <c r="Q127" s="390"/>
      <c r="R127" s="390"/>
    </row>
    <row r="128" spans="4:24">
      <c r="D128" s="370"/>
      <c r="S128" s="389"/>
      <c r="T128" s="389"/>
      <c r="U128" s="389"/>
      <c r="V128" s="389"/>
      <c r="W128" s="389"/>
      <c r="X128" s="389"/>
    </row>
    <row r="129" spans="4:24">
      <c r="D129" s="370"/>
      <c r="J129" s="381"/>
      <c r="L129" s="389"/>
      <c r="M129" s="389"/>
      <c r="N129" s="389"/>
      <c r="O129" s="389"/>
      <c r="P129" s="389"/>
      <c r="Q129" s="389"/>
      <c r="R129" s="389"/>
      <c r="S129" s="392"/>
      <c r="T129" s="392"/>
      <c r="U129" s="392"/>
      <c r="V129" s="392"/>
      <c r="W129" s="392"/>
      <c r="X129" s="392"/>
    </row>
    <row r="130" spans="4:24">
      <c r="D130" s="370"/>
      <c r="J130" s="381"/>
      <c r="N130" s="392"/>
      <c r="O130" s="392"/>
      <c r="P130" s="392"/>
      <c r="Q130" s="392"/>
      <c r="R130" s="392"/>
      <c r="S130" s="392"/>
      <c r="T130" s="392"/>
      <c r="U130" s="392"/>
      <c r="V130" s="392"/>
      <c r="W130" s="392"/>
      <c r="X130" s="392"/>
    </row>
    <row r="131" spans="4:24">
      <c r="D131" s="370"/>
      <c r="J131" s="381"/>
      <c r="L131" s="392"/>
      <c r="M131" s="392"/>
      <c r="N131" s="392"/>
      <c r="O131" s="392"/>
      <c r="P131" s="392"/>
      <c r="Q131" s="392"/>
      <c r="R131" s="392"/>
    </row>
    <row r="132" spans="4:24">
      <c r="D132" s="370"/>
      <c r="K132" s="381"/>
      <c r="S132" s="388"/>
      <c r="T132" s="388"/>
      <c r="U132" s="388"/>
      <c r="V132" s="388"/>
      <c r="W132" s="388"/>
      <c r="X132" s="388"/>
    </row>
    <row r="133" spans="4:24">
      <c r="D133" s="345"/>
      <c r="E133" s="381"/>
      <c r="F133" s="381"/>
      <c r="G133" s="381"/>
      <c r="H133" s="381"/>
      <c r="I133" s="381"/>
      <c r="K133" s="381"/>
      <c r="L133" s="388"/>
      <c r="M133" s="388"/>
      <c r="N133" s="388"/>
      <c r="O133" s="388"/>
      <c r="P133" s="388"/>
      <c r="Q133" s="388"/>
      <c r="R133" s="388"/>
      <c r="S133" s="389"/>
      <c r="T133" s="389"/>
      <c r="U133" s="389"/>
      <c r="V133" s="389"/>
      <c r="W133" s="389"/>
      <c r="X133" s="389"/>
    </row>
    <row r="134" spans="4:24">
      <c r="D134" s="370"/>
      <c r="J134" s="381"/>
      <c r="L134" s="389"/>
      <c r="M134" s="389"/>
      <c r="N134" s="389"/>
      <c r="O134" s="389"/>
      <c r="P134" s="389"/>
      <c r="Q134" s="389"/>
      <c r="R134" s="389"/>
      <c r="S134" s="392"/>
      <c r="T134" s="392"/>
      <c r="U134" s="392"/>
      <c r="V134" s="392"/>
      <c r="W134" s="392"/>
      <c r="X134" s="392"/>
    </row>
    <row r="135" spans="4:24">
      <c r="D135" s="370"/>
      <c r="J135" s="381"/>
      <c r="K135" s="381"/>
      <c r="R135" s="392"/>
    </row>
    <row r="136" spans="4:24">
      <c r="D136" s="345"/>
      <c r="E136" s="381"/>
      <c r="F136" s="381"/>
      <c r="G136" s="381"/>
      <c r="H136" s="381"/>
      <c r="I136" s="381"/>
      <c r="K136" s="381"/>
      <c r="S136" s="389"/>
      <c r="T136" s="389"/>
      <c r="U136" s="389"/>
      <c r="V136" s="389"/>
      <c r="W136" s="389"/>
      <c r="X136" s="389"/>
    </row>
    <row r="137" spans="4:24">
      <c r="D137" s="370"/>
      <c r="K137" s="381"/>
      <c r="L137" s="389"/>
      <c r="M137" s="389"/>
      <c r="N137" s="389"/>
      <c r="O137" s="389"/>
      <c r="P137" s="389"/>
      <c r="Q137" s="389"/>
      <c r="R137" s="389"/>
      <c r="S137" s="392"/>
      <c r="T137" s="392"/>
      <c r="U137" s="392"/>
      <c r="V137" s="392"/>
      <c r="W137" s="392"/>
      <c r="X137" s="392"/>
    </row>
    <row r="138" spans="4:24">
      <c r="D138" s="345"/>
      <c r="E138" s="381"/>
      <c r="F138" s="381"/>
      <c r="G138" s="381"/>
      <c r="H138" s="381"/>
      <c r="I138" s="381"/>
      <c r="N138" s="392"/>
      <c r="O138" s="392"/>
      <c r="P138" s="392"/>
      <c r="Q138" s="392"/>
      <c r="R138" s="392"/>
    </row>
    <row r="139" spans="4:24">
      <c r="D139" s="370"/>
      <c r="E139" s="381"/>
      <c r="F139" s="381"/>
      <c r="G139" s="381"/>
      <c r="H139" s="381"/>
      <c r="I139" s="381"/>
    </row>
    <row r="140" spans="4:24">
      <c r="D140" s="370"/>
      <c r="K140" s="381"/>
    </row>
    <row r="141" spans="4:24">
      <c r="D141" s="370"/>
      <c r="K141" s="381"/>
    </row>
    <row r="142" spans="4:24">
      <c r="D142" s="345"/>
      <c r="E142" s="381"/>
      <c r="F142" s="381"/>
      <c r="G142" s="381"/>
      <c r="H142" s="381"/>
      <c r="I142" s="381"/>
    </row>
    <row r="143" spans="4:24">
      <c r="D143" s="370"/>
      <c r="E143" s="381"/>
      <c r="F143" s="381"/>
      <c r="G143" s="381"/>
      <c r="H143" s="381"/>
      <c r="I143" s="381"/>
    </row>
    <row r="144" spans="4:24">
      <c r="D144" s="370"/>
    </row>
    <row r="145" spans="4:11">
      <c r="D145" s="345"/>
      <c r="E145" s="381"/>
      <c r="F145" s="381"/>
      <c r="G145" s="381"/>
      <c r="H145" s="381"/>
      <c r="I145" s="381"/>
    </row>
    <row r="146" spans="4:11">
      <c r="D146" s="370"/>
      <c r="J146" s="381"/>
    </row>
    <row r="147" spans="4:11">
      <c r="D147" s="370"/>
      <c r="J147" s="381"/>
    </row>
    <row r="148" spans="4:11">
      <c r="D148" s="345"/>
      <c r="E148" s="381"/>
      <c r="F148" s="381"/>
      <c r="G148" s="381"/>
      <c r="H148" s="381"/>
      <c r="I148" s="381"/>
    </row>
    <row r="149" spans="4:11">
      <c r="D149" s="370"/>
    </row>
    <row r="150" spans="4:11">
      <c r="D150" s="370"/>
      <c r="J150" s="381"/>
    </row>
    <row r="151" spans="4:11">
      <c r="D151" s="370"/>
      <c r="J151" s="381"/>
    </row>
    <row r="152" spans="4:11">
      <c r="D152" s="345"/>
      <c r="E152" s="381"/>
      <c r="F152" s="381"/>
      <c r="G152" s="381"/>
      <c r="H152" s="381"/>
      <c r="I152" s="381"/>
      <c r="K152" s="381"/>
    </row>
    <row r="153" spans="4:11">
      <c r="D153" s="370"/>
      <c r="K153" s="381"/>
    </row>
    <row r="154" spans="4:11">
      <c r="D154" s="370"/>
      <c r="E154" s="345"/>
      <c r="F154" s="345"/>
      <c r="G154" s="345"/>
      <c r="H154" s="345"/>
      <c r="I154" s="345"/>
      <c r="J154" s="381"/>
    </row>
    <row r="155" spans="4:11">
      <c r="D155" s="370"/>
      <c r="E155" s="345"/>
      <c r="F155" s="345"/>
      <c r="G155" s="345"/>
      <c r="H155" s="345"/>
      <c r="I155" s="345"/>
    </row>
    <row r="156" spans="4:11">
      <c r="D156" s="370"/>
      <c r="K156" s="381"/>
    </row>
    <row r="157" spans="4:11">
      <c r="D157" s="370"/>
      <c r="K157" s="381"/>
    </row>
    <row r="159" spans="4:11">
      <c r="D159" s="345"/>
      <c r="E159" s="381"/>
      <c r="F159" s="381"/>
      <c r="G159" s="381"/>
      <c r="H159" s="381"/>
      <c r="I159" s="381"/>
    </row>
    <row r="160" spans="4:11">
      <c r="D160" s="345"/>
      <c r="E160" s="381"/>
      <c r="F160" s="381"/>
      <c r="G160" s="381"/>
      <c r="H160" s="381"/>
      <c r="I160" s="381"/>
      <c r="K160" s="381"/>
    </row>
    <row r="161" spans="4:11">
      <c r="D161" s="370"/>
      <c r="E161" s="381"/>
      <c r="F161" s="381"/>
      <c r="G161" s="381"/>
      <c r="H161" s="381"/>
      <c r="I161" s="381"/>
    </row>
    <row r="162" spans="4:11">
      <c r="D162" s="370"/>
      <c r="E162" s="381"/>
      <c r="F162" s="381"/>
      <c r="G162" s="381"/>
      <c r="H162" s="381"/>
      <c r="I162" s="381"/>
    </row>
    <row r="163" spans="4:11">
      <c r="D163" s="370"/>
    </row>
    <row r="164" spans="4:11">
      <c r="D164" s="345"/>
      <c r="E164" s="381"/>
      <c r="F164" s="381"/>
      <c r="G164" s="381"/>
      <c r="H164" s="381"/>
      <c r="I164" s="381"/>
    </row>
    <row r="165" spans="4:11">
      <c r="D165" s="370"/>
      <c r="E165" s="381"/>
      <c r="F165" s="381"/>
      <c r="G165" s="381"/>
      <c r="H165" s="381"/>
      <c r="I165" s="381"/>
    </row>
    <row r="166" spans="4:11">
      <c r="D166" s="370"/>
      <c r="E166" s="381"/>
      <c r="F166" s="381"/>
      <c r="G166" s="381"/>
      <c r="H166" s="381"/>
      <c r="I166" s="381"/>
    </row>
    <row r="167" spans="4:11">
      <c r="D167" s="370"/>
    </row>
    <row r="168" spans="4:11">
      <c r="D168" s="370"/>
    </row>
    <row r="169" spans="4:11">
      <c r="D169" s="370"/>
      <c r="J169" s="381"/>
    </row>
    <row r="170" spans="4:11">
      <c r="D170" s="370"/>
      <c r="J170" s="381"/>
    </row>
    <row r="171" spans="4:11">
      <c r="D171" s="370"/>
    </row>
    <row r="172" spans="4:11">
      <c r="D172" s="370"/>
      <c r="J172" s="381"/>
    </row>
    <row r="173" spans="4:11">
      <c r="D173" s="370"/>
      <c r="J173" s="381"/>
    </row>
    <row r="174" spans="4:11">
      <c r="D174" s="370"/>
      <c r="J174" s="381"/>
    </row>
    <row r="175" spans="4:11">
      <c r="D175" s="370"/>
      <c r="K175" s="381"/>
    </row>
    <row r="176" spans="4:11">
      <c r="D176" s="345"/>
      <c r="E176" s="381"/>
      <c r="F176" s="381"/>
      <c r="G176" s="381"/>
      <c r="H176" s="381"/>
      <c r="I176" s="381"/>
      <c r="K176" s="381"/>
    </row>
    <row r="177" spans="4:11">
      <c r="D177" s="370"/>
      <c r="J177" s="381"/>
    </row>
    <row r="178" spans="4:11">
      <c r="D178" s="370"/>
      <c r="J178" s="381"/>
      <c r="K178" s="381"/>
    </row>
    <row r="179" spans="4:11">
      <c r="D179" s="345"/>
      <c r="E179" s="381"/>
      <c r="F179" s="381"/>
      <c r="G179" s="381"/>
      <c r="H179" s="381"/>
      <c r="I179" s="381"/>
      <c r="K179" s="381"/>
    </row>
    <row r="180" spans="4:11">
      <c r="D180" s="370"/>
      <c r="K180" s="381"/>
    </row>
    <row r="181" spans="4:11">
      <c r="D181" s="345"/>
      <c r="E181" s="381"/>
      <c r="F181" s="381"/>
      <c r="G181" s="381"/>
      <c r="H181" s="381"/>
      <c r="I181" s="381"/>
    </row>
    <row r="182" spans="4:11">
      <c r="D182" s="370"/>
      <c r="E182" s="381"/>
      <c r="F182" s="381"/>
      <c r="G182" s="381"/>
      <c r="H182" s="381"/>
      <c r="I182" s="381"/>
    </row>
    <row r="183" spans="4:11">
      <c r="D183" s="370"/>
      <c r="K183" s="381"/>
    </row>
    <row r="184" spans="4:11">
      <c r="D184" s="370"/>
      <c r="K184" s="381"/>
    </row>
    <row r="185" spans="4:11">
      <c r="D185" s="345"/>
      <c r="E185" s="381"/>
      <c r="F185" s="381"/>
      <c r="G185" s="381"/>
      <c r="H185" s="381"/>
      <c r="I185" s="381"/>
    </row>
    <row r="186" spans="4:11">
      <c r="D186" s="370"/>
      <c r="E186" s="381"/>
      <c r="F186" s="381"/>
      <c r="G186" s="381"/>
      <c r="H186" s="381"/>
      <c r="I186" s="381"/>
    </row>
    <row r="187" spans="4:11">
      <c r="D187" s="370"/>
    </row>
    <row r="188" spans="4:11">
      <c r="D188" s="345"/>
      <c r="E188" s="381"/>
      <c r="F188" s="381"/>
      <c r="G188" s="381"/>
      <c r="H188" s="381"/>
      <c r="I188" s="381"/>
    </row>
    <row r="189" spans="4:11">
      <c r="D189" s="370"/>
      <c r="J189" s="381"/>
    </row>
    <row r="190" spans="4:11">
      <c r="D190" s="370"/>
      <c r="J190" s="381"/>
    </row>
    <row r="191" spans="4:11">
      <c r="D191" s="345"/>
      <c r="E191" s="381"/>
      <c r="F191" s="381"/>
      <c r="G191" s="381"/>
      <c r="H191" s="381"/>
      <c r="I191" s="381"/>
    </row>
    <row r="192" spans="4:11">
      <c r="D192" s="370"/>
    </row>
    <row r="193" spans="4:11">
      <c r="D193" s="370"/>
      <c r="J193" s="381"/>
    </row>
    <row r="194" spans="4:11">
      <c r="D194" s="370"/>
      <c r="J194" s="381"/>
    </row>
    <row r="195" spans="4:11">
      <c r="D195" s="345"/>
      <c r="E195" s="381"/>
      <c r="F195" s="381"/>
      <c r="G195" s="381"/>
      <c r="H195" s="381"/>
      <c r="I195" s="381"/>
      <c r="K195" s="381"/>
    </row>
    <row r="196" spans="4:11">
      <c r="D196" s="370"/>
      <c r="K196" s="381"/>
    </row>
    <row r="197" spans="4:11">
      <c r="D197" s="370"/>
      <c r="E197" s="345"/>
      <c r="F197" s="345"/>
      <c r="G197" s="345"/>
      <c r="H197" s="345"/>
      <c r="I197" s="345"/>
      <c r="J197" s="381"/>
    </row>
    <row r="198" spans="4:11">
      <c r="D198" s="370"/>
      <c r="E198" s="345"/>
      <c r="F198" s="345"/>
      <c r="G198" s="345"/>
      <c r="H198" s="345"/>
      <c r="I198" s="345"/>
    </row>
    <row r="199" spans="4:11">
      <c r="D199" s="370"/>
      <c r="K199" s="381"/>
    </row>
    <row r="200" spans="4:11">
      <c r="D200" s="370"/>
      <c r="K200" s="381"/>
    </row>
    <row r="201" spans="4:11">
      <c r="D201" s="370"/>
    </row>
    <row r="202" spans="4:11">
      <c r="D202" s="345"/>
      <c r="E202" s="381"/>
      <c r="F202" s="381"/>
      <c r="G202" s="381"/>
      <c r="H202" s="381"/>
      <c r="I202" s="381"/>
    </row>
    <row r="203" spans="4:11">
      <c r="D203" s="345"/>
      <c r="E203" s="381"/>
      <c r="F203" s="381"/>
      <c r="G203" s="381"/>
      <c r="H203" s="381"/>
      <c r="I203" s="381"/>
      <c r="K203" s="381"/>
    </row>
    <row r="204" spans="4:11">
      <c r="D204" s="370"/>
      <c r="E204" s="381"/>
      <c r="F204" s="381"/>
      <c r="G204" s="381"/>
      <c r="H204" s="381"/>
      <c r="I204" s="381"/>
    </row>
    <row r="205" spans="4:11">
      <c r="D205" s="370"/>
      <c r="E205" s="381"/>
      <c r="F205" s="381"/>
      <c r="G205" s="381"/>
      <c r="H205" s="381"/>
      <c r="I205" s="381"/>
    </row>
    <row r="206" spans="4:11">
      <c r="D206" s="370"/>
    </row>
    <row r="207" spans="4:11">
      <c r="D207" s="345"/>
      <c r="E207" s="381"/>
      <c r="F207" s="381"/>
      <c r="G207" s="381"/>
      <c r="H207" s="381"/>
      <c r="I207" s="381"/>
    </row>
    <row r="208" spans="4:11">
      <c r="D208" s="370"/>
      <c r="E208" s="381"/>
      <c r="F208" s="381"/>
      <c r="G208" s="381"/>
      <c r="H208" s="381"/>
      <c r="I208" s="381"/>
    </row>
    <row r="209" spans="4:11">
      <c r="D209" s="370"/>
      <c r="E209" s="381"/>
      <c r="F209" s="381"/>
      <c r="G209" s="381"/>
      <c r="H209" s="381"/>
      <c r="I209" s="381"/>
    </row>
    <row r="210" spans="4:11">
      <c r="D210" s="370"/>
    </row>
    <row r="211" spans="4:11">
      <c r="D211" s="370"/>
    </row>
    <row r="212" spans="4:11">
      <c r="D212" s="370"/>
      <c r="J212" s="381"/>
    </row>
    <row r="213" spans="4:11">
      <c r="D213" s="370"/>
      <c r="J213" s="381"/>
    </row>
    <row r="214" spans="4:11">
      <c r="D214" s="370"/>
    </row>
    <row r="215" spans="4:11">
      <c r="D215" s="370"/>
      <c r="J215" s="381"/>
    </row>
    <row r="216" spans="4:11">
      <c r="D216" s="370"/>
      <c r="J216" s="381"/>
    </row>
    <row r="217" spans="4:11">
      <c r="D217" s="370"/>
      <c r="J217" s="381"/>
    </row>
    <row r="218" spans="4:11">
      <c r="D218" s="370"/>
      <c r="K218" s="381"/>
    </row>
    <row r="219" spans="4:11">
      <c r="D219" s="345"/>
      <c r="E219" s="381"/>
      <c r="F219" s="381"/>
      <c r="G219" s="381"/>
      <c r="H219" s="381"/>
      <c r="I219" s="381"/>
      <c r="K219" s="381"/>
    </row>
    <row r="220" spans="4:11">
      <c r="D220" s="370"/>
      <c r="J220" s="381"/>
    </row>
    <row r="221" spans="4:11">
      <c r="D221" s="370"/>
      <c r="J221" s="381"/>
      <c r="K221" s="381"/>
    </row>
    <row r="222" spans="4:11">
      <c r="D222" s="345"/>
      <c r="E222" s="381"/>
      <c r="F222" s="381"/>
      <c r="G222" s="381"/>
      <c r="H222" s="381"/>
      <c r="I222" s="381"/>
      <c r="K222" s="381"/>
    </row>
    <row r="223" spans="4:11">
      <c r="D223" s="370"/>
      <c r="K223" s="381"/>
    </row>
    <row r="224" spans="4:11">
      <c r="D224" s="345"/>
      <c r="E224" s="381"/>
      <c r="F224" s="381"/>
      <c r="G224" s="381"/>
      <c r="H224" s="381"/>
      <c r="I224" s="381"/>
    </row>
    <row r="225" spans="4:11">
      <c r="D225" s="370"/>
      <c r="E225" s="381"/>
      <c r="F225" s="381"/>
      <c r="G225" s="381"/>
      <c r="H225" s="381"/>
      <c r="I225" s="381"/>
    </row>
    <row r="226" spans="4:11">
      <c r="D226" s="370"/>
      <c r="K226" s="381"/>
    </row>
    <row r="227" spans="4:11">
      <c r="D227" s="370"/>
      <c r="K227" s="381"/>
    </row>
    <row r="228" spans="4:11">
      <c r="D228" s="345"/>
      <c r="E228" s="381"/>
      <c r="F228" s="381"/>
      <c r="G228" s="381"/>
      <c r="H228" s="381"/>
      <c r="I228" s="381"/>
    </row>
    <row r="229" spans="4:11">
      <c r="D229" s="370"/>
      <c r="E229" s="381"/>
      <c r="F229" s="381"/>
      <c r="G229" s="381"/>
      <c r="H229" s="381"/>
      <c r="I229" s="381"/>
    </row>
    <row r="230" spans="4:11">
      <c r="D230" s="370"/>
    </row>
    <row r="231" spans="4:11">
      <c r="D231" s="345"/>
      <c r="E231" s="381"/>
      <c r="F231" s="381"/>
      <c r="G231" s="381"/>
      <c r="H231" s="381"/>
      <c r="I231" s="381"/>
    </row>
    <row r="232" spans="4:11">
      <c r="D232" s="370"/>
      <c r="J232" s="381"/>
    </row>
    <row r="233" spans="4:11">
      <c r="D233" s="370"/>
      <c r="J233" s="381"/>
    </row>
    <row r="234" spans="4:11">
      <c r="D234" s="345"/>
      <c r="E234" s="381"/>
      <c r="F234" s="381"/>
      <c r="G234" s="381"/>
      <c r="H234" s="381"/>
      <c r="I234" s="381"/>
    </row>
    <row r="235" spans="4:11">
      <c r="D235" s="370"/>
    </row>
    <row r="236" spans="4:11">
      <c r="D236" s="370"/>
      <c r="J236" s="381"/>
    </row>
    <row r="237" spans="4:11">
      <c r="D237" s="370"/>
      <c r="J237" s="381"/>
    </row>
    <row r="238" spans="4:11">
      <c r="D238" s="345"/>
      <c r="E238" s="381"/>
      <c r="F238" s="381"/>
      <c r="G238" s="381"/>
      <c r="H238" s="381"/>
      <c r="I238" s="381"/>
      <c r="K238" s="381"/>
    </row>
    <row r="239" spans="4:11">
      <c r="D239" s="370"/>
      <c r="K239" s="381"/>
    </row>
    <row r="240" spans="4:11">
      <c r="D240" s="370"/>
      <c r="E240" s="345"/>
      <c r="F240" s="345"/>
      <c r="G240" s="345"/>
      <c r="H240" s="345"/>
      <c r="I240" s="345"/>
      <c r="J240" s="381"/>
    </row>
    <row r="241" spans="4:11">
      <c r="D241" s="370"/>
      <c r="E241" s="345"/>
      <c r="F241" s="345"/>
      <c r="G241" s="345"/>
      <c r="H241" s="345"/>
      <c r="I241" s="345"/>
    </row>
    <row r="242" spans="4:11">
      <c r="D242" s="370"/>
      <c r="K242" s="381"/>
    </row>
    <row r="243" spans="4:11">
      <c r="D243" s="370"/>
      <c r="K243" s="381"/>
    </row>
    <row r="244" spans="4:11">
      <c r="D244" s="370"/>
    </row>
    <row r="245" spans="4:11">
      <c r="D245" s="345"/>
      <c r="E245" s="381"/>
      <c r="F245" s="381"/>
      <c r="G245" s="381"/>
      <c r="H245" s="381"/>
      <c r="I245" s="381"/>
    </row>
    <row r="246" spans="4:11">
      <c r="D246" s="345"/>
      <c r="E246" s="381"/>
      <c r="F246" s="381"/>
      <c r="G246" s="381"/>
      <c r="H246" s="381"/>
      <c r="I246" s="381"/>
      <c r="K246" s="381"/>
    </row>
    <row r="247" spans="4:11">
      <c r="D247" s="370"/>
      <c r="E247" s="381"/>
      <c r="F247" s="381"/>
      <c r="G247" s="381"/>
      <c r="H247" s="381"/>
      <c r="I247" s="381"/>
    </row>
    <row r="248" spans="4:11">
      <c r="D248" s="370"/>
      <c r="E248" s="381"/>
      <c r="F248" s="381"/>
      <c r="G248" s="381"/>
      <c r="H248" s="381"/>
      <c r="I248" s="381"/>
    </row>
    <row r="249" spans="4:11">
      <c r="D249" s="370"/>
    </row>
    <row r="250" spans="4:11">
      <c r="D250" s="345"/>
      <c r="E250" s="381"/>
      <c r="F250" s="381"/>
      <c r="G250" s="381"/>
      <c r="H250" s="381"/>
      <c r="I250" s="381"/>
    </row>
    <row r="251" spans="4:11">
      <c r="D251" s="370"/>
      <c r="E251" s="381"/>
      <c r="F251" s="381"/>
      <c r="G251" s="381"/>
      <c r="H251" s="381"/>
      <c r="I251" s="381"/>
    </row>
    <row r="252" spans="4:11">
      <c r="D252" s="370"/>
      <c r="E252" s="381"/>
      <c r="F252" s="381"/>
      <c r="G252" s="381"/>
      <c r="H252" s="381"/>
      <c r="I252" s="381"/>
    </row>
    <row r="253" spans="4:11">
      <c r="D253" s="370"/>
    </row>
    <row r="254" spans="4:11">
      <c r="D254" s="370"/>
    </row>
    <row r="255" spans="4:11">
      <c r="D255" s="370"/>
      <c r="J255" s="381"/>
    </row>
    <row r="256" spans="4:11">
      <c r="D256" s="370"/>
      <c r="J256" s="381"/>
    </row>
    <row r="257" spans="4:11">
      <c r="D257" s="370"/>
    </row>
    <row r="258" spans="4:11">
      <c r="D258" s="370"/>
      <c r="J258" s="381"/>
    </row>
    <row r="259" spans="4:11">
      <c r="D259" s="370"/>
      <c r="J259" s="381"/>
    </row>
    <row r="260" spans="4:11">
      <c r="D260" s="370"/>
      <c r="J260" s="381"/>
    </row>
    <row r="261" spans="4:11">
      <c r="D261" s="370"/>
      <c r="K261" s="381"/>
    </row>
    <row r="262" spans="4:11">
      <c r="D262" s="345"/>
      <c r="E262" s="381"/>
      <c r="F262" s="381"/>
      <c r="G262" s="381"/>
      <c r="H262" s="381"/>
      <c r="I262" s="381"/>
      <c r="K262" s="381"/>
    </row>
    <row r="263" spans="4:11">
      <c r="D263" s="370"/>
      <c r="J263" s="381"/>
    </row>
    <row r="264" spans="4:11">
      <c r="D264" s="370"/>
      <c r="J264" s="381"/>
      <c r="K264" s="381"/>
    </row>
    <row r="265" spans="4:11">
      <c r="D265" s="345"/>
      <c r="E265" s="381"/>
      <c r="F265" s="381"/>
      <c r="G265" s="381"/>
      <c r="H265" s="381"/>
      <c r="I265" s="381"/>
      <c r="K265" s="381"/>
    </row>
    <row r="266" spans="4:11">
      <c r="D266" s="370"/>
      <c r="K266" s="381"/>
    </row>
    <row r="267" spans="4:11">
      <c r="D267" s="345"/>
      <c r="E267" s="381"/>
      <c r="F267" s="381"/>
      <c r="G267" s="381"/>
      <c r="H267" s="381"/>
      <c r="I267" s="381"/>
    </row>
    <row r="268" spans="4:11">
      <c r="D268" s="370"/>
      <c r="E268" s="381"/>
      <c r="F268" s="381"/>
      <c r="G268" s="381"/>
      <c r="H268" s="381"/>
      <c r="I268" s="381"/>
    </row>
    <row r="269" spans="4:11">
      <c r="D269" s="370"/>
      <c r="K269" s="381"/>
    </row>
    <row r="270" spans="4:11">
      <c r="D270" s="370"/>
      <c r="K270" s="381"/>
    </row>
    <row r="271" spans="4:11">
      <c r="D271" s="345"/>
      <c r="E271" s="381"/>
      <c r="F271" s="381"/>
      <c r="G271" s="381"/>
      <c r="H271" s="381"/>
      <c r="I271" s="381"/>
    </row>
    <row r="272" spans="4:11">
      <c r="D272" s="370"/>
      <c r="E272" s="381"/>
      <c r="F272" s="381"/>
      <c r="G272" s="381"/>
      <c r="H272" s="381"/>
      <c r="I272" s="381"/>
    </row>
    <row r="273" spans="4:11">
      <c r="D273" s="370"/>
    </row>
    <row r="274" spans="4:11">
      <c r="D274" s="345"/>
      <c r="E274" s="381"/>
      <c r="F274" s="381"/>
      <c r="G274" s="381"/>
      <c r="H274" s="381"/>
      <c r="I274" s="381"/>
    </row>
    <row r="275" spans="4:11">
      <c r="D275" s="370"/>
      <c r="J275" s="381"/>
    </row>
    <row r="276" spans="4:11">
      <c r="D276" s="370"/>
      <c r="J276" s="381"/>
    </row>
    <row r="277" spans="4:11">
      <c r="D277" s="345"/>
      <c r="E277" s="381"/>
      <c r="F277" s="381"/>
      <c r="G277" s="381"/>
      <c r="H277" s="381"/>
      <c r="I277" s="381"/>
    </row>
    <row r="278" spans="4:11">
      <c r="D278" s="370"/>
    </row>
    <row r="279" spans="4:11">
      <c r="D279" s="370"/>
      <c r="J279" s="381"/>
    </row>
    <row r="280" spans="4:11">
      <c r="D280" s="370"/>
      <c r="J280" s="381"/>
    </row>
    <row r="281" spans="4:11">
      <c r="D281" s="345"/>
      <c r="E281" s="381"/>
      <c r="F281" s="381"/>
      <c r="G281" s="381"/>
      <c r="H281" s="381"/>
      <c r="I281" s="381"/>
      <c r="K281" s="381"/>
    </row>
    <row r="282" spans="4:11">
      <c r="D282" s="370"/>
      <c r="K282" s="381"/>
    </row>
    <row r="283" spans="4:11">
      <c r="D283" s="370"/>
      <c r="E283" s="345"/>
      <c r="F283" s="345"/>
      <c r="G283" s="345"/>
      <c r="H283" s="345"/>
      <c r="I283" s="345"/>
      <c r="J283" s="381"/>
    </row>
    <row r="284" spans="4:11">
      <c r="D284" s="370"/>
      <c r="E284" s="345"/>
      <c r="F284" s="345"/>
      <c r="G284" s="345"/>
      <c r="H284" s="345"/>
      <c r="I284" s="345"/>
    </row>
    <row r="285" spans="4:11">
      <c r="D285" s="370"/>
      <c r="K285" s="381"/>
    </row>
    <row r="286" spans="4:11">
      <c r="D286" s="370"/>
      <c r="K286" s="381"/>
    </row>
    <row r="287" spans="4:11">
      <c r="D287" s="370"/>
    </row>
    <row r="288" spans="4:11">
      <c r="D288" s="370"/>
    </row>
    <row r="289" spans="4:11">
      <c r="D289" s="370"/>
      <c r="K289" s="381"/>
    </row>
    <row r="290" spans="4:11">
      <c r="D290" s="370"/>
    </row>
    <row r="291" spans="4:11">
      <c r="D291" s="370"/>
    </row>
    <row r="292" spans="4:11">
      <c r="D292" s="370"/>
    </row>
    <row r="293" spans="4:11">
      <c r="D293" s="370"/>
    </row>
    <row r="294" spans="4:11">
      <c r="D294" s="370"/>
    </row>
    <row r="295" spans="4:11">
      <c r="D295" s="370"/>
    </row>
    <row r="296" spans="4:11">
      <c r="D296" s="370"/>
    </row>
    <row r="297" spans="4:11">
      <c r="D297" s="370"/>
    </row>
    <row r="298" spans="4:11">
      <c r="D298" s="370"/>
    </row>
    <row r="299" spans="4:11">
      <c r="D299" s="370"/>
    </row>
    <row r="300" spans="4:11">
      <c r="D300" s="370"/>
    </row>
    <row r="301" spans="4:11">
      <c r="D301" s="370"/>
    </row>
    <row r="302" spans="4:11">
      <c r="D302" s="370"/>
    </row>
    <row r="303" spans="4:11">
      <c r="D303" s="370"/>
    </row>
    <row r="304" spans="4:11">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row r="463" spans="4:4">
      <c r="D463" s="370"/>
    </row>
    <row r="464" spans="4:4">
      <c r="D464" s="370"/>
    </row>
    <row r="465" spans="4:4">
      <c r="D465" s="370"/>
    </row>
    <row r="466" spans="4:4">
      <c r="D466" s="370"/>
    </row>
    <row r="467" spans="4:4">
      <c r="D467" s="370"/>
    </row>
    <row r="468" spans="4:4">
      <c r="D468" s="370"/>
    </row>
    <row r="469" spans="4:4">
      <c r="D469" s="370"/>
    </row>
    <row r="470" spans="4:4">
      <c r="D470" s="370"/>
    </row>
    <row r="471" spans="4:4">
      <c r="D471" s="370"/>
    </row>
    <row r="472" spans="4:4">
      <c r="D472" s="370"/>
    </row>
    <row r="473" spans="4:4">
      <c r="D473" s="370"/>
    </row>
  </sheetData>
  <phoneticPr fontId="26" type="noConversion"/>
  <pageMargins left="0.75" right="0.75" top="1" bottom="1" header="0.5" footer="0.5"/>
  <pageSetup scale="46" orientation="landscape"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46">
    <pageSetUpPr fitToPage="1"/>
  </sheetPr>
  <dimension ref="B1:X481"/>
  <sheetViews>
    <sheetView showGridLines="0" zoomScale="80" zoomScaleNormal="80" zoomScaleSheetLayoutView="80" workbookViewId="0"/>
  </sheetViews>
  <sheetFormatPr defaultColWidth="9.109375" defaultRowHeight="12"/>
  <cols>
    <col min="1" max="1" width="2.33203125" style="367" customWidth="1"/>
    <col min="2" max="4" width="10" style="367" customWidth="1"/>
    <col min="5" max="5" width="17.66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1461</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1028</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9" t="s">
        <v>127</v>
      </c>
      <c r="O9" s="459"/>
      <c r="P9" s="458" t="s">
        <v>128</v>
      </c>
      <c r="Q9" s="458"/>
      <c r="R9" s="458" t="s">
        <v>293</v>
      </c>
      <c r="S9" s="458"/>
      <c r="T9" s="458" t="s">
        <v>129</v>
      </c>
      <c r="U9" s="458"/>
      <c r="V9" s="458" t="s">
        <v>130</v>
      </c>
      <c r="W9" s="458"/>
      <c r="X9" s="458" t="s">
        <v>120</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102</v>
      </c>
      <c r="C11" s="370"/>
      <c r="E11" s="367" t="str">
        <f>"DCF, "&amp;TEXT(H11,"0.0")&amp;"x 22E FCF"</f>
        <v>DCF, 14.6x 22E FCF</v>
      </c>
      <c r="F11" s="484">
        <v>4184.7586350960019</v>
      </c>
      <c r="G11" s="178" t="s">
        <v>133</v>
      </c>
      <c r="H11" s="487">
        <v>14.553537480061106</v>
      </c>
      <c r="I11" s="178" t="s">
        <v>134</v>
      </c>
      <c r="J11" s="216">
        <f>H11*F11</f>
        <v>60903.041640879019</v>
      </c>
      <c r="K11" s="178" t="s">
        <v>135</v>
      </c>
      <c r="L11" s="484"/>
      <c r="M11" s="178" t="s">
        <v>134</v>
      </c>
      <c r="N11" s="216">
        <f>J11-L11</f>
        <v>60903.041640879019</v>
      </c>
      <c r="O11" s="178" t="s">
        <v>133</v>
      </c>
      <c r="P11" s="490">
        <v>1</v>
      </c>
      <c r="Q11" s="393" t="s">
        <v>134</v>
      </c>
      <c r="R11" s="216">
        <f>P11*N11</f>
        <v>60903.041640879019</v>
      </c>
      <c r="S11" s="216"/>
      <c r="T11" s="216">
        <f>N11-R11</f>
        <v>0</v>
      </c>
      <c r="U11" s="216"/>
      <c r="V11" s="394">
        <f>N11/$J$57</f>
        <v>0.51015837907626982</v>
      </c>
      <c r="W11" s="370"/>
      <c r="X11" s="373">
        <f>$J$61*V11</f>
        <v>15.998802567507155</v>
      </c>
    </row>
    <row r="12" spans="2:24">
      <c r="B12" s="370" t="s">
        <v>215</v>
      </c>
      <c r="C12" s="370"/>
      <c r="E12" s="367" t="str">
        <f>"DCF, "&amp;TEXT(H12,"0.0")&amp;"x 22E FCF"</f>
        <v>DCF, 19.0x 22E FCF</v>
      </c>
      <c r="F12" s="484">
        <v>3167.4976474439995</v>
      </c>
      <c r="G12" s="178" t="s">
        <v>133</v>
      </c>
      <c r="H12" s="487">
        <v>18.978612360470759</v>
      </c>
      <c r="I12" s="178" t="s">
        <v>134</v>
      </c>
      <c r="J12" s="385">
        <f>H12*F12</f>
        <v>60114.710003542743</v>
      </c>
      <c r="K12" s="178" t="s">
        <v>135</v>
      </c>
      <c r="L12" s="484"/>
      <c r="M12" s="178" t="s">
        <v>134</v>
      </c>
      <c r="N12" s="178">
        <f>J12-L12</f>
        <v>60114.710003542743</v>
      </c>
      <c r="O12" s="178" t="s">
        <v>133</v>
      </c>
      <c r="P12" s="490">
        <v>1</v>
      </c>
      <c r="Q12" s="393" t="s">
        <v>134</v>
      </c>
      <c r="R12" s="385">
        <f>P12*N12</f>
        <v>60114.710003542743</v>
      </c>
      <c r="S12" s="216"/>
      <c r="T12" s="216">
        <f t="shared" ref="T12" si="0">N12-R12</f>
        <v>0</v>
      </c>
      <c r="U12" s="216"/>
      <c r="V12" s="394">
        <f>N12/$J$57</f>
        <v>0.50355486668275962</v>
      </c>
      <c r="W12" s="370"/>
      <c r="X12" s="373">
        <f>$J$61*V12</f>
        <v>15.791713366645354</v>
      </c>
    </row>
    <row r="13" spans="2:24" s="381" customFormat="1">
      <c r="B13" s="345"/>
      <c r="C13" s="345" t="s">
        <v>1087</v>
      </c>
      <c r="I13" s="196"/>
      <c r="J13" s="210">
        <f>J12+J11</f>
        <v>121017.75164442176</v>
      </c>
      <c r="K13" s="196"/>
      <c r="M13" s="196"/>
      <c r="N13" s="210">
        <f>N12+N11</f>
        <v>121017.75164442176</v>
      </c>
      <c r="O13" s="196"/>
      <c r="P13" s="196"/>
      <c r="Q13" s="369"/>
      <c r="R13" s="210">
        <f>R12+R11</f>
        <v>121017.75164442176</v>
      </c>
      <c r="S13" s="210"/>
      <c r="T13" s="210"/>
      <c r="U13" s="210"/>
      <c r="V13" s="387"/>
      <c r="W13" s="345"/>
      <c r="X13" s="372"/>
    </row>
    <row r="15" spans="2:24">
      <c r="B15" s="370" t="s">
        <v>1091</v>
      </c>
      <c r="C15" s="370"/>
      <c r="E15" s="367" t="str">
        <f>"DCF, "&amp;TEXT(H15,"0.0")&amp;"x 22E FCF"</f>
        <v>DCF, 22.3x 22E FCF</v>
      </c>
      <c r="F15" s="484">
        <v>1401.6053652552771</v>
      </c>
      <c r="G15" s="178" t="s">
        <v>133</v>
      </c>
      <c r="H15" s="487">
        <v>22.297923839439257</v>
      </c>
      <c r="I15" s="178" t="s">
        <v>134</v>
      </c>
      <c r="J15" s="216">
        <f>H15*F15</f>
        <v>31252.889687411611</v>
      </c>
      <c r="K15" s="178" t="s">
        <v>135</v>
      </c>
      <c r="L15" s="484"/>
      <c r="M15" s="178" t="s">
        <v>134</v>
      </c>
      <c r="N15" s="216">
        <f>J15-L15</f>
        <v>31252.889687411611</v>
      </c>
      <c r="O15" s="178" t="s">
        <v>133</v>
      </c>
      <c r="P15" s="490">
        <v>1</v>
      </c>
      <c r="Q15" s="393" t="s">
        <v>134</v>
      </c>
      <c r="R15" s="216">
        <f>P15*N15</f>
        <v>31252.889687411611</v>
      </c>
      <c r="S15" s="216"/>
      <c r="T15" s="216">
        <f>N15-R15</f>
        <v>0</v>
      </c>
      <c r="U15" s="216"/>
      <c r="V15" s="394">
        <f>N15/$J$57</f>
        <v>0.26179190915281941</v>
      </c>
      <c r="W15" s="370"/>
      <c r="X15" s="373">
        <f>$J$61*V15</f>
        <v>8.2099152735479386</v>
      </c>
    </row>
    <row r="16" spans="2:24">
      <c r="B16" s="370" t="s">
        <v>969</v>
      </c>
      <c r="C16" s="370"/>
      <c r="E16" s="367" t="str">
        <f>"DCF, "&amp;TEXT(H16,"0.0")&amp;"x 22E FCF"</f>
        <v>DCF, 20.4x 22E FCF</v>
      </c>
      <c r="F16" s="484">
        <v>457.15584546284413</v>
      </c>
      <c r="G16" s="178" t="s">
        <v>133</v>
      </c>
      <c r="H16" s="487">
        <v>20.350613159384814</v>
      </c>
      <c r="I16" s="178" t="s">
        <v>134</v>
      </c>
      <c r="J16" s="385">
        <f>H16*F16</f>
        <v>9303.401764565846</v>
      </c>
      <c r="K16" s="178" t="s">
        <v>135</v>
      </c>
      <c r="L16" s="484"/>
      <c r="M16" s="178" t="s">
        <v>134</v>
      </c>
      <c r="N16" s="178">
        <f>J16-L16</f>
        <v>9303.401764565846</v>
      </c>
      <c r="O16" s="178" t="s">
        <v>133</v>
      </c>
      <c r="P16" s="490">
        <v>1</v>
      </c>
      <c r="Q16" s="393" t="s">
        <v>134</v>
      </c>
      <c r="R16" s="385">
        <f>P16*N16</f>
        <v>9303.401764565846</v>
      </c>
      <c r="S16" s="216"/>
      <c r="T16" s="216">
        <f>N16-R16</f>
        <v>0</v>
      </c>
      <c r="U16" s="216"/>
      <c r="V16" s="394">
        <f>N16/$J$57</f>
        <v>7.7930563666962993E-2</v>
      </c>
      <c r="W16" s="370"/>
      <c r="X16" s="373">
        <f>$J$61*V16</f>
        <v>2.4439384967856985</v>
      </c>
    </row>
    <row r="17" spans="2:24" s="381" customFormat="1">
      <c r="B17" s="345"/>
      <c r="C17" s="345" t="s">
        <v>1088</v>
      </c>
      <c r="I17" s="196"/>
      <c r="J17" s="210">
        <f>J16+J15</f>
        <v>40556.291451977457</v>
      </c>
      <c r="K17" s="196"/>
      <c r="M17" s="196"/>
      <c r="N17" s="210">
        <f>N16+N15</f>
        <v>40556.291451977457</v>
      </c>
      <c r="O17" s="196"/>
      <c r="P17" s="196"/>
      <c r="Q17" s="369"/>
      <c r="R17" s="210">
        <f>R16+R15</f>
        <v>40556.291451977457</v>
      </c>
      <c r="S17" s="210"/>
      <c r="T17" s="210"/>
      <c r="U17" s="210"/>
      <c r="V17" s="387"/>
      <c r="W17" s="345"/>
      <c r="X17" s="372"/>
    </row>
    <row r="18" spans="2:24">
      <c r="B18" s="370"/>
      <c r="C18" s="370"/>
      <c r="K18" s="178"/>
      <c r="L18" s="178"/>
      <c r="M18" s="178"/>
      <c r="N18" s="216"/>
      <c r="Q18" s="393"/>
      <c r="R18" s="216"/>
      <c r="S18" s="216"/>
      <c r="T18" s="216"/>
      <c r="U18" s="216"/>
      <c r="V18" s="394"/>
      <c r="W18" s="370"/>
      <c r="X18" s="373"/>
    </row>
    <row r="19" spans="2:24">
      <c r="B19" s="370" t="s">
        <v>216</v>
      </c>
      <c r="C19" s="370"/>
      <c r="E19" s="367" t="str">
        <f>"DCF, "&amp;TEXT(H19,"0.0")&amp;"x 22E FCF"</f>
        <v>DCF, 17.9x 22E FCF</v>
      </c>
      <c r="F19" s="484">
        <v>2734.6283413759393</v>
      </c>
      <c r="G19" s="178" t="s">
        <v>133</v>
      </c>
      <c r="H19" s="487">
        <v>17.923164681431221</v>
      </c>
      <c r="I19" s="178" t="s">
        <v>134</v>
      </c>
      <c r="J19" s="216">
        <f>H19*F19</f>
        <v>49013.194104990071</v>
      </c>
      <c r="K19" s="178" t="s">
        <v>135</v>
      </c>
      <c r="L19" s="484"/>
      <c r="M19" s="178" t="s">
        <v>134</v>
      </c>
      <c r="N19" s="216">
        <f>J19-L19</f>
        <v>49013.194104990071</v>
      </c>
      <c r="O19" s="178" t="s">
        <v>133</v>
      </c>
      <c r="P19" s="490">
        <v>1</v>
      </c>
      <c r="Q19" s="393" t="s">
        <v>134</v>
      </c>
      <c r="R19" s="216">
        <f>P19*N19</f>
        <v>49013.194104990071</v>
      </c>
      <c r="S19" s="216"/>
      <c r="T19" s="216">
        <f>N19-R19</f>
        <v>0</v>
      </c>
      <c r="U19" s="216"/>
      <c r="V19" s="394">
        <f>N19/$J$57</f>
        <v>0.41056228037663289</v>
      </c>
      <c r="W19" s="370"/>
      <c r="X19" s="373">
        <f>$J$61*V19</f>
        <v>12.87542287809657</v>
      </c>
    </row>
    <row r="20" spans="2:24">
      <c r="B20" s="370" t="s">
        <v>214</v>
      </c>
      <c r="C20" s="370"/>
      <c r="E20" s="367" t="str">
        <f>"DCF, "&amp;TEXT(H20,"0.0")&amp;"x 22E FCF"</f>
        <v>DCF, -6.9x 22E FCF</v>
      </c>
      <c r="F20" s="484">
        <v>-569.96615701442124</v>
      </c>
      <c r="G20" s="178" t="s">
        <v>133</v>
      </c>
      <c r="H20" s="487">
        <v>-6.8925020491262288</v>
      </c>
      <c r="I20" s="178" t="s">
        <v>134</v>
      </c>
      <c r="J20" s="385">
        <f>H20*F20</f>
        <v>3928.4929051545005</v>
      </c>
      <c r="K20" s="178" t="s">
        <v>135</v>
      </c>
      <c r="L20" s="484"/>
      <c r="M20" s="178" t="s">
        <v>134</v>
      </c>
      <c r="N20" s="178">
        <f>J20-L20</f>
        <v>3928.4929051545005</v>
      </c>
      <c r="O20" s="178" t="s">
        <v>133</v>
      </c>
      <c r="P20" s="490">
        <v>1</v>
      </c>
      <c r="Q20" s="393" t="s">
        <v>134</v>
      </c>
      <c r="R20" s="385">
        <f>P20*N20</f>
        <v>3928.4929051545005</v>
      </c>
      <c r="S20" s="216"/>
      <c r="T20" s="216">
        <f>N20-R20</f>
        <v>0</v>
      </c>
      <c r="U20" s="216"/>
      <c r="V20" s="394">
        <f>N20/$J$57</f>
        <v>3.2907282111194737E-2</v>
      </c>
      <c r="W20" s="370"/>
      <c r="X20" s="373">
        <f>$J$61*V20</f>
        <v>1.0319875770413547</v>
      </c>
    </row>
    <row r="21" spans="2:24" s="381" customFormat="1">
      <c r="B21" s="345"/>
      <c r="C21" s="345" t="s">
        <v>1089</v>
      </c>
      <c r="I21" s="196"/>
      <c r="J21" s="210">
        <f>J20+J19</f>
        <v>52941.687010144567</v>
      </c>
      <c r="K21" s="196"/>
      <c r="M21" s="196"/>
      <c r="N21" s="210">
        <f>N20+N19</f>
        <v>52941.687010144567</v>
      </c>
      <c r="O21" s="196"/>
      <c r="P21" s="196"/>
      <c r="Q21" s="369"/>
      <c r="R21" s="210">
        <f>R20+R19</f>
        <v>52941.687010144567</v>
      </c>
      <c r="S21" s="210"/>
      <c r="T21" s="210"/>
      <c r="U21" s="210"/>
      <c r="V21" s="387"/>
      <c r="W21" s="345"/>
      <c r="X21" s="372"/>
    </row>
    <row r="22" spans="2:24">
      <c r="B22" s="370"/>
      <c r="C22" s="370"/>
      <c r="K22" s="178"/>
      <c r="M22" s="178"/>
      <c r="N22" s="216"/>
      <c r="Q22" s="393"/>
      <c r="R22" s="216"/>
      <c r="S22" s="216"/>
      <c r="T22" s="216"/>
      <c r="U22" s="216"/>
      <c r="V22" s="394"/>
      <c r="W22" s="370"/>
      <c r="X22" s="373"/>
    </row>
    <row r="23" spans="2:24">
      <c r="B23" s="370" t="s">
        <v>1</v>
      </c>
      <c r="C23" s="370"/>
      <c r="E23" s="367" t="str">
        <f>"DCF, "&amp;TEXT(H23,"0.0")&amp;"x 22E FCF"</f>
        <v>DCF, 24.3x 22E FCF</v>
      </c>
      <c r="F23" s="484">
        <v>385.03298983872008</v>
      </c>
      <c r="G23" s="178" t="s">
        <v>133</v>
      </c>
      <c r="H23" s="487">
        <v>24.297243402884746</v>
      </c>
      <c r="I23" s="178" t="s">
        <v>134</v>
      </c>
      <c r="J23" s="216">
        <f>H23*F23</f>
        <v>9355.2402722518309</v>
      </c>
      <c r="K23" s="178" t="s">
        <v>135</v>
      </c>
      <c r="L23" s="484">
        <v>-167.08223988715275</v>
      </c>
      <c r="M23" s="178" t="s">
        <v>134</v>
      </c>
      <c r="N23" s="216">
        <f>J23-L23</f>
        <v>9522.3225121389842</v>
      </c>
      <c r="O23" s="178" t="s">
        <v>133</v>
      </c>
      <c r="P23" s="490">
        <v>0.9758</v>
      </c>
      <c r="Q23" s="393" t="s">
        <v>134</v>
      </c>
      <c r="R23" s="216">
        <f>P23*N23</f>
        <v>9291.8823073452204</v>
      </c>
      <c r="S23" s="216"/>
      <c r="T23" s="216">
        <f>N23-R23</f>
        <v>230.44020479376377</v>
      </c>
      <c r="U23" s="216"/>
      <c r="V23" s="394">
        <f>N23/$J$57</f>
        <v>7.9764367869824243E-2</v>
      </c>
      <c r="W23" s="370"/>
      <c r="X23" s="373">
        <f>$J$61*V23</f>
        <v>2.5014474441878067</v>
      </c>
    </row>
    <row r="24" spans="2:24">
      <c r="B24" s="370" t="s">
        <v>968</v>
      </c>
      <c r="C24" s="370"/>
      <c r="E24" s="367" t="str">
        <f>"DCF, "&amp;TEXT(H24,"0.0")&amp;"x 22E FCF"</f>
        <v>DCF, 19.8x 22E FCF</v>
      </c>
      <c r="F24" s="484">
        <v>333.7047335212801</v>
      </c>
      <c r="G24" s="178" t="s">
        <v>133</v>
      </c>
      <c r="H24" s="487">
        <v>19.794152509199165</v>
      </c>
      <c r="I24" s="178" t="s">
        <v>134</v>
      </c>
      <c r="J24" s="385">
        <f>H24*F24</f>
        <v>6605.4023883618856</v>
      </c>
      <c r="K24" s="178" t="s">
        <v>135</v>
      </c>
      <c r="L24" s="484">
        <f>L23</f>
        <v>-167.08223988715275</v>
      </c>
      <c r="M24" s="178" t="s">
        <v>902</v>
      </c>
      <c r="N24" s="178">
        <f>J24-L24</f>
        <v>6772.484628249038</v>
      </c>
      <c r="O24" s="178" t="s">
        <v>133</v>
      </c>
      <c r="P24" s="490">
        <v>0.9758</v>
      </c>
      <c r="Q24" s="393" t="s">
        <v>134</v>
      </c>
      <c r="R24" s="385">
        <f>P24*N24</f>
        <v>6608.590500245411</v>
      </c>
      <c r="S24" s="216"/>
      <c r="T24" s="216">
        <f>N24-R24</f>
        <v>163.89412800362697</v>
      </c>
      <c r="U24" s="216"/>
      <c r="V24" s="394">
        <f>N24/$J$57</f>
        <v>5.6730167938729183E-2</v>
      </c>
      <c r="W24" s="370"/>
      <c r="X24" s="373">
        <f>$J$61*V24</f>
        <v>1.7790842877395181</v>
      </c>
    </row>
    <row r="25" spans="2:24" s="381" customFormat="1">
      <c r="C25" s="345" t="s">
        <v>1092</v>
      </c>
      <c r="I25" s="196"/>
      <c r="J25" s="210">
        <f>J24+J23</f>
        <v>15960.642660613717</v>
      </c>
      <c r="K25" s="196"/>
      <c r="N25" s="210">
        <f>N24+N23</f>
        <v>16294.807140388022</v>
      </c>
      <c r="R25" s="210">
        <f>R24+R23</f>
        <v>15900.472807590631</v>
      </c>
    </row>
    <row r="27" spans="2:24">
      <c r="B27" s="370" t="s">
        <v>1096</v>
      </c>
      <c r="C27" s="370"/>
      <c r="E27" s="367" t="str">
        <f>"DCF, "&amp;TEXT(H27,"0.0")&amp;"x 22E FCF"</f>
        <v>DCF, 39.5x 22E FCF</v>
      </c>
      <c r="F27" s="484">
        <v>255.59846695024981</v>
      </c>
      <c r="G27" s="178" t="s">
        <v>133</v>
      </c>
      <c r="H27" s="487">
        <v>39.478862086529098</v>
      </c>
      <c r="I27" s="178" t="s">
        <v>134</v>
      </c>
      <c r="J27" s="216">
        <f>H27*F27</f>
        <v>10090.736626257178</v>
      </c>
      <c r="K27" s="178" t="s">
        <v>135</v>
      </c>
      <c r="L27" s="484"/>
      <c r="M27" s="178" t="s">
        <v>134</v>
      </c>
      <c r="N27" s="216">
        <f>J27-L27</f>
        <v>10090.736626257178</v>
      </c>
      <c r="O27" s="178" t="s">
        <v>133</v>
      </c>
      <c r="P27" s="490">
        <v>1</v>
      </c>
      <c r="Q27" s="393" t="s">
        <v>134</v>
      </c>
      <c r="R27" s="216">
        <f>P27*N27</f>
        <v>10090.736626257178</v>
      </c>
      <c r="S27" s="216"/>
      <c r="T27" s="216">
        <f>N27-R27</f>
        <v>0</v>
      </c>
      <c r="U27" s="216"/>
      <c r="V27" s="394">
        <f>N27/$J$57</f>
        <v>8.4525726502986023E-2</v>
      </c>
      <c r="W27" s="370"/>
      <c r="X27" s="373">
        <f>$J$61*V27</f>
        <v>2.6507658516654629</v>
      </c>
    </row>
    <row r="28" spans="2:24">
      <c r="B28" s="370" t="s">
        <v>1097</v>
      </c>
      <c r="C28" s="370"/>
      <c r="E28" s="367" t="s">
        <v>114</v>
      </c>
      <c r="F28" s="484">
        <v>582.61300000000006</v>
      </c>
      <c r="G28" s="178" t="s">
        <v>133</v>
      </c>
      <c r="H28" s="487">
        <v>1.325</v>
      </c>
      <c r="I28" s="178" t="s">
        <v>134</v>
      </c>
      <c r="J28" s="385">
        <v>7160.6874585768755</v>
      </c>
      <c r="K28" s="178" t="s">
        <v>135</v>
      </c>
      <c r="L28" s="484">
        <v>-148</v>
      </c>
      <c r="M28" s="178" t="s">
        <v>134</v>
      </c>
      <c r="N28" s="178">
        <f>J28-L28</f>
        <v>7308.6874585768755</v>
      </c>
      <c r="O28" s="178" t="s">
        <v>133</v>
      </c>
      <c r="P28" s="490">
        <v>0.88149999999999995</v>
      </c>
      <c r="Q28" s="393" t="s">
        <v>134</v>
      </c>
      <c r="R28" s="385">
        <f>P28*N28</f>
        <v>6442.6079947355156</v>
      </c>
      <c r="S28" s="216"/>
      <c r="T28" s="216">
        <f>N28-R28</f>
        <v>866.07946384135994</v>
      </c>
      <c r="U28" s="216"/>
      <c r="V28" s="394">
        <f>N28/$J$57</f>
        <v>6.1221706610790315E-2</v>
      </c>
      <c r="W28" s="370"/>
      <c r="X28" s="373">
        <f>$J$61*V28</f>
        <v>1.9199410165239064</v>
      </c>
    </row>
    <row r="29" spans="2:24" s="381" customFormat="1">
      <c r="C29" s="345" t="s">
        <v>1093</v>
      </c>
      <c r="I29" s="196"/>
      <c r="J29" s="210">
        <f>J28+J27</f>
        <v>17251.424084834052</v>
      </c>
      <c r="K29" s="196"/>
      <c r="N29" s="210">
        <f>N28+N27</f>
        <v>17399.424084834052</v>
      </c>
      <c r="R29" s="210">
        <f>R28+R27</f>
        <v>16533.344620992691</v>
      </c>
    </row>
    <row r="31" spans="2:24" s="381" customFormat="1">
      <c r="B31" s="345" t="s">
        <v>224</v>
      </c>
      <c r="C31" s="345"/>
      <c r="E31" s="381" t="str">
        <f>"DCF, "&amp;TEXT(H31,"0.0")&amp;"x 22E FCF"</f>
        <v>DCF, 23.8x 22E FCF</v>
      </c>
      <c r="F31" s="480">
        <v>491.5150500000002</v>
      </c>
      <c r="G31" s="196" t="s">
        <v>133</v>
      </c>
      <c r="H31" s="481">
        <v>23.762551862572497</v>
      </c>
      <c r="I31" s="196" t="s">
        <v>134</v>
      </c>
      <c r="J31" s="210">
        <f>H31*F31</f>
        <v>11679.651866859918</v>
      </c>
      <c r="K31" s="196" t="s">
        <v>135</v>
      </c>
      <c r="L31" s="480"/>
      <c r="M31" s="196" t="s">
        <v>134</v>
      </c>
      <c r="N31" s="210">
        <f>J31-L31</f>
        <v>11679.651866859918</v>
      </c>
      <c r="O31" s="196" t="s">
        <v>133</v>
      </c>
      <c r="P31" s="483">
        <v>0.60299999999999998</v>
      </c>
      <c r="Q31" s="369" t="s">
        <v>134</v>
      </c>
      <c r="R31" s="210">
        <f>P31*N31</f>
        <v>7042.8300757165307</v>
      </c>
      <c r="S31" s="210"/>
      <c r="T31" s="210">
        <f>N31-R31</f>
        <v>4636.8217911433876</v>
      </c>
      <c r="U31" s="210"/>
      <c r="V31" s="387">
        <f>N31/$J$57</f>
        <v>9.7835380697521193E-2</v>
      </c>
      <c r="W31" s="345"/>
      <c r="X31" s="372">
        <f>$J$61*V31</f>
        <v>3.0681627590449394</v>
      </c>
    </row>
    <row r="32" spans="2:24">
      <c r="B32" s="370"/>
      <c r="F32" s="216"/>
      <c r="G32" s="178"/>
      <c r="H32" s="373"/>
      <c r="P32" s="178"/>
    </row>
    <row r="34" spans="2:24">
      <c r="B34" s="370" t="s">
        <v>1484</v>
      </c>
      <c r="C34" s="370"/>
      <c r="E34" s="367" t="s">
        <v>1429</v>
      </c>
      <c r="F34" s="484">
        <v>572.6810999999999</v>
      </c>
      <c r="G34" s="178" t="s">
        <v>133</v>
      </c>
      <c r="H34" s="486">
        <v>26.989288803140184</v>
      </c>
      <c r="I34" s="178" t="s">
        <v>134</v>
      </c>
      <c r="J34" s="216">
        <f>H34*F34</f>
        <v>15456.2556</v>
      </c>
      <c r="K34" s="178" t="s">
        <v>135</v>
      </c>
      <c r="L34" s="484"/>
      <c r="M34" s="178" t="s">
        <v>134</v>
      </c>
      <c r="N34" s="216">
        <f>J34-L34</f>
        <v>15456.2556</v>
      </c>
      <c r="O34" s="178" t="s">
        <v>133</v>
      </c>
      <c r="P34" s="490">
        <v>0.51</v>
      </c>
      <c r="Q34" s="393" t="s">
        <v>134</v>
      </c>
      <c r="R34" s="216">
        <f>P34*N34</f>
        <v>7882.6903560000001</v>
      </c>
      <c r="S34" s="216"/>
      <c r="T34" s="216">
        <f>IF(R34&lt;0,0,(N34-R34))</f>
        <v>7573.5652440000003</v>
      </c>
      <c r="U34" s="216"/>
      <c r="V34" s="394">
        <f>N34/$J$57</f>
        <v>0.12947035305691362</v>
      </c>
      <c r="W34" s="370"/>
      <c r="X34" s="373">
        <f>$J$61*V34</f>
        <v>4.0602501141970517</v>
      </c>
    </row>
    <row r="35" spans="2:24">
      <c r="B35" s="370" t="s">
        <v>1485</v>
      </c>
      <c r="C35" s="370"/>
      <c r="E35" s="367" t="s">
        <v>1429</v>
      </c>
      <c r="F35" s="484">
        <v>398.01418439716315</v>
      </c>
      <c r="G35" s="178" t="s">
        <v>133</v>
      </c>
      <c r="H35" s="486">
        <v>28.201230599153416</v>
      </c>
      <c r="I35" s="178" t="s">
        <v>134</v>
      </c>
      <c r="J35" s="216">
        <f>H35*F35</f>
        <v>11224.489795918367</v>
      </c>
      <c r="K35" s="178" t="s">
        <v>135</v>
      </c>
      <c r="L35" s="484"/>
      <c r="M35" s="178" t="s">
        <v>134</v>
      </c>
      <c r="N35" s="216">
        <f>J35-L35</f>
        <v>11224.489795918367</v>
      </c>
      <c r="O35" s="178" t="s">
        <v>133</v>
      </c>
      <c r="P35" s="490">
        <v>0.51</v>
      </c>
      <c r="Q35" s="393" t="s">
        <v>134</v>
      </c>
      <c r="R35" s="216">
        <f>P35*N35</f>
        <v>5724.4897959183672</v>
      </c>
      <c r="S35" s="216"/>
      <c r="T35" s="216">
        <f>IF(R35&lt;0,0,(N35-R35))</f>
        <v>5500</v>
      </c>
      <c r="U35" s="216"/>
      <c r="V35" s="394">
        <f>N35/$J$57</f>
        <v>9.4022685336626763E-2</v>
      </c>
      <c r="W35" s="370"/>
      <c r="X35" s="373">
        <f>$J$61*V35</f>
        <v>2.9485948702660685</v>
      </c>
    </row>
    <row r="36" spans="2:24">
      <c r="B36" s="370" t="s">
        <v>1029</v>
      </c>
      <c r="C36" s="370"/>
      <c r="E36" s="367" t="str">
        <f>"DCF, "&amp;TEXT(H36,"0.0")&amp;"x 22E FCF"</f>
        <v>DCF, 14.1x 22E FCF</v>
      </c>
      <c r="F36" s="484">
        <v>-2934.3728794496983</v>
      </c>
      <c r="G36" s="178" t="s">
        <v>133</v>
      </c>
      <c r="H36" s="486">
        <v>14.091492229864608</v>
      </c>
      <c r="I36" s="178" t="s">
        <v>134</v>
      </c>
      <c r="J36" s="216">
        <f>H36*F36</f>
        <v>-41349.692630290861</v>
      </c>
      <c r="K36" s="178" t="s">
        <v>135</v>
      </c>
      <c r="L36" s="484"/>
      <c r="M36" s="178" t="s">
        <v>134</v>
      </c>
      <c r="N36" s="216">
        <f>J36-L36</f>
        <v>-41349.692630290861</v>
      </c>
      <c r="O36" s="178" t="s">
        <v>133</v>
      </c>
      <c r="P36" s="490">
        <v>1</v>
      </c>
      <c r="Q36" s="393" t="s">
        <v>134</v>
      </c>
      <c r="R36" s="216">
        <f>P36*N36</f>
        <v>-41349.692630290861</v>
      </c>
      <c r="S36" s="216"/>
      <c r="T36" s="216">
        <f>IF(R36&lt;0,0,(N36-R36))</f>
        <v>0</v>
      </c>
      <c r="U36" s="216"/>
      <c r="V36" s="394">
        <f>N36/$J$57</f>
        <v>-0.34636845056047189</v>
      </c>
      <c r="W36" s="370"/>
      <c r="X36" s="373">
        <f>$J$61*V36</f>
        <v>-10.862274704110837</v>
      </c>
    </row>
    <row r="37" spans="2:24">
      <c r="B37" s="370" t="s">
        <v>1094</v>
      </c>
      <c r="C37" s="370"/>
      <c r="E37" s="367" t="str">
        <f>"DCF, "&amp;TEXT(H37,"0.0")&amp;"x 22E FCF"</f>
        <v>DCF, 60.9x 22E FCF</v>
      </c>
      <c r="F37" s="484">
        <v>74.045999515019574</v>
      </c>
      <c r="G37" s="178" t="s">
        <v>133</v>
      </c>
      <c r="H37" s="486">
        <v>60.899043227295564</v>
      </c>
      <c r="I37" s="178" t="s">
        <v>134</v>
      </c>
      <c r="J37" s="385">
        <f>H37*F37</f>
        <v>4509.3305252734835</v>
      </c>
      <c r="K37" s="178" t="s">
        <v>135</v>
      </c>
      <c r="L37" s="498"/>
      <c r="M37" s="178" t="s">
        <v>134</v>
      </c>
      <c r="N37" s="385">
        <f t="shared" ref="N37" si="1">J37-L37</f>
        <v>4509.3305252734835</v>
      </c>
      <c r="O37" s="178" t="s">
        <v>133</v>
      </c>
      <c r="P37" s="490">
        <v>1</v>
      </c>
      <c r="Q37" s="393" t="s">
        <v>134</v>
      </c>
      <c r="R37" s="385">
        <f>P37*N37</f>
        <v>4509.3305252734835</v>
      </c>
      <c r="S37" s="216"/>
      <c r="T37" s="385">
        <f>N37-R37</f>
        <v>0</v>
      </c>
      <c r="U37" s="216"/>
      <c r="V37" s="395">
        <f>N37/$J$57</f>
        <v>3.7772707068681993E-2</v>
      </c>
      <c r="W37" s="370"/>
      <c r="X37" s="396">
        <f>$J$61*V37</f>
        <v>1.1845695525502253</v>
      </c>
    </row>
    <row r="38" spans="2:24">
      <c r="B38" s="345" t="s">
        <v>137</v>
      </c>
      <c r="C38" s="370"/>
      <c r="F38" s="210"/>
      <c r="G38" s="196"/>
      <c r="H38" s="372"/>
      <c r="I38" s="376"/>
      <c r="J38" s="210">
        <f>J37+J36+J31+J29+J25+J21+J17+J13+J34+J35</f>
        <v>249247.83200975246</v>
      </c>
      <c r="K38" s="375"/>
      <c r="L38" s="210">
        <f>-J48</f>
        <v>65506</v>
      </c>
      <c r="M38" s="196"/>
      <c r="N38" s="210">
        <f>N37+N36+N31+N29+N25+N21+N17+N13+N34+N35</f>
        <v>249729.99648952676</v>
      </c>
      <c r="P38" s="377"/>
      <c r="Q38" s="378"/>
      <c r="R38" s="210">
        <f>R37+R36+R31+R29+R25+R21+R17+R13+R34+R35</f>
        <v>230759.19565774465</v>
      </c>
      <c r="S38" s="370"/>
      <c r="T38" s="210">
        <f>SUM(T11:T37)</f>
        <v>18970.800831782137</v>
      </c>
      <c r="U38" s="370"/>
      <c r="V38" s="387">
        <f>N38/$J$57</f>
        <v>2.0918799255882408</v>
      </c>
      <c r="W38" s="370"/>
      <c r="X38" s="372">
        <f>$J$61*V38</f>
        <v>65.602321351688204</v>
      </c>
    </row>
    <row r="40" spans="2:24">
      <c r="C40" s="345"/>
      <c r="G40" s="196"/>
      <c r="I40" s="196"/>
      <c r="J40" s="210"/>
      <c r="K40" s="196"/>
      <c r="L40" s="210"/>
      <c r="M40" s="196"/>
      <c r="N40" s="196"/>
      <c r="O40" s="196"/>
      <c r="Q40" s="196"/>
      <c r="R40" s="196"/>
      <c r="S40" s="210"/>
    </row>
    <row r="41" spans="2:24">
      <c r="F41" s="210"/>
      <c r="H41" s="372"/>
      <c r="P41" s="196"/>
    </row>
    <row r="42" spans="2:24">
      <c r="B42" s="345" t="s">
        <v>138</v>
      </c>
      <c r="C42" s="345"/>
      <c r="F42" s="210"/>
      <c r="H42" s="372"/>
      <c r="I42" s="376"/>
      <c r="L42" s="196"/>
      <c r="M42" s="196"/>
      <c r="N42" s="370"/>
      <c r="P42" s="377"/>
      <c r="Q42" s="378"/>
      <c r="R42" s="370"/>
    </row>
    <row r="43" spans="2:24">
      <c r="B43" s="345" t="s">
        <v>119</v>
      </c>
      <c r="C43" s="345"/>
      <c r="E43" s="367" t="str">
        <f>"DCF, "&amp;TEXT(H43,"0.0")&amp;"x 22E FCF"</f>
        <v>DCF, 14.0x 22E FCF</v>
      </c>
      <c r="F43" s="480">
        <v>357.14285714285717</v>
      </c>
      <c r="G43" s="196" t="s">
        <v>133</v>
      </c>
      <c r="H43" s="481">
        <v>14</v>
      </c>
      <c r="I43" s="196" t="s">
        <v>134</v>
      </c>
      <c r="J43" s="210">
        <f>H43*F43</f>
        <v>5000</v>
      </c>
      <c r="K43" s="196" t="s">
        <v>135</v>
      </c>
      <c r="L43" s="480"/>
      <c r="M43" s="196" t="s">
        <v>134</v>
      </c>
      <c r="N43" s="210">
        <f>J43-L43</f>
        <v>5000</v>
      </c>
      <c r="O43" s="196" t="s">
        <v>133</v>
      </c>
      <c r="P43" s="483">
        <v>0.49</v>
      </c>
      <c r="Q43" s="369" t="s">
        <v>134</v>
      </c>
      <c r="R43" s="374">
        <f>P43*N43</f>
        <v>2450</v>
      </c>
    </row>
    <row r="44" spans="2:24">
      <c r="B44" s="345" t="s">
        <v>137</v>
      </c>
      <c r="C44" s="370"/>
      <c r="R44" s="210">
        <f>R43</f>
        <v>2450</v>
      </c>
    </row>
    <row r="47" spans="2:24" ht="12.6" thickBot="1">
      <c r="B47" s="382" t="s">
        <v>141</v>
      </c>
      <c r="D47" s="345"/>
      <c r="E47" s="381"/>
      <c r="H47" s="381"/>
      <c r="I47" s="381"/>
      <c r="J47" s="374">
        <f>J38</f>
        <v>249247.83200975246</v>
      </c>
      <c r="T47" s="460" t="s">
        <v>544</v>
      </c>
      <c r="U47" s="368"/>
      <c r="V47" s="368"/>
      <c r="W47" s="368"/>
      <c r="X47" s="368"/>
    </row>
    <row r="48" spans="2:24" ht="12.6" thickTop="1">
      <c r="B48" s="383" t="s">
        <v>1492</v>
      </c>
      <c r="D48" s="424"/>
      <c r="J48" s="484">
        <v>-65506</v>
      </c>
      <c r="T48" s="134"/>
    </row>
    <row r="49" spans="2:20">
      <c r="B49" s="384" t="s">
        <v>1357</v>
      </c>
      <c r="D49" s="370"/>
      <c r="J49" s="484">
        <v>-9418</v>
      </c>
      <c r="T49" s="134"/>
    </row>
    <row r="50" spans="2:20">
      <c r="B50" s="384" t="s">
        <v>1358</v>
      </c>
      <c r="D50" s="370"/>
      <c r="J50" s="484">
        <v>-7708.3332727272646</v>
      </c>
      <c r="R50" s="370"/>
    </row>
    <row r="51" spans="2:20">
      <c r="B51" s="384" t="s">
        <v>1624</v>
      </c>
      <c r="D51" s="370"/>
      <c r="J51" s="484">
        <v>-11500</v>
      </c>
      <c r="R51" s="370"/>
    </row>
    <row r="52" spans="2:20">
      <c r="B52" s="384" t="s">
        <v>1095</v>
      </c>
      <c r="D52" s="370"/>
      <c r="J52" s="484">
        <v>-19928.639754579974</v>
      </c>
    </row>
    <row r="53" spans="2:20">
      <c r="B53" s="384" t="s">
        <v>959</v>
      </c>
      <c r="D53" s="370"/>
      <c r="J53" s="484">
        <v>-956.27609999999993</v>
      </c>
    </row>
    <row r="54" spans="2:20">
      <c r="B54" s="384" t="s">
        <v>958</v>
      </c>
      <c r="D54" s="370"/>
      <c r="J54" s="484">
        <v>1670.8733276814344</v>
      </c>
      <c r="K54" s="381"/>
    </row>
    <row r="55" spans="2:20">
      <c r="B55" s="384" t="s">
        <v>1056</v>
      </c>
      <c r="J55" s="216">
        <f>R44</f>
        <v>2450</v>
      </c>
    </row>
    <row r="56" spans="2:20">
      <c r="B56" s="384" t="s">
        <v>532</v>
      </c>
      <c r="J56" s="385">
        <f>-T38</f>
        <v>-18970.800831782137</v>
      </c>
      <c r="K56" s="381"/>
    </row>
    <row r="57" spans="2:20">
      <c r="B57" s="382" t="s">
        <v>490</v>
      </c>
      <c r="J57" s="210">
        <f>SUM(J47:J56)</f>
        <v>119380.65537834453</v>
      </c>
    </row>
    <row r="58" spans="2:20">
      <c r="B58" s="384" t="s">
        <v>491</v>
      </c>
      <c r="J58" s="385">
        <f>TELIA!E10</f>
        <v>3932.1092859999999</v>
      </c>
    </row>
    <row r="59" spans="2:20">
      <c r="B59" s="382" t="s">
        <v>492</v>
      </c>
      <c r="D59" s="345"/>
      <c r="E59" s="381"/>
      <c r="F59" s="381"/>
      <c r="G59" s="381"/>
      <c r="H59" s="381"/>
      <c r="I59" s="381"/>
      <c r="J59" s="207">
        <f>J57/J58</f>
        <v>30.360462208766933</v>
      </c>
    </row>
    <row r="60" spans="2:20" ht="12.6" thickBot="1">
      <c r="B60" s="384" t="s">
        <v>742</v>
      </c>
      <c r="D60" s="370"/>
      <c r="J60" s="486">
        <v>1</v>
      </c>
    </row>
    <row r="61" spans="2:20" ht="12.6" thickBot="1">
      <c r="B61" s="382" t="s">
        <v>61</v>
      </c>
      <c r="D61" s="370"/>
      <c r="J61" s="461">
        <f>J60+J59</f>
        <v>31.360462208766933</v>
      </c>
    </row>
    <row r="62" spans="2:20">
      <c r="B62" s="384" t="s">
        <v>493</v>
      </c>
      <c r="J62" s="214">
        <f>Prices!C19</f>
        <v>33.42</v>
      </c>
    </row>
    <row r="63" spans="2:20">
      <c r="B63" s="382" t="s">
        <v>96</v>
      </c>
      <c r="J63" s="425">
        <f>J61/J62-1</f>
        <v>-6.1625906380402995E-2</v>
      </c>
    </row>
    <row r="66" spans="2:24">
      <c r="B66" s="382"/>
      <c r="D66" s="345"/>
      <c r="E66" s="381"/>
      <c r="H66" s="381"/>
      <c r="I66" s="381"/>
      <c r="J66" s="381"/>
      <c r="K66" s="381"/>
    </row>
    <row r="68" spans="2:24" ht="12.6" thickBot="1">
      <c r="T68" s="460" t="s">
        <v>544</v>
      </c>
      <c r="U68" s="368"/>
      <c r="V68" s="368"/>
      <c r="W68" s="368"/>
      <c r="X68" s="368"/>
    </row>
    <row r="69" spans="2:24" ht="12.6" thickTop="1">
      <c r="T69" s="370" t="s">
        <v>139</v>
      </c>
      <c r="X69" s="394">
        <f>(R11+R15+R19+R23+R27+R31)/(R38+R44)</f>
        <v>0.71864479430116335</v>
      </c>
    </row>
    <row r="70" spans="2:24">
      <c r="T70" s="370" t="s">
        <v>1098</v>
      </c>
      <c r="X70" s="394">
        <f>(R12+R16+R20+R24+R28+R43)/(R38+R45)</f>
        <v>0.38502389001225545</v>
      </c>
    </row>
    <row r="71" spans="2:24">
      <c r="B71" s="384"/>
      <c r="D71" s="370"/>
      <c r="J71" s="373"/>
      <c r="T71" s="370" t="s">
        <v>140</v>
      </c>
      <c r="X71" s="394">
        <f>1-X70-X69</f>
        <v>-0.1036686843134188</v>
      </c>
    </row>
    <row r="72" spans="2:24">
      <c r="B72" s="382"/>
      <c r="D72" s="345"/>
      <c r="E72" s="381"/>
      <c r="F72" s="381"/>
      <c r="G72" s="381"/>
      <c r="H72" s="381"/>
      <c r="I72" s="381"/>
      <c r="J72" s="387" t="s">
        <v>688</v>
      </c>
      <c r="K72" s="381"/>
    </row>
    <row r="73" spans="2:24">
      <c r="D73" s="386"/>
      <c r="E73" s="345"/>
      <c r="F73" s="345"/>
      <c r="G73" s="345"/>
      <c r="H73" s="345"/>
      <c r="I73" s="345"/>
      <c r="T73" s="370" t="s">
        <v>805</v>
      </c>
      <c r="X73" s="394">
        <f>X69</f>
        <v>0.71864479430116335</v>
      </c>
    </row>
    <row r="74" spans="2:24">
      <c r="D74" s="386"/>
      <c r="E74" s="345"/>
      <c r="F74" s="345"/>
      <c r="G74" s="345"/>
      <c r="H74" s="345"/>
      <c r="I74" s="345"/>
      <c r="T74" s="370" t="s">
        <v>806</v>
      </c>
      <c r="X74" s="394">
        <f>X69-X73</f>
        <v>0</v>
      </c>
    </row>
    <row r="75" spans="2:24">
      <c r="B75" s="367" t="s">
        <v>650</v>
      </c>
      <c r="D75" s="386">
        <f>Prices!C158/Prices!C166</f>
        <v>3.2894007367016562</v>
      </c>
      <c r="E75" s="345"/>
      <c r="F75" s="345"/>
      <c r="G75" s="345"/>
      <c r="H75" s="345"/>
      <c r="I75" s="345"/>
      <c r="K75" s="381"/>
      <c r="T75" s="370" t="s">
        <v>807</v>
      </c>
      <c r="X75" s="394">
        <v>0</v>
      </c>
    </row>
    <row r="76" spans="2:24">
      <c r="B76" s="367" t="s">
        <v>798</v>
      </c>
      <c r="D76" s="386">
        <v>8.5808499999999999</v>
      </c>
    </row>
    <row r="88" spans="4:24">
      <c r="D88" s="370"/>
      <c r="E88" s="381"/>
      <c r="F88" s="381"/>
      <c r="G88" s="381"/>
      <c r="H88" s="381"/>
      <c r="I88" s="381"/>
      <c r="R88" s="249"/>
      <c r="S88" s="388"/>
      <c r="T88" s="388"/>
      <c r="U88" s="388"/>
      <c r="V88" s="388"/>
      <c r="W88" s="388"/>
      <c r="X88" s="388"/>
    </row>
    <row r="89" spans="4:24">
      <c r="D89" s="370"/>
      <c r="R89" s="388"/>
    </row>
    <row r="90" spans="4:24">
      <c r="D90" s="370"/>
      <c r="L90" s="249"/>
      <c r="M90" s="249"/>
      <c r="N90" s="249"/>
      <c r="O90" s="249"/>
      <c r="P90" s="249"/>
      <c r="Q90" s="249"/>
    </row>
    <row r="91" spans="4:24">
      <c r="D91" s="370"/>
      <c r="J91" s="381"/>
      <c r="N91" s="388"/>
      <c r="O91" s="388"/>
      <c r="P91" s="388"/>
      <c r="Q91" s="388"/>
      <c r="S91" s="249"/>
      <c r="T91" s="249"/>
      <c r="U91" s="249"/>
      <c r="V91" s="249"/>
      <c r="W91" s="249"/>
      <c r="X91" s="249"/>
    </row>
    <row r="92" spans="4:24">
      <c r="D92" s="370"/>
      <c r="J92" s="381"/>
      <c r="R92" s="249"/>
      <c r="S92" s="388"/>
      <c r="T92" s="388"/>
      <c r="U92" s="388"/>
      <c r="V92" s="388"/>
      <c r="W92" s="388"/>
      <c r="X92" s="388"/>
    </row>
    <row r="93" spans="4:24">
      <c r="D93" s="370"/>
      <c r="L93" s="249"/>
      <c r="M93" s="249"/>
      <c r="N93" s="249"/>
      <c r="O93" s="249"/>
      <c r="P93" s="249"/>
      <c r="Q93" s="249"/>
      <c r="R93" s="388"/>
    </row>
    <row r="94" spans="4:24">
      <c r="D94" s="370"/>
      <c r="J94" s="381"/>
      <c r="K94" s="381"/>
      <c r="N94" s="388"/>
      <c r="O94" s="388"/>
      <c r="P94" s="388"/>
      <c r="Q94" s="388"/>
      <c r="S94" s="249"/>
      <c r="T94" s="249"/>
      <c r="U94" s="249"/>
      <c r="V94" s="249"/>
      <c r="W94" s="249"/>
      <c r="X94" s="249"/>
    </row>
    <row r="95" spans="4:24">
      <c r="D95" s="370"/>
      <c r="J95" s="381"/>
      <c r="K95" s="381"/>
      <c r="R95" s="249"/>
      <c r="S95" s="388"/>
      <c r="T95" s="388"/>
      <c r="U95" s="388"/>
      <c r="V95" s="388"/>
      <c r="W95" s="388"/>
      <c r="X95" s="388"/>
    </row>
    <row r="96" spans="4:24">
      <c r="D96" s="370"/>
      <c r="J96" s="381"/>
      <c r="L96" s="249"/>
      <c r="M96" s="249"/>
      <c r="N96" s="249"/>
      <c r="O96" s="249"/>
      <c r="P96" s="249"/>
      <c r="Q96" s="249"/>
      <c r="R96" s="388"/>
    </row>
    <row r="97" spans="4:24">
      <c r="D97" s="370"/>
      <c r="K97" s="381"/>
      <c r="N97" s="388"/>
      <c r="O97" s="388"/>
      <c r="P97" s="388"/>
      <c r="Q97" s="388"/>
      <c r="S97" s="249"/>
      <c r="T97" s="249"/>
      <c r="U97" s="249"/>
      <c r="V97" s="249"/>
      <c r="W97" s="249"/>
      <c r="X97" s="249"/>
    </row>
    <row r="98" spans="4:24">
      <c r="D98" s="345"/>
      <c r="E98" s="381"/>
      <c r="F98" s="381"/>
      <c r="G98" s="381"/>
      <c r="H98" s="381"/>
      <c r="I98" s="381"/>
      <c r="K98" s="381"/>
      <c r="R98" s="249"/>
      <c r="S98" s="388"/>
      <c r="T98" s="388"/>
      <c r="U98" s="388"/>
      <c r="V98" s="388"/>
      <c r="W98" s="388"/>
      <c r="X98" s="388"/>
    </row>
    <row r="99" spans="4:24">
      <c r="D99" s="370"/>
      <c r="J99" s="381"/>
      <c r="K99" s="381"/>
      <c r="L99" s="249"/>
      <c r="M99" s="249"/>
      <c r="N99" s="249"/>
      <c r="O99" s="249"/>
      <c r="P99" s="249"/>
      <c r="Q99" s="249"/>
      <c r="R99" s="388"/>
    </row>
    <row r="100" spans="4:24">
      <c r="D100" s="370"/>
      <c r="J100" s="381"/>
      <c r="N100" s="388"/>
      <c r="O100" s="388"/>
      <c r="P100" s="388"/>
      <c r="Q100" s="388"/>
      <c r="S100" s="249"/>
      <c r="T100" s="249"/>
      <c r="U100" s="249"/>
      <c r="V100" s="249"/>
      <c r="W100" s="249"/>
      <c r="X100" s="249"/>
    </row>
    <row r="101" spans="4:24">
      <c r="D101" s="345"/>
      <c r="E101" s="381"/>
      <c r="F101" s="381"/>
      <c r="G101" s="381"/>
      <c r="H101" s="381"/>
      <c r="I101" s="381"/>
      <c r="L101" s="389"/>
      <c r="M101" s="389"/>
      <c r="N101" s="389"/>
      <c r="O101" s="389"/>
      <c r="P101" s="389"/>
      <c r="Q101" s="389"/>
      <c r="R101" s="249"/>
      <c r="S101" s="388"/>
      <c r="T101" s="388"/>
      <c r="U101" s="388"/>
      <c r="V101" s="388"/>
      <c r="W101" s="388"/>
      <c r="X101" s="388"/>
    </row>
    <row r="102" spans="4:24">
      <c r="D102" s="370"/>
      <c r="K102" s="381"/>
      <c r="N102" s="388"/>
      <c r="O102" s="388"/>
      <c r="P102" s="388"/>
      <c r="Q102" s="388"/>
      <c r="R102" s="388"/>
      <c r="S102" s="389"/>
      <c r="T102" s="389"/>
      <c r="U102" s="389"/>
      <c r="V102" s="389"/>
      <c r="W102" s="389"/>
      <c r="X102" s="389"/>
    </row>
    <row r="103" spans="4:24">
      <c r="D103" s="345"/>
      <c r="E103" s="381"/>
      <c r="F103" s="381"/>
      <c r="G103" s="381"/>
      <c r="H103" s="381"/>
      <c r="I103" s="381"/>
      <c r="K103" s="381"/>
      <c r="R103" s="389"/>
      <c r="S103" s="388"/>
      <c r="T103" s="388"/>
      <c r="U103" s="388"/>
      <c r="V103" s="388"/>
      <c r="W103" s="388"/>
      <c r="X103" s="388"/>
    </row>
    <row r="104" spans="4:24">
      <c r="D104" s="370"/>
      <c r="E104" s="381"/>
      <c r="F104" s="381"/>
      <c r="G104" s="381"/>
      <c r="H104" s="381"/>
      <c r="I104" s="381"/>
      <c r="L104" s="249"/>
      <c r="M104" s="249"/>
      <c r="N104" s="249"/>
      <c r="O104" s="249"/>
      <c r="P104" s="249"/>
      <c r="Q104" s="249"/>
      <c r="R104" s="388"/>
    </row>
    <row r="105" spans="4:24">
      <c r="D105" s="370"/>
      <c r="N105" s="388"/>
      <c r="O105" s="388"/>
      <c r="P105" s="390"/>
      <c r="Q105" s="390"/>
      <c r="S105" s="249"/>
      <c r="T105" s="249"/>
      <c r="U105" s="249"/>
      <c r="V105" s="249"/>
      <c r="W105" s="249"/>
      <c r="X105" s="249"/>
    </row>
    <row r="106" spans="4:24">
      <c r="D106" s="370"/>
      <c r="L106" s="249"/>
      <c r="M106" s="249"/>
      <c r="N106" s="249"/>
      <c r="O106" s="249"/>
      <c r="P106" s="249"/>
      <c r="Q106" s="249"/>
      <c r="R106" s="249"/>
      <c r="S106" s="390"/>
      <c r="T106" s="390"/>
      <c r="U106" s="390"/>
      <c r="V106" s="390"/>
      <c r="W106" s="390"/>
      <c r="X106" s="390"/>
    </row>
    <row r="107" spans="4:24">
      <c r="D107" s="345"/>
      <c r="E107" s="381"/>
      <c r="F107" s="381"/>
      <c r="G107" s="381"/>
      <c r="H107" s="381"/>
      <c r="I107" s="381"/>
      <c r="N107" s="388"/>
      <c r="O107" s="388"/>
      <c r="P107" s="388"/>
      <c r="Q107" s="388"/>
      <c r="R107" s="390"/>
      <c r="S107" s="249"/>
      <c r="T107" s="249"/>
      <c r="U107" s="249"/>
      <c r="V107" s="249"/>
      <c r="W107" s="249"/>
      <c r="X107" s="249"/>
    </row>
    <row r="108" spans="4:24">
      <c r="D108" s="370"/>
      <c r="E108" s="381"/>
      <c r="F108" s="381"/>
      <c r="G108" s="381"/>
      <c r="H108" s="381"/>
      <c r="I108" s="381"/>
      <c r="L108" s="248"/>
      <c r="M108" s="248"/>
      <c r="N108" s="248"/>
      <c r="O108" s="248"/>
      <c r="P108" s="248"/>
      <c r="Q108" s="248"/>
      <c r="R108" s="249"/>
      <c r="S108" s="388"/>
      <c r="T108" s="388"/>
      <c r="U108" s="388"/>
      <c r="V108" s="388"/>
      <c r="W108" s="388"/>
      <c r="X108" s="388"/>
    </row>
    <row r="109" spans="4:24">
      <c r="D109" s="370"/>
      <c r="R109" s="388"/>
      <c r="S109" s="248"/>
      <c r="T109" s="248"/>
      <c r="U109" s="248"/>
      <c r="V109" s="248"/>
      <c r="W109" s="248"/>
      <c r="X109" s="248"/>
    </row>
    <row r="110" spans="4:24">
      <c r="D110" s="345"/>
      <c r="E110" s="381"/>
      <c r="F110" s="381"/>
      <c r="G110" s="381"/>
      <c r="H110" s="381"/>
      <c r="I110" s="381"/>
      <c r="L110" s="247"/>
      <c r="M110" s="247"/>
      <c r="N110" s="247"/>
      <c r="O110" s="247"/>
      <c r="P110" s="247"/>
      <c r="Q110" s="247"/>
      <c r="R110" s="248"/>
    </row>
    <row r="111" spans="4:24">
      <c r="D111" s="370"/>
      <c r="J111" s="381"/>
      <c r="N111" s="388"/>
      <c r="O111" s="388"/>
      <c r="P111" s="388"/>
      <c r="Q111" s="388"/>
      <c r="S111" s="247"/>
      <c r="T111" s="247"/>
      <c r="U111" s="247"/>
      <c r="V111" s="247"/>
      <c r="W111" s="247"/>
      <c r="X111" s="247"/>
    </row>
    <row r="112" spans="4:24">
      <c r="D112" s="370"/>
      <c r="J112" s="381"/>
      <c r="R112" s="247"/>
      <c r="S112" s="388"/>
      <c r="T112" s="388"/>
      <c r="U112" s="388"/>
      <c r="V112" s="388"/>
      <c r="W112" s="388"/>
      <c r="X112" s="388"/>
    </row>
    <row r="113" spans="4:24">
      <c r="D113" s="345"/>
      <c r="E113" s="381"/>
      <c r="F113" s="381"/>
      <c r="G113" s="381"/>
      <c r="H113" s="381"/>
      <c r="I113" s="381"/>
      <c r="L113" s="389"/>
      <c r="M113" s="389"/>
      <c r="N113" s="389"/>
      <c r="O113" s="389"/>
      <c r="P113" s="389"/>
      <c r="Q113" s="389"/>
      <c r="R113" s="388"/>
    </row>
    <row r="114" spans="4:24">
      <c r="D114" s="370"/>
      <c r="K114" s="381"/>
      <c r="N114" s="388"/>
      <c r="O114" s="388"/>
      <c r="P114" s="388"/>
      <c r="Q114" s="388"/>
      <c r="S114" s="389"/>
      <c r="T114" s="389"/>
      <c r="U114" s="389"/>
      <c r="V114" s="389"/>
      <c r="W114" s="389"/>
      <c r="X114" s="389"/>
    </row>
    <row r="115" spans="4:24">
      <c r="D115" s="370"/>
      <c r="J115" s="381"/>
      <c r="K115" s="381"/>
      <c r="R115" s="389"/>
      <c r="S115" s="388"/>
      <c r="T115" s="388"/>
      <c r="U115" s="388"/>
      <c r="V115" s="388"/>
      <c r="W115" s="388"/>
      <c r="X115" s="388"/>
    </row>
    <row r="116" spans="4:24">
      <c r="D116" s="370"/>
      <c r="J116" s="381"/>
      <c r="L116" s="391"/>
      <c r="M116" s="391"/>
      <c r="N116" s="391"/>
      <c r="O116" s="391"/>
      <c r="P116" s="391"/>
      <c r="Q116" s="391"/>
      <c r="R116" s="388"/>
    </row>
    <row r="117" spans="4:24">
      <c r="D117" s="345"/>
      <c r="E117" s="381"/>
      <c r="F117" s="381"/>
      <c r="G117" s="381"/>
      <c r="H117" s="381"/>
      <c r="I117" s="381"/>
      <c r="N117" s="388"/>
      <c r="O117" s="388"/>
      <c r="P117" s="388"/>
      <c r="Q117" s="388"/>
      <c r="S117" s="391"/>
      <c r="T117" s="391"/>
      <c r="U117" s="391"/>
      <c r="V117" s="391"/>
      <c r="W117" s="391"/>
      <c r="X117" s="391"/>
    </row>
    <row r="118" spans="4:24">
      <c r="D118" s="370"/>
      <c r="K118" s="381"/>
      <c r="N118" s="248"/>
      <c r="O118" s="248"/>
      <c r="P118" s="248"/>
      <c r="Q118" s="248"/>
      <c r="R118" s="391"/>
      <c r="S118" s="388"/>
      <c r="T118" s="388"/>
      <c r="U118" s="388"/>
      <c r="V118" s="388"/>
      <c r="W118" s="388"/>
      <c r="X118" s="388"/>
    </row>
    <row r="119" spans="4:24">
      <c r="D119" s="370"/>
      <c r="E119" s="345"/>
      <c r="F119" s="345"/>
      <c r="G119" s="345"/>
      <c r="H119" s="345"/>
      <c r="I119" s="345"/>
      <c r="J119" s="381"/>
      <c r="K119" s="381"/>
      <c r="R119" s="388"/>
      <c r="S119" s="248"/>
      <c r="T119" s="248"/>
      <c r="U119" s="248"/>
      <c r="V119" s="248"/>
      <c r="W119" s="248"/>
      <c r="X119" s="248"/>
    </row>
    <row r="120" spans="4:24">
      <c r="D120" s="370"/>
      <c r="E120" s="345"/>
      <c r="F120" s="345"/>
      <c r="G120" s="345"/>
      <c r="H120" s="345"/>
      <c r="I120" s="345"/>
      <c r="L120" s="247"/>
      <c r="M120" s="247"/>
      <c r="N120" s="247"/>
      <c r="O120" s="247"/>
      <c r="P120" s="247"/>
      <c r="Q120" s="247"/>
      <c r="R120" s="248"/>
    </row>
    <row r="121" spans="4:24">
      <c r="D121" s="370"/>
      <c r="N121" s="388"/>
      <c r="O121" s="388"/>
      <c r="P121" s="388"/>
      <c r="Q121" s="388"/>
      <c r="S121" s="247"/>
      <c r="T121" s="247"/>
      <c r="U121" s="247"/>
      <c r="V121" s="247"/>
      <c r="W121" s="247"/>
      <c r="X121" s="247"/>
    </row>
    <row r="122" spans="4:24">
      <c r="D122" s="370"/>
      <c r="K122" s="381"/>
      <c r="L122" s="274"/>
      <c r="M122" s="274"/>
      <c r="N122" s="274"/>
      <c r="O122" s="274"/>
      <c r="P122" s="274"/>
      <c r="Q122" s="274"/>
      <c r="R122" s="247"/>
      <c r="S122" s="388"/>
      <c r="T122" s="388"/>
      <c r="U122" s="388"/>
      <c r="V122" s="388"/>
      <c r="W122" s="388"/>
      <c r="X122" s="388"/>
    </row>
    <row r="123" spans="4:24">
      <c r="D123" s="370"/>
      <c r="R123" s="388"/>
      <c r="S123" s="274"/>
      <c r="T123" s="274"/>
      <c r="U123" s="274"/>
      <c r="V123" s="274"/>
      <c r="W123" s="274"/>
      <c r="X123" s="274"/>
    </row>
    <row r="124" spans="4:24">
      <c r="D124" s="345"/>
      <c r="E124" s="381"/>
      <c r="F124" s="381"/>
      <c r="G124" s="381"/>
      <c r="H124" s="381"/>
      <c r="I124" s="381"/>
      <c r="L124" s="389"/>
      <c r="M124" s="389"/>
      <c r="N124" s="389"/>
      <c r="O124" s="389"/>
      <c r="P124" s="389"/>
      <c r="Q124" s="389"/>
      <c r="R124" s="274"/>
    </row>
    <row r="125" spans="4:24">
      <c r="D125" s="345"/>
      <c r="E125" s="381"/>
      <c r="F125" s="381"/>
      <c r="G125" s="381"/>
      <c r="H125" s="381"/>
      <c r="I125" s="381"/>
      <c r="N125" s="388"/>
      <c r="O125" s="388"/>
      <c r="P125" s="388"/>
      <c r="Q125" s="388"/>
      <c r="S125" s="389"/>
      <c r="T125" s="389"/>
      <c r="U125" s="389"/>
      <c r="V125" s="389"/>
      <c r="W125" s="389"/>
      <c r="X125" s="389"/>
    </row>
    <row r="126" spans="4:24">
      <c r="D126" s="370"/>
      <c r="E126" s="381"/>
      <c r="F126" s="381"/>
      <c r="G126" s="381"/>
      <c r="H126" s="381"/>
      <c r="I126" s="381"/>
      <c r="R126" s="389"/>
      <c r="S126" s="388"/>
      <c r="T126" s="388"/>
      <c r="U126" s="388"/>
      <c r="V126" s="388"/>
      <c r="W126" s="388"/>
      <c r="X126" s="388"/>
    </row>
    <row r="127" spans="4:24">
      <c r="D127" s="370"/>
      <c r="E127" s="381"/>
      <c r="F127" s="381"/>
      <c r="G127" s="381"/>
      <c r="H127" s="381"/>
      <c r="I127" s="381"/>
      <c r="R127" s="388"/>
    </row>
    <row r="128" spans="4:24">
      <c r="D128" s="370"/>
      <c r="L128" s="249"/>
      <c r="M128" s="249"/>
      <c r="N128" s="249"/>
      <c r="O128" s="249"/>
      <c r="P128" s="249"/>
      <c r="Q128" s="249"/>
    </row>
    <row r="129" spans="4:24">
      <c r="D129" s="345"/>
      <c r="E129" s="381"/>
      <c r="F129" s="381"/>
      <c r="G129" s="381"/>
      <c r="H129" s="381"/>
      <c r="I129" s="381"/>
      <c r="N129" s="388"/>
      <c r="O129" s="388"/>
      <c r="P129" s="388"/>
      <c r="Q129" s="388"/>
      <c r="S129" s="249"/>
      <c r="T129" s="249"/>
      <c r="U129" s="249"/>
      <c r="V129" s="249"/>
      <c r="W129" s="249"/>
      <c r="X129" s="249"/>
    </row>
    <row r="130" spans="4:24">
      <c r="D130" s="370"/>
      <c r="E130" s="381"/>
      <c r="F130" s="381"/>
      <c r="G130" s="381"/>
      <c r="H130" s="381"/>
      <c r="I130" s="381"/>
      <c r="R130" s="249"/>
      <c r="S130" s="388"/>
      <c r="T130" s="388"/>
      <c r="U130" s="388"/>
      <c r="V130" s="388"/>
      <c r="W130" s="388"/>
      <c r="X130" s="388"/>
    </row>
    <row r="131" spans="4:24">
      <c r="D131" s="370"/>
      <c r="E131" s="381"/>
      <c r="F131" s="381"/>
      <c r="G131" s="381"/>
      <c r="H131" s="381"/>
      <c r="I131" s="381"/>
      <c r="L131" s="249"/>
      <c r="M131" s="249"/>
      <c r="N131" s="249"/>
      <c r="O131" s="249"/>
      <c r="P131" s="249"/>
      <c r="Q131" s="249"/>
      <c r="R131" s="388"/>
    </row>
    <row r="132" spans="4:24">
      <c r="D132" s="370"/>
      <c r="N132" s="388"/>
      <c r="O132" s="388"/>
      <c r="P132" s="390"/>
      <c r="Q132" s="390"/>
      <c r="S132" s="249"/>
      <c r="T132" s="249"/>
      <c r="U132" s="249"/>
      <c r="V132" s="249"/>
      <c r="W132" s="249"/>
      <c r="X132" s="249"/>
    </row>
    <row r="133" spans="4:24">
      <c r="D133" s="370"/>
      <c r="R133" s="249"/>
      <c r="S133" s="390"/>
      <c r="T133" s="390"/>
      <c r="U133" s="390"/>
      <c r="V133" s="390"/>
      <c r="W133" s="390"/>
      <c r="X133" s="390"/>
    </row>
    <row r="134" spans="4:24">
      <c r="D134" s="370"/>
      <c r="J134" s="381"/>
      <c r="L134" s="389"/>
      <c r="M134" s="389"/>
      <c r="N134" s="389"/>
      <c r="O134" s="389"/>
      <c r="P134" s="389"/>
      <c r="Q134" s="389"/>
      <c r="R134" s="390"/>
    </row>
    <row r="135" spans="4:24">
      <c r="D135" s="370"/>
      <c r="J135" s="381"/>
      <c r="N135" s="392"/>
      <c r="O135" s="392"/>
      <c r="P135" s="392"/>
      <c r="Q135" s="392"/>
      <c r="S135" s="389"/>
      <c r="T135" s="389"/>
      <c r="U135" s="389"/>
      <c r="V135" s="389"/>
      <c r="W135" s="389"/>
      <c r="X135" s="389"/>
    </row>
    <row r="136" spans="4:24">
      <c r="D136" s="370"/>
      <c r="L136" s="392"/>
      <c r="M136" s="392"/>
      <c r="N136" s="392"/>
      <c r="O136" s="392"/>
      <c r="P136" s="392"/>
      <c r="Q136" s="392"/>
      <c r="R136" s="389"/>
      <c r="S136" s="392"/>
      <c r="T136" s="392"/>
      <c r="U136" s="392"/>
      <c r="V136" s="392"/>
      <c r="W136" s="392"/>
      <c r="X136" s="392"/>
    </row>
    <row r="137" spans="4:24">
      <c r="D137" s="370"/>
      <c r="J137" s="381"/>
      <c r="K137" s="381"/>
      <c r="R137" s="392"/>
      <c r="S137" s="392"/>
      <c r="T137" s="392"/>
      <c r="U137" s="392"/>
      <c r="V137" s="392"/>
      <c r="W137" s="392"/>
      <c r="X137" s="392"/>
    </row>
    <row r="138" spans="4:24">
      <c r="D138" s="370"/>
      <c r="J138" s="381"/>
      <c r="K138" s="381"/>
      <c r="L138" s="388"/>
      <c r="M138" s="388"/>
      <c r="N138" s="388"/>
      <c r="O138" s="388"/>
      <c r="P138" s="388"/>
      <c r="Q138" s="388"/>
      <c r="R138" s="392"/>
    </row>
    <row r="139" spans="4:24">
      <c r="D139" s="370"/>
      <c r="J139" s="381"/>
      <c r="L139" s="389"/>
      <c r="M139" s="389"/>
      <c r="N139" s="389"/>
      <c r="O139" s="389"/>
      <c r="P139" s="389"/>
      <c r="Q139" s="389"/>
      <c r="S139" s="388"/>
      <c r="T139" s="388"/>
      <c r="U139" s="388"/>
      <c r="V139" s="388"/>
      <c r="W139" s="388"/>
      <c r="X139" s="388"/>
    </row>
    <row r="140" spans="4:24">
      <c r="D140" s="370"/>
      <c r="K140" s="381"/>
      <c r="R140" s="388"/>
      <c r="S140" s="389"/>
      <c r="T140" s="389"/>
      <c r="U140" s="389"/>
      <c r="V140" s="389"/>
      <c r="W140" s="389"/>
      <c r="X140" s="389"/>
    </row>
    <row r="141" spans="4:24">
      <c r="D141" s="345"/>
      <c r="E141" s="381"/>
      <c r="F141" s="381"/>
      <c r="G141" s="381"/>
      <c r="H141" s="381"/>
      <c r="I141" s="381"/>
      <c r="K141" s="381"/>
      <c r="R141" s="389"/>
      <c r="S141" s="392"/>
      <c r="T141" s="392"/>
      <c r="U141" s="392"/>
      <c r="V141" s="392"/>
      <c r="W141" s="392"/>
      <c r="X141" s="392"/>
    </row>
    <row r="142" spans="4:24">
      <c r="D142" s="370"/>
      <c r="J142" s="381"/>
      <c r="K142" s="381"/>
      <c r="L142" s="389"/>
      <c r="M142" s="389"/>
      <c r="N142" s="389"/>
      <c r="O142" s="389"/>
      <c r="P142" s="389"/>
      <c r="Q142" s="389"/>
      <c r="R142" s="392"/>
    </row>
    <row r="143" spans="4:24">
      <c r="D143" s="370"/>
      <c r="J143" s="381"/>
      <c r="N143" s="392"/>
      <c r="O143" s="392"/>
      <c r="P143" s="392"/>
      <c r="Q143" s="392"/>
      <c r="S143" s="389"/>
      <c r="T143" s="389"/>
      <c r="U143" s="389"/>
      <c r="V143" s="389"/>
      <c r="W143" s="389"/>
      <c r="X143" s="389"/>
    </row>
    <row r="144" spans="4:24">
      <c r="D144" s="345"/>
      <c r="E144" s="381"/>
      <c r="F144" s="381"/>
      <c r="G144" s="381"/>
      <c r="H144" s="381"/>
      <c r="I144" s="381"/>
      <c r="R144" s="389"/>
      <c r="S144" s="392"/>
      <c r="T144" s="392"/>
      <c r="U144" s="392"/>
      <c r="V144" s="392"/>
      <c r="W144" s="392"/>
      <c r="X144" s="392"/>
    </row>
    <row r="145" spans="4:18">
      <c r="D145" s="370"/>
      <c r="K145" s="381"/>
      <c r="R145" s="392"/>
    </row>
    <row r="146" spans="4:18">
      <c r="D146" s="345"/>
      <c r="E146" s="381"/>
      <c r="F146" s="381"/>
      <c r="G146" s="381"/>
      <c r="H146" s="381"/>
      <c r="I146" s="381"/>
      <c r="K146" s="381"/>
    </row>
    <row r="147" spans="4:18">
      <c r="D147" s="370"/>
      <c r="E147" s="381"/>
      <c r="F147" s="381"/>
      <c r="G147" s="381"/>
      <c r="H147" s="381"/>
      <c r="I147" s="381"/>
    </row>
    <row r="148" spans="4:18">
      <c r="D148" s="370"/>
    </row>
    <row r="149" spans="4:18">
      <c r="D149" s="370"/>
    </row>
    <row r="150" spans="4:18">
      <c r="D150" s="345"/>
      <c r="E150" s="381"/>
      <c r="F150" s="381"/>
      <c r="G150" s="381"/>
      <c r="H150" s="381"/>
      <c r="I150" s="381"/>
    </row>
    <row r="151" spans="4:18">
      <c r="D151" s="370"/>
      <c r="E151" s="381"/>
      <c r="F151" s="381"/>
      <c r="G151" s="381"/>
      <c r="H151" s="381"/>
      <c r="I151" s="381"/>
    </row>
    <row r="152" spans="4:18">
      <c r="D152" s="370"/>
    </row>
    <row r="153" spans="4:18">
      <c r="D153" s="345"/>
      <c r="E153" s="381"/>
      <c r="F153" s="381"/>
      <c r="G153" s="381"/>
      <c r="H153" s="381"/>
      <c r="I153" s="381"/>
    </row>
    <row r="154" spans="4:18">
      <c r="D154" s="370"/>
      <c r="J154" s="381"/>
    </row>
    <row r="155" spans="4:18">
      <c r="D155" s="370"/>
      <c r="J155" s="381"/>
    </row>
    <row r="156" spans="4:18">
      <c r="D156" s="345"/>
      <c r="E156" s="381"/>
      <c r="F156" s="381"/>
      <c r="G156" s="381"/>
      <c r="H156" s="381"/>
      <c r="I156" s="381"/>
    </row>
    <row r="157" spans="4:18">
      <c r="D157" s="370"/>
      <c r="K157" s="381"/>
    </row>
    <row r="158" spans="4:18">
      <c r="D158" s="370"/>
      <c r="J158" s="381"/>
      <c r="K158" s="381"/>
    </row>
    <row r="159" spans="4:18">
      <c r="D159" s="370"/>
      <c r="J159" s="381"/>
    </row>
    <row r="160" spans="4:18">
      <c r="D160" s="345"/>
      <c r="E160" s="381"/>
      <c r="F160" s="381"/>
      <c r="G160" s="381"/>
      <c r="H160" s="381"/>
      <c r="I160" s="381"/>
    </row>
    <row r="161" spans="4:11">
      <c r="D161" s="370"/>
      <c r="K161" s="381"/>
    </row>
    <row r="162" spans="4:11">
      <c r="D162" s="370"/>
      <c r="E162" s="345"/>
      <c r="F162" s="345"/>
      <c r="G162" s="345"/>
      <c r="H162" s="345"/>
      <c r="I162" s="345"/>
      <c r="J162" s="381"/>
      <c r="K162" s="381"/>
    </row>
    <row r="163" spans="4:11">
      <c r="D163" s="370"/>
      <c r="E163" s="345"/>
      <c r="F163" s="345"/>
      <c r="G163" s="345"/>
      <c r="H163" s="345"/>
      <c r="I163" s="345"/>
    </row>
    <row r="164" spans="4:11">
      <c r="D164" s="370"/>
    </row>
    <row r="165" spans="4:11">
      <c r="D165" s="370"/>
      <c r="K165" s="381"/>
    </row>
    <row r="167" spans="4:11">
      <c r="D167" s="345"/>
      <c r="E167" s="381"/>
      <c r="F167" s="381"/>
      <c r="G167" s="381"/>
      <c r="H167" s="381"/>
      <c r="I167" s="381"/>
    </row>
    <row r="168" spans="4:11">
      <c r="D168" s="345"/>
      <c r="E168" s="381"/>
      <c r="F168" s="381"/>
      <c r="G168" s="381"/>
      <c r="H168" s="381"/>
      <c r="I168" s="381"/>
    </row>
    <row r="169" spans="4:11">
      <c r="D169" s="370"/>
      <c r="E169" s="381"/>
      <c r="F169" s="381"/>
      <c r="G169" s="381"/>
      <c r="H169" s="381"/>
      <c r="I169" s="381"/>
    </row>
    <row r="170" spans="4:11">
      <c r="D170" s="370"/>
      <c r="E170" s="381"/>
      <c r="F170" s="381"/>
      <c r="G170" s="381"/>
      <c r="H170" s="381"/>
      <c r="I170" s="381"/>
    </row>
    <row r="171" spans="4:11">
      <c r="D171" s="370"/>
    </row>
    <row r="172" spans="4:11">
      <c r="D172" s="345"/>
      <c r="E172" s="381"/>
      <c r="F172" s="381"/>
      <c r="G172" s="381"/>
      <c r="H172" s="381"/>
      <c r="I172" s="381"/>
    </row>
    <row r="173" spans="4:11">
      <c r="D173" s="370"/>
      <c r="E173" s="381"/>
      <c r="F173" s="381"/>
      <c r="G173" s="381"/>
      <c r="H173" s="381"/>
      <c r="I173" s="381"/>
    </row>
    <row r="174" spans="4:11">
      <c r="D174" s="370"/>
      <c r="E174" s="381"/>
      <c r="F174" s="381"/>
      <c r="G174" s="381"/>
      <c r="H174" s="381"/>
      <c r="I174" s="381"/>
    </row>
    <row r="175" spans="4:11">
      <c r="D175" s="370"/>
    </row>
    <row r="176" spans="4:11">
      <c r="D176" s="370"/>
    </row>
    <row r="177" spans="4:11">
      <c r="D177" s="370"/>
      <c r="J177" s="381"/>
    </row>
    <row r="178" spans="4:11">
      <c r="D178" s="370"/>
      <c r="J178" s="381"/>
    </row>
    <row r="179" spans="4:11">
      <c r="D179" s="370"/>
    </row>
    <row r="180" spans="4:11">
      <c r="D180" s="370"/>
      <c r="J180" s="381"/>
      <c r="K180" s="381"/>
    </row>
    <row r="181" spans="4:11">
      <c r="D181" s="370"/>
      <c r="J181" s="381"/>
      <c r="K181" s="381"/>
    </row>
    <row r="182" spans="4:11">
      <c r="D182" s="370"/>
      <c r="J182" s="381"/>
    </row>
    <row r="183" spans="4:11">
      <c r="D183" s="370"/>
      <c r="K183" s="381"/>
    </row>
    <row r="184" spans="4:11">
      <c r="D184" s="345"/>
      <c r="E184" s="381"/>
      <c r="F184" s="381"/>
      <c r="G184" s="381"/>
      <c r="H184" s="381"/>
      <c r="I184" s="381"/>
      <c r="K184" s="381"/>
    </row>
    <row r="185" spans="4:11">
      <c r="D185" s="370"/>
      <c r="J185" s="381"/>
      <c r="K185" s="381"/>
    </row>
    <row r="186" spans="4:11">
      <c r="D186" s="370"/>
      <c r="J186" s="381"/>
    </row>
    <row r="187" spans="4:11">
      <c r="D187" s="345"/>
      <c r="E187" s="381"/>
      <c r="F187" s="381"/>
      <c r="G187" s="381"/>
      <c r="H187" s="381"/>
      <c r="I187" s="381"/>
    </row>
    <row r="188" spans="4:11">
      <c r="D188" s="370"/>
      <c r="K188" s="381"/>
    </row>
    <row r="189" spans="4:11">
      <c r="D189" s="345"/>
      <c r="E189" s="381"/>
      <c r="F189" s="381"/>
      <c r="G189" s="381"/>
      <c r="H189" s="381"/>
      <c r="I189" s="381"/>
      <c r="K189" s="381"/>
    </row>
    <row r="190" spans="4:11">
      <c r="D190" s="370"/>
      <c r="E190" s="381"/>
      <c r="F190" s="381"/>
      <c r="G190" s="381"/>
      <c r="H190" s="381"/>
      <c r="I190" s="381"/>
    </row>
    <row r="191" spans="4:11">
      <c r="D191" s="370"/>
    </row>
    <row r="192" spans="4:11">
      <c r="D192" s="370"/>
    </row>
    <row r="193" spans="4:11">
      <c r="D193" s="345"/>
      <c r="E193" s="381"/>
      <c r="F193" s="381"/>
      <c r="G193" s="381"/>
      <c r="H193" s="381"/>
      <c r="I193" s="381"/>
    </row>
    <row r="194" spans="4:11">
      <c r="D194" s="370"/>
      <c r="E194" s="381"/>
      <c r="F194" s="381"/>
      <c r="G194" s="381"/>
      <c r="H194" s="381"/>
      <c r="I194" s="381"/>
    </row>
    <row r="195" spans="4:11">
      <c r="D195" s="370"/>
    </row>
    <row r="196" spans="4:11">
      <c r="D196" s="345"/>
      <c r="E196" s="381"/>
      <c r="F196" s="381"/>
      <c r="G196" s="381"/>
      <c r="H196" s="381"/>
      <c r="I196" s="381"/>
    </row>
    <row r="197" spans="4:11">
      <c r="D197" s="370"/>
      <c r="J197" s="381"/>
    </row>
    <row r="198" spans="4:11">
      <c r="D198" s="370"/>
      <c r="J198" s="381"/>
    </row>
    <row r="199" spans="4:11">
      <c r="D199" s="345"/>
      <c r="E199" s="381"/>
      <c r="F199" s="381"/>
      <c r="G199" s="381"/>
      <c r="H199" s="381"/>
      <c r="I199" s="381"/>
    </row>
    <row r="200" spans="4:11">
      <c r="D200" s="370"/>
      <c r="K200" s="381"/>
    </row>
    <row r="201" spans="4:11">
      <c r="D201" s="370"/>
      <c r="J201" s="381"/>
      <c r="K201" s="381"/>
    </row>
    <row r="202" spans="4:11">
      <c r="D202" s="370"/>
      <c r="J202" s="381"/>
    </row>
    <row r="203" spans="4:11">
      <c r="D203" s="345"/>
      <c r="E203" s="381"/>
      <c r="F203" s="381"/>
      <c r="G203" s="381"/>
      <c r="H203" s="381"/>
      <c r="I203" s="381"/>
    </row>
    <row r="204" spans="4:11">
      <c r="D204" s="370"/>
      <c r="K204" s="381"/>
    </row>
    <row r="205" spans="4:11">
      <c r="D205" s="370"/>
      <c r="E205" s="345"/>
      <c r="F205" s="345"/>
      <c r="G205" s="345"/>
      <c r="H205" s="345"/>
      <c r="I205" s="345"/>
      <c r="J205" s="381"/>
      <c r="K205" s="381"/>
    </row>
    <row r="206" spans="4:11">
      <c r="D206" s="370"/>
      <c r="E206" s="345"/>
      <c r="F206" s="345"/>
      <c r="G206" s="345"/>
      <c r="H206" s="345"/>
      <c r="I206" s="345"/>
    </row>
    <row r="207" spans="4:11">
      <c r="D207" s="370"/>
    </row>
    <row r="208" spans="4:11">
      <c r="D208" s="370"/>
      <c r="K208" s="381"/>
    </row>
    <row r="209" spans="4:11">
      <c r="D209" s="370"/>
    </row>
    <row r="210" spans="4:11">
      <c r="D210" s="345"/>
      <c r="E210" s="381"/>
      <c r="F210" s="381"/>
      <c r="G210" s="381"/>
      <c r="H210" s="381"/>
      <c r="I210" s="381"/>
    </row>
    <row r="211" spans="4:11">
      <c r="D211" s="345"/>
      <c r="E211" s="381"/>
      <c r="F211" s="381"/>
      <c r="G211" s="381"/>
      <c r="H211" s="381"/>
      <c r="I211" s="381"/>
    </row>
    <row r="212" spans="4:11">
      <c r="D212" s="370"/>
      <c r="E212" s="381"/>
      <c r="F212" s="381"/>
      <c r="G212" s="381"/>
      <c r="H212" s="381"/>
      <c r="I212" s="381"/>
    </row>
    <row r="213" spans="4:11">
      <c r="D213" s="370"/>
      <c r="E213" s="381"/>
      <c r="F213" s="381"/>
      <c r="G213" s="381"/>
      <c r="H213" s="381"/>
      <c r="I213" s="381"/>
    </row>
    <row r="214" spans="4:11">
      <c r="D214" s="370"/>
    </row>
    <row r="215" spans="4:11">
      <c r="D215" s="345"/>
      <c r="E215" s="381"/>
      <c r="F215" s="381"/>
      <c r="G215" s="381"/>
      <c r="H215" s="381"/>
      <c r="I215" s="381"/>
    </row>
    <row r="216" spans="4:11">
      <c r="D216" s="370"/>
      <c r="E216" s="381"/>
      <c r="F216" s="381"/>
      <c r="G216" s="381"/>
      <c r="H216" s="381"/>
      <c r="I216" s="381"/>
    </row>
    <row r="217" spans="4:11">
      <c r="D217" s="370"/>
      <c r="E217" s="381"/>
      <c r="F217" s="381"/>
      <c r="G217" s="381"/>
      <c r="H217" s="381"/>
      <c r="I217" s="381"/>
    </row>
    <row r="218" spans="4:11">
      <c r="D218" s="370"/>
    </row>
    <row r="219" spans="4:11">
      <c r="D219" s="370"/>
    </row>
    <row r="220" spans="4:11">
      <c r="D220" s="370"/>
      <c r="J220" s="381"/>
    </row>
    <row r="221" spans="4:11">
      <c r="D221" s="370"/>
      <c r="J221" s="381"/>
    </row>
    <row r="222" spans="4:11">
      <c r="D222" s="370"/>
    </row>
    <row r="223" spans="4:11">
      <c r="D223" s="370"/>
      <c r="J223" s="381"/>
      <c r="K223" s="381"/>
    </row>
    <row r="224" spans="4:11">
      <c r="D224" s="370"/>
      <c r="J224" s="381"/>
      <c r="K224" s="381"/>
    </row>
    <row r="225" spans="4:11">
      <c r="D225" s="370"/>
      <c r="J225" s="381"/>
    </row>
    <row r="226" spans="4:11">
      <c r="D226" s="370"/>
      <c r="K226" s="381"/>
    </row>
    <row r="227" spans="4:11">
      <c r="D227" s="345"/>
      <c r="E227" s="381"/>
      <c r="F227" s="381"/>
      <c r="G227" s="381"/>
      <c r="H227" s="381"/>
      <c r="I227" s="381"/>
      <c r="K227" s="381"/>
    </row>
    <row r="228" spans="4:11">
      <c r="D228" s="370"/>
      <c r="J228" s="381"/>
      <c r="K228" s="381"/>
    </row>
    <row r="229" spans="4:11">
      <c r="D229" s="370"/>
      <c r="J229" s="381"/>
    </row>
    <row r="230" spans="4:11">
      <c r="D230" s="345"/>
      <c r="E230" s="381"/>
      <c r="F230" s="381"/>
      <c r="G230" s="381"/>
      <c r="H230" s="381"/>
      <c r="I230" s="381"/>
    </row>
    <row r="231" spans="4:11">
      <c r="D231" s="370"/>
      <c r="K231" s="381"/>
    </row>
    <row r="232" spans="4:11">
      <c r="D232" s="345"/>
      <c r="E232" s="381"/>
      <c r="F232" s="381"/>
      <c r="G232" s="381"/>
      <c r="H232" s="381"/>
      <c r="I232" s="381"/>
      <c r="K232" s="381"/>
    </row>
    <row r="233" spans="4:11">
      <c r="D233" s="370"/>
      <c r="E233" s="381"/>
      <c r="F233" s="381"/>
      <c r="G233" s="381"/>
      <c r="H233" s="381"/>
      <c r="I233" s="381"/>
    </row>
    <row r="234" spans="4:11">
      <c r="D234" s="370"/>
    </row>
    <row r="235" spans="4:11">
      <c r="D235" s="370"/>
    </row>
    <row r="236" spans="4:11">
      <c r="D236" s="345"/>
      <c r="E236" s="381"/>
      <c r="F236" s="381"/>
      <c r="G236" s="381"/>
      <c r="H236" s="381"/>
      <c r="I236" s="381"/>
    </row>
    <row r="237" spans="4:11">
      <c r="D237" s="370"/>
      <c r="E237" s="381"/>
      <c r="F237" s="381"/>
      <c r="G237" s="381"/>
      <c r="H237" s="381"/>
      <c r="I237" s="381"/>
    </row>
    <row r="238" spans="4:11">
      <c r="D238" s="370"/>
    </row>
    <row r="239" spans="4:11">
      <c r="D239" s="345"/>
      <c r="E239" s="381"/>
      <c r="F239" s="381"/>
      <c r="G239" s="381"/>
      <c r="H239" s="381"/>
      <c r="I239" s="381"/>
    </row>
    <row r="240" spans="4:11">
      <c r="D240" s="370"/>
      <c r="J240" s="381"/>
    </row>
    <row r="241" spans="4:11">
      <c r="D241" s="370"/>
      <c r="J241" s="381"/>
    </row>
    <row r="242" spans="4:11">
      <c r="D242" s="345"/>
      <c r="E242" s="381"/>
      <c r="F242" s="381"/>
      <c r="G242" s="381"/>
      <c r="H242" s="381"/>
      <c r="I242" s="381"/>
    </row>
    <row r="243" spans="4:11">
      <c r="D243" s="370"/>
      <c r="K243" s="381"/>
    </row>
    <row r="244" spans="4:11">
      <c r="D244" s="370"/>
      <c r="J244" s="381"/>
      <c r="K244" s="381"/>
    </row>
    <row r="245" spans="4:11">
      <c r="D245" s="370"/>
      <c r="J245" s="381"/>
    </row>
    <row r="246" spans="4:11">
      <c r="D246" s="345"/>
      <c r="E246" s="381"/>
      <c r="F246" s="381"/>
      <c r="G246" s="381"/>
      <c r="H246" s="381"/>
      <c r="I246" s="381"/>
    </row>
    <row r="247" spans="4:11">
      <c r="D247" s="370"/>
      <c r="K247" s="381"/>
    </row>
    <row r="248" spans="4:11">
      <c r="D248" s="370"/>
      <c r="E248" s="345"/>
      <c r="F248" s="345"/>
      <c r="G248" s="345"/>
      <c r="H248" s="345"/>
      <c r="I248" s="345"/>
      <c r="J248" s="381"/>
      <c r="K248" s="381"/>
    </row>
    <row r="249" spans="4:11">
      <c r="D249" s="370"/>
      <c r="E249" s="345"/>
      <c r="F249" s="345"/>
      <c r="G249" s="345"/>
      <c r="H249" s="345"/>
      <c r="I249" s="345"/>
    </row>
    <row r="250" spans="4:11">
      <c r="D250" s="370"/>
    </row>
    <row r="251" spans="4:11">
      <c r="D251" s="370"/>
      <c r="K251" s="381"/>
    </row>
    <row r="252" spans="4:11">
      <c r="D252" s="370"/>
    </row>
    <row r="253" spans="4:11">
      <c r="D253" s="345"/>
      <c r="E253" s="381"/>
      <c r="F253" s="381"/>
      <c r="G253" s="381"/>
      <c r="H253" s="381"/>
      <c r="I253" s="381"/>
    </row>
    <row r="254" spans="4:11">
      <c r="D254" s="345"/>
      <c r="E254" s="381"/>
      <c r="F254" s="381"/>
      <c r="G254" s="381"/>
      <c r="H254" s="381"/>
      <c r="I254" s="381"/>
    </row>
    <row r="255" spans="4:11">
      <c r="D255" s="370"/>
      <c r="E255" s="381"/>
      <c r="F255" s="381"/>
      <c r="G255" s="381"/>
      <c r="H255" s="381"/>
      <c r="I255" s="381"/>
    </row>
    <row r="256" spans="4:11">
      <c r="D256" s="370"/>
      <c r="E256" s="381"/>
      <c r="F256" s="381"/>
      <c r="G256" s="381"/>
      <c r="H256" s="381"/>
      <c r="I256" s="381"/>
    </row>
    <row r="257" spans="4:11">
      <c r="D257" s="370"/>
    </row>
    <row r="258" spans="4:11">
      <c r="D258" s="345"/>
      <c r="E258" s="381"/>
      <c r="F258" s="381"/>
      <c r="G258" s="381"/>
      <c r="H258" s="381"/>
      <c r="I258" s="381"/>
    </row>
    <row r="259" spans="4:11">
      <c r="D259" s="370"/>
      <c r="E259" s="381"/>
      <c r="F259" s="381"/>
      <c r="G259" s="381"/>
      <c r="H259" s="381"/>
      <c r="I259" s="381"/>
    </row>
    <row r="260" spans="4:11">
      <c r="D260" s="370"/>
      <c r="E260" s="381"/>
      <c r="F260" s="381"/>
      <c r="G260" s="381"/>
      <c r="H260" s="381"/>
      <c r="I260" s="381"/>
    </row>
    <row r="261" spans="4:11">
      <c r="D261" s="370"/>
    </row>
    <row r="262" spans="4:11">
      <c r="D262" s="370"/>
    </row>
    <row r="263" spans="4:11">
      <c r="D263" s="370"/>
      <c r="J263" s="381"/>
    </row>
    <row r="264" spans="4:11">
      <c r="D264" s="370"/>
      <c r="J264" s="381"/>
    </row>
    <row r="265" spans="4:11">
      <c r="D265" s="370"/>
    </row>
    <row r="266" spans="4:11">
      <c r="D266" s="370"/>
      <c r="J266" s="381"/>
      <c r="K266" s="381"/>
    </row>
    <row r="267" spans="4:11">
      <c r="D267" s="370"/>
      <c r="J267" s="381"/>
      <c r="K267" s="381"/>
    </row>
    <row r="268" spans="4:11">
      <c r="D268" s="370"/>
      <c r="J268" s="381"/>
    </row>
    <row r="269" spans="4:11">
      <c r="D269" s="370"/>
      <c r="K269" s="381"/>
    </row>
    <row r="270" spans="4:11">
      <c r="D270" s="345"/>
      <c r="E270" s="381"/>
      <c r="F270" s="381"/>
      <c r="G270" s="381"/>
      <c r="H270" s="381"/>
      <c r="I270" s="381"/>
      <c r="K270" s="381"/>
    </row>
    <row r="271" spans="4:11">
      <c r="D271" s="370"/>
      <c r="J271" s="381"/>
      <c r="K271" s="381"/>
    </row>
    <row r="272" spans="4:11">
      <c r="D272" s="370"/>
      <c r="J272" s="381"/>
    </row>
    <row r="273" spans="4:11">
      <c r="D273" s="345"/>
      <c r="E273" s="381"/>
      <c r="F273" s="381"/>
      <c r="G273" s="381"/>
      <c r="H273" s="381"/>
      <c r="I273" s="381"/>
    </row>
    <row r="274" spans="4:11">
      <c r="D274" s="370"/>
      <c r="K274" s="381"/>
    </row>
    <row r="275" spans="4:11">
      <c r="D275" s="345"/>
      <c r="E275" s="381"/>
      <c r="F275" s="381"/>
      <c r="G275" s="381"/>
      <c r="H275" s="381"/>
      <c r="I275" s="381"/>
      <c r="K275" s="381"/>
    </row>
    <row r="276" spans="4:11">
      <c r="D276" s="370"/>
      <c r="E276" s="381"/>
      <c r="F276" s="381"/>
      <c r="G276" s="381"/>
      <c r="H276" s="381"/>
      <c r="I276" s="381"/>
    </row>
    <row r="277" spans="4:11">
      <c r="D277" s="370"/>
    </row>
    <row r="278" spans="4:11">
      <c r="D278" s="370"/>
    </row>
    <row r="279" spans="4:11">
      <c r="D279" s="345"/>
      <c r="E279" s="381"/>
      <c r="F279" s="381"/>
      <c r="G279" s="381"/>
      <c r="H279" s="381"/>
      <c r="I279" s="381"/>
    </row>
    <row r="280" spans="4:11">
      <c r="D280" s="370"/>
      <c r="E280" s="381"/>
      <c r="F280" s="381"/>
      <c r="G280" s="381"/>
      <c r="H280" s="381"/>
      <c r="I280" s="381"/>
    </row>
    <row r="281" spans="4:11">
      <c r="D281" s="370"/>
    </row>
    <row r="282" spans="4:11">
      <c r="D282" s="345"/>
      <c r="E282" s="381"/>
      <c r="F282" s="381"/>
      <c r="G282" s="381"/>
      <c r="H282" s="381"/>
      <c r="I282" s="381"/>
    </row>
    <row r="283" spans="4:11">
      <c r="D283" s="370"/>
      <c r="J283" s="381"/>
    </row>
    <row r="284" spans="4:11">
      <c r="D284" s="370"/>
      <c r="J284" s="381"/>
    </row>
    <row r="285" spans="4:11">
      <c r="D285" s="345"/>
      <c r="E285" s="381"/>
      <c r="F285" s="381"/>
      <c r="G285" s="381"/>
      <c r="H285" s="381"/>
      <c r="I285" s="381"/>
    </row>
    <row r="286" spans="4:11">
      <c r="D286" s="370"/>
      <c r="K286" s="381"/>
    </row>
    <row r="287" spans="4:11">
      <c r="D287" s="370"/>
      <c r="J287" s="381"/>
      <c r="K287" s="381"/>
    </row>
    <row r="288" spans="4:11">
      <c r="D288" s="370"/>
      <c r="J288" s="381"/>
    </row>
    <row r="289" spans="4:11">
      <c r="D289" s="345"/>
      <c r="E289" s="381"/>
      <c r="F289" s="381"/>
      <c r="G289" s="381"/>
      <c r="H289" s="381"/>
      <c r="I289" s="381"/>
    </row>
    <row r="290" spans="4:11">
      <c r="D290" s="370"/>
      <c r="K290" s="381"/>
    </row>
    <row r="291" spans="4:11">
      <c r="D291" s="370"/>
      <c r="E291" s="345"/>
      <c r="F291" s="345"/>
      <c r="G291" s="345"/>
      <c r="H291" s="345"/>
      <c r="I291" s="345"/>
      <c r="J291" s="381"/>
      <c r="K291" s="381"/>
    </row>
    <row r="292" spans="4:11">
      <c r="D292" s="370"/>
      <c r="E292" s="345"/>
      <c r="F292" s="345"/>
      <c r="G292" s="345"/>
      <c r="H292" s="345"/>
      <c r="I292" s="345"/>
    </row>
    <row r="293" spans="4:11">
      <c r="D293" s="370"/>
    </row>
    <row r="294" spans="4:11">
      <c r="D294" s="370"/>
      <c r="K294" s="381"/>
    </row>
    <row r="295" spans="4:11">
      <c r="D295" s="370"/>
    </row>
    <row r="296" spans="4:11">
      <c r="D296" s="370"/>
    </row>
    <row r="297" spans="4:11">
      <c r="D297" s="370"/>
    </row>
    <row r="298" spans="4:11">
      <c r="D298" s="370"/>
    </row>
    <row r="299" spans="4:11">
      <c r="D299" s="370"/>
    </row>
    <row r="300" spans="4:11">
      <c r="D300" s="370"/>
    </row>
    <row r="301" spans="4:11">
      <c r="D301" s="370"/>
    </row>
    <row r="302" spans="4:11">
      <c r="D302" s="370"/>
    </row>
    <row r="303" spans="4:11">
      <c r="D303" s="370"/>
    </row>
    <row r="304" spans="4:11">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row r="463" spans="4:4">
      <c r="D463" s="370"/>
    </row>
    <row r="464" spans="4:4">
      <c r="D464" s="370"/>
    </row>
    <row r="465" spans="4:4">
      <c r="D465" s="370"/>
    </row>
    <row r="466" spans="4:4">
      <c r="D466" s="370"/>
    </row>
    <row r="467" spans="4:4">
      <c r="D467" s="370"/>
    </row>
    <row r="468" spans="4:4">
      <c r="D468" s="370"/>
    </row>
    <row r="469" spans="4:4">
      <c r="D469" s="370"/>
    </row>
    <row r="470" spans="4:4">
      <c r="D470" s="370"/>
    </row>
    <row r="471" spans="4:4">
      <c r="D471" s="370"/>
    </row>
    <row r="472" spans="4:4">
      <c r="D472" s="370"/>
    </row>
    <row r="473" spans="4:4">
      <c r="D473" s="370"/>
    </row>
    <row r="474" spans="4:4">
      <c r="D474" s="370"/>
    </row>
    <row r="475" spans="4:4">
      <c r="D475" s="370"/>
    </row>
    <row r="476" spans="4:4">
      <c r="D476" s="370"/>
    </row>
    <row r="477" spans="4:4">
      <c r="D477" s="370"/>
    </row>
    <row r="478" spans="4:4">
      <c r="D478" s="370"/>
    </row>
    <row r="479" spans="4:4">
      <c r="D479" s="370"/>
    </row>
    <row r="480" spans="4:4">
      <c r="D480" s="370"/>
    </row>
    <row r="481" spans="4:4">
      <c r="D481" s="370"/>
    </row>
  </sheetData>
  <phoneticPr fontId="26" type="noConversion"/>
  <pageMargins left="0.75" right="0.75" top="1" bottom="1" header="0.5" footer="0.5"/>
  <pageSetup scale="46" orientation="landscape"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226">
    <pageSetUpPr fitToPage="1"/>
  </sheetPr>
  <dimension ref="A1:X65"/>
  <sheetViews>
    <sheetView showGridLines="0" zoomScale="80" zoomScaleNormal="80" zoomScaleSheetLayoutView="80" workbookViewId="0"/>
  </sheetViews>
  <sheetFormatPr defaultColWidth="9.109375" defaultRowHeight="12"/>
  <cols>
    <col min="1" max="1" width="2.33203125" style="292" customWidth="1"/>
    <col min="2" max="6" width="10" style="292" customWidth="1"/>
    <col min="7" max="7" width="2.33203125" style="292" customWidth="1"/>
    <col min="8" max="8" width="10" style="292" customWidth="1"/>
    <col min="9" max="9" width="2.109375" style="292" customWidth="1"/>
    <col min="10" max="10" width="10" style="292" customWidth="1"/>
    <col min="11" max="11" width="2.109375" style="292" customWidth="1"/>
    <col min="12" max="12" width="10" style="292" customWidth="1"/>
    <col min="13" max="13" width="2.109375" style="292" customWidth="1"/>
    <col min="14" max="14" width="10" style="292" customWidth="1"/>
    <col min="15" max="15" width="2.109375" style="292" customWidth="1"/>
    <col min="16" max="16" width="10" style="292" customWidth="1"/>
    <col min="17" max="17" width="2.109375" style="292" customWidth="1"/>
    <col min="18" max="18" width="10" style="292" customWidth="1"/>
    <col min="19" max="19" width="2.109375" style="292" customWidth="1"/>
    <col min="20" max="20" width="10" style="292" customWidth="1"/>
    <col min="21" max="21" width="2.109375" style="292" customWidth="1"/>
    <col min="22" max="22" width="10" style="292" customWidth="1"/>
    <col min="23" max="23" width="2.109375" style="292" customWidth="1"/>
    <col min="24" max="24" width="10" style="292" customWidth="1"/>
    <col min="25" max="16384" width="9.109375" style="292"/>
  </cols>
  <sheetData>
    <row r="1" spans="1:24" s="313" customFormat="1">
      <c r="A1" s="472"/>
      <c r="B1" s="472"/>
      <c r="C1" s="472"/>
      <c r="D1" s="472"/>
      <c r="E1" s="472"/>
      <c r="F1" s="472"/>
      <c r="G1" s="472"/>
      <c r="H1" s="150"/>
      <c r="I1" s="472"/>
      <c r="J1" s="472"/>
      <c r="K1" s="472"/>
      <c r="L1" s="472"/>
      <c r="M1" s="472"/>
      <c r="N1" s="472"/>
      <c r="O1" s="472"/>
      <c r="P1" s="472"/>
      <c r="Q1" s="472"/>
      <c r="R1" s="472"/>
      <c r="S1" s="472"/>
      <c r="T1" s="472"/>
      <c r="U1" s="472"/>
      <c r="V1" s="472"/>
      <c r="W1" s="472"/>
      <c r="X1" s="472"/>
    </row>
    <row r="2" spans="1:24" s="313" customFormat="1">
      <c r="A2" s="472"/>
      <c r="B2" s="472"/>
      <c r="C2" s="472"/>
      <c r="D2" s="472"/>
      <c r="E2" s="472"/>
      <c r="F2" s="472"/>
      <c r="G2" s="472"/>
      <c r="H2" s="150"/>
      <c r="I2" s="472"/>
      <c r="J2" s="472"/>
      <c r="K2" s="472"/>
      <c r="L2" s="472"/>
      <c r="M2" s="472"/>
      <c r="N2" s="472"/>
      <c r="O2" s="472"/>
      <c r="P2" s="472"/>
      <c r="Q2" s="472"/>
      <c r="R2" s="472"/>
      <c r="S2" s="472"/>
      <c r="T2" s="472"/>
      <c r="U2" s="472"/>
      <c r="V2" s="472"/>
      <c r="W2" s="472"/>
      <c r="X2" s="474"/>
    </row>
    <row r="3" spans="1:24" s="313" customFormat="1">
      <c r="A3" s="472"/>
      <c r="B3" s="472"/>
      <c r="C3" s="472"/>
      <c r="D3" s="472"/>
      <c r="E3" s="472"/>
      <c r="F3" s="472"/>
      <c r="G3" s="472"/>
      <c r="H3" s="472"/>
      <c r="I3" s="472"/>
      <c r="J3" s="472"/>
      <c r="K3" s="472"/>
      <c r="L3" s="472"/>
      <c r="M3" s="472"/>
      <c r="N3" s="472"/>
      <c r="O3" s="472"/>
      <c r="P3" s="472"/>
      <c r="Q3" s="472"/>
      <c r="R3" s="472"/>
      <c r="S3" s="472"/>
      <c r="T3" s="472"/>
      <c r="U3" s="472"/>
      <c r="V3" s="472"/>
      <c r="W3" s="472"/>
      <c r="X3" s="475"/>
    </row>
    <row r="4" spans="1:24" s="479" customFormat="1" ht="21">
      <c r="A4" s="155"/>
      <c r="B4" s="155" t="s">
        <v>1462</v>
      </c>
      <c r="C4" s="129"/>
      <c r="D4" s="155"/>
      <c r="E4" s="155"/>
      <c r="F4" s="155"/>
      <c r="G4" s="155"/>
      <c r="H4" s="155"/>
      <c r="I4" s="155"/>
      <c r="J4" s="155"/>
      <c r="K4" s="155"/>
      <c r="L4" s="155"/>
      <c r="M4" s="155"/>
      <c r="N4" s="155"/>
      <c r="O4" s="155"/>
      <c r="P4" s="155"/>
      <c r="Q4" s="155"/>
      <c r="R4" s="155"/>
      <c r="S4" s="155"/>
      <c r="T4" s="155"/>
      <c r="U4" s="155"/>
      <c r="V4" s="155"/>
      <c r="W4" s="155"/>
      <c r="X4" s="478"/>
    </row>
    <row r="5" spans="1:24" s="313" customFormat="1">
      <c r="A5" s="472"/>
      <c r="B5" s="132"/>
      <c r="C5" s="472"/>
      <c r="D5" s="132"/>
      <c r="E5" s="132"/>
      <c r="F5" s="132"/>
      <c r="G5" s="132"/>
      <c r="H5" s="132"/>
      <c r="I5" s="132"/>
      <c r="J5" s="472"/>
      <c r="K5" s="472"/>
      <c r="L5" s="473"/>
      <c r="M5" s="473"/>
      <c r="N5" s="473"/>
      <c r="O5" s="473"/>
      <c r="P5" s="473"/>
      <c r="Q5" s="473"/>
      <c r="R5" s="473"/>
      <c r="S5" s="473"/>
      <c r="T5" s="473"/>
      <c r="U5" s="473"/>
      <c r="V5" s="473"/>
      <c r="W5" s="473"/>
      <c r="X5" s="473"/>
    </row>
    <row r="6" spans="1:24">
      <c r="A6" s="367"/>
      <c r="B6" s="456"/>
      <c r="C6" s="456"/>
      <c r="D6" s="456"/>
      <c r="E6" s="456"/>
      <c r="F6" s="456"/>
      <c r="G6" s="456"/>
      <c r="H6" s="456"/>
      <c r="I6" s="456"/>
      <c r="J6" s="367"/>
      <c r="K6" s="367"/>
      <c r="L6" s="440"/>
      <c r="M6" s="440"/>
      <c r="N6" s="440"/>
      <c r="O6" s="440"/>
      <c r="P6" s="440"/>
      <c r="Q6" s="440"/>
      <c r="R6" s="440"/>
      <c r="S6" s="440"/>
      <c r="T6" s="440"/>
      <c r="U6" s="440"/>
      <c r="V6" s="440"/>
      <c r="W6" s="440"/>
      <c r="X6" s="440"/>
    </row>
    <row r="7" spans="1:24" ht="12.6" thickBot="1">
      <c r="A7" s="367"/>
      <c r="B7" s="463" t="s">
        <v>1441</v>
      </c>
      <c r="C7" s="463"/>
      <c r="D7" s="368"/>
      <c r="E7" s="457"/>
      <c r="F7" s="457"/>
      <c r="G7" s="457"/>
      <c r="H7" s="457"/>
      <c r="I7" s="457"/>
      <c r="J7" s="368"/>
      <c r="K7" s="368"/>
      <c r="L7" s="368"/>
      <c r="M7" s="368"/>
      <c r="N7" s="368"/>
      <c r="O7" s="368"/>
      <c r="P7" s="368"/>
      <c r="Q7" s="368"/>
      <c r="R7" s="368"/>
      <c r="S7" s="368"/>
      <c r="T7" s="368"/>
      <c r="U7" s="368"/>
      <c r="V7" s="368"/>
      <c r="W7" s="368"/>
      <c r="X7" s="368"/>
    </row>
    <row r="8" spans="1:24" ht="12.6" thickTop="1">
      <c r="A8" s="367"/>
      <c r="B8" s="345"/>
      <c r="C8" s="345"/>
      <c r="D8" s="367"/>
      <c r="E8" s="345"/>
      <c r="F8" s="345"/>
      <c r="G8" s="345"/>
      <c r="H8" s="345"/>
      <c r="I8" s="345"/>
      <c r="J8" s="367"/>
      <c r="K8" s="367"/>
      <c r="L8" s="367"/>
      <c r="M8" s="367"/>
      <c r="N8" s="367"/>
      <c r="O8" s="367"/>
      <c r="P8" s="367"/>
      <c r="Q8" s="367"/>
      <c r="R8" s="367"/>
      <c r="S8" s="367"/>
      <c r="T8" s="367"/>
      <c r="U8" s="367"/>
      <c r="V8" s="367"/>
      <c r="W8" s="367"/>
      <c r="X8" s="367"/>
    </row>
    <row r="9" spans="1:24">
      <c r="A9" s="367"/>
      <c r="B9" s="367"/>
      <c r="C9" s="367"/>
      <c r="D9" s="345"/>
      <c r="E9" s="382" t="s">
        <v>80</v>
      </c>
      <c r="F9" s="458" t="s">
        <v>81</v>
      </c>
      <c r="G9" s="458"/>
      <c r="H9" s="458" t="s">
        <v>82</v>
      </c>
      <c r="I9" s="458"/>
      <c r="J9" s="458" t="s">
        <v>83</v>
      </c>
      <c r="K9" s="458"/>
      <c r="L9" s="458" t="s">
        <v>1531</v>
      </c>
      <c r="M9" s="458"/>
      <c r="N9" s="458" t="s">
        <v>127</v>
      </c>
      <c r="O9" s="459"/>
      <c r="P9" s="458" t="s">
        <v>128</v>
      </c>
      <c r="Q9" s="458"/>
      <c r="R9" s="458" t="s">
        <v>989</v>
      </c>
      <c r="S9" s="458"/>
      <c r="T9" s="458" t="s">
        <v>129</v>
      </c>
      <c r="U9" s="458"/>
      <c r="V9" s="458" t="s">
        <v>130</v>
      </c>
      <c r="W9" s="458"/>
      <c r="X9" s="458" t="s">
        <v>131</v>
      </c>
    </row>
    <row r="10" spans="1:24">
      <c r="A10" s="367"/>
      <c r="B10" s="367"/>
      <c r="C10" s="367"/>
      <c r="D10" s="345"/>
      <c r="E10" s="382"/>
      <c r="F10" s="458"/>
      <c r="G10" s="458"/>
      <c r="H10" s="458"/>
      <c r="I10" s="458"/>
      <c r="J10" s="458"/>
      <c r="K10" s="458"/>
      <c r="L10" s="458"/>
      <c r="M10" s="458"/>
      <c r="N10" s="458"/>
      <c r="O10" s="459"/>
      <c r="P10" s="458"/>
      <c r="Q10" s="458"/>
      <c r="R10" s="458"/>
      <c r="S10" s="458"/>
      <c r="T10" s="458"/>
      <c r="U10" s="458"/>
      <c r="V10" s="458"/>
      <c r="W10" s="458"/>
      <c r="X10" s="458"/>
    </row>
    <row r="11" spans="1:24">
      <c r="A11" s="367"/>
      <c r="B11" s="370" t="s">
        <v>1530</v>
      </c>
      <c r="C11" s="370"/>
      <c r="D11" s="367"/>
      <c r="E11" s="367" t="s">
        <v>56</v>
      </c>
      <c r="F11" s="506">
        <v>176.29964899999999</v>
      </c>
      <c r="G11" s="402"/>
      <c r="H11" s="508">
        <v>29.598133043290826</v>
      </c>
      <c r="I11" s="403"/>
      <c r="J11" s="404">
        <f>(H11*F11)+L11</f>
        <v>6337.7193219971623</v>
      </c>
      <c r="K11" s="404" t="s">
        <v>135</v>
      </c>
      <c r="L11" s="506">
        <v>1119.578855409688</v>
      </c>
      <c r="M11" s="404" t="s">
        <v>134</v>
      </c>
      <c r="N11" s="402">
        <f>J11-L11</f>
        <v>5218.1404665874743</v>
      </c>
      <c r="O11" s="404" t="s">
        <v>133</v>
      </c>
      <c r="P11" s="507">
        <v>0.78320000000000001</v>
      </c>
      <c r="Q11" s="405" t="s">
        <v>134</v>
      </c>
      <c r="R11" s="402">
        <f>P11*N11</f>
        <v>4086.84761343131</v>
      </c>
      <c r="S11" s="39"/>
      <c r="T11" s="402">
        <f>N11-R11</f>
        <v>1131.2928531561643</v>
      </c>
      <c r="U11" s="39"/>
      <c r="V11" s="406">
        <f>N11/$J$31</f>
        <v>0.9094025404207795</v>
      </c>
      <c r="W11" s="367"/>
      <c r="X11" s="373">
        <f>$J$35*V11</f>
        <v>30.194795376702217</v>
      </c>
    </row>
    <row r="12" spans="1:24">
      <c r="A12" s="367"/>
      <c r="B12" s="370" t="s">
        <v>1080</v>
      </c>
      <c r="C12" s="370"/>
      <c r="D12" s="367"/>
      <c r="E12" s="367" t="s">
        <v>1082</v>
      </c>
      <c r="F12" s="506">
        <v>68.684100000000001</v>
      </c>
      <c r="G12" s="402"/>
      <c r="H12" s="510">
        <v>8.8022743379553035</v>
      </c>
      <c r="I12" s="403"/>
      <c r="J12" s="404">
        <f>(H12*F12)</f>
        <v>604.57629085555584</v>
      </c>
      <c r="K12" s="404" t="s">
        <v>135</v>
      </c>
      <c r="L12" s="506">
        <v>0</v>
      </c>
      <c r="M12" s="404" t="s">
        <v>134</v>
      </c>
      <c r="N12" s="402">
        <f>J12-L12</f>
        <v>604.57629085555584</v>
      </c>
      <c r="O12" s="404" t="s">
        <v>133</v>
      </c>
      <c r="P12" s="507">
        <v>1</v>
      </c>
      <c r="Q12" s="405" t="s">
        <v>134</v>
      </c>
      <c r="R12" s="402">
        <f>P12*N12</f>
        <v>604.57629085555584</v>
      </c>
      <c r="S12" s="370"/>
      <c r="T12" s="402">
        <f>N12-R12</f>
        <v>0</v>
      </c>
      <c r="U12" s="367"/>
      <c r="V12" s="406">
        <f>N12/$J$31</f>
        <v>0.10536382036909239</v>
      </c>
      <c r="W12" s="373"/>
      <c r="X12" s="373">
        <f>$J$35*V12</f>
        <v>3.4983836692168309</v>
      </c>
    </row>
    <row r="13" spans="1:24">
      <c r="A13" s="367"/>
      <c r="B13" s="370"/>
      <c r="C13" s="370"/>
      <c r="D13" s="367"/>
      <c r="E13" s="367"/>
      <c r="F13" s="402"/>
      <c r="G13" s="404"/>
      <c r="H13" s="373"/>
      <c r="I13" s="403"/>
      <c r="J13" s="404"/>
      <c r="K13" s="414"/>
      <c r="L13" s="370"/>
      <c r="M13" s="404"/>
      <c r="N13" s="402"/>
      <c r="O13" s="367"/>
      <c r="P13" s="505"/>
      <c r="Q13" s="415"/>
      <c r="R13" s="402"/>
      <c r="S13" s="370"/>
      <c r="T13" s="367"/>
      <c r="U13" s="367"/>
      <c r="V13" s="367"/>
      <c r="W13" s="367"/>
      <c r="X13" s="367"/>
    </row>
    <row r="14" spans="1:24">
      <c r="A14" s="367"/>
      <c r="B14" s="370" t="s">
        <v>1079</v>
      </c>
      <c r="C14" s="370"/>
      <c r="D14" s="367"/>
      <c r="E14" s="367" t="s">
        <v>1082</v>
      </c>
      <c r="F14" s="506">
        <v>109.46493417416828</v>
      </c>
      <c r="G14" s="404"/>
      <c r="H14" s="510">
        <v>9.320894910822922</v>
      </c>
      <c r="I14" s="403"/>
      <c r="J14" s="404">
        <f>(H14*F14)</f>
        <v>1020.3111478575712</v>
      </c>
      <c r="K14" s="414" t="s">
        <v>135</v>
      </c>
      <c r="L14" s="509">
        <v>0</v>
      </c>
      <c r="M14" s="404" t="s">
        <v>134</v>
      </c>
      <c r="N14" s="402">
        <f>J14-L14</f>
        <v>1020.3111478575712</v>
      </c>
      <c r="O14" s="414" t="s">
        <v>133</v>
      </c>
      <c r="P14" s="511">
        <v>1</v>
      </c>
      <c r="Q14" s="415" t="s">
        <v>134</v>
      </c>
      <c r="R14" s="402">
        <f>P14*N14</f>
        <v>1020.3111478575712</v>
      </c>
      <c r="S14" s="370"/>
      <c r="T14" s="402">
        <f>N14-R14</f>
        <v>0</v>
      </c>
      <c r="U14" s="367"/>
      <c r="V14" s="406">
        <f>N14/$J$31</f>
        <v>0.17781689776705487</v>
      </c>
    </row>
    <row r="15" spans="1:24">
      <c r="A15" s="367"/>
      <c r="B15" s="370" t="s">
        <v>1532</v>
      </c>
      <c r="C15" s="370"/>
      <c r="D15" s="367"/>
      <c r="E15" s="367" t="s">
        <v>56</v>
      </c>
      <c r="F15" s="506">
        <v>140</v>
      </c>
      <c r="G15" s="404" t="s">
        <v>133</v>
      </c>
      <c r="H15" s="508">
        <v>17.730959085150914</v>
      </c>
      <c r="I15" s="403"/>
      <c r="J15" s="404">
        <f>(H15*F15)+L15</f>
        <v>3566.3775999941276</v>
      </c>
      <c r="K15" s="414" t="s">
        <v>135</v>
      </c>
      <c r="L15" s="509">
        <v>1084.0433280729999</v>
      </c>
      <c r="M15" s="404" t="s">
        <v>134</v>
      </c>
      <c r="N15" s="402">
        <f>J15-L15</f>
        <v>2482.3342719211278</v>
      </c>
      <c r="O15" s="414" t="s">
        <v>133</v>
      </c>
      <c r="P15" s="511">
        <v>0.63834999999999997</v>
      </c>
      <c r="Q15" s="415" t="s">
        <v>134</v>
      </c>
      <c r="R15" s="402">
        <f>P15*N15</f>
        <v>1584.5980824808519</v>
      </c>
      <c r="S15" s="370"/>
      <c r="T15" s="402">
        <f>N15-R15</f>
        <v>897.73618944027589</v>
      </c>
      <c r="U15" s="367"/>
      <c r="V15" s="406">
        <f>N15/$J$31</f>
        <v>0.43261409069253104</v>
      </c>
      <c r="W15" s="370"/>
      <c r="X15" s="373"/>
    </row>
    <row r="16" spans="1:24">
      <c r="A16" s="367"/>
      <c r="B16" s="370"/>
      <c r="C16" s="370"/>
      <c r="D16" s="367"/>
      <c r="E16" s="367"/>
      <c r="F16" s="402"/>
      <c r="G16" s="404"/>
      <c r="H16" s="373"/>
      <c r="I16" s="403"/>
      <c r="J16" s="404"/>
      <c r="K16" s="414"/>
      <c r="L16" s="370"/>
      <c r="M16" s="404"/>
      <c r="N16" s="402"/>
      <c r="O16" s="367"/>
      <c r="P16" s="505"/>
      <c r="Q16" s="415"/>
      <c r="R16" s="402"/>
      <c r="S16" s="370"/>
      <c r="T16" s="367"/>
      <c r="U16" s="367"/>
      <c r="V16" s="367"/>
      <c r="W16" s="367"/>
      <c r="X16" s="367"/>
    </row>
    <row r="17" spans="1:24">
      <c r="A17" s="367"/>
      <c r="B17" s="370" t="s">
        <v>140</v>
      </c>
      <c r="C17" s="370"/>
      <c r="D17" s="367"/>
      <c r="E17" s="367" t="s">
        <v>1082</v>
      </c>
      <c r="F17" s="402"/>
      <c r="G17" s="404"/>
      <c r="H17" s="373"/>
      <c r="I17" s="403"/>
      <c r="J17" s="506">
        <v>-113.5865101763503</v>
      </c>
      <c r="K17" s="414" t="s">
        <v>135</v>
      </c>
      <c r="L17" s="509">
        <v>1579.4490615672175</v>
      </c>
      <c r="M17" s="404" t="s">
        <v>134</v>
      </c>
      <c r="N17" s="402">
        <f>J17-L17</f>
        <v>-1693.0355717435677</v>
      </c>
      <c r="O17" s="414" t="s">
        <v>133</v>
      </c>
      <c r="P17" s="511">
        <v>1</v>
      </c>
      <c r="Q17" s="415" t="s">
        <v>134</v>
      </c>
      <c r="R17" s="402">
        <f>P17*N17</f>
        <v>-1693.0355717435677</v>
      </c>
      <c r="S17" s="370"/>
      <c r="T17" s="402">
        <f>N17-R17</f>
        <v>0</v>
      </c>
      <c r="U17" s="367"/>
      <c r="V17" s="406">
        <f>N17/$J$31</f>
        <v>-0.29505737912288099</v>
      </c>
    </row>
    <row r="18" spans="1:24" s="39" customFormat="1">
      <c r="A18" s="367"/>
      <c r="B18" s="370"/>
      <c r="S18" s="370"/>
      <c r="T18" s="402"/>
      <c r="U18" s="367"/>
      <c r="V18" s="406"/>
      <c r="W18" s="370"/>
      <c r="X18" s="373"/>
    </row>
    <row r="19" spans="1:24" s="39" customFormat="1">
      <c r="A19" s="367"/>
      <c r="B19" s="345" t="s">
        <v>137</v>
      </c>
      <c r="C19" s="370"/>
      <c r="D19" s="367"/>
      <c r="E19" s="367"/>
      <c r="F19" s="407"/>
      <c r="G19" s="408"/>
      <c r="H19" s="372"/>
      <c r="I19" s="376"/>
      <c r="J19" s="409">
        <f>SUM(J11:J12,J14:J15,J17)</f>
        <v>11415.397850528067</v>
      </c>
      <c r="K19" s="376"/>
      <c r="L19" s="409">
        <f>SUM(L11:L12,L14:L15,L17)</f>
        <v>3783.0712450499054</v>
      </c>
      <c r="M19" s="408"/>
      <c r="N19" s="409">
        <f>SUM(N11:N12,N14:N15,N17)</f>
        <v>7632.3266054781625</v>
      </c>
      <c r="O19" s="367"/>
      <c r="P19" s="411"/>
      <c r="Q19" s="412"/>
      <c r="R19" s="409">
        <f>SUM(R11:R12,R14:R15,R17)</f>
        <v>5603.2975628817212</v>
      </c>
      <c r="S19" s="370"/>
      <c r="T19" s="409">
        <f>SUM(T11:T12,T14:T15,T17)</f>
        <v>2029.0290425964401</v>
      </c>
      <c r="U19" s="367"/>
      <c r="V19" s="413">
        <f>N19/$J$31</f>
        <v>1.330139970126577</v>
      </c>
      <c r="W19" s="367"/>
      <c r="X19" s="372">
        <f>$J$36*V19</f>
        <v>25.352467830612557</v>
      </c>
    </row>
    <row r="20" spans="1:24">
      <c r="A20" s="367"/>
      <c r="B20" s="345"/>
      <c r="C20" s="370"/>
      <c r="D20" s="367"/>
      <c r="E20" s="367"/>
      <c r="F20" s="407"/>
      <c r="G20" s="408"/>
      <c r="H20" s="372"/>
      <c r="I20" s="376"/>
      <c r="J20" s="408"/>
      <c r="K20" s="375"/>
      <c r="L20" s="373"/>
      <c r="M20" s="408"/>
      <c r="N20" s="408"/>
      <c r="O20" s="367"/>
      <c r="P20" s="411"/>
      <c r="Q20" s="412"/>
      <c r="R20" s="408"/>
      <c r="S20" s="370"/>
      <c r="T20" s="408"/>
      <c r="U20" s="367"/>
      <c r="V20" s="413"/>
      <c r="W20" s="367"/>
      <c r="X20" s="372"/>
    </row>
    <row r="21" spans="1:24">
      <c r="A21" s="367"/>
      <c r="B21" s="370" t="s">
        <v>1535</v>
      </c>
      <c r="C21" s="370"/>
      <c r="D21" s="367"/>
      <c r="E21" s="367" t="s">
        <v>56</v>
      </c>
      <c r="F21" s="508">
        <v>0</v>
      </c>
      <c r="G21" s="404" t="s">
        <v>133</v>
      </c>
      <c r="H21" s="487">
        <v>296.56599999999997</v>
      </c>
      <c r="I21" s="404"/>
      <c r="J21" s="402">
        <f t="shared" ref="J21" si="0">(H21*F21)</f>
        <v>0</v>
      </c>
      <c r="K21" s="404" t="s">
        <v>135</v>
      </c>
      <c r="L21" s="506">
        <v>0</v>
      </c>
      <c r="M21" s="404" t="s">
        <v>134</v>
      </c>
      <c r="N21" s="402">
        <f>J21-L23</f>
        <v>0</v>
      </c>
      <c r="O21" s="404" t="s">
        <v>133</v>
      </c>
      <c r="P21" s="507">
        <v>0.37919999999999998</v>
      </c>
      <c r="Q21" s="405" t="s">
        <v>134</v>
      </c>
      <c r="R21" s="402">
        <f>P21*N21</f>
        <v>0</v>
      </c>
      <c r="S21" s="370"/>
      <c r="T21" s="402">
        <f t="shared" ref="T21" si="1">N21-R21</f>
        <v>0</v>
      </c>
      <c r="U21" s="367"/>
      <c r="V21" s="406">
        <f>N21/$J$33</f>
        <v>0</v>
      </c>
      <c r="W21" s="370"/>
      <c r="X21" s="373"/>
    </row>
    <row r="22" spans="1:24">
      <c r="A22" s="367"/>
      <c r="B22" s="370" t="s">
        <v>1534</v>
      </c>
      <c r="C22" s="370"/>
      <c r="D22" s="367"/>
      <c r="E22" s="367" t="s">
        <v>122</v>
      </c>
      <c r="F22" s="604"/>
      <c r="G22" s="404"/>
      <c r="H22" s="373"/>
      <c r="I22" s="404"/>
      <c r="J22" s="402"/>
      <c r="K22" s="404"/>
      <c r="L22" s="402"/>
      <c r="M22" s="404"/>
      <c r="N22" s="402"/>
      <c r="O22" s="404"/>
      <c r="P22" s="417"/>
      <c r="Q22" s="405"/>
      <c r="R22" s="506">
        <v>134.69000000000003</v>
      </c>
      <c r="S22" s="370"/>
      <c r="T22" s="402"/>
      <c r="U22" s="367"/>
      <c r="V22" s="406"/>
      <c r="W22" s="370"/>
      <c r="X22" s="373"/>
    </row>
    <row r="23" spans="1:24">
      <c r="A23" s="367"/>
      <c r="B23" s="345" t="s">
        <v>1063</v>
      </c>
      <c r="C23" s="370"/>
      <c r="D23" s="367"/>
      <c r="E23" s="367"/>
      <c r="F23" s="410"/>
      <c r="G23" s="408"/>
      <c r="H23" s="416"/>
      <c r="I23" s="376"/>
      <c r="J23" s="409"/>
      <c r="K23" s="375"/>
      <c r="L23" s="409"/>
      <c r="M23" s="408"/>
      <c r="N23" s="409"/>
      <c r="O23" s="367"/>
      <c r="P23" s="418"/>
      <c r="Q23" s="412"/>
      <c r="R23" s="409">
        <f>SUM(R21:R22)</f>
        <v>134.69000000000003</v>
      </c>
      <c r="S23" s="370"/>
      <c r="T23" s="409"/>
      <c r="U23" s="367"/>
      <c r="V23" s="409"/>
      <c r="W23" s="367"/>
      <c r="X23" s="367"/>
    </row>
    <row r="24" spans="1:24">
      <c r="A24" s="367"/>
    </row>
    <row r="25" spans="1:24">
      <c r="A25" s="367"/>
      <c r="C25" s="39"/>
      <c r="D25" s="39"/>
      <c r="E25" s="39"/>
      <c r="F25" s="39"/>
      <c r="G25" s="39"/>
      <c r="H25" s="39"/>
      <c r="I25" s="39"/>
      <c r="J25" s="270" t="s">
        <v>688</v>
      </c>
      <c r="K25" s="39"/>
      <c r="L25" s="39"/>
      <c r="M25" s="39"/>
      <c r="N25" s="39"/>
      <c r="O25" s="39"/>
      <c r="P25" s="39"/>
      <c r="Q25" s="39"/>
      <c r="R25" s="39"/>
      <c r="S25" s="39"/>
      <c r="T25" s="39"/>
      <c r="U25" s="39"/>
      <c r="V25" s="39"/>
      <c r="W25" s="39"/>
      <c r="X25" s="39"/>
    </row>
    <row r="26" spans="1:24" ht="12.6" thickBot="1">
      <c r="A26" s="367"/>
      <c r="B26" s="345" t="s">
        <v>1083</v>
      </c>
      <c r="C26" s="367"/>
      <c r="D26" s="345"/>
      <c r="E26" s="381"/>
      <c r="F26" s="367"/>
      <c r="G26" s="367"/>
      <c r="H26" s="381"/>
      <c r="I26" s="381"/>
      <c r="J26" s="419">
        <f>J19</f>
        <v>11415.397850528067</v>
      </c>
      <c r="K26" s="381"/>
      <c r="L26" s="367"/>
      <c r="M26" s="367"/>
      <c r="N26" s="367"/>
      <c r="O26" s="367"/>
      <c r="P26" s="367"/>
      <c r="Q26" s="412"/>
      <c r="R26" s="464" t="s">
        <v>544</v>
      </c>
      <c r="S26" s="464"/>
      <c r="T26" s="464"/>
      <c r="U26" s="368"/>
      <c r="V26" s="368"/>
      <c r="W26" s="368"/>
      <c r="X26" s="368"/>
    </row>
    <row r="27" spans="1:24" ht="12.6" thickTop="1">
      <c r="A27" s="367"/>
      <c r="B27" s="384" t="s">
        <v>1533</v>
      </c>
      <c r="C27" s="367"/>
      <c r="D27" s="367"/>
      <c r="E27" s="367"/>
      <c r="F27" s="381"/>
      <c r="G27" s="381"/>
      <c r="H27" s="367"/>
      <c r="I27" s="381"/>
      <c r="J27" s="506">
        <v>-2383.6849445887347</v>
      </c>
      <c r="K27" s="367"/>
      <c r="L27" s="367"/>
      <c r="M27" s="367"/>
      <c r="N27" s="367"/>
      <c r="O27" s="367"/>
      <c r="P27" s="367"/>
      <c r="Q27" s="367"/>
      <c r="R27" s="370"/>
      <c r="S27" s="367"/>
      <c r="T27" s="367"/>
      <c r="U27" s="367"/>
      <c r="V27" s="367"/>
      <c r="W27" s="367"/>
      <c r="X27" s="345"/>
    </row>
    <row r="28" spans="1:24">
      <c r="A28" s="367"/>
      <c r="B28" s="384" t="s">
        <v>1536</v>
      </c>
      <c r="C28" s="367"/>
      <c r="D28" s="367"/>
      <c r="E28" s="367"/>
      <c r="F28" s="381"/>
      <c r="G28" s="381"/>
      <c r="H28" s="367"/>
      <c r="I28" s="381"/>
      <c r="J28" s="506">
        <v>-1399.3863004611708</v>
      </c>
      <c r="K28" s="367"/>
      <c r="L28" s="367"/>
      <c r="M28" s="367"/>
      <c r="N28" s="367"/>
      <c r="O28" s="367"/>
      <c r="P28" s="367"/>
      <c r="Q28" s="367"/>
      <c r="R28" s="370"/>
      <c r="S28" s="367"/>
      <c r="T28" s="367"/>
      <c r="U28" s="367"/>
      <c r="V28" s="367"/>
      <c r="W28" s="367"/>
      <c r="X28" s="345"/>
    </row>
    <row r="29" spans="1:24">
      <c r="A29" s="367"/>
      <c r="B29" s="384" t="s">
        <v>864</v>
      </c>
      <c r="C29" s="367"/>
      <c r="D29" s="367"/>
      <c r="E29" s="367"/>
      <c r="F29" s="381"/>
      <c r="G29" s="381"/>
      <c r="H29" s="367"/>
      <c r="I29" s="381"/>
      <c r="J29" s="402">
        <f>-T19</f>
        <v>-2029.0290425964401</v>
      </c>
      <c r="K29" s="381"/>
      <c r="L29" s="367"/>
      <c r="M29" s="367"/>
      <c r="N29" s="367"/>
      <c r="O29" s="367"/>
      <c r="P29" s="367"/>
      <c r="Q29" s="367"/>
      <c r="R29" s="367"/>
      <c r="S29" s="367"/>
      <c r="T29" s="367"/>
      <c r="U29" s="367"/>
      <c r="V29" s="367"/>
      <c r="W29" s="367"/>
      <c r="X29" s="367"/>
    </row>
    <row r="30" spans="1:24">
      <c r="A30" s="367"/>
      <c r="B30" s="384" t="s">
        <v>1033</v>
      </c>
      <c r="C30" s="367"/>
      <c r="D30" s="367"/>
      <c r="E30" s="367"/>
      <c r="F30" s="381"/>
      <c r="G30" s="381"/>
      <c r="H30" s="367"/>
      <c r="I30" s="381"/>
      <c r="J30" s="420">
        <f>R23</f>
        <v>134.69000000000003</v>
      </c>
      <c r="K30" s="381"/>
      <c r="L30" s="367"/>
      <c r="M30" s="367"/>
      <c r="N30" s="367"/>
      <c r="O30" s="367"/>
      <c r="P30" s="367"/>
      <c r="Q30" s="367"/>
      <c r="R30" s="367"/>
      <c r="S30" s="367"/>
      <c r="T30" s="367"/>
      <c r="U30" s="367"/>
      <c r="V30" s="367"/>
      <c r="W30" s="367"/>
      <c r="X30" s="367"/>
    </row>
    <row r="31" spans="1:24">
      <c r="A31" s="367"/>
      <c r="B31" s="382" t="s">
        <v>490</v>
      </c>
      <c r="C31" s="367"/>
      <c r="D31" s="386"/>
      <c r="E31" s="381"/>
      <c r="F31" s="381"/>
      <c r="G31" s="381"/>
      <c r="H31" s="381"/>
      <c r="I31" s="381"/>
      <c r="J31" s="407">
        <f>SUM(J26:J30)</f>
        <v>5737.9875628817208</v>
      </c>
      <c r="K31" s="367"/>
      <c r="L31" s="367"/>
      <c r="M31" s="367"/>
      <c r="N31" s="367"/>
      <c r="O31" s="367"/>
      <c r="P31" s="367"/>
      <c r="Q31" s="367"/>
      <c r="R31" s="367"/>
      <c r="S31" s="367"/>
      <c r="T31" s="367"/>
      <c r="U31" s="367"/>
      <c r="V31" s="367"/>
      <c r="W31" s="367"/>
      <c r="X31" s="367"/>
    </row>
    <row r="32" spans="1:24" ht="12.6" thickBot="1">
      <c r="A32" s="367"/>
      <c r="B32" s="384" t="s">
        <v>491</v>
      </c>
      <c r="C32" s="367"/>
      <c r="D32" s="345"/>
      <c r="E32" s="381"/>
      <c r="F32" s="367"/>
      <c r="G32" s="367"/>
      <c r="H32" s="381"/>
      <c r="I32" s="381"/>
      <c r="J32" s="506">
        <v>172.81589099999999</v>
      </c>
      <c r="K32" s="381"/>
      <c r="L32" s="367"/>
      <c r="M32" s="367"/>
      <c r="N32" s="367"/>
      <c r="O32" s="367"/>
      <c r="P32" s="367"/>
      <c r="Q32" s="367"/>
      <c r="R32" s="367"/>
      <c r="S32" s="367"/>
      <c r="T32" s="367"/>
      <c r="U32" s="367"/>
      <c r="V32" s="367"/>
      <c r="W32" s="367"/>
      <c r="X32" s="367"/>
    </row>
    <row r="33" spans="1:24" ht="12.6" thickBot="1">
      <c r="A33" s="367"/>
      <c r="B33" s="382" t="s">
        <v>492</v>
      </c>
      <c r="C33" s="367"/>
      <c r="D33" s="345"/>
      <c r="E33" s="381"/>
      <c r="F33" s="381"/>
      <c r="G33" s="381"/>
      <c r="H33" s="381"/>
      <c r="I33" s="381"/>
      <c r="J33" s="461">
        <f>J31/J32</f>
        <v>33.20289314645099</v>
      </c>
      <c r="K33" s="381"/>
      <c r="L33" s="367"/>
      <c r="M33" s="367"/>
      <c r="N33" s="367"/>
      <c r="O33" s="367"/>
      <c r="P33" s="367"/>
      <c r="Q33" s="367"/>
      <c r="R33" s="367"/>
      <c r="S33" s="367"/>
      <c r="T33" s="367"/>
      <c r="U33" s="367"/>
      <c r="V33" s="367"/>
      <c r="W33" s="367"/>
      <c r="X33" s="367"/>
    </row>
    <row r="34" spans="1:24" ht="12.6" thickBot="1">
      <c r="A34" s="367"/>
      <c r="B34" s="384" t="s">
        <v>691</v>
      </c>
      <c r="C34" s="367"/>
      <c r="D34" s="370"/>
      <c r="E34" s="367"/>
      <c r="F34" s="367"/>
      <c r="G34" s="367"/>
      <c r="H34" s="367"/>
      <c r="I34" s="367"/>
      <c r="J34" s="510">
        <v>0</v>
      </c>
      <c r="K34" s="381"/>
      <c r="L34" s="367"/>
      <c r="M34" s="367"/>
      <c r="N34" s="367"/>
      <c r="O34" s="367"/>
      <c r="P34" s="367"/>
      <c r="Q34" s="367"/>
      <c r="R34" s="367"/>
      <c r="S34" s="367"/>
      <c r="T34" s="367"/>
      <c r="U34" s="367"/>
      <c r="V34" s="367"/>
      <c r="W34" s="367"/>
      <c r="X34" s="367"/>
    </row>
    <row r="35" spans="1:24" ht="12.6" thickBot="1">
      <c r="A35" s="381"/>
      <c r="B35" s="382" t="s">
        <v>61</v>
      </c>
      <c r="C35" s="367"/>
      <c r="D35" s="367"/>
      <c r="E35" s="367"/>
      <c r="F35" s="367"/>
      <c r="G35" s="367"/>
      <c r="H35" s="367"/>
      <c r="I35" s="367"/>
      <c r="J35" s="461">
        <f>J33+J34</f>
        <v>33.20289314645099</v>
      </c>
      <c r="K35" s="381"/>
      <c r="L35" s="367"/>
      <c r="M35" s="367"/>
      <c r="N35" s="367"/>
      <c r="O35" s="367"/>
      <c r="P35" s="367"/>
      <c r="Q35" s="367"/>
      <c r="R35" s="367"/>
      <c r="S35" s="367"/>
      <c r="T35" s="367"/>
      <c r="U35" s="367"/>
      <c r="V35" s="367"/>
      <c r="W35" s="367"/>
      <c r="X35" s="367"/>
    </row>
    <row r="36" spans="1:24">
      <c r="A36" s="367"/>
      <c r="B36" s="384" t="s">
        <v>493</v>
      </c>
      <c r="C36" s="367"/>
      <c r="D36" s="367"/>
      <c r="E36" s="367"/>
      <c r="F36" s="367"/>
      <c r="G36" s="367"/>
      <c r="H36" s="367"/>
      <c r="I36" s="367"/>
      <c r="J36" s="373">
        <f>Prices!C31</f>
        <v>19.059999999999999</v>
      </c>
      <c r="K36" s="381"/>
      <c r="L36" s="367"/>
      <c r="M36" s="367"/>
      <c r="N36" s="367"/>
      <c r="O36" s="367"/>
      <c r="P36" s="367"/>
      <c r="Q36" s="367"/>
      <c r="R36" s="367"/>
      <c r="S36" s="367"/>
      <c r="T36" s="367"/>
      <c r="U36" s="367"/>
      <c r="V36" s="367"/>
      <c r="W36" s="367"/>
      <c r="X36" s="367"/>
    </row>
    <row r="37" spans="1:24">
      <c r="A37" s="367"/>
      <c r="B37" s="382" t="s">
        <v>96</v>
      </c>
      <c r="C37" s="367"/>
      <c r="D37" s="345"/>
      <c r="E37" s="381"/>
      <c r="F37" s="381"/>
      <c r="G37" s="381"/>
      <c r="H37" s="381"/>
      <c r="I37" s="381"/>
      <c r="J37" s="421">
        <f>J35/J36-1</f>
        <v>0.74201957746332581</v>
      </c>
      <c r="K37" s="381"/>
      <c r="L37" s="367"/>
      <c r="M37" s="367"/>
      <c r="N37" s="367"/>
      <c r="O37" s="367"/>
      <c r="P37" s="367"/>
      <c r="Q37" s="367"/>
      <c r="R37" s="367"/>
      <c r="S37" s="367"/>
      <c r="T37" s="367"/>
      <c r="U37" s="367"/>
      <c r="V37" s="367"/>
      <c r="W37" s="367"/>
      <c r="X37" s="367"/>
    </row>
    <row r="38" spans="1:24">
      <c r="A38" s="367"/>
      <c r="B38" s="384"/>
      <c r="C38" s="39"/>
      <c r="D38" s="39"/>
      <c r="E38" s="39"/>
      <c r="F38" s="39"/>
      <c r="G38" s="39"/>
      <c r="H38" s="39"/>
      <c r="I38" s="39"/>
      <c r="J38" s="39"/>
      <c r="K38" s="381"/>
      <c r="L38" s="367"/>
      <c r="M38" s="367"/>
      <c r="N38" s="367"/>
      <c r="O38" s="367"/>
      <c r="P38" s="367"/>
      <c r="Q38" s="367"/>
      <c r="R38" s="367"/>
      <c r="S38" s="367"/>
      <c r="T38" s="367"/>
      <c r="U38" s="367"/>
      <c r="V38" s="367"/>
      <c r="W38" s="367"/>
      <c r="X38" s="367"/>
    </row>
    <row r="39" spans="1:24">
      <c r="A39" s="367"/>
      <c r="K39" s="381"/>
      <c r="L39" s="367"/>
      <c r="M39" s="367"/>
      <c r="N39" s="39"/>
      <c r="O39" s="39"/>
      <c r="P39" s="39"/>
      <c r="Q39" s="367"/>
      <c r="R39" s="367"/>
      <c r="S39" s="367"/>
      <c r="T39" s="367"/>
      <c r="U39" s="367"/>
      <c r="V39" s="367"/>
      <c r="W39" s="367"/>
      <c r="X39" s="367"/>
    </row>
    <row r="40" spans="1:24">
      <c r="A40" s="367"/>
      <c r="B40" s="382"/>
      <c r="C40" s="39"/>
      <c r="D40" s="370"/>
      <c r="E40" s="367"/>
      <c r="F40" s="367"/>
      <c r="G40" s="367"/>
      <c r="H40" s="367"/>
      <c r="I40" s="367"/>
      <c r="J40" s="39"/>
      <c r="K40" s="39"/>
      <c r="L40" s="367"/>
      <c r="M40" s="367"/>
      <c r="N40" s="39"/>
      <c r="O40" s="39"/>
      <c r="P40" s="39"/>
      <c r="Q40" s="39"/>
      <c r="R40" s="367"/>
      <c r="S40" s="367"/>
      <c r="T40" s="367"/>
      <c r="U40" s="367"/>
      <c r="V40" s="367"/>
      <c r="W40" s="367"/>
      <c r="X40" s="367"/>
    </row>
    <row r="41" spans="1:24">
      <c r="A41" s="367"/>
      <c r="B41" s="39"/>
      <c r="C41" s="367"/>
      <c r="D41" s="345"/>
      <c r="E41" s="381"/>
      <c r="F41" s="367"/>
      <c r="G41" s="367"/>
      <c r="H41" s="381"/>
      <c r="I41" s="381"/>
      <c r="J41" s="39"/>
      <c r="K41" s="39"/>
      <c r="L41" s="367"/>
      <c r="M41" s="367"/>
      <c r="N41" s="39"/>
      <c r="O41" s="39"/>
      <c r="P41" s="39"/>
      <c r="Q41" s="39"/>
      <c r="R41" s="367"/>
      <c r="S41" s="367"/>
      <c r="T41" s="367"/>
      <c r="U41" s="367"/>
      <c r="V41" s="367"/>
      <c r="W41" s="367"/>
      <c r="X41" s="367"/>
    </row>
    <row r="42" spans="1:24">
      <c r="A42" s="367"/>
      <c r="B42" s="39"/>
      <c r="C42" s="39"/>
      <c r="D42" s="39"/>
      <c r="E42" s="39"/>
      <c r="F42" s="39"/>
      <c r="G42" s="39"/>
      <c r="H42" s="39"/>
      <c r="I42" s="39"/>
      <c r="J42" s="39"/>
      <c r="K42" s="39"/>
      <c r="L42" s="367"/>
      <c r="M42" s="367"/>
      <c r="N42" s="39"/>
      <c r="O42" s="39"/>
      <c r="P42" s="39"/>
      <c r="Q42" s="39"/>
      <c r="R42" s="367"/>
      <c r="S42" s="367"/>
      <c r="T42" s="367"/>
      <c r="U42" s="367"/>
      <c r="V42" s="367"/>
      <c r="W42" s="367"/>
      <c r="X42" s="367"/>
    </row>
    <row r="43" spans="1:24">
      <c r="A43" s="367"/>
      <c r="B43" s="367"/>
      <c r="C43" s="367"/>
      <c r="D43" s="345"/>
      <c r="E43" s="381"/>
      <c r="F43" s="381"/>
      <c r="G43" s="381"/>
      <c r="H43" s="381"/>
      <c r="I43" s="381"/>
      <c r="J43" s="39"/>
      <c r="K43" s="39"/>
      <c r="L43" s="367"/>
      <c r="M43" s="367"/>
      <c r="N43" s="39"/>
      <c r="O43" s="39"/>
      <c r="P43" s="39"/>
      <c r="Q43" s="39"/>
      <c r="R43" s="367"/>
      <c r="S43" s="367"/>
      <c r="T43" s="367"/>
      <c r="U43" s="367"/>
      <c r="V43" s="367"/>
      <c r="W43" s="367"/>
      <c r="X43" s="367"/>
    </row>
    <row r="44" spans="1:24">
      <c r="A44" s="367"/>
      <c r="B44" s="39"/>
      <c r="C44" s="367"/>
      <c r="D44" s="345"/>
      <c r="E44" s="381"/>
      <c r="F44" s="381"/>
      <c r="G44" s="381"/>
      <c r="H44" s="381"/>
      <c r="I44" s="381"/>
      <c r="J44" s="39"/>
      <c r="K44" s="39"/>
      <c r="L44" s="367"/>
      <c r="M44" s="367"/>
      <c r="N44" s="39"/>
      <c r="O44" s="39"/>
      <c r="P44" s="39"/>
      <c r="Q44" s="39"/>
      <c r="R44" s="39"/>
      <c r="S44" s="39"/>
      <c r="T44" s="39"/>
      <c r="U44" s="39"/>
      <c r="V44" s="39"/>
      <c r="W44" s="367"/>
      <c r="X44" s="367"/>
    </row>
    <row r="45" spans="1:24" ht="12.6" thickBot="1">
      <c r="A45" s="367"/>
      <c r="B45" s="367"/>
      <c r="C45" s="367"/>
      <c r="D45" s="367"/>
      <c r="E45" s="367"/>
      <c r="F45" s="367"/>
      <c r="G45" s="367"/>
      <c r="H45" s="367"/>
      <c r="I45" s="367"/>
      <c r="J45" s="39"/>
      <c r="K45" s="39"/>
      <c r="L45" s="367"/>
      <c r="M45" s="367"/>
      <c r="N45" s="39"/>
      <c r="O45" s="39"/>
      <c r="P45" s="39"/>
      <c r="Q45" s="39"/>
      <c r="R45" s="464" t="s">
        <v>544</v>
      </c>
      <c r="S45" s="368"/>
      <c r="T45" s="368"/>
      <c r="U45" s="368"/>
      <c r="V45" s="368"/>
      <c r="W45" s="368"/>
      <c r="X45" s="368"/>
    </row>
    <row r="46" spans="1:24" ht="12.6" thickTop="1">
      <c r="A46" s="367"/>
      <c r="B46" s="367"/>
      <c r="C46" s="367"/>
      <c r="D46" s="386"/>
      <c r="E46" s="381"/>
      <c r="F46" s="381"/>
      <c r="G46" s="381"/>
      <c r="H46" s="381"/>
      <c r="I46" s="381"/>
      <c r="J46" s="39"/>
      <c r="K46" s="39"/>
      <c r="L46" s="367"/>
      <c r="M46" s="367"/>
      <c r="N46" s="39"/>
      <c r="O46" s="39"/>
      <c r="P46" s="39"/>
      <c r="Q46" s="39"/>
      <c r="R46" s="370"/>
      <c r="S46" s="39"/>
      <c r="T46" s="39"/>
      <c r="U46" s="39"/>
      <c r="V46" s="39"/>
      <c r="W46" s="367"/>
      <c r="X46" s="504"/>
    </row>
    <row r="47" spans="1:24">
      <c r="A47" s="367"/>
      <c r="B47" s="367"/>
      <c r="C47" s="367"/>
      <c r="D47" s="376"/>
      <c r="E47" s="345"/>
      <c r="F47" s="367"/>
      <c r="G47" s="367"/>
      <c r="H47" s="381"/>
      <c r="I47" s="381"/>
      <c r="J47" s="39"/>
      <c r="K47" s="39"/>
      <c r="L47" s="367"/>
      <c r="M47" s="367"/>
      <c r="N47" s="39"/>
      <c r="O47" s="39"/>
      <c r="P47" s="39"/>
      <c r="Q47" s="39"/>
      <c r="R47" s="370" t="s">
        <v>1079</v>
      </c>
      <c r="S47" s="39"/>
      <c r="T47" s="39"/>
      <c r="U47" s="39"/>
      <c r="V47" s="39"/>
      <c r="W47" s="367"/>
      <c r="X47" s="504">
        <f>V11</f>
        <v>0.9094025404207795</v>
      </c>
    </row>
    <row r="48" spans="1:24">
      <c r="A48" s="367"/>
      <c r="B48" s="367"/>
      <c r="C48" s="367"/>
      <c r="D48" s="345"/>
      <c r="E48" s="345"/>
      <c r="F48" s="345"/>
      <c r="G48" s="345"/>
      <c r="H48" s="345"/>
      <c r="I48" s="345"/>
      <c r="J48" s="367"/>
      <c r="K48" s="367"/>
      <c r="L48" s="367"/>
      <c r="M48" s="367"/>
      <c r="N48" s="367"/>
      <c r="O48" s="367"/>
      <c r="P48" s="367"/>
      <c r="Q48" s="367"/>
      <c r="R48" s="370" t="s">
        <v>1062</v>
      </c>
      <c r="S48" s="39"/>
      <c r="T48" s="39"/>
      <c r="U48" s="39"/>
      <c r="V48" s="39"/>
      <c r="W48" s="39"/>
      <c r="X48" s="504">
        <f t="shared" ref="X48" si="2">V12</f>
        <v>0.10536382036909239</v>
      </c>
    </row>
    <row r="49" spans="1:24">
      <c r="A49" s="367"/>
      <c r="B49" s="367"/>
      <c r="C49" s="367"/>
      <c r="D49" s="345"/>
      <c r="E49" s="345"/>
      <c r="F49" s="345"/>
      <c r="G49" s="345"/>
      <c r="H49" s="345"/>
      <c r="I49" s="345"/>
      <c r="J49" s="367"/>
      <c r="K49" s="367"/>
      <c r="L49" s="367"/>
      <c r="M49" s="367"/>
      <c r="N49" s="367"/>
      <c r="O49" s="367"/>
      <c r="P49" s="367"/>
      <c r="Q49" s="367"/>
      <c r="R49" s="370" t="s">
        <v>1080</v>
      </c>
      <c r="S49" s="39"/>
      <c r="T49" s="39"/>
      <c r="U49" s="39"/>
      <c r="V49" s="39"/>
      <c r="W49" s="39"/>
      <c r="X49" s="504">
        <f>V14</f>
        <v>0.17781689776705487</v>
      </c>
    </row>
    <row r="50" spans="1:24">
      <c r="A50" s="367"/>
      <c r="B50" s="367"/>
      <c r="C50" s="367"/>
      <c r="D50" s="345"/>
      <c r="E50" s="345"/>
      <c r="F50" s="345"/>
      <c r="G50" s="345"/>
      <c r="H50" s="345"/>
      <c r="I50" s="345"/>
      <c r="J50" s="367"/>
      <c r="K50" s="367"/>
      <c r="L50" s="367"/>
      <c r="M50" s="367"/>
      <c r="N50" s="367"/>
      <c r="O50" s="367"/>
      <c r="P50" s="367"/>
      <c r="Q50" s="367"/>
      <c r="R50" s="370" t="s">
        <v>1081</v>
      </c>
      <c r="S50" s="39"/>
      <c r="T50" s="39"/>
      <c r="U50" s="39"/>
      <c r="V50" s="39"/>
      <c r="W50" s="367"/>
      <c r="X50" s="504">
        <f>V15</f>
        <v>0.43261409069253104</v>
      </c>
    </row>
    <row r="51" spans="1:24">
      <c r="A51" s="367"/>
      <c r="B51" s="367"/>
      <c r="C51" s="367"/>
      <c r="D51" s="345"/>
      <c r="E51" s="345"/>
      <c r="F51" s="345"/>
      <c r="G51" s="345"/>
      <c r="H51" s="345"/>
      <c r="I51" s="345"/>
      <c r="J51" s="367"/>
      <c r="K51" s="367"/>
      <c r="L51" s="367"/>
      <c r="M51" s="367"/>
      <c r="N51" s="367"/>
      <c r="O51" s="367"/>
      <c r="P51" s="367"/>
      <c r="Q51" s="367"/>
      <c r="R51" s="367"/>
      <c r="S51" s="367"/>
      <c r="T51" s="367"/>
      <c r="U51" s="367"/>
      <c r="V51" s="367"/>
      <c r="W51" s="367"/>
      <c r="X51" s="367"/>
    </row>
    <row r="52" spans="1:24">
      <c r="A52" s="367"/>
      <c r="B52" s="367"/>
      <c r="C52" s="367"/>
      <c r="D52" s="345"/>
      <c r="E52" s="345"/>
      <c r="F52" s="345"/>
      <c r="G52" s="345"/>
      <c r="H52" s="345"/>
      <c r="I52" s="345"/>
      <c r="J52" s="367"/>
      <c r="K52" s="367"/>
      <c r="L52" s="367"/>
      <c r="M52" s="367"/>
      <c r="N52" s="367"/>
      <c r="O52" s="367"/>
      <c r="P52" s="367"/>
      <c r="Q52" s="367"/>
      <c r="R52" s="367"/>
      <c r="S52" s="367"/>
      <c r="T52" s="367"/>
      <c r="U52" s="367"/>
      <c r="V52" s="367"/>
      <c r="W52" s="367"/>
      <c r="X52" s="367"/>
    </row>
    <row r="53" spans="1:24">
      <c r="A53" s="367"/>
      <c r="B53" s="367"/>
      <c r="C53" s="367"/>
      <c r="D53" s="345"/>
      <c r="E53" s="345"/>
      <c r="F53" s="345"/>
      <c r="G53" s="345"/>
      <c r="H53" s="345"/>
      <c r="I53" s="345"/>
      <c r="J53" s="367"/>
      <c r="K53" s="367"/>
      <c r="L53" s="367"/>
      <c r="M53" s="367"/>
      <c r="N53" s="367"/>
      <c r="O53" s="367"/>
      <c r="P53" s="367"/>
      <c r="Q53" s="367"/>
      <c r="R53" s="367"/>
      <c r="S53" s="367"/>
      <c r="T53" s="367"/>
      <c r="U53" s="367"/>
      <c r="V53" s="367"/>
      <c r="W53" s="367"/>
      <c r="X53" s="367"/>
    </row>
    <row r="54" spans="1:24">
      <c r="A54" s="367"/>
      <c r="B54" s="367"/>
      <c r="C54" s="367"/>
      <c r="D54" s="345"/>
      <c r="E54" s="381"/>
      <c r="F54" s="381"/>
      <c r="G54" s="381"/>
      <c r="H54" s="381"/>
      <c r="I54" s="381"/>
      <c r="J54" s="367"/>
      <c r="K54" s="367"/>
      <c r="L54" s="367"/>
      <c r="M54" s="367"/>
      <c r="N54" s="367"/>
      <c r="O54" s="367"/>
      <c r="P54" s="367"/>
      <c r="Q54" s="367"/>
      <c r="R54" s="367"/>
      <c r="S54" s="367"/>
      <c r="T54" s="367"/>
      <c r="U54" s="367"/>
      <c r="V54" s="367"/>
      <c r="W54" s="367"/>
      <c r="X54" s="367"/>
    </row>
    <row r="55" spans="1:24">
      <c r="A55" s="367"/>
      <c r="B55" s="367"/>
      <c r="C55" s="367"/>
      <c r="D55" s="345"/>
      <c r="E55" s="381"/>
      <c r="F55" s="381"/>
      <c r="G55" s="381"/>
      <c r="H55" s="381"/>
      <c r="I55" s="381"/>
      <c r="J55" s="367"/>
      <c r="K55" s="367"/>
      <c r="L55" s="367"/>
      <c r="M55" s="367"/>
      <c r="N55" s="367"/>
      <c r="O55" s="367"/>
      <c r="P55" s="367"/>
      <c r="Q55" s="367"/>
      <c r="R55" s="367"/>
      <c r="S55" s="367"/>
      <c r="T55" s="367"/>
      <c r="U55" s="367"/>
      <c r="V55" s="367"/>
      <c r="W55" s="367"/>
      <c r="X55" s="367"/>
    </row>
    <row r="56" spans="1:24">
      <c r="A56" s="367"/>
      <c r="B56" s="367"/>
      <c r="C56" s="367"/>
      <c r="D56" s="345"/>
      <c r="E56" s="345"/>
      <c r="F56" s="345"/>
      <c r="G56" s="345"/>
      <c r="H56" s="345"/>
      <c r="I56" s="345"/>
      <c r="J56" s="367"/>
      <c r="K56" s="367"/>
      <c r="L56" s="367"/>
      <c r="M56" s="367"/>
      <c r="N56" s="367"/>
      <c r="O56" s="367"/>
      <c r="P56" s="367"/>
      <c r="Q56" s="367"/>
      <c r="R56" s="367"/>
      <c r="S56" s="367"/>
      <c r="T56" s="367"/>
      <c r="U56" s="367"/>
      <c r="V56" s="367"/>
      <c r="W56" s="367"/>
      <c r="X56" s="367"/>
    </row>
    <row r="57" spans="1:24">
      <c r="A57" s="367"/>
      <c r="B57" s="367"/>
      <c r="C57" s="367"/>
      <c r="D57" s="345"/>
      <c r="E57" s="345"/>
      <c r="F57" s="345"/>
      <c r="G57" s="345"/>
      <c r="H57" s="345"/>
      <c r="I57" s="345"/>
      <c r="J57" s="367"/>
      <c r="K57" s="367"/>
      <c r="L57" s="367"/>
      <c r="M57" s="367"/>
      <c r="N57" s="367"/>
      <c r="O57" s="367"/>
      <c r="P57" s="367"/>
      <c r="Q57" s="367"/>
      <c r="R57" s="367"/>
      <c r="S57" s="367"/>
      <c r="T57" s="367"/>
      <c r="U57" s="367"/>
      <c r="V57" s="367"/>
      <c r="W57" s="367"/>
      <c r="X57" s="367"/>
    </row>
    <row r="58" spans="1:24">
      <c r="A58" s="367"/>
      <c r="B58" s="367"/>
      <c r="C58" s="367"/>
      <c r="D58" s="345"/>
      <c r="E58" s="381"/>
      <c r="F58" s="381"/>
      <c r="G58" s="381"/>
      <c r="H58" s="381"/>
      <c r="I58" s="381"/>
      <c r="J58" s="367"/>
      <c r="K58" s="367"/>
      <c r="L58" s="367"/>
      <c r="M58" s="367"/>
      <c r="N58" s="367"/>
      <c r="O58" s="367"/>
      <c r="P58" s="367"/>
      <c r="Q58" s="367"/>
      <c r="R58" s="367"/>
      <c r="S58" s="367"/>
      <c r="T58" s="367"/>
      <c r="U58" s="367"/>
      <c r="V58" s="367"/>
      <c r="W58" s="367"/>
      <c r="X58" s="367"/>
    </row>
    <row r="59" spans="1:24">
      <c r="A59" s="367"/>
      <c r="B59" s="367"/>
      <c r="C59" s="367"/>
      <c r="D59" s="345"/>
      <c r="E59" s="381"/>
      <c r="F59" s="381"/>
      <c r="G59" s="381"/>
      <c r="H59" s="381"/>
      <c r="I59" s="381"/>
      <c r="J59" s="367"/>
      <c r="K59" s="367"/>
      <c r="L59" s="367"/>
      <c r="M59" s="367"/>
      <c r="N59" s="367"/>
      <c r="O59" s="367"/>
      <c r="P59" s="367"/>
      <c r="Q59" s="367"/>
      <c r="R59" s="422"/>
      <c r="S59" s="367"/>
      <c r="T59" s="367"/>
      <c r="U59" s="367"/>
      <c r="V59" s="367"/>
      <c r="W59" s="367"/>
      <c r="X59" s="367"/>
    </row>
    <row r="60" spans="1:24">
      <c r="A60" s="367"/>
      <c r="B60" s="367"/>
      <c r="C60" s="367"/>
      <c r="D60" s="370"/>
      <c r="E60" s="381"/>
      <c r="F60" s="381"/>
      <c r="G60" s="381"/>
      <c r="H60" s="381"/>
      <c r="I60" s="381"/>
      <c r="J60" s="367"/>
      <c r="K60" s="367"/>
      <c r="L60" s="367"/>
      <c r="M60" s="367"/>
      <c r="N60" s="367"/>
      <c r="O60" s="367"/>
      <c r="P60" s="367"/>
      <c r="Q60" s="422"/>
      <c r="R60" s="423"/>
      <c r="S60" s="367"/>
      <c r="T60" s="367"/>
      <c r="U60" s="367"/>
      <c r="V60" s="367"/>
      <c r="W60" s="367"/>
      <c r="X60" s="367"/>
    </row>
    <row r="61" spans="1:24">
      <c r="A61" s="367"/>
      <c r="B61" s="367"/>
      <c r="C61" s="367"/>
      <c r="D61" s="370"/>
      <c r="E61" s="381"/>
      <c r="F61" s="381"/>
      <c r="G61" s="381"/>
      <c r="H61" s="381"/>
      <c r="I61" s="381"/>
      <c r="J61" s="367"/>
      <c r="K61" s="367"/>
      <c r="L61" s="367"/>
      <c r="M61" s="422"/>
      <c r="N61" s="367"/>
      <c r="O61" s="367"/>
      <c r="P61" s="367"/>
      <c r="Q61" s="423"/>
      <c r="R61" s="367"/>
      <c r="S61" s="367"/>
      <c r="T61" s="367"/>
      <c r="U61" s="367"/>
      <c r="V61" s="367"/>
      <c r="W61" s="367"/>
      <c r="X61" s="367"/>
    </row>
    <row r="62" spans="1:24">
      <c r="A62" s="367"/>
      <c r="B62" s="367"/>
      <c r="C62" s="367"/>
      <c r="D62" s="370"/>
      <c r="E62" s="367"/>
      <c r="F62" s="367"/>
      <c r="G62" s="367"/>
      <c r="H62" s="367"/>
      <c r="I62" s="367"/>
      <c r="J62" s="367"/>
      <c r="K62" s="367"/>
      <c r="L62" s="422"/>
      <c r="M62" s="367"/>
      <c r="N62" s="422"/>
      <c r="O62" s="422"/>
      <c r="P62" s="422"/>
      <c r="Q62" s="367"/>
      <c r="R62" s="367"/>
      <c r="S62" s="367"/>
      <c r="T62" s="367"/>
      <c r="U62" s="367"/>
      <c r="V62" s="367"/>
      <c r="W62" s="367"/>
      <c r="X62" s="367"/>
    </row>
    <row r="63" spans="1:24">
      <c r="B63" s="367"/>
      <c r="C63" s="367"/>
      <c r="D63" s="345"/>
      <c r="E63" s="381"/>
      <c r="F63" s="381"/>
      <c r="G63" s="381"/>
      <c r="H63" s="381"/>
      <c r="I63" s="381"/>
      <c r="J63" s="367"/>
      <c r="K63" s="367"/>
      <c r="L63" s="367"/>
      <c r="M63" s="367"/>
      <c r="N63" s="423"/>
      <c r="O63" s="423"/>
      <c r="P63" s="423"/>
      <c r="Q63" s="367"/>
    </row>
    <row r="64" spans="1:24">
      <c r="B64" s="367"/>
    </row>
    <row r="65" spans="2:2">
      <c r="B65" s="367"/>
    </row>
  </sheetData>
  <pageMargins left="0.7" right="0.7" top="0.75" bottom="0.75" header="0.3" footer="0.3"/>
  <pageSetup paperSize="9" scale="7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52">
    <pageSetUpPr fitToPage="1"/>
  </sheetPr>
  <dimension ref="A1:X449"/>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1463</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442</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80</v>
      </c>
      <c r="F9" s="458" t="s">
        <v>81</v>
      </c>
      <c r="G9" s="458"/>
      <c r="H9" s="458" t="s">
        <v>82</v>
      </c>
      <c r="I9" s="458"/>
      <c r="J9" s="458" t="s">
        <v>83</v>
      </c>
      <c r="K9" s="458"/>
      <c r="L9" s="458" t="s">
        <v>84</v>
      </c>
      <c r="M9" s="458"/>
      <c r="N9" s="459" t="s">
        <v>127</v>
      </c>
      <c r="O9" s="459"/>
      <c r="P9" s="458" t="s">
        <v>128</v>
      </c>
      <c r="Q9" s="458"/>
      <c r="R9" s="458" t="s">
        <v>447</v>
      </c>
      <c r="S9" s="458"/>
      <c r="T9" s="458" t="s">
        <v>129</v>
      </c>
      <c r="U9" s="458"/>
      <c r="V9" s="458" t="s">
        <v>130</v>
      </c>
      <c r="W9" s="458"/>
      <c r="X9" s="458" t="s">
        <v>131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444</v>
      </c>
      <c r="C11" s="370"/>
      <c r="E11" s="367" t="str">
        <f>"DCF, "&amp;TEXT(H11,"0.0")&amp;"x 19/20E EBITDA"</f>
        <v>DCF, 7.6x 19/20E EBITDA</v>
      </c>
      <c r="F11" s="484">
        <v>5106.8971781845148</v>
      </c>
      <c r="G11" s="178" t="s">
        <v>133</v>
      </c>
      <c r="H11" s="373">
        <f>J11/F11</f>
        <v>7.5745524710382046</v>
      </c>
      <c r="I11" s="178" t="s">
        <v>134</v>
      </c>
      <c r="J11" s="484">
        <v>38682.460640355552</v>
      </c>
      <c r="K11" s="178" t="s">
        <v>135</v>
      </c>
      <c r="L11" s="484"/>
      <c r="M11" s="178" t="s">
        <v>134</v>
      </c>
      <c r="N11" s="216">
        <f t="shared" ref="N11:N20" si="0">J11-L11</f>
        <v>38682.460640355552</v>
      </c>
      <c r="O11" s="178" t="s">
        <v>133</v>
      </c>
      <c r="P11" s="490">
        <v>1</v>
      </c>
      <c r="Q11" s="393" t="s">
        <v>134</v>
      </c>
      <c r="R11" s="216">
        <f t="shared" ref="R11:R19" si="1">P11*N11</f>
        <v>38682.460640355552</v>
      </c>
      <c r="S11" s="216"/>
      <c r="T11" s="484">
        <v>545.9</v>
      </c>
      <c r="U11" s="216"/>
      <c r="V11" s="394">
        <f t="shared" ref="V11:V16" si="2">N11/$J$34</f>
        <v>0.95678716880620573</v>
      </c>
      <c r="W11" s="370"/>
      <c r="X11" s="373">
        <f t="shared" ref="X11:X16" si="3">$J$39*V11</f>
        <v>157.69384007015753</v>
      </c>
    </row>
    <row r="12" spans="2:24">
      <c r="B12" s="370" t="s">
        <v>445</v>
      </c>
      <c r="C12" s="370"/>
      <c r="E12" s="367" t="str">
        <f t="shared" ref="E12:E15" si="4">"DCF, "&amp;TEXT(H12,"0.0")&amp;"x 19/20E EBITDA"</f>
        <v>DCF, 8.5x 19/20E EBITDA</v>
      </c>
      <c r="F12" s="484">
        <v>1372.0325631766086</v>
      </c>
      <c r="G12" s="178" t="s">
        <v>133</v>
      </c>
      <c r="H12" s="373">
        <f t="shared" ref="H12:H15" si="5">J12/F12</f>
        <v>8.4774034329420509</v>
      </c>
      <c r="I12" s="178" t="s">
        <v>134</v>
      </c>
      <c r="J12" s="484">
        <v>11631.273561181664</v>
      </c>
      <c r="K12" s="178" t="s">
        <v>135</v>
      </c>
      <c r="L12" s="484"/>
      <c r="M12" s="178" t="s">
        <v>134</v>
      </c>
      <c r="N12" s="216">
        <f t="shared" si="0"/>
        <v>11631.273561181664</v>
      </c>
      <c r="O12" s="178" t="s">
        <v>133</v>
      </c>
      <c r="P12" s="490">
        <v>1</v>
      </c>
      <c r="Q12" s="393" t="s">
        <v>134</v>
      </c>
      <c r="R12" s="216">
        <f t="shared" si="1"/>
        <v>11631.273561181664</v>
      </c>
      <c r="S12" s="216"/>
      <c r="T12" s="216">
        <f t="shared" ref="T12:T20" si="6">N12-R12</f>
        <v>0</v>
      </c>
      <c r="U12" s="216"/>
      <c r="V12" s="394">
        <f t="shared" si="2"/>
        <v>0.28769248687875582</v>
      </c>
      <c r="W12" s="370"/>
      <c r="X12" s="373">
        <f t="shared" si="3"/>
        <v>47.416326738421624</v>
      </c>
    </row>
    <row r="13" spans="2:24">
      <c r="B13" s="370" t="s">
        <v>443</v>
      </c>
      <c r="C13" s="370"/>
      <c r="E13" s="367" t="str">
        <f t="shared" si="4"/>
        <v>DCF, 8.5x 19/20E EBITDA</v>
      </c>
      <c r="F13" s="484">
        <v>1403.6532201014261</v>
      </c>
      <c r="G13" s="178" t="s">
        <v>133</v>
      </c>
      <c r="H13" s="373">
        <f t="shared" si="5"/>
        <v>8.4555348240555226</v>
      </c>
      <c r="I13" s="178" t="s">
        <v>134</v>
      </c>
      <c r="J13" s="484">
        <v>11868.638683465279</v>
      </c>
      <c r="K13" s="178" t="s">
        <v>135</v>
      </c>
      <c r="L13" s="484"/>
      <c r="M13" s="178" t="s">
        <v>134</v>
      </c>
      <c r="N13" s="216">
        <f t="shared" si="0"/>
        <v>11868.638683465279</v>
      </c>
      <c r="O13" s="178" t="s">
        <v>133</v>
      </c>
      <c r="P13" s="490">
        <v>1</v>
      </c>
      <c r="Q13" s="393" t="s">
        <v>134</v>
      </c>
      <c r="R13" s="216">
        <f t="shared" si="1"/>
        <v>11868.638683465279</v>
      </c>
      <c r="S13" s="216"/>
      <c r="T13" s="216">
        <f t="shared" si="6"/>
        <v>0</v>
      </c>
      <c r="U13" s="216"/>
      <c r="V13" s="394">
        <f t="shared" si="2"/>
        <v>0.29356356900650826</v>
      </c>
      <c r="W13" s="370"/>
      <c r="X13" s="373">
        <f t="shared" si="3"/>
        <v>48.383975047551573</v>
      </c>
    </row>
    <row r="14" spans="2:24">
      <c r="B14" s="370" t="s">
        <v>446</v>
      </c>
      <c r="C14" s="370"/>
      <c r="E14" s="367" t="str">
        <f t="shared" si="4"/>
        <v>DCF, 7.5x 19/20E EBITDA</v>
      </c>
      <c r="F14" s="484">
        <v>912.09355909444423</v>
      </c>
      <c r="G14" s="178" t="s">
        <v>133</v>
      </c>
      <c r="H14" s="373">
        <f t="shared" si="5"/>
        <v>7.4648571737302367</v>
      </c>
      <c r="I14" s="178" t="s">
        <v>134</v>
      </c>
      <c r="J14" s="484">
        <v>6808.6481477193056</v>
      </c>
      <c r="K14" s="178" t="s">
        <v>135</v>
      </c>
      <c r="L14" s="484"/>
      <c r="M14" s="178" t="s">
        <v>134</v>
      </c>
      <c r="N14" s="216">
        <f>J14-L14</f>
        <v>6808.6481477193056</v>
      </c>
      <c r="O14" s="178" t="s">
        <v>133</v>
      </c>
      <c r="P14" s="490">
        <v>1</v>
      </c>
      <c r="Q14" s="393" t="s">
        <v>134</v>
      </c>
      <c r="R14" s="216">
        <f>P14*N14</f>
        <v>6808.6481477193056</v>
      </c>
      <c r="S14" s="216"/>
      <c r="T14" s="216">
        <f>N14-R14</f>
        <v>0</v>
      </c>
      <c r="U14" s="216"/>
      <c r="V14" s="394">
        <f t="shared" si="2"/>
        <v>0.16840777646543462</v>
      </c>
      <c r="W14" s="370"/>
      <c r="X14" s="373">
        <f t="shared" si="3"/>
        <v>27.756297151900977</v>
      </c>
    </row>
    <row r="15" spans="2:24">
      <c r="B15" s="370" t="s">
        <v>54</v>
      </c>
      <c r="C15" s="370"/>
      <c r="E15" s="367" t="str">
        <f t="shared" si="4"/>
        <v>DCF, 6.6x 19/20E EBITDA</v>
      </c>
      <c r="F15" s="502">
        <v>1532.0161011857085</v>
      </c>
      <c r="G15" s="178" t="s">
        <v>133</v>
      </c>
      <c r="H15" s="373">
        <f t="shared" si="5"/>
        <v>6.6327144667206053</v>
      </c>
      <c r="I15" s="178" t="s">
        <v>134</v>
      </c>
      <c r="J15" s="498">
        <v>10161.425357583348</v>
      </c>
      <c r="K15" s="178" t="s">
        <v>135</v>
      </c>
      <c r="L15" s="484"/>
      <c r="M15" s="178" t="s">
        <v>134</v>
      </c>
      <c r="N15" s="385">
        <f t="shared" si="0"/>
        <v>10161.425357583348</v>
      </c>
      <c r="O15" s="178" t="s">
        <v>133</v>
      </c>
      <c r="P15" s="490">
        <v>1</v>
      </c>
      <c r="Q15" s="393" t="s">
        <v>134</v>
      </c>
      <c r="R15" s="385">
        <f t="shared" si="1"/>
        <v>10161.425357583348</v>
      </c>
      <c r="S15" s="216"/>
      <c r="T15" s="385">
        <f t="shared" si="6"/>
        <v>0</v>
      </c>
      <c r="U15" s="216"/>
      <c r="V15" s="395">
        <f t="shared" si="2"/>
        <v>0.25133668432599471</v>
      </c>
      <c r="W15" s="370"/>
      <c r="X15" s="396">
        <f t="shared" si="3"/>
        <v>41.424308554763734</v>
      </c>
    </row>
    <row r="16" spans="2:24">
      <c r="B16" s="345" t="s">
        <v>1076</v>
      </c>
      <c r="C16" s="345"/>
      <c r="I16" s="196"/>
      <c r="J16" s="210">
        <f>SUM(J11:J15)</f>
        <v>79152.446390305136</v>
      </c>
      <c r="K16" s="196"/>
      <c r="L16" s="210"/>
      <c r="M16" s="196"/>
      <c r="N16" s="210">
        <f>SUM(N11:N15)</f>
        <v>79152.446390305136</v>
      </c>
      <c r="O16" s="196"/>
      <c r="P16" s="211"/>
      <c r="Q16" s="369"/>
      <c r="R16" s="210">
        <f>SUM(R11:R15)</f>
        <v>79152.446390305136</v>
      </c>
      <c r="S16" s="210"/>
      <c r="T16" s="210">
        <f>SUM(T11:T15)</f>
        <v>545.9</v>
      </c>
      <c r="U16" s="210"/>
      <c r="V16" s="387">
        <f t="shared" si="2"/>
        <v>1.9577876854828988</v>
      </c>
      <c r="W16" s="370"/>
      <c r="X16" s="372">
        <f t="shared" si="3"/>
        <v>322.6747475627954</v>
      </c>
    </row>
    <row r="17" spans="1:24">
      <c r="B17" s="345"/>
      <c r="C17" s="345"/>
      <c r="I17" s="196"/>
      <c r="J17" s="210"/>
      <c r="K17" s="196"/>
      <c r="L17" s="210"/>
      <c r="M17" s="196"/>
      <c r="N17" s="210"/>
      <c r="O17" s="196"/>
      <c r="P17" s="211"/>
      <c r="Q17" s="369"/>
      <c r="R17" s="210"/>
      <c r="S17" s="210"/>
      <c r="T17" s="210"/>
      <c r="U17" s="210"/>
      <c r="V17" s="387"/>
      <c r="W17" s="370"/>
      <c r="X17" s="372"/>
    </row>
    <row r="18" spans="1:24">
      <c r="B18" s="370" t="s">
        <v>376</v>
      </c>
      <c r="C18" s="370"/>
      <c r="E18" s="367" t="s">
        <v>960</v>
      </c>
      <c r="F18" s="484">
        <v>2078</v>
      </c>
      <c r="G18" s="178" t="s">
        <v>133</v>
      </c>
      <c r="H18" s="503">
        <v>150</v>
      </c>
      <c r="I18" s="178"/>
      <c r="J18" s="484">
        <v>17784.844823515305</v>
      </c>
      <c r="K18" s="178" t="s">
        <v>135</v>
      </c>
      <c r="L18" s="484">
        <v>1614.7619047619048</v>
      </c>
      <c r="M18" s="178" t="s">
        <v>134</v>
      </c>
      <c r="N18" s="216">
        <f>J18-L18</f>
        <v>16170.0829187534</v>
      </c>
      <c r="O18" s="178" t="s">
        <v>133</v>
      </c>
      <c r="P18" s="490">
        <v>0.65099999999999991</v>
      </c>
      <c r="Q18" s="393" t="s">
        <v>134</v>
      </c>
      <c r="R18" s="216">
        <f>P18*N18</f>
        <v>10526.723980108462</v>
      </c>
      <c r="S18" s="216"/>
      <c r="T18" s="216">
        <f t="shared" si="6"/>
        <v>5643.3589386449385</v>
      </c>
      <c r="U18" s="216"/>
      <c r="V18" s="394">
        <f>N18/$J$34</f>
        <v>0.39995717953513948</v>
      </c>
      <c r="W18" s="370"/>
      <c r="X18" s="373">
        <f>$J$39*V18</f>
        <v>65.91934503388012</v>
      </c>
    </row>
    <row r="19" spans="1:24">
      <c r="B19" s="370" t="s">
        <v>1537</v>
      </c>
      <c r="C19" s="370"/>
      <c r="E19" s="367" t="str">
        <f t="shared" ref="E19:E20" si="7">"DCF, "&amp;TEXT(H19,"0.0")&amp;"x 19/20E EBITDA"</f>
        <v>DCF, 3.2x 19/20E EBITDA</v>
      </c>
      <c r="F19" s="484">
        <v>393.3057190479214</v>
      </c>
      <c r="G19" s="178" t="s">
        <v>133</v>
      </c>
      <c r="H19" s="487">
        <v>3.2430373825484677</v>
      </c>
      <c r="I19" s="178" t="s">
        <v>134</v>
      </c>
      <c r="J19" s="216">
        <f t="shared" ref="J19:J20" si="8">H19*F19</f>
        <v>1275.505149642514</v>
      </c>
      <c r="K19" s="178" t="s">
        <v>135</v>
      </c>
      <c r="L19" s="484"/>
      <c r="M19" s="178" t="s">
        <v>134</v>
      </c>
      <c r="N19" s="216">
        <f t="shared" si="0"/>
        <v>1275.505149642514</v>
      </c>
      <c r="O19" s="178" t="s">
        <v>133</v>
      </c>
      <c r="P19" s="490">
        <v>1</v>
      </c>
      <c r="Q19" s="393" t="s">
        <v>134</v>
      </c>
      <c r="R19" s="216">
        <f t="shared" si="1"/>
        <v>1275.505149642514</v>
      </c>
      <c r="S19" s="216"/>
      <c r="T19" s="216">
        <f t="shared" si="6"/>
        <v>0</v>
      </c>
      <c r="U19" s="216"/>
      <c r="V19" s="394">
        <f>N19/$J$34</f>
        <v>3.154884515415303E-2</v>
      </c>
      <c r="W19" s="370"/>
      <c r="X19" s="373">
        <f>$J$39*V19</f>
        <v>5.1997546626222109</v>
      </c>
    </row>
    <row r="20" spans="1:24">
      <c r="B20" s="370" t="s">
        <v>1538</v>
      </c>
      <c r="C20" s="370"/>
      <c r="E20" s="367" t="str">
        <f t="shared" si="7"/>
        <v>DCF, 12.6x 19/20E EBITDA</v>
      </c>
      <c r="F20" s="484">
        <v>-950</v>
      </c>
      <c r="G20" s="178" t="s">
        <v>133</v>
      </c>
      <c r="H20" s="487">
        <v>12.558724719689879</v>
      </c>
      <c r="I20" s="178" t="s">
        <v>134</v>
      </c>
      <c r="J20" s="216">
        <f t="shared" si="8"/>
        <v>-11930.788483705384</v>
      </c>
      <c r="K20" s="178" t="s">
        <v>135</v>
      </c>
      <c r="L20" s="484"/>
      <c r="M20" s="178" t="s">
        <v>134</v>
      </c>
      <c r="N20" s="216">
        <f t="shared" si="0"/>
        <v>-11930.788483705384</v>
      </c>
      <c r="O20" s="178" t="s">
        <v>133</v>
      </c>
      <c r="P20" s="490">
        <v>1</v>
      </c>
      <c r="Q20" s="393" t="s">
        <v>134</v>
      </c>
      <c r="R20" s="216">
        <f>P20*N20</f>
        <v>-11930.788483705384</v>
      </c>
      <c r="S20" s="216"/>
      <c r="T20" s="216">
        <f t="shared" si="6"/>
        <v>0</v>
      </c>
      <c r="U20" s="216"/>
      <c r="V20" s="394">
        <f>N20/$J$34</f>
        <v>-0.29510080656661231</v>
      </c>
      <c r="W20" s="370"/>
      <c r="X20" s="373">
        <f>$J$39*V20</f>
        <v>-48.637336402987962</v>
      </c>
    </row>
    <row r="21" spans="1:24">
      <c r="A21" s="345"/>
      <c r="B21" s="345" t="s">
        <v>1077</v>
      </c>
      <c r="C21" s="345"/>
      <c r="I21" s="196"/>
      <c r="J21" s="398">
        <f>SUM(J18:J20)</f>
        <v>7129.5614894524351</v>
      </c>
      <c r="K21" s="196"/>
      <c r="L21" s="210"/>
      <c r="M21" s="196"/>
      <c r="N21" s="398">
        <f>SUM(N18:N20)</f>
        <v>5514.7995846905305</v>
      </c>
      <c r="O21" s="196"/>
      <c r="P21" s="211"/>
      <c r="Q21" s="369"/>
      <c r="R21" s="398">
        <f>SUM(R18:R20)</f>
        <v>-128.55935395440792</v>
      </c>
      <c r="S21" s="210"/>
      <c r="T21" s="398">
        <f>SUM(T18:T20)</f>
        <v>5643.3589386449385</v>
      </c>
      <c r="U21" s="210"/>
      <c r="V21" s="387">
        <f>N21/$J$34</f>
        <v>0.13640521812268022</v>
      </c>
      <c r="W21" s="370"/>
      <c r="X21" s="372">
        <f>$J$39*V21</f>
        <v>22.481763293514366</v>
      </c>
    </row>
    <row r="22" spans="1:24">
      <c r="A22" s="345"/>
      <c r="B22" s="345"/>
      <c r="C22" s="345"/>
      <c r="I22" s="196"/>
      <c r="J22" s="210"/>
      <c r="K22" s="196"/>
      <c r="L22" s="210"/>
      <c r="M22" s="196"/>
      <c r="N22" s="210"/>
      <c r="O22" s="196"/>
      <c r="P22" s="211"/>
      <c r="Q22" s="369"/>
      <c r="R22" s="210"/>
      <c r="S22" s="210"/>
      <c r="T22" s="210"/>
      <c r="U22" s="210"/>
      <c r="V22" s="371"/>
      <c r="W22" s="370"/>
      <c r="X22" s="372"/>
    </row>
    <row r="23" spans="1:24">
      <c r="B23" s="345" t="s">
        <v>137</v>
      </c>
      <c r="C23" s="370"/>
      <c r="F23" s="210"/>
      <c r="G23" s="196"/>
      <c r="H23" s="372"/>
      <c r="I23" s="376"/>
      <c r="J23" s="398">
        <f>SUM(J16,J21)</f>
        <v>86282.00787975757</v>
      </c>
      <c r="K23" s="196"/>
      <c r="L23" s="210"/>
      <c r="M23" s="196"/>
      <c r="N23" s="398">
        <f>SUM(N16,N21)</f>
        <v>84667.245974995662</v>
      </c>
      <c r="O23" s="196"/>
      <c r="P23" s="211"/>
      <c r="Q23" s="369"/>
      <c r="R23" s="398">
        <f>SUM(R16,R21)</f>
        <v>79023.88703635073</v>
      </c>
      <c r="S23" s="210"/>
      <c r="T23" s="398">
        <f>SUM(T16,T21)</f>
        <v>6189.2589386449381</v>
      </c>
      <c r="U23" s="210"/>
      <c r="V23" s="387"/>
      <c r="W23" s="370"/>
      <c r="X23" s="372"/>
    </row>
    <row r="24" spans="1:24">
      <c r="B24" s="370"/>
      <c r="C24" s="370"/>
      <c r="F24" s="210"/>
      <c r="G24" s="196"/>
      <c r="H24" s="372"/>
      <c r="I24" s="376"/>
      <c r="J24" s="196"/>
      <c r="K24" s="375"/>
      <c r="L24" s="370"/>
      <c r="M24" s="196"/>
      <c r="N24" s="210"/>
      <c r="P24" s="377"/>
      <c r="Q24" s="378"/>
      <c r="R24" s="210"/>
      <c r="T24" s="196"/>
    </row>
    <row r="25" spans="1:24">
      <c r="B25" s="382" t="s">
        <v>141</v>
      </c>
      <c r="D25" s="345"/>
      <c r="E25" s="381"/>
      <c r="J25" s="374">
        <f>J23</f>
        <v>86282.00787975757</v>
      </c>
    </row>
    <row r="26" spans="1:24">
      <c r="B26" s="383" t="s">
        <v>1516</v>
      </c>
      <c r="C26" s="384"/>
      <c r="D26" s="384"/>
      <c r="E26" s="384"/>
      <c r="F26" s="384"/>
      <c r="G26" s="384"/>
      <c r="H26" s="384"/>
      <c r="I26" s="384"/>
      <c r="J26" s="484">
        <v>-32103.194399404892</v>
      </c>
      <c r="K26" s="384"/>
    </row>
    <row r="27" spans="1:24">
      <c r="B27" s="383" t="s">
        <v>1539</v>
      </c>
      <c r="C27" s="384"/>
      <c r="D27" s="384"/>
      <c r="E27" s="384"/>
      <c r="F27" s="384"/>
      <c r="G27" s="384"/>
      <c r="H27" s="384"/>
      <c r="I27" s="384"/>
      <c r="J27" s="484">
        <v>-16127.652461792844</v>
      </c>
      <c r="K27" s="384"/>
    </row>
    <row r="28" spans="1:24">
      <c r="B28" s="383" t="s">
        <v>1540</v>
      </c>
      <c r="C28" s="384"/>
      <c r="D28" s="384"/>
      <c r="E28" s="384"/>
      <c r="F28" s="384"/>
      <c r="G28" s="384"/>
      <c r="H28" s="384"/>
      <c r="I28" s="384"/>
      <c r="J28" s="484">
        <v>950</v>
      </c>
      <c r="K28" s="384"/>
    </row>
    <row r="29" spans="1:24">
      <c r="B29" s="383" t="s">
        <v>1541</v>
      </c>
      <c r="C29" s="384"/>
      <c r="D29" s="384"/>
      <c r="E29" s="384"/>
      <c r="F29" s="384"/>
      <c r="G29" s="384"/>
      <c r="H29" s="384"/>
      <c r="I29" s="384"/>
      <c r="J29" s="484">
        <v>-1993.1978538475714</v>
      </c>
      <c r="K29" s="384"/>
    </row>
    <row r="30" spans="1:24">
      <c r="B30" s="383" t="s">
        <v>1542</v>
      </c>
      <c r="C30" s="384"/>
      <c r="D30" s="384"/>
      <c r="E30" s="384"/>
      <c r="F30" s="384"/>
      <c r="G30" s="384"/>
      <c r="H30" s="384"/>
      <c r="I30" s="384"/>
      <c r="J30" s="484">
        <v>1190.4761904761908</v>
      </c>
      <c r="K30" s="384"/>
    </row>
    <row r="31" spans="1:24">
      <c r="B31" s="383" t="s">
        <v>1543</v>
      </c>
      <c r="C31" s="384"/>
      <c r="D31" s="384"/>
      <c r="E31" s="384"/>
      <c r="F31" s="384"/>
      <c r="G31" s="384"/>
      <c r="H31" s="384"/>
      <c r="I31" s="384"/>
      <c r="J31" s="484">
        <v>1785.7142857142858</v>
      </c>
      <c r="K31" s="384"/>
    </row>
    <row r="32" spans="1:24">
      <c r="B32" s="384" t="s">
        <v>864</v>
      </c>
      <c r="C32" s="384"/>
      <c r="D32" s="384"/>
      <c r="E32" s="384"/>
      <c r="F32" s="384"/>
      <c r="G32" s="384"/>
      <c r="H32" s="384"/>
      <c r="I32" s="384"/>
      <c r="J32" s="216">
        <f>-T23</f>
        <v>-6189.2589386449381</v>
      </c>
      <c r="K32" s="384"/>
    </row>
    <row r="33" spans="2:11">
      <c r="B33" s="384" t="s">
        <v>1033</v>
      </c>
      <c r="C33" s="384"/>
      <c r="D33" s="384"/>
      <c r="E33" s="384"/>
      <c r="F33" s="384"/>
      <c r="G33" s="384"/>
      <c r="H33" s="384"/>
      <c r="I33" s="384"/>
      <c r="J33" s="484">
        <v>6634.6406233675534</v>
      </c>
      <c r="K33" s="384"/>
    </row>
    <row r="34" spans="2:11">
      <c r="B34" s="382" t="s">
        <v>490</v>
      </c>
      <c r="C34" s="384"/>
      <c r="D34" s="384"/>
      <c r="E34" s="384"/>
      <c r="F34" s="384"/>
      <c r="G34" s="384"/>
      <c r="H34" s="384"/>
      <c r="I34" s="384"/>
      <c r="J34" s="434">
        <f>SUM(J25:J33)</f>
        <v>40429.535325625344</v>
      </c>
      <c r="K34" s="384"/>
    </row>
    <row r="35" spans="2:11">
      <c r="B35" s="384" t="s">
        <v>491</v>
      </c>
      <c r="C35" s="384"/>
      <c r="D35" s="384"/>
      <c r="E35" s="384"/>
      <c r="F35" s="384"/>
      <c r="G35" s="384"/>
      <c r="H35" s="384"/>
      <c r="I35" s="384"/>
      <c r="J35" s="484">
        <v>26443.922999999999</v>
      </c>
      <c r="K35" s="384"/>
    </row>
    <row r="36" spans="2:11">
      <c r="B36" s="382" t="s">
        <v>492</v>
      </c>
      <c r="C36" s="384"/>
      <c r="D36" s="384"/>
      <c r="E36" s="384"/>
      <c r="F36" s="384"/>
      <c r="G36" s="384"/>
      <c r="H36" s="384"/>
      <c r="I36" s="384"/>
      <c r="J36" s="434">
        <f>J34/J35*100</f>
        <v>152.88781216624079</v>
      </c>
      <c r="K36" s="384"/>
    </row>
    <row r="37" spans="2:11">
      <c r="B37" s="384" t="s">
        <v>1544</v>
      </c>
      <c r="C37" s="384"/>
      <c r="D37" s="384"/>
      <c r="E37" s="384"/>
      <c r="F37" s="384"/>
      <c r="G37" s="384"/>
      <c r="H37" s="384"/>
      <c r="I37" s="384"/>
      <c r="J37" s="486">
        <v>4.5</v>
      </c>
      <c r="K37" s="384"/>
    </row>
    <row r="38" spans="2:11">
      <c r="B38" s="384" t="s">
        <v>1545</v>
      </c>
      <c r="J38" s="486">
        <v>7.4281941634782136</v>
      </c>
      <c r="K38" s="384"/>
    </row>
    <row r="39" spans="2:11">
      <c r="B39" s="382" t="s">
        <v>1548</v>
      </c>
      <c r="C39" s="384"/>
      <c r="D39" s="384"/>
      <c r="E39" s="384"/>
      <c r="F39" s="384"/>
      <c r="G39" s="384"/>
      <c r="H39" s="384"/>
      <c r="I39" s="384"/>
      <c r="J39" s="434">
        <f>SUM(J36:J38)</f>
        <v>164.81600632971902</v>
      </c>
      <c r="K39" s="384"/>
    </row>
    <row r="40" spans="2:11">
      <c r="B40" s="384" t="s">
        <v>1546</v>
      </c>
      <c r="C40" s="384"/>
      <c r="D40" s="384"/>
      <c r="E40" s="384"/>
      <c r="F40" s="384"/>
      <c r="G40" s="384"/>
      <c r="H40" s="384"/>
      <c r="I40" s="384"/>
      <c r="J40" s="427">
        <f>Prices!C153*Prices!C155</f>
        <v>0.84359701681371591</v>
      </c>
      <c r="K40" s="384"/>
    </row>
    <row r="41" spans="2:11">
      <c r="B41" s="382" t="s">
        <v>1547</v>
      </c>
      <c r="C41" s="384"/>
      <c r="D41" s="384"/>
      <c r="E41" s="384"/>
      <c r="F41" s="384"/>
      <c r="G41" s="384"/>
      <c r="H41" s="384"/>
      <c r="I41" s="384"/>
      <c r="J41" s="434">
        <f>J39*J40</f>
        <v>139.03829126290148</v>
      </c>
      <c r="K41" s="384"/>
    </row>
    <row r="42" spans="2:11">
      <c r="B42" s="382"/>
      <c r="C42" s="384"/>
      <c r="D42" s="384"/>
      <c r="E42" s="384"/>
      <c r="F42" s="384"/>
      <c r="G42" s="384"/>
      <c r="H42" s="384"/>
      <c r="I42" s="384"/>
      <c r="J42" s="437"/>
      <c r="K42" s="384"/>
    </row>
    <row r="43" spans="2:11">
      <c r="B43" s="384" t="s">
        <v>493</v>
      </c>
      <c r="C43" s="384"/>
      <c r="D43" s="384"/>
      <c r="E43" s="384"/>
      <c r="F43" s="384"/>
      <c r="G43" s="384"/>
      <c r="H43" s="384"/>
      <c r="I43" s="384"/>
      <c r="J43" s="400">
        <f>Prices!C32</f>
        <v>77.44</v>
      </c>
      <c r="K43" s="384"/>
    </row>
    <row r="44" spans="2:11">
      <c r="B44" s="382" t="s">
        <v>96</v>
      </c>
      <c r="C44" s="384"/>
      <c r="D44" s="384"/>
      <c r="E44" s="384"/>
      <c r="F44" s="384"/>
      <c r="G44" s="384"/>
      <c r="H44" s="384"/>
      <c r="I44" s="384"/>
      <c r="J44" s="387">
        <f>J41/J43-1</f>
        <v>0.7954324801511039</v>
      </c>
      <c r="K44" s="381"/>
    </row>
    <row r="46" spans="2:11">
      <c r="D46" s="431"/>
      <c r="E46" s="381"/>
    </row>
    <row r="47" spans="2:11">
      <c r="D47" s="345"/>
      <c r="E47" s="345"/>
      <c r="F47" s="345"/>
      <c r="G47" s="345"/>
      <c r="H47" s="345"/>
      <c r="I47" s="345"/>
    </row>
    <row r="49" spans="4:24">
      <c r="D49" s="345"/>
      <c r="E49" s="381"/>
      <c r="F49" s="381"/>
      <c r="G49" s="381"/>
      <c r="H49" s="381"/>
      <c r="I49" s="381"/>
    </row>
    <row r="50" spans="4:24">
      <c r="P50" s="249"/>
      <c r="Q50" s="249"/>
      <c r="R50" s="249"/>
    </row>
    <row r="51" spans="4:24">
      <c r="D51" s="370"/>
      <c r="E51" s="381"/>
      <c r="F51" s="381"/>
      <c r="G51" s="381"/>
      <c r="H51" s="381"/>
      <c r="I51" s="381"/>
    </row>
    <row r="52" spans="4:24">
      <c r="D52" s="370"/>
      <c r="E52" s="381"/>
      <c r="F52" s="381"/>
      <c r="G52" s="381"/>
      <c r="H52" s="381"/>
      <c r="I52" s="381"/>
      <c r="L52" s="249"/>
      <c r="M52" s="249"/>
      <c r="N52" s="249"/>
    </row>
    <row r="53" spans="4:24">
      <c r="D53" s="370"/>
      <c r="N53" s="388"/>
      <c r="O53" s="249"/>
      <c r="P53" s="249"/>
      <c r="Q53" s="249"/>
      <c r="R53" s="249"/>
    </row>
    <row r="54" spans="4:24">
      <c r="D54" s="345"/>
      <c r="E54" s="381"/>
      <c r="F54" s="381"/>
      <c r="G54" s="381"/>
      <c r="H54" s="381"/>
      <c r="I54" s="381"/>
      <c r="O54" s="388"/>
      <c r="P54" s="388"/>
      <c r="Q54" s="388"/>
      <c r="R54" s="388"/>
    </row>
    <row r="55" spans="4:24">
      <c r="D55" s="370"/>
      <c r="E55" s="381"/>
      <c r="F55" s="381"/>
      <c r="G55" s="381"/>
      <c r="H55" s="381"/>
      <c r="I55" s="381"/>
    </row>
    <row r="56" spans="4:24">
      <c r="D56" s="370"/>
      <c r="E56" s="381"/>
      <c r="F56" s="381"/>
      <c r="G56" s="381"/>
      <c r="H56" s="381"/>
      <c r="I56" s="381"/>
      <c r="L56" s="249"/>
      <c r="M56" s="249"/>
      <c r="N56" s="249"/>
      <c r="P56" s="249"/>
      <c r="Q56" s="249"/>
      <c r="R56" s="249"/>
      <c r="S56" s="249"/>
      <c r="T56" s="249"/>
      <c r="U56" s="249"/>
      <c r="V56" s="249"/>
      <c r="W56" s="249"/>
      <c r="X56" s="249"/>
    </row>
    <row r="57" spans="4:24">
      <c r="D57" s="370"/>
      <c r="N57" s="388"/>
      <c r="O57" s="249"/>
      <c r="P57" s="388"/>
      <c r="Q57" s="388"/>
      <c r="R57" s="388"/>
      <c r="S57" s="388"/>
      <c r="T57" s="388"/>
      <c r="U57" s="388"/>
      <c r="V57" s="388"/>
      <c r="W57" s="388"/>
      <c r="X57" s="388"/>
    </row>
    <row r="58" spans="4:24">
      <c r="D58" s="370"/>
      <c r="O58" s="388"/>
    </row>
    <row r="59" spans="4:24">
      <c r="D59" s="370"/>
      <c r="J59" s="381"/>
      <c r="L59" s="249"/>
      <c r="M59" s="249"/>
      <c r="N59" s="249"/>
      <c r="P59" s="249"/>
      <c r="Q59" s="249"/>
      <c r="R59" s="249"/>
    </row>
    <row r="60" spans="4:24">
      <c r="D60" s="370"/>
      <c r="J60" s="381"/>
      <c r="K60" s="381"/>
      <c r="N60" s="388"/>
      <c r="O60" s="249"/>
      <c r="P60" s="388"/>
      <c r="Q60" s="388"/>
      <c r="R60" s="388"/>
      <c r="S60" s="249"/>
      <c r="T60" s="249"/>
      <c r="U60" s="249"/>
      <c r="V60" s="249"/>
      <c r="W60" s="249"/>
      <c r="X60" s="249"/>
    </row>
    <row r="61" spans="4:24">
      <c r="D61" s="370"/>
      <c r="K61" s="381"/>
      <c r="O61" s="388"/>
      <c r="S61" s="388"/>
      <c r="T61" s="388"/>
      <c r="U61" s="388"/>
      <c r="V61" s="388"/>
      <c r="W61" s="388"/>
      <c r="X61" s="388"/>
    </row>
    <row r="62" spans="4:24">
      <c r="D62" s="370"/>
      <c r="J62" s="381"/>
      <c r="L62" s="249"/>
      <c r="M62" s="249"/>
      <c r="N62" s="249"/>
      <c r="P62" s="249"/>
      <c r="Q62" s="249"/>
      <c r="R62" s="249"/>
    </row>
    <row r="63" spans="4:24">
      <c r="D63" s="370"/>
      <c r="J63" s="381"/>
      <c r="K63" s="381"/>
      <c r="N63" s="388"/>
      <c r="O63" s="249"/>
      <c r="P63" s="388"/>
      <c r="Q63" s="388"/>
      <c r="R63" s="388"/>
      <c r="S63" s="249"/>
      <c r="T63" s="249"/>
      <c r="U63" s="249"/>
      <c r="V63" s="249"/>
      <c r="W63" s="249"/>
      <c r="X63" s="249"/>
    </row>
    <row r="64" spans="4:24">
      <c r="D64" s="370"/>
      <c r="J64" s="381"/>
      <c r="K64" s="381"/>
      <c r="O64" s="388"/>
      <c r="P64" s="389"/>
      <c r="Q64" s="389"/>
      <c r="R64" s="389"/>
      <c r="S64" s="388"/>
      <c r="T64" s="388"/>
      <c r="U64" s="388"/>
      <c r="V64" s="388"/>
      <c r="W64" s="388"/>
      <c r="X64" s="388"/>
    </row>
    <row r="65" spans="4:24">
      <c r="D65" s="370"/>
      <c r="K65" s="381"/>
      <c r="L65" s="249"/>
      <c r="M65" s="249"/>
      <c r="N65" s="249"/>
      <c r="P65" s="388"/>
      <c r="Q65" s="388"/>
      <c r="R65" s="388"/>
    </row>
    <row r="66" spans="4:24">
      <c r="D66" s="345"/>
      <c r="E66" s="381"/>
      <c r="F66" s="381"/>
      <c r="G66" s="381"/>
      <c r="H66" s="381"/>
      <c r="I66" s="381"/>
      <c r="N66" s="388"/>
      <c r="O66" s="249"/>
      <c r="S66" s="249"/>
      <c r="T66" s="249"/>
      <c r="U66" s="249"/>
      <c r="V66" s="249"/>
      <c r="W66" s="249"/>
      <c r="X66" s="249"/>
    </row>
    <row r="67" spans="4:24">
      <c r="D67" s="370"/>
      <c r="J67" s="381"/>
      <c r="L67" s="389"/>
      <c r="M67" s="389"/>
      <c r="N67" s="389"/>
      <c r="O67" s="388"/>
      <c r="P67" s="249"/>
      <c r="Q67" s="249"/>
      <c r="R67" s="249"/>
      <c r="S67" s="388"/>
      <c r="T67" s="388"/>
      <c r="U67" s="388"/>
      <c r="V67" s="388"/>
      <c r="W67" s="388"/>
      <c r="X67" s="388"/>
    </row>
    <row r="68" spans="4:24">
      <c r="D68" s="370"/>
      <c r="J68" s="381"/>
      <c r="K68" s="381"/>
      <c r="N68" s="388"/>
      <c r="O68" s="389"/>
      <c r="P68" s="390"/>
      <c r="Q68" s="390"/>
      <c r="R68" s="390"/>
    </row>
    <row r="69" spans="4:24">
      <c r="D69" s="345"/>
      <c r="E69" s="381"/>
      <c r="F69" s="381"/>
      <c r="G69" s="381"/>
      <c r="H69" s="381"/>
      <c r="I69" s="381"/>
      <c r="K69" s="381"/>
      <c r="O69" s="388"/>
      <c r="P69" s="249"/>
      <c r="Q69" s="249"/>
      <c r="R69" s="249"/>
      <c r="S69" s="249"/>
      <c r="T69" s="249"/>
      <c r="U69" s="249"/>
      <c r="V69" s="249"/>
      <c r="W69" s="249"/>
      <c r="X69" s="249"/>
    </row>
    <row r="70" spans="4:24">
      <c r="D70" s="370"/>
      <c r="L70" s="249"/>
      <c r="M70" s="249"/>
      <c r="N70" s="249"/>
      <c r="P70" s="388"/>
      <c r="Q70" s="388"/>
      <c r="R70" s="388"/>
      <c r="S70" s="388"/>
      <c r="T70" s="388"/>
      <c r="U70" s="388"/>
      <c r="V70" s="388"/>
      <c r="W70" s="388"/>
      <c r="X70" s="388"/>
    </row>
    <row r="71" spans="4:24">
      <c r="D71" s="345"/>
      <c r="E71" s="381"/>
      <c r="F71" s="381"/>
      <c r="G71" s="381"/>
      <c r="H71" s="381"/>
      <c r="I71" s="381"/>
      <c r="N71" s="388"/>
      <c r="O71" s="249"/>
      <c r="P71" s="248"/>
      <c r="Q71" s="248"/>
      <c r="R71" s="248"/>
      <c r="S71" s="389"/>
      <c r="T71" s="389"/>
      <c r="U71" s="389"/>
      <c r="V71" s="389"/>
      <c r="W71" s="389"/>
      <c r="X71" s="389"/>
    </row>
    <row r="72" spans="4:24">
      <c r="D72" s="370"/>
      <c r="E72" s="381"/>
      <c r="F72" s="381"/>
      <c r="G72" s="381"/>
      <c r="H72" s="381"/>
      <c r="I72" s="381"/>
      <c r="L72" s="249"/>
      <c r="M72" s="249"/>
      <c r="N72" s="249"/>
      <c r="O72" s="388"/>
      <c r="S72" s="388"/>
      <c r="T72" s="388"/>
      <c r="U72" s="388"/>
      <c r="V72" s="388"/>
      <c r="W72" s="388"/>
      <c r="X72" s="388"/>
    </row>
    <row r="73" spans="4:24">
      <c r="D73" s="370"/>
      <c r="N73" s="388"/>
      <c r="O73" s="249"/>
      <c r="P73" s="247"/>
      <c r="Q73" s="247"/>
      <c r="R73" s="247"/>
    </row>
    <row r="74" spans="4:24">
      <c r="D74" s="370"/>
      <c r="L74" s="248"/>
      <c r="M74" s="248"/>
      <c r="N74" s="248"/>
      <c r="O74" s="388"/>
      <c r="P74" s="388"/>
      <c r="Q74" s="388"/>
      <c r="R74" s="388"/>
      <c r="S74" s="249"/>
      <c r="T74" s="249"/>
      <c r="U74" s="249"/>
      <c r="V74" s="249"/>
      <c r="W74" s="249"/>
      <c r="X74" s="249"/>
    </row>
    <row r="75" spans="4:24">
      <c r="D75" s="345"/>
      <c r="E75" s="381"/>
      <c r="F75" s="381"/>
      <c r="G75" s="381"/>
      <c r="H75" s="381"/>
      <c r="I75" s="381"/>
      <c r="O75" s="248"/>
      <c r="S75" s="390"/>
      <c r="T75" s="390"/>
      <c r="U75" s="390"/>
      <c r="V75" s="390"/>
      <c r="W75" s="390"/>
      <c r="X75" s="390"/>
    </row>
    <row r="76" spans="4:24">
      <c r="D76" s="370"/>
      <c r="E76" s="381"/>
      <c r="F76" s="381"/>
      <c r="G76" s="381"/>
      <c r="H76" s="381"/>
      <c r="I76" s="381"/>
      <c r="L76" s="247"/>
      <c r="M76" s="247"/>
      <c r="N76" s="247"/>
      <c r="P76" s="389"/>
      <c r="Q76" s="389"/>
      <c r="R76" s="389"/>
      <c r="S76" s="249"/>
      <c r="T76" s="249"/>
      <c r="U76" s="249"/>
      <c r="V76" s="249"/>
      <c r="W76" s="249"/>
      <c r="X76" s="249"/>
    </row>
    <row r="77" spans="4:24">
      <c r="D77" s="370"/>
      <c r="N77" s="388"/>
      <c r="O77" s="247"/>
      <c r="P77" s="388"/>
      <c r="Q77" s="388"/>
      <c r="R77" s="388"/>
      <c r="S77" s="388"/>
      <c r="T77" s="388"/>
      <c r="U77" s="388"/>
      <c r="V77" s="388"/>
      <c r="W77" s="388"/>
      <c r="X77" s="388"/>
    </row>
    <row r="78" spans="4:24">
      <c r="D78" s="345"/>
      <c r="E78" s="381"/>
      <c r="F78" s="381"/>
      <c r="G78" s="381"/>
      <c r="H78" s="381"/>
      <c r="I78" s="381"/>
      <c r="O78" s="388"/>
      <c r="S78" s="248"/>
      <c r="T78" s="248"/>
      <c r="U78" s="248"/>
      <c r="V78" s="248"/>
      <c r="W78" s="248"/>
      <c r="X78" s="248"/>
    </row>
    <row r="79" spans="4:24">
      <c r="D79" s="370"/>
      <c r="J79" s="381"/>
      <c r="L79" s="389"/>
      <c r="M79" s="389"/>
      <c r="N79" s="389"/>
      <c r="P79" s="391"/>
      <c r="Q79" s="391"/>
      <c r="R79" s="391"/>
    </row>
    <row r="80" spans="4:24">
      <c r="D80" s="370"/>
      <c r="J80" s="381"/>
      <c r="K80" s="381"/>
      <c r="N80" s="388"/>
      <c r="O80" s="389"/>
      <c r="P80" s="388"/>
      <c r="Q80" s="388"/>
      <c r="R80" s="388"/>
      <c r="S80" s="247"/>
      <c r="T80" s="247"/>
      <c r="U80" s="247"/>
      <c r="V80" s="247"/>
      <c r="W80" s="247"/>
      <c r="X80" s="247"/>
    </row>
    <row r="81" spans="4:24">
      <c r="D81" s="345"/>
      <c r="E81" s="381"/>
      <c r="F81" s="381"/>
      <c r="G81" s="381"/>
      <c r="H81" s="381"/>
      <c r="I81" s="381"/>
      <c r="K81" s="381"/>
      <c r="O81" s="388"/>
      <c r="P81" s="248"/>
      <c r="Q81" s="248"/>
      <c r="R81" s="248"/>
      <c r="S81" s="388"/>
      <c r="T81" s="388"/>
      <c r="U81" s="388"/>
      <c r="V81" s="388"/>
      <c r="W81" s="388"/>
      <c r="X81" s="388"/>
    </row>
    <row r="82" spans="4:24">
      <c r="D82" s="370"/>
      <c r="L82" s="391"/>
      <c r="M82" s="391"/>
      <c r="N82" s="391"/>
    </row>
    <row r="83" spans="4:24">
      <c r="D83" s="370"/>
      <c r="J83" s="381"/>
      <c r="N83" s="388"/>
      <c r="O83" s="391"/>
      <c r="P83" s="247"/>
      <c r="Q83" s="247"/>
      <c r="R83" s="247"/>
      <c r="S83" s="389"/>
      <c r="T83" s="389"/>
      <c r="U83" s="389"/>
      <c r="V83" s="389"/>
      <c r="W83" s="389"/>
      <c r="X83" s="389"/>
    </row>
    <row r="84" spans="4:24">
      <c r="D84" s="370"/>
      <c r="J84" s="381"/>
      <c r="K84" s="381"/>
      <c r="N84" s="248"/>
      <c r="O84" s="388"/>
      <c r="P84" s="388"/>
      <c r="Q84" s="388"/>
      <c r="R84" s="388"/>
      <c r="S84" s="388"/>
      <c r="T84" s="388"/>
      <c r="U84" s="388"/>
      <c r="V84" s="388"/>
      <c r="W84" s="388"/>
      <c r="X84" s="388"/>
    </row>
    <row r="85" spans="4:24">
      <c r="D85" s="345"/>
      <c r="E85" s="381"/>
      <c r="F85" s="381"/>
      <c r="G85" s="381"/>
      <c r="H85" s="381"/>
      <c r="I85" s="381"/>
      <c r="K85" s="381"/>
      <c r="O85" s="248"/>
      <c r="P85" s="274"/>
      <c r="Q85" s="274"/>
      <c r="R85" s="274"/>
    </row>
    <row r="86" spans="4:24">
      <c r="D86" s="370"/>
      <c r="L86" s="247"/>
      <c r="M86" s="247"/>
      <c r="N86" s="247"/>
      <c r="S86" s="391"/>
      <c r="T86" s="391"/>
      <c r="U86" s="391"/>
      <c r="V86" s="391"/>
      <c r="W86" s="391"/>
      <c r="X86" s="391"/>
    </row>
    <row r="87" spans="4:24">
      <c r="D87" s="370"/>
      <c r="E87" s="345"/>
      <c r="F87" s="345"/>
      <c r="G87" s="345"/>
      <c r="H87" s="345"/>
      <c r="I87" s="345"/>
      <c r="J87" s="381"/>
      <c r="N87" s="388"/>
      <c r="O87" s="247"/>
      <c r="P87" s="389"/>
      <c r="Q87" s="389"/>
      <c r="R87" s="389"/>
      <c r="S87" s="388"/>
      <c r="T87" s="388"/>
      <c r="U87" s="388"/>
      <c r="V87" s="388"/>
      <c r="W87" s="388"/>
      <c r="X87" s="388"/>
    </row>
    <row r="88" spans="4:24">
      <c r="D88" s="370"/>
      <c r="E88" s="345"/>
      <c r="F88" s="345"/>
      <c r="G88" s="345"/>
      <c r="H88" s="345"/>
      <c r="I88" s="345"/>
      <c r="K88" s="381"/>
      <c r="L88" s="274"/>
      <c r="M88" s="274"/>
      <c r="N88" s="274"/>
      <c r="O88" s="388"/>
      <c r="P88" s="388"/>
      <c r="Q88" s="388"/>
      <c r="R88" s="388"/>
      <c r="S88" s="248"/>
      <c r="T88" s="248"/>
      <c r="U88" s="248"/>
      <c r="V88" s="248"/>
      <c r="W88" s="248"/>
      <c r="X88" s="248"/>
    </row>
    <row r="89" spans="4:24">
      <c r="D89" s="370"/>
      <c r="O89" s="274"/>
    </row>
    <row r="90" spans="4:24">
      <c r="D90" s="370"/>
      <c r="L90" s="389"/>
      <c r="M90" s="389"/>
      <c r="N90" s="389"/>
      <c r="S90" s="247"/>
      <c r="T90" s="247"/>
      <c r="U90" s="247"/>
      <c r="V90" s="247"/>
      <c r="W90" s="247"/>
      <c r="X90" s="247"/>
    </row>
    <row r="91" spans="4:24">
      <c r="D91" s="370"/>
      <c r="N91" s="388"/>
      <c r="O91" s="389"/>
      <c r="P91" s="249"/>
      <c r="Q91" s="249"/>
      <c r="R91" s="249"/>
      <c r="S91" s="388"/>
      <c r="T91" s="388"/>
      <c r="U91" s="388"/>
      <c r="V91" s="388"/>
      <c r="W91" s="388"/>
      <c r="X91" s="388"/>
    </row>
    <row r="92" spans="4:24">
      <c r="D92" s="345"/>
      <c r="E92" s="381"/>
      <c r="F92" s="381"/>
      <c r="G92" s="381"/>
      <c r="H92" s="381"/>
      <c r="I92" s="381"/>
      <c r="O92" s="388"/>
      <c r="P92" s="388"/>
      <c r="Q92" s="388"/>
      <c r="R92" s="388"/>
      <c r="S92" s="274"/>
      <c r="T92" s="274"/>
      <c r="U92" s="274"/>
      <c r="V92" s="274"/>
      <c r="W92" s="274"/>
      <c r="X92" s="274"/>
    </row>
    <row r="93" spans="4:24">
      <c r="D93" s="345"/>
      <c r="E93" s="381"/>
      <c r="F93" s="381"/>
      <c r="G93" s="381"/>
      <c r="H93" s="381"/>
      <c r="I93" s="381"/>
    </row>
    <row r="94" spans="4:24">
      <c r="D94" s="370"/>
      <c r="E94" s="381"/>
      <c r="F94" s="381"/>
      <c r="G94" s="381"/>
      <c r="H94" s="381"/>
      <c r="I94" s="381"/>
      <c r="L94" s="249"/>
      <c r="M94" s="249"/>
      <c r="N94" s="249"/>
      <c r="P94" s="249"/>
      <c r="Q94" s="249"/>
      <c r="R94" s="249"/>
      <c r="S94" s="389"/>
      <c r="T94" s="389"/>
      <c r="U94" s="389"/>
      <c r="V94" s="389"/>
      <c r="W94" s="389"/>
      <c r="X94" s="389"/>
    </row>
    <row r="95" spans="4:24">
      <c r="D95" s="370"/>
      <c r="E95" s="381"/>
      <c r="F95" s="381"/>
      <c r="G95" s="381"/>
      <c r="H95" s="381"/>
      <c r="I95" s="381"/>
      <c r="N95" s="388"/>
      <c r="O95" s="249"/>
      <c r="P95" s="390"/>
      <c r="Q95" s="390"/>
      <c r="R95" s="390"/>
      <c r="S95" s="388"/>
      <c r="T95" s="388"/>
      <c r="U95" s="388"/>
      <c r="V95" s="388"/>
      <c r="W95" s="388"/>
      <c r="X95" s="388"/>
    </row>
    <row r="96" spans="4:24">
      <c r="D96" s="370"/>
      <c r="O96" s="388"/>
    </row>
    <row r="97" spans="4:24">
      <c r="D97" s="345"/>
      <c r="E97" s="381"/>
      <c r="F97" s="381"/>
      <c r="G97" s="381"/>
      <c r="H97" s="381"/>
      <c r="I97" s="381"/>
      <c r="L97" s="249"/>
      <c r="M97" s="249"/>
      <c r="N97" s="249"/>
      <c r="P97" s="389"/>
      <c r="Q97" s="389"/>
      <c r="R97" s="389"/>
    </row>
    <row r="98" spans="4:24">
      <c r="D98" s="370"/>
      <c r="E98" s="381"/>
      <c r="F98" s="381"/>
      <c r="G98" s="381"/>
      <c r="H98" s="381"/>
      <c r="I98" s="381"/>
      <c r="N98" s="388"/>
      <c r="O98" s="249"/>
      <c r="P98" s="392"/>
      <c r="Q98" s="392"/>
      <c r="R98" s="392"/>
      <c r="S98" s="249"/>
      <c r="T98" s="249"/>
      <c r="U98" s="249"/>
      <c r="V98" s="249"/>
      <c r="W98" s="249"/>
      <c r="X98" s="249"/>
    </row>
    <row r="99" spans="4:24">
      <c r="D99" s="370"/>
      <c r="E99" s="381"/>
      <c r="F99" s="381"/>
      <c r="G99" s="381"/>
      <c r="H99" s="381"/>
      <c r="I99" s="381"/>
      <c r="O99" s="388"/>
      <c r="P99" s="392"/>
      <c r="Q99" s="392"/>
      <c r="R99" s="392"/>
      <c r="S99" s="388"/>
      <c r="T99" s="388"/>
      <c r="U99" s="388"/>
      <c r="V99" s="388"/>
      <c r="W99" s="388"/>
      <c r="X99" s="388"/>
    </row>
    <row r="100" spans="4:24">
      <c r="D100" s="370"/>
      <c r="L100" s="389"/>
      <c r="M100" s="389"/>
      <c r="N100" s="389"/>
    </row>
    <row r="101" spans="4:24">
      <c r="D101" s="370"/>
      <c r="N101" s="392"/>
      <c r="O101" s="389"/>
      <c r="P101" s="388"/>
      <c r="Q101" s="388"/>
      <c r="R101" s="388"/>
      <c r="S101" s="249"/>
      <c r="T101" s="249"/>
      <c r="U101" s="249"/>
      <c r="V101" s="249"/>
      <c r="W101" s="249"/>
      <c r="X101" s="249"/>
    </row>
    <row r="102" spans="4:24">
      <c r="D102" s="370"/>
      <c r="J102" s="381"/>
      <c r="L102" s="392"/>
      <c r="M102" s="392"/>
      <c r="N102" s="392"/>
      <c r="O102" s="392"/>
      <c r="P102" s="389"/>
      <c r="Q102" s="389"/>
      <c r="R102" s="389"/>
      <c r="S102" s="390"/>
      <c r="T102" s="390"/>
      <c r="U102" s="390"/>
      <c r="V102" s="390"/>
      <c r="W102" s="390"/>
      <c r="X102" s="390"/>
    </row>
    <row r="103" spans="4:24">
      <c r="D103" s="370"/>
      <c r="J103" s="381"/>
      <c r="K103" s="381"/>
      <c r="O103" s="392"/>
      <c r="R103" s="392"/>
    </row>
    <row r="104" spans="4:24">
      <c r="D104" s="370"/>
      <c r="K104" s="381"/>
      <c r="L104" s="388"/>
      <c r="M104" s="388"/>
      <c r="N104" s="388"/>
      <c r="S104" s="389"/>
      <c r="T104" s="389"/>
      <c r="U104" s="389"/>
      <c r="V104" s="389"/>
      <c r="W104" s="389"/>
      <c r="X104" s="389"/>
    </row>
    <row r="105" spans="4:24">
      <c r="D105" s="370"/>
      <c r="J105" s="381"/>
      <c r="L105" s="389"/>
      <c r="M105" s="389"/>
      <c r="N105" s="389"/>
      <c r="O105" s="388"/>
      <c r="P105" s="389"/>
      <c r="Q105" s="389"/>
      <c r="R105" s="389"/>
      <c r="S105" s="392"/>
      <c r="T105" s="392"/>
      <c r="U105" s="392"/>
      <c r="V105" s="392"/>
      <c r="W105" s="392"/>
      <c r="X105" s="392"/>
    </row>
    <row r="106" spans="4:24">
      <c r="D106" s="370"/>
      <c r="J106" s="381"/>
      <c r="K106" s="381"/>
      <c r="O106" s="389"/>
      <c r="P106" s="392"/>
      <c r="Q106" s="392"/>
      <c r="R106" s="392"/>
      <c r="S106" s="392"/>
      <c r="T106" s="392"/>
      <c r="U106" s="392"/>
      <c r="V106" s="392"/>
      <c r="W106" s="392"/>
      <c r="X106" s="392"/>
    </row>
    <row r="107" spans="4:24">
      <c r="D107" s="370"/>
      <c r="J107" s="381"/>
      <c r="K107" s="381"/>
    </row>
    <row r="108" spans="4:24">
      <c r="D108" s="370"/>
      <c r="K108" s="381"/>
      <c r="L108" s="389"/>
      <c r="M108" s="389"/>
      <c r="N108" s="389"/>
      <c r="S108" s="388"/>
      <c r="T108" s="388"/>
      <c r="U108" s="388"/>
      <c r="V108" s="388"/>
      <c r="W108" s="388"/>
      <c r="X108" s="388"/>
    </row>
    <row r="109" spans="4:24">
      <c r="D109" s="345"/>
      <c r="E109" s="381"/>
      <c r="F109" s="381"/>
      <c r="G109" s="381"/>
      <c r="H109" s="381"/>
      <c r="I109" s="381"/>
      <c r="N109" s="392"/>
      <c r="O109" s="389"/>
      <c r="S109" s="389"/>
      <c r="T109" s="389"/>
      <c r="U109" s="389"/>
      <c r="V109" s="389"/>
      <c r="W109" s="389"/>
      <c r="X109" s="389"/>
    </row>
    <row r="110" spans="4:24">
      <c r="D110" s="370"/>
      <c r="J110" s="381"/>
      <c r="O110" s="392"/>
      <c r="S110" s="392"/>
      <c r="T110" s="392"/>
      <c r="U110" s="392"/>
      <c r="V110" s="392"/>
      <c r="W110" s="392"/>
      <c r="X110" s="392"/>
    </row>
    <row r="111" spans="4:24">
      <c r="D111" s="370"/>
      <c r="J111" s="381"/>
      <c r="K111" s="381"/>
    </row>
    <row r="112" spans="4:24">
      <c r="D112" s="345"/>
      <c r="E112" s="381"/>
      <c r="F112" s="381"/>
      <c r="G112" s="381"/>
      <c r="H112" s="381"/>
      <c r="I112" s="381"/>
      <c r="K112" s="381"/>
      <c r="S112" s="389"/>
      <c r="T112" s="389"/>
      <c r="U112" s="389"/>
      <c r="V112" s="389"/>
      <c r="W112" s="389"/>
      <c r="X112" s="389"/>
    </row>
    <row r="113" spans="4:24">
      <c r="D113" s="370"/>
      <c r="S113" s="392"/>
      <c r="T113" s="392"/>
      <c r="U113" s="392"/>
      <c r="V113" s="392"/>
      <c r="W113" s="392"/>
      <c r="X113" s="392"/>
    </row>
    <row r="114" spans="4:24">
      <c r="D114" s="345"/>
      <c r="E114" s="381"/>
      <c r="F114" s="381"/>
      <c r="G114" s="381"/>
      <c r="H114" s="381"/>
      <c r="I114" s="381"/>
    </row>
    <row r="115" spans="4:24">
      <c r="D115" s="370"/>
      <c r="E115" s="381"/>
      <c r="F115" s="381"/>
      <c r="G115" s="381"/>
      <c r="H115" s="381"/>
      <c r="I115" s="381"/>
    </row>
    <row r="116" spans="4:24">
      <c r="D116" s="370"/>
    </row>
    <row r="117" spans="4:24">
      <c r="D117" s="370"/>
    </row>
    <row r="118" spans="4:24">
      <c r="D118" s="345"/>
      <c r="E118" s="381"/>
      <c r="F118" s="381"/>
      <c r="G118" s="381"/>
      <c r="H118" s="381"/>
      <c r="I118" s="381"/>
    </row>
    <row r="119" spans="4:24">
      <c r="D119" s="370"/>
      <c r="E119" s="381"/>
      <c r="F119" s="381"/>
      <c r="G119" s="381"/>
      <c r="H119" s="381"/>
      <c r="I119" s="381"/>
    </row>
    <row r="120" spans="4:24">
      <c r="D120" s="370"/>
    </row>
    <row r="121" spans="4:24">
      <c r="D121" s="345"/>
      <c r="E121" s="381"/>
      <c r="F121" s="381"/>
      <c r="G121" s="381"/>
      <c r="H121" s="381"/>
      <c r="I121" s="381"/>
    </row>
    <row r="122" spans="4:24">
      <c r="D122" s="370"/>
      <c r="J122" s="381"/>
    </row>
    <row r="123" spans="4:24">
      <c r="D123" s="370"/>
      <c r="J123" s="381"/>
      <c r="K123" s="381"/>
    </row>
    <row r="124" spans="4:24">
      <c r="D124" s="345"/>
      <c r="E124" s="381"/>
      <c r="F124" s="381"/>
      <c r="G124" s="381"/>
      <c r="H124" s="381"/>
      <c r="I124" s="381"/>
      <c r="K124" s="381"/>
    </row>
    <row r="125" spans="4:24">
      <c r="D125" s="370"/>
    </row>
    <row r="126" spans="4:24">
      <c r="D126" s="370"/>
      <c r="J126" s="381"/>
    </row>
    <row r="127" spans="4:24">
      <c r="D127" s="370"/>
      <c r="J127" s="381"/>
      <c r="K127" s="381"/>
    </row>
    <row r="128" spans="4:24">
      <c r="D128" s="345"/>
      <c r="E128" s="381"/>
      <c r="F128" s="381"/>
      <c r="G128" s="381"/>
      <c r="H128" s="381"/>
      <c r="I128" s="381"/>
      <c r="K128" s="381"/>
    </row>
    <row r="129" spans="4:11">
      <c r="D129" s="370"/>
    </row>
    <row r="130" spans="4:11">
      <c r="D130" s="370"/>
      <c r="E130" s="345"/>
      <c r="F130" s="345"/>
      <c r="G130" s="345"/>
      <c r="H130" s="345"/>
      <c r="I130" s="345"/>
      <c r="J130" s="381"/>
    </row>
    <row r="131" spans="4:11">
      <c r="D131" s="370"/>
      <c r="E131" s="345"/>
      <c r="F131" s="345"/>
      <c r="G131" s="345"/>
      <c r="H131" s="345"/>
      <c r="I131" s="345"/>
      <c r="K131" s="381"/>
    </row>
    <row r="132" spans="4:11">
      <c r="D132" s="370"/>
    </row>
    <row r="133" spans="4:11">
      <c r="D133" s="370"/>
    </row>
    <row r="135" spans="4:11">
      <c r="D135" s="345"/>
      <c r="E135" s="381"/>
      <c r="F135" s="381"/>
      <c r="G135" s="381"/>
      <c r="H135" s="381"/>
      <c r="I135" s="381"/>
    </row>
    <row r="136" spans="4:11">
      <c r="D136" s="345"/>
      <c r="E136" s="381"/>
      <c r="F136" s="381"/>
      <c r="G136" s="381"/>
      <c r="H136" s="381"/>
      <c r="I136" s="381"/>
    </row>
    <row r="137" spans="4:11">
      <c r="D137" s="370"/>
      <c r="E137" s="381"/>
      <c r="F137" s="381"/>
      <c r="G137" s="381"/>
      <c r="H137" s="381"/>
      <c r="I137" s="381"/>
    </row>
    <row r="138" spans="4:11">
      <c r="D138" s="370"/>
      <c r="E138" s="381"/>
      <c r="F138" s="381"/>
      <c r="G138" s="381"/>
      <c r="H138" s="381"/>
      <c r="I138" s="381"/>
    </row>
    <row r="139" spans="4:11">
      <c r="D139" s="370"/>
    </row>
    <row r="140" spans="4:11">
      <c r="D140" s="345"/>
      <c r="E140" s="381"/>
      <c r="F140" s="381"/>
      <c r="G140" s="381"/>
      <c r="H140" s="381"/>
      <c r="I140" s="381"/>
    </row>
    <row r="141" spans="4:11">
      <c r="D141" s="370"/>
      <c r="E141" s="381"/>
      <c r="F141" s="381"/>
      <c r="G141" s="381"/>
      <c r="H141" s="381"/>
      <c r="I141" s="381"/>
    </row>
    <row r="142" spans="4:11">
      <c r="D142" s="370"/>
      <c r="E142" s="381"/>
      <c r="F142" s="381"/>
      <c r="G142" s="381"/>
      <c r="H142" s="381"/>
      <c r="I142" s="381"/>
    </row>
    <row r="143" spans="4:11">
      <c r="D143" s="370"/>
    </row>
    <row r="144" spans="4:11">
      <c r="D144" s="370"/>
    </row>
    <row r="145" spans="4:11">
      <c r="D145" s="370"/>
      <c r="J145" s="381"/>
    </row>
    <row r="146" spans="4:11">
      <c r="D146" s="370"/>
      <c r="J146" s="381"/>
      <c r="K146" s="381"/>
    </row>
    <row r="147" spans="4:11">
      <c r="D147" s="370"/>
      <c r="K147" s="381"/>
    </row>
    <row r="148" spans="4:11">
      <c r="D148" s="370"/>
      <c r="J148" s="381"/>
    </row>
    <row r="149" spans="4:11">
      <c r="D149" s="370"/>
      <c r="J149" s="381"/>
      <c r="K149" s="381"/>
    </row>
    <row r="150" spans="4:11">
      <c r="D150" s="370"/>
      <c r="J150" s="381"/>
      <c r="K150" s="381"/>
    </row>
    <row r="151" spans="4:11">
      <c r="D151" s="370"/>
      <c r="K151" s="381"/>
    </row>
    <row r="152" spans="4:11">
      <c r="D152" s="345"/>
      <c r="E152" s="381"/>
      <c r="F152" s="381"/>
      <c r="G152" s="381"/>
      <c r="H152" s="381"/>
      <c r="I152" s="381"/>
    </row>
    <row r="153" spans="4:11">
      <c r="D153" s="370"/>
      <c r="J153" s="381"/>
    </row>
    <row r="154" spans="4:11">
      <c r="D154" s="370"/>
      <c r="J154" s="381"/>
      <c r="K154" s="381"/>
    </row>
    <row r="155" spans="4:11">
      <c r="D155" s="345"/>
      <c r="E155" s="381"/>
      <c r="F155" s="381"/>
      <c r="G155" s="381"/>
      <c r="H155" s="381"/>
      <c r="I155" s="381"/>
      <c r="K155" s="381"/>
    </row>
    <row r="156" spans="4:11">
      <c r="D156" s="370"/>
    </row>
    <row r="157" spans="4:11">
      <c r="D157" s="345"/>
      <c r="E157" s="381"/>
      <c r="F157" s="381"/>
      <c r="G157" s="381"/>
      <c r="H157" s="381"/>
      <c r="I157" s="381"/>
    </row>
    <row r="158" spans="4:11">
      <c r="D158" s="370"/>
      <c r="E158" s="381"/>
      <c r="F158" s="381"/>
      <c r="G158" s="381"/>
      <c r="H158" s="381"/>
      <c r="I158" s="381"/>
    </row>
    <row r="159" spans="4:11">
      <c r="D159" s="370"/>
    </row>
    <row r="160" spans="4:11">
      <c r="D160" s="370"/>
    </row>
    <row r="161" spans="4:11">
      <c r="D161" s="345"/>
      <c r="E161" s="381"/>
      <c r="F161" s="381"/>
      <c r="G161" s="381"/>
      <c r="H161" s="381"/>
      <c r="I161" s="381"/>
    </row>
    <row r="162" spans="4:11">
      <c r="D162" s="370"/>
      <c r="E162" s="381"/>
      <c r="F162" s="381"/>
      <c r="G162" s="381"/>
      <c r="H162" s="381"/>
      <c r="I162" s="381"/>
    </row>
    <row r="163" spans="4:11">
      <c r="D163" s="370"/>
    </row>
    <row r="164" spans="4:11">
      <c r="D164" s="345"/>
      <c r="E164" s="381"/>
      <c r="F164" s="381"/>
      <c r="G164" s="381"/>
      <c r="H164" s="381"/>
      <c r="I164" s="381"/>
    </row>
    <row r="165" spans="4:11">
      <c r="D165" s="370"/>
      <c r="J165" s="381"/>
    </row>
    <row r="166" spans="4:11">
      <c r="D166" s="370"/>
      <c r="J166" s="381"/>
      <c r="K166" s="381"/>
    </row>
    <row r="167" spans="4:11">
      <c r="D167" s="345"/>
      <c r="E167" s="381"/>
      <c r="F167" s="381"/>
      <c r="G167" s="381"/>
      <c r="H167" s="381"/>
      <c r="I167" s="381"/>
      <c r="K167" s="381"/>
    </row>
    <row r="168" spans="4:11">
      <c r="D168" s="370"/>
    </row>
    <row r="169" spans="4:11">
      <c r="D169" s="370"/>
      <c r="J169" s="381"/>
    </row>
    <row r="170" spans="4:11">
      <c r="D170" s="370"/>
      <c r="J170" s="381"/>
      <c r="K170" s="381"/>
    </row>
    <row r="171" spans="4:11">
      <c r="D171" s="345"/>
      <c r="E171" s="381"/>
      <c r="F171" s="381"/>
      <c r="G171" s="381"/>
      <c r="H171" s="381"/>
      <c r="I171" s="381"/>
      <c r="K171" s="381"/>
    </row>
    <row r="172" spans="4:11">
      <c r="D172" s="370"/>
    </row>
    <row r="173" spans="4:11">
      <c r="D173" s="370"/>
      <c r="E173" s="345"/>
      <c r="F173" s="345"/>
      <c r="G173" s="345"/>
      <c r="H173" s="345"/>
      <c r="I173" s="345"/>
      <c r="J173" s="381"/>
    </row>
    <row r="174" spans="4:11">
      <c r="D174" s="370"/>
      <c r="E174" s="345"/>
      <c r="F174" s="345"/>
      <c r="G174" s="345"/>
      <c r="H174" s="345"/>
      <c r="I174" s="345"/>
      <c r="K174" s="381"/>
    </row>
    <row r="175" spans="4:11">
      <c r="D175" s="370"/>
    </row>
    <row r="176" spans="4:11">
      <c r="D176" s="370"/>
    </row>
    <row r="177" spans="4:11">
      <c r="D177" s="370"/>
    </row>
    <row r="178" spans="4:11">
      <c r="D178" s="345"/>
      <c r="E178" s="381"/>
      <c r="F178" s="381"/>
      <c r="G178" s="381"/>
      <c r="H178" s="381"/>
      <c r="I178" s="381"/>
    </row>
    <row r="179" spans="4:11">
      <c r="D179" s="345"/>
      <c r="E179" s="381"/>
      <c r="F179" s="381"/>
      <c r="G179" s="381"/>
      <c r="H179" s="381"/>
      <c r="I179" s="381"/>
    </row>
    <row r="180" spans="4:11">
      <c r="D180" s="370"/>
      <c r="E180" s="381"/>
      <c r="F180" s="381"/>
      <c r="G180" s="381"/>
      <c r="H180" s="381"/>
      <c r="I180" s="381"/>
    </row>
    <row r="181" spans="4:11">
      <c r="D181" s="370"/>
      <c r="E181" s="381"/>
      <c r="F181" s="381"/>
      <c r="G181" s="381"/>
      <c r="H181" s="381"/>
      <c r="I181" s="381"/>
    </row>
    <row r="182" spans="4:11">
      <c r="D182" s="370"/>
    </row>
    <row r="183" spans="4:11">
      <c r="D183" s="345"/>
      <c r="E183" s="381"/>
      <c r="F183" s="381"/>
      <c r="G183" s="381"/>
      <c r="H183" s="381"/>
      <c r="I183" s="381"/>
    </row>
    <row r="184" spans="4:11">
      <c r="D184" s="370"/>
      <c r="E184" s="381"/>
      <c r="F184" s="381"/>
      <c r="G184" s="381"/>
      <c r="H184" s="381"/>
      <c r="I184" s="381"/>
    </row>
    <row r="185" spans="4:11">
      <c r="D185" s="370"/>
      <c r="E185" s="381"/>
      <c r="F185" s="381"/>
      <c r="G185" s="381"/>
      <c r="H185" s="381"/>
      <c r="I185" s="381"/>
    </row>
    <row r="186" spans="4:11">
      <c r="D186" s="370"/>
    </row>
    <row r="187" spans="4:11">
      <c r="D187" s="370"/>
    </row>
    <row r="188" spans="4:11">
      <c r="D188" s="370"/>
      <c r="J188" s="381"/>
    </row>
    <row r="189" spans="4:11">
      <c r="D189" s="370"/>
      <c r="J189" s="381"/>
      <c r="K189" s="381"/>
    </row>
    <row r="190" spans="4:11">
      <c r="D190" s="370"/>
      <c r="K190" s="381"/>
    </row>
    <row r="191" spans="4:11">
      <c r="D191" s="370"/>
      <c r="J191" s="381"/>
    </row>
    <row r="192" spans="4:11">
      <c r="D192" s="370"/>
      <c r="J192" s="381"/>
      <c r="K192" s="381"/>
    </row>
    <row r="193" spans="4:11">
      <c r="D193" s="370"/>
      <c r="J193" s="381"/>
      <c r="K193" s="381"/>
    </row>
    <row r="194" spans="4:11">
      <c r="D194" s="370"/>
      <c r="K194" s="381"/>
    </row>
    <row r="195" spans="4:11">
      <c r="D195" s="345"/>
      <c r="E195" s="381"/>
      <c r="F195" s="381"/>
      <c r="G195" s="381"/>
      <c r="H195" s="381"/>
      <c r="I195" s="381"/>
    </row>
    <row r="196" spans="4:11">
      <c r="D196" s="370"/>
      <c r="J196" s="381"/>
    </row>
    <row r="197" spans="4:11">
      <c r="D197" s="370"/>
      <c r="J197" s="381"/>
      <c r="K197" s="381"/>
    </row>
    <row r="198" spans="4:11">
      <c r="D198" s="345"/>
      <c r="E198" s="381"/>
      <c r="F198" s="381"/>
      <c r="G198" s="381"/>
      <c r="H198" s="381"/>
      <c r="I198" s="381"/>
      <c r="K198" s="381"/>
    </row>
    <row r="199" spans="4:11">
      <c r="D199" s="370"/>
    </row>
    <row r="200" spans="4:11">
      <c r="D200" s="345"/>
      <c r="E200" s="381"/>
      <c r="F200" s="381"/>
      <c r="G200" s="381"/>
      <c r="H200" s="381"/>
      <c r="I200" s="381"/>
    </row>
    <row r="201" spans="4:11">
      <c r="D201" s="370"/>
      <c r="E201" s="381"/>
      <c r="F201" s="381"/>
      <c r="G201" s="381"/>
      <c r="H201" s="381"/>
      <c r="I201" s="381"/>
    </row>
    <row r="202" spans="4:11">
      <c r="D202" s="370"/>
    </row>
    <row r="203" spans="4:11">
      <c r="D203" s="370"/>
    </row>
    <row r="204" spans="4:11">
      <c r="D204" s="345"/>
      <c r="E204" s="381"/>
      <c r="F204" s="381"/>
      <c r="G204" s="381"/>
      <c r="H204" s="381"/>
      <c r="I204" s="381"/>
    </row>
    <row r="205" spans="4:11">
      <c r="D205" s="370"/>
      <c r="E205" s="381"/>
      <c r="F205" s="381"/>
      <c r="G205" s="381"/>
      <c r="H205" s="381"/>
      <c r="I205" s="381"/>
    </row>
    <row r="206" spans="4:11">
      <c r="D206" s="370"/>
    </row>
    <row r="207" spans="4:11">
      <c r="D207" s="345"/>
      <c r="E207" s="381"/>
      <c r="F207" s="381"/>
      <c r="G207" s="381"/>
      <c r="H207" s="381"/>
      <c r="I207" s="381"/>
    </row>
    <row r="208" spans="4:11">
      <c r="D208" s="370"/>
      <c r="J208" s="381"/>
    </row>
    <row r="209" spans="4:11">
      <c r="D209" s="370"/>
      <c r="J209" s="381"/>
      <c r="K209" s="381"/>
    </row>
    <row r="210" spans="4:11">
      <c r="D210" s="345"/>
      <c r="E210" s="381"/>
      <c r="F210" s="381"/>
      <c r="G210" s="381"/>
      <c r="H210" s="381"/>
      <c r="I210" s="381"/>
      <c r="K210" s="381"/>
    </row>
    <row r="211" spans="4:11">
      <c r="D211" s="370"/>
    </row>
    <row r="212" spans="4:11">
      <c r="D212" s="370"/>
      <c r="J212" s="381"/>
    </row>
    <row r="213" spans="4:11">
      <c r="D213" s="370"/>
      <c r="J213" s="381"/>
      <c r="K213" s="381"/>
    </row>
    <row r="214" spans="4:11">
      <c r="D214" s="345"/>
      <c r="E214" s="381"/>
      <c r="F214" s="381"/>
      <c r="G214" s="381"/>
      <c r="H214" s="381"/>
      <c r="I214" s="381"/>
      <c r="K214" s="381"/>
    </row>
    <row r="215" spans="4:11">
      <c r="D215" s="370"/>
    </row>
    <row r="216" spans="4:11">
      <c r="D216" s="370"/>
      <c r="E216" s="345"/>
      <c r="F216" s="345"/>
      <c r="G216" s="345"/>
      <c r="H216" s="345"/>
      <c r="I216" s="345"/>
      <c r="J216" s="381"/>
    </row>
    <row r="217" spans="4:11">
      <c r="D217" s="370"/>
      <c r="E217" s="345"/>
      <c r="F217" s="345"/>
      <c r="G217" s="345"/>
      <c r="H217" s="345"/>
      <c r="I217" s="345"/>
      <c r="K217" s="381"/>
    </row>
    <row r="218" spans="4:11">
      <c r="D218" s="370"/>
    </row>
    <row r="219" spans="4:11">
      <c r="D219" s="370"/>
    </row>
    <row r="220" spans="4:11">
      <c r="D220" s="370"/>
    </row>
    <row r="221" spans="4:11">
      <c r="D221" s="345"/>
      <c r="E221" s="381"/>
      <c r="F221" s="381"/>
      <c r="G221" s="381"/>
      <c r="H221" s="381"/>
      <c r="I221" s="381"/>
    </row>
    <row r="222" spans="4:11">
      <c r="D222" s="345"/>
      <c r="E222" s="381"/>
      <c r="F222" s="381"/>
      <c r="G222" s="381"/>
      <c r="H222" s="381"/>
      <c r="I222" s="381"/>
    </row>
    <row r="223" spans="4:11">
      <c r="D223" s="370"/>
      <c r="E223" s="381"/>
      <c r="F223" s="381"/>
      <c r="G223" s="381"/>
      <c r="H223" s="381"/>
      <c r="I223" s="381"/>
    </row>
    <row r="224" spans="4:11">
      <c r="D224" s="370"/>
      <c r="E224" s="381"/>
      <c r="F224" s="381"/>
      <c r="G224" s="381"/>
      <c r="H224" s="381"/>
      <c r="I224" s="381"/>
    </row>
    <row r="225" spans="4:11">
      <c r="D225" s="370"/>
    </row>
    <row r="226" spans="4:11">
      <c r="D226" s="345"/>
      <c r="E226" s="381"/>
      <c r="F226" s="381"/>
      <c r="G226" s="381"/>
      <c r="H226" s="381"/>
      <c r="I226" s="381"/>
    </row>
    <row r="227" spans="4:11">
      <c r="D227" s="370"/>
      <c r="E227" s="381"/>
      <c r="F227" s="381"/>
      <c r="G227" s="381"/>
      <c r="H227" s="381"/>
      <c r="I227" s="381"/>
    </row>
    <row r="228" spans="4:11">
      <c r="D228" s="370"/>
      <c r="E228" s="381"/>
      <c r="F228" s="381"/>
      <c r="G228" s="381"/>
      <c r="H228" s="381"/>
      <c r="I228" s="381"/>
    </row>
    <row r="229" spans="4:11">
      <c r="D229" s="370"/>
    </row>
    <row r="230" spans="4:11">
      <c r="D230" s="370"/>
    </row>
    <row r="231" spans="4:11">
      <c r="D231" s="370"/>
      <c r="J231" s="381"/>
    </row>
    <row r="232" spans="4:11">
      <c r="D232" s="370"/>
      <c r="J232" s="381"/>
      <c r="K232" s="381"/>
    </row>
    <row r="233" spans="4:11">
      <c r="D233" s="370"/>
      <c r="K233" s="381"/>
    </row>
    <row r="234" spans="4:11">
      <c r="D234" s="370"/>
      <c r="J234" s="381"/>
    </row>
    <row r="235" spans="4:11">
      <c r="D235" s="370"/>
      <c r="J235" s="381"/>
      <c r="K235" s="381"/>
    </row>
    <row r="236" spans="4:11">
      <c r="D236" s="370"/>
      <c r="J236" s="381"/>
      <c r="K236" s="381"/>
    </row>
    <row r="237" spans="4:11">
      <c r="D237" s="370"/>
      <c r="K237" s="381"/>
    </row>
    <row r="238" spans="4:11">
      <c r="D238" s="345"/>
      <c r="E238" s="381"/>
      <c r="F238" s="381"/>
      <c r="G238" s="381"/>
      <c r="H238" s="381"/>
      <c r="I238" s="381"/>
    </row>
    <row r="239" spans="4:11">
      <c r="D239" s="370"/>
      <c r="J239" s="381"/>
    </row>
    <row r="240" spans="4:11">
      <c r="D240" s="370"/>
      <c r="J240" s="381"/>
      <c r="K240" s="381"/>
    </row>
    <row r="241" spans="4:11">
      <c r="D241" s="345"/>
      <c r="E241" s="381"/>
      <c r="F241" s="381"/>
      <c r="G241" s="381"/>
      <c r="H241" s="381"/>
      <c r="I241" s="381"/>
      <c r="K241" s="381"/>
    </row>
    <row r="242" spans="4:11">
      <c r="D242" s="370"/>
    </row>
    <row r="243" spans="4:11">
      <c r="D243" s="345"/>
      <c r="E243" s="381"/>
      <c r="F243" s="381"/>
      <c r="G243" s="381"/>
      <c r="H243" s="381"/>
      <c r="I243" s="381"/>
    </row>
    <row r="244" spans="4:11">
      <c r="D244" s="370"/>
      <c r="E244" s="381"/>
      <c r="F244" s="381"/>
      <c r="G244" s="381"/>
      <c r="H244" s="381"/>
      <c r="I244" s="381"/>
    </row>
    <row r="245" spans="4:11">
      <c r="D245" s="370"/>
    </row>
    <row r="246" spans="4:11">
      <c r="D246" s="370"/>
    </row>
    <row r="247" spans="4:11">
      <c r="D247" s="345"/>
      <c r="E247" s="381"/>
      <c r="F247" s="381"/>
      <c r="G247" s="381"/>
      <c r="H247" s="381"/>
      <c r="I247" s="381"/>
    </row>
    <row r="248" spans="4:11">
      <c r="D248" s="370"/>
      <c r="E248" s="381"/>
      <c r="F248" s="381"/>
      <c r="G248" s="381"/>
      <c r="H248" s="381"/>
      <c r="I248" s="381"/>
    </row>
    <row r="249" spans="4:11">
      <c r="D249" s="370"/>
    </row>
    <row r="250" spans="4:11">
      <c r="D250" s="345"/>
      <c r="E250" s="381"/>
      <c r="F250" s="381"/>
      <c r="G250" s="381"/>
      <c r="H250" s="381"/>
      <c r="I250" s="381"/>
    </row>
    <row r="251" spans="4:11">
      <c r="D251" s="370"/>
      <c r="J251" s="381"/>
    </row>
    <row r="252" spans="4:11">
      <c r="D252" s="370"/>
      <c r="J252" s="381"/>
      <c r="K252" s="381"/>
    </row>
    <row r="253" spans="4:11">
      <c r="D253" s="345"/>
      <c r="E253" s="381"/>
      <c r="F253" s="381"/>
      <c r="G253" s="381"/>
      <c r="H253" s="381"/>
      <c r="I253" s="381"/>
      <c r="K253" s="381"/>
    </row>
    <row r="254" spans="4:11">
      <c r="D254" s="370"/>
    </row>
    <row r="255" spans="4:11">
      <c r="D255" s="370"/>
      <c r="J255" s="381"/>
    </row>
    <row r="256" spans="4:11">
      <c r="D256" s="370"/>
      <c r="J256" s="381"/>
      <c r="K256" s="381"/>
    </row>
    <row r="257" spans="4:11">
      <c r="D257" s="345"/>
      <c r="E257" s="381"/>
      <c r="F257" s="381"/>
      <c r="G257" s="381"/>
      <c r="H257" s="381"/>
      <c r="I257" s="381"/>
      <c r="K257" s="381"/>
    </row>
    <row r="258" spans="4:11">
      <c r="D258" s="370"/>
    </row>
    <row r="259" spans="4:11">
      <c r="D259" s="370"/>
      <c r="E259" s="345"/>
      <c r="F259" s="345"/>
      <c r="G259" s="345"/>
      <c r="H259" s="345"/>
      <c r="I259" s="345"/>
      <c r="J259" s="381"/>
    </row>
    <row r="260" spans="4:11">
      <c r="D260" s="370"/>
      <c r="E260" s="345"/>
      <c r="F260" s="345"/>
      <c r="G260" s="345"/>
      <c r="H260" s="345"/>
      <c r="I260" s="345"/>
      <c r="K260" s="381"/>
    </row>
    <row r="261" spans="4:11">
      <c r="D261" s="370"/>
    </row>
    <row r="262" spans="4:11">
      <c r="D262" s="370"/>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sheetData>
  <phoneticPr fontId="26" type="noConversion"/>
  <pageMargins left="0.75" right="0.75" top="1" bottom="1" header="0.5" footer="0.5"/>
  <pageSetup scale="4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6">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405</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177</v>
      </c>
      <c r="K7" s="306"/>
      <c r="L7" s="265" t="str">
        <f>L5</f>
        <v>2023E</v>
      </c>
      <c r="M7" s="265" t="str">
        <f t="shared" ref="M7:P7" si="1">M5</f>
        <v>2024E</v>
      </c>
      <c r="N7" s="265" t="str">
        <f t="shared" si="1"/>
        <v>2025E</v>
      </c>
      <c r="O7" s="265" t="str">
        <f t="shared" si="1"/>
        <v>2026E</v>
      </c>
      <c r="P7" s="265" t="str">
        <f t="shared" si="1"/>
        <v>23E-26E</v>
      </c>
      <c r="T7" s="39"/>
      <c r="U7" s="39"/>
      <c r="V7" s="39"/>
    </row>
    <row r="8" spans="2:27" ht="12.6" thickTop="1">
      <c r="B8" s="5"/>
      <c r="C8" s="5"/>
      <c r="D8" s="5"/>
      <c r="E8" s="5"/>
      <c r="F8" s="5"/>
      <c r="G8" s="5"/>
      <c r="H8" s="5"/>
      <c r="I8" s="5"/>
      <c r="J8" s="5"/>
      <c r="K8" s="5"/>
      <c r="L8" s="5"/>
      <c r="M8" s="5"/>
      <c r="N8" s="5"/>
      <c r="S8" s="88"/>
      <c r="T8" s="88"/>
      <c r="U8" s="88"/>
      <c r="V8" s="88"/>
      <c r="W8" s="42"/>
      <c r="X8" s="42"/>
      <c r="Y8" s="42"/>
      <c r="Z8" s="42"/>
      <c r="AA8" s="42"/>
    </row>
    <row r="9" spans="2:27">
      <c r="B9" s="41" t="s">
        <v>116</v>
      </c>
      <c r="C9" s="267">
        <f>Prices!C40</f>
        <v>20.65</v>
      </c>
      <c r="D9" s="531">
        <v>0</v>
      </c>
      <c r="E9" s="532">
        <v>0</v>
      </c>
      <c r="F9" s="532">
        <v>0</v>
      </c>
      <c r="G9" s="532">
        <v>0</v>
      </c>
      <c r="H9" s="249"/>
      <c r="I9" s="249"/>
      <c r="J9" s="5" t="s">
        <v>268</v>
      </c>
      <c r="L9" s="525">
        <f>'US TELCO'!D37</f>
        <v>2.6968886837537913</v>
      </c>
      <c r="M9" s="525">
        <f>'US TELCO'!E37</f>
        <v>2.5146711450844865</v>
      </c>
      <c r="N9" s="525">
        <f>'US TELCO'!F37</f>
        <v>2.2999891851781435</v>
      </c>
      <c r="O9" s="525">
        <f>'US TELCO'!G37</f>
        <v>2.0949250903192609</v>
      </c>
      <c r="P9" s="18">
        <f>'US TELCO'!H37</f>
        <v>1.8592642260168768E-2</v>
      </c>
      <c r="S9" s="88"/>
      <c r="T9" s="42"/>
      <c r="U9" s="42"/>
      <c r="V9" s="42"/>
      <c r="W9" s="42"/>
      <c r="X9" s="42"/>
      <c r="Y9" s="42"/>
      <c r="Z9" s="42"/>
      <c r="AA9" s="42"/>
    </row>
    <row r="10" spans="2:27">
      <c r="B10" s="5" t="s">
        <v>269</v>
      </c>
      <c r="C10" s="5"/>
      <c r="D10" s="529">
        <v>7186.5</v>
      </c>
      <c r="E10" s="529">
        <v>7191</v>
      </c>
      <c r="F10" s="529">
        <v>7191</v>
      </c>
      <c r="G10" s="529">
        <v>7191</v>
      </c>
      <c r="H10" s="247"/>
      <c r="I10" s="247"/>
      <c r="J10" s="5" t="s">
        <v>180</v>
      </c>
      <c r="L10" s="525">
        <f>'US TELCO'!D38</f>
        <v>7.5103910335065676</v>
      </c>
      <c r="M10" s="525">
        <f>'US TELCO'!E38</f>
        <v>6.8358730386328723</v>
      </c>
      <c r="N10" s="525">
        <f>'US TELCO'!F38</f>
        <v>6.2046381864839537</v>
      </c>
      <c r="O10" s="525">
        <f>'US TELCO'!G38</f>
        <v>5.6229208951465788</v>
      </c>
      <c r="P10" s="18">
        <f>'US TELCO'!H38</f>
        <v>3.1183334923203576E-2</v>
      </c>
      <c r="S10" s="88"/>
      <c r="T10" s="42"/>
      <c r="U10" s="42"/>
      <c r="V10" s="42"/>
      <c r="W10" s="288"/>
      <c r="X10" s="288"/>
      <c r="Y10" s="288"/>
      <c r="Z10" s="288"/>
      <c r="AA10" s="42"/>
    </row>
    <row r="11" spans="2:27">
      <c r="B11" s="41" t="s">
        <v>270</v>
      </c>
      <c r="C11" s="5"/>
      <c r="D11" s="528">
        <f>$C$9*$D10</f>
        <v>148401.22499999998</v>
      </c>
      <c r="E11" s="528">
        <f>$C$9*$E10</f>
        <v>148494.15</v>
      </c>
      <c r="F11" s="528">
        <f>$C$9*$F10</f>
        <v>148494.15</v>
      </c>
      <c r="G11" s="528">
        <f>$C$9*$G10</f>
        <v>148494.15</v>
      </c>
      <c r="H11" s="249"/>
      <c r="I11" s="249"/>
      <c r="J11" s="5" t="s">
        <v>181</v>
      </c>
      <c r="L11" s="525">
        <f>'US TELCO'!D39</f>
        <v>13.261738384106318</v>
      </c>
      <c r="M11" s="525">
        <f>'US TELCO'!E39</f>
        <v>11.062571352627396</v>
      </c>
      <c r="N11" s="525">
        <f>'US TELCO'!F39</f>
        <v>9.820261878240153</v>
      </c>
      <c r="O11" s="525">
        <f>'US TELCO'!G39</f>
        <v>8.7783728274098998</v>
      </c>
      <c r="P11" s="18">
        <f>'US TELCO'!H39</f>
        <v>7.4396303115465079E-2</v>
      </c>
      <c r="S11" s="88"/>
      <c r="T11" s="42"/>
      <c r="U11" s="42"/>
      <c r="V11" s="42"/>
      <c r="W11" s="288"/>
      <c r="X11" s="288"/>
      <c r="Y11" s="288"/>
      <c r="Z11" s="288"/>
      <c r="AA11" s="42"/>
    </row>
    <row r="12" spans="2:27">
      <c r="B12" s="5" t="s">
        <v>24</v>
      </c>
      <c r="C12" s="249"/>
      <c r="D12" s="529">
        <v>130609</v>
      </c>
      <c r="E12" s="529">
        <v>121262.60842952378</v>
      </c>
      <c r="F12" s="529">
        <v>111914.58475733301</v>
      </c>
      <c r="G12" s="529">
        <v>102017.65874716072</v>
      </c>
      <c r="H12" s="247"/>
      <c r="I12" s="247"/>
      <c r="J12" s="5" t="s">
        <v>461</v>
      </c>
      <c r="L12" s="525">
        <f>'US TELCO'!D40</f>
        <v>19.214894465576968</v>
      </c>
      <c r="M12" s="525">
        <f>'US TELCO'!E40</f>
        <v>16.71537636399913</v>
      </c>
      <c r="N12" s="525">
        <f>'US TELCO'!F40</f>
        <v>14.808303046381596</v>
      </c>
      <c r="O12" s="525">
        <f>'US TELCO'!G40</f>
        <v>13.077466088113542</v>
      </c>
      <c r="P12" s="18">
        <f>'US TELCO'!H40</f>
        <v>6.4487323949837583E-2</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'US TELCO'!D41</f>
        <v>1.3850697361796853</v>
      </c>
      <c r="M13" s="525">
        <f>'US TELCO'!E41</f>
        <v>1.725261392221999</v>
      </c>
      <c r="N13" s="525">
        <f>'US TELCO'!F41</f>
        <v>1.6455244527361086</v>
      </c>
      <c r="O13" s="525">
        <f>'US TELCO'!G41</f>
        <v>1.56576442945581</v>
      </c>
      <c r="P13" s="18">
        <f>'US TELCO'!H41</f>
        <v>-0.10115646387707644</v>
      </c>
      <c r="S13" s="88"/>
      <c r="T13" s="42"/>
      <c r="U13" s="42"/>
      <c r="V13" s="42"/>
      <c r="W13" s="42"/>
      <c r="X13" s="42"/>
      <c r="Y13" s="42"/>
      <c r="Z13" s="42"/>
      <c r="AA13" s="42"/>
    </row>
    <row r="14" spans="2:27">
      <c r="B14" s="5" t="s">
        <v>527</v>
      </c>
      <c r="C14" s="257"/>
      <c r="D14" s="529">
        <v>11900</v>
      </c>
      <c r="E14" s="529">
        <v>11900</v>
      </c>
      <c r="F14" s="529">
        <v>11900</v>
      </c>
      <c r="G14" s="529">
        <v>11900</v>
      </c>
      <c r="H14" s="247"/>
      <c r="I14" s="247"/>
      <c r="J14" s="5" t="s">
        <v>588</v>
      </c>
      <c r="L14" s="525">
        <f>'US TELCO'!D42</f>
        <v>3.4632866380030749</v>
      </c>
      <c r="M14" s="525">
        <f>'US TELCO'!E42</f>
        <v>3.3126311431167741</v>
      </c>
      <c r="N14" s="525">
        <f>'US TELCO'!F42</f>
        <v>3.1324767196320553</v>
      </c>
      <c r="O14" s="525">
        <f>'US TELCO'!G42</f>
        <v>2.9507296796827212</v>
      </c>
      <c r="P14" s="18">
        <f>'US TELCO'!H42</f>
        <v>-1.2306873951881125E-2</v>
      </c>
      <c r="S14" s="88"/>
      <c r="T14" s="42"/>
      <c r="U14" s="42"/>
      <c r="V14" s="42"/>
      <c r="W14" s="42"/>
      <c r="X14" s="42"/>
      <c r="Y14" s="42"/>
      <c r="Z14" s="42"/>
      <c r="AA14" s="42"/>
    </row>
    <row r="15" spans="2:27">
      <c r="B15" s="5" t="s">
        <v>526</v>
      </c>
      <c r="C15" s="274"/>
      <c r="D15" s="529">
        <v>21218</v>
      </c>
      <c r="E15" s="529">
        <v>21218</v>
      </c>
      <c r="F15" s="529">
        <v>21218</v>
      </c>
      <c r="G15" s="529">
        <v>21218</v>
      </c>
      <c r="H15" s="247"/>
      <c r="I15" s="247"/>
      <c r="J15" s="5" t="s">
        <v>470</v>
      </c>
      <c r="L15" s="525">
        <f>'US TELCO'!D43</f>
        <v>13.364053634891468</v>
      </c>
      <c r="M15" s="525">
        <f>'US TELCO'!E43</f>
        <v>15.472348569319676</v>
      </c>
      <c r="N15" s="525">
        <f>'US TELCO'!F43</f>
        <v>14.099378857291484</v>
      </c>
      <c r="O15" s="525">
        <f>'US TELCO'!G43</f>
        <v>12.972992171971411</v>
      </c>
      <c r="P15" s="18">
        <f>'US TELCO'!H43</f>
        <v>-2.422411565871474E-2</v>
      </c>
      <c r="S15" s="88"/>
      <c r="T15" s="42"/>
      <c r="U15" s="42"/>
      <c r="V15" s="42"/>
      <c r="W15" s="42"/>
      <c r="X15" s="42"/>
      <c r="Y15" s="42"/>
      <c r="Z15" s="42"/>
      <c r="AA15" s="42"/>
    </row>
    <row r="16" spans="2:27">
      <c r="B16" s="5" t="s">
        <v>529</v>
      </c>
      <c r="C16" s="257"/>
      <c r="D16" s="529">
        <v>8136</v>
      </c>
      <c r="E16" s="529">
        <v>16278.5</v>
      </c>
      <c r="F16" s="529">
        <v>24421</v>
      </c>
      <c r="G16" s="529">
        <v>32563.5</v>
      </c>
      <c r="H16" s="247"/>
      <c r="I16" s="247"/>
      <c r="J16" s="5" t="s">
        <v>528</v>
      </c>
      <c r="L16" s="525">
        <f>'US TELCO'!D44</f>
        <v>12.896141683059501</v>
      </c>
      <c r="M16" s="525">
        <f>'US TELCO'!E44</f>
        <v>12.533526105398932</v>
      </c>
      <c r="N16" s="525">
        <f>'US TELCO'!F44</f>
        <v>11.378316950649831</v>
      </c>
      <c r="O16" s="525">
        <f>'US TELCO'!G44</f>
        <v>10.34083266993402</v>
      </c>
      <c r="P16" s="18">
        <f>'US TELCO'!H44</f>
        <v>3.9965241834319487E-2</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18">
        <f>'US TELCO'!D45</f>
        <v>3.3675032319345051E-2</v>
      </c>
      <c r="M17" s="18">
        <f>'US TELCO'!E45</f>
        <v>3.9091509797068692E-2</v>
      </c>
      <c r="N17" s="18">
        <f>'US TELCO'!F45</f>
        <v>4.1026830051589948E-2</v>
      </c>
      <c r="O17" s="18">
        <f>'US TELCO'!G45</f>
        <v>4.3249954546806017E-2</v>
      </c>
      <c r="P17" s="18">
        <f>'US TELCO'!H45</f>
        <v>5.0211107719274395E-2</v>
      </c>
      <c r="S17" s="88"/>
      <c r="T17" s="42"/>
      <c r="U17" s="42"/>
      <c r="V17" s="42"/>
      <c r="W17" s="42"/>
      <c r="X17" s="42"/>
      <c r="Y17" s="42"/>
      <c r="Z17" s="42"/>
      <c r="AA17" s="42"/>
    </row>
    <row r="18" spans="2:27" ht="12.6" thickBot="1">
      <c r="B18" s="41" t="s">
        <v>578</v>
      </c>
      <c r="C18" s="249"/>
      <c r="D18" s="530">
        <f>D11+D12+D13-D14+D15-D16-D17</f>
        <v>280192.22499999998</v>
      </c>
      <c r="E18" s="530">
        <f>E11+E12+E13-E14+E15-E16-E17</f>
        <v>262796.25842952379</v>
      </c>
      <c r="F18" s="530">
        <f>F11+F12+F13-F14+F15-F16-F17</f>
        <v>245305.734757333</v>
      </c>
      <c r="G18" s="530">
        <f>G11+G12+G13-G14+G15-G16-G17</f>
        <v>227266.30874716071</v>
      </c>
      <c r="H18" s="276">
        <f>IF(D18=0,"nm",IF(G18=0,"nm",(G18/D18)^(1/3)-1))</f>
        <v>-6.7405193171882316E-2</v>
      </c>
      <c r="I18" s="254"/>
      <c r="J18" s="5" t="s">
        <v>36</v>
      </c>
      <c r="L18" s="18">
        <f>'US TELCO'!D46</f>
        <v>5.5790130397661161E-2</v>
      </c>
      <c r="M18" s="18">
        <f>'US TELCO'!E46</f>
        <v>6.9421862290742001E-2</v>
      </c>
      <c r="N18" s="18">
        <f>'US TELCO'!F46</f>
        <v>7.517472335732614E-2</v>
      </c>
      <c r="O18" s="18">
        <f>'US TELCO'!G46</f>
        <v>8.2720474238291056E-2</v>
      </c>
      <c r="P18" s="18">
        <f>'US TELCO'!H46</f>
        <v>0.10171503351667854</v>
      </c>
      <c r="S18" s="88"/>
      <c r="T18" s="42"/>
      <c r="U18" s="42"/>
      <c r="V18" s="42"/>
      <c r="W18" s="42"/>
      <c r="X18" s="42"/>
      <c r="Y18" s="42"/>
      <c r="Z18" s="42"/>
      <c r="AA18" s="42"/>
    </row>
    <row r="19" spans="2:27" ht="12.6" thickTop="1">
      <c r="B19" s="41"/>
      <c r="C19" s="249"/>
      <c r="D19" s="229"/>
      <c r="E19" s="229"/>
      <c r="F19" s="229"/>
      <c r="G19" s="229"/>
      <c r="H19" s="276"/>
      <c r="I19" s="254"/>
      <c r="J19" s="5" t="s">
        <v>576</v>
      </c>
      <c r="L19" s="18">
        <f>'US TELCO'!D47</f>
        <v>7.4827595527539287E-2</v>
      </c>
      <c r="M19" s="18">
        <f>'US TELCO'!E47</f>
        <v>6.4631429127890327E-2</v>
      </c>
      <c r="N19" s="18">
        <f>'US TELCO'!F47</f>
        <v>7.0925110256389118E-2</v>
      </c>
      <c r="O19" s="18">
        <f>'US TELCO'!G47</f>
        <v>7.7083219256119953E-2</v>
      </c>
      <c r="P19" s="18">
        <f>'US TELCO'!H47</f>
        <v>-2.422411565871474E-2</v>
      </c>
      <c r="S19" s="88"/>
      <c r="T19" s="42"/>
      <c r="U19" s="42"/>
      <c r="V19" s="42"/>
      <c r="W19" s="42"/>
      <c r="X19" s="42"/>
      <c r="Y19" s="42"/>
      <c r="Z19" s="42"/>
      <c r="AA19" s="42"/>
    </row>
    <row r="20" spans="2:27">
      <c r="H20" s="277"/>
      <c r="I20" s="17"/>
      <c r="J20" s="5" t="s">
        <v>599</v>
      </c>
      <c r="L20" s="548">
        <f>'US TELCO'!D48</f>
        <v>0.45003493807243083</v>
      </c>
      <c r="M20" s="548">
        <f>'US TELCO'!E48</f>
        <v>0.60483746568122188</v>
      </c>
      <c r="N20" s="548">
        <f>'US TELCO'!F48</f>
        <v>0.57845282021107813</v>
      </c>
      <c r="O20" s="548">
        <f>'US TELCO'!G48</f>
        <v>0.56108132177383385</v>
      </c>
      <c r="P20" s="18" t="str">
        <f>'US TELCO'!H48</f>
        <v>nm</v>
      </c>
      <c r="S20" s="88"/>
      <c r="T20" s="42"/>
      <c r="U20" s="42"/>
      <c r="V20" s="42"/>
      <c r="W20" s="42"/>
      <c r="X20" s="42"/>
      <c r="Y20" s="42"/>
      <c r="Z20" s="42"/>
      <c r="AA20" s="42"/>
    </row>
    <row r="21" spans="2:27" ht="12.6" thickBot="1">
      <c r="B21" s="306" t="s">
        <v>919</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120741</v>
      </c>
      <c r="D23" s="529">
        <v>122428</v>
      </c>
      <c r="E23" s="529">
        <v>122554.06372904303</v>
      </c>
      <c r="F23" s="529">
        <v>123678.32064644351</v>
      </c>
      <c r="G23" s="529">
        <v>125103.1919342539</v>
      </c>
      <c r="H23" s="279">
        <f t="shared" ref="H23:H32" si="3">IF(D23=0,"nm",IF(G23=0,"nm",(G23/D23)^(1/3)-1))</f>
        <v>7.2312971710009055E-3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41465</v>
      </c>
      <c r="D24" s="529">
        <v>43400</v>
      </c>
      <c r="E24" s="529">
        <v>44679.549365863008</v>
      </c>
      <c r="F24" s="529">
        <v>45425.078249554397</v>
      </c>
      <c r="G24" s="529">
        <v>45967.344249986141</v>
      </c>
      <c r="H24" s="279">
        <f t="shared" si="3"/>
        <v>1.9341943051038646E-2</v>
      </c>
      <c r="I24" s="249"/>
      <c r="J24" s="17"/>
      <c r="K24" s="17"/>
      <c r="L24" s="17"/>
      <c r="M24" s="17"/>
      <c r="N24" s="17"/>
      <c r="O24" s="248"/>
      <c r="S24" s="88"/>
      <c r="T24" s="42"/>
      <c r="U24" s="42"/>
      <c r="V24" s="42"/>
      <c r="W24" s="42" t="s">
        <v>405</v>
      </c>
      <c r="X24" s="42" t="s">
        <v>257</v>
      </c>
      <c r="Y24" s="42"/>
      <c r="Z24" s="42"/>
      <c r="AA24" s="42"/>
    </row>
    <row r="25" spans="2:27">
      <c r="B25" s="5" t="s">
        <v>179</v>
      </c>
      <c r="C25" s="544">
        <v>17142</v>
      </c>
      <c r="D25" s="529">
        <v>19805</v>
      </c>
      <c r="E25" s="529">
        <v>23179.549365863008</v>
      </c>
      <c r="F25" s="529">
        <v>24425.078249554397</v>
      </c>
      <c r="G25" s="529">
        <v>24967.344249986141</v>
      </c>
      <c r="H25" s="279">
        <f t="shared" si="3"/>
        <v>8.0270461008097538E-2</v>
      </c>
      <c r="I25" s="248"/>
      <c r="J25" s="247" t="s">
        <v>10</v>
      </c>
      <c r="K25" s="247"/>
      <c r="L25" s="321">
        <v>0</v>
      </c>
      <c r="M25" s="321">
        <v>0</v>
      </c>
      <c r="N25" s="321">
        <v>0</v>
      </c>
      <c r="O25" s="321">
        <v>0</v>
      </c>
      <c r="P25" s="279" t="str">
        <f>IF(L25=0,"nm",IF(O25=0,"nm",(O25/L25)^(1/3)-1))</f>
        <v>nm</v>
      </c>
      <c r="S25" s="88"/>
      <c r="T25" s="42"/>
      <c r="U25" s="42"/>
      <c r="V25" s="147" t="s">
        <v>268</v>
      </c>
      <c r="W25" s="288">
        <f t="shared" ref="W25:W33" si="5">D37/L9</f>
        <v>0.84861812663019986</v>
      </c>
      <c r="X25" s="288">
        <v>1</v>
      </c>
      <c r="Y25" s="42"/>
      <c r="Z25" s="42"/>
      <c r="AA25" s="42"/>
    </row>
    <row r="26" spans="2:27">
      <c r="B26" s="5" t="s">
        <v>581</v>
      </c>
      <c r="C26" s="544">
        <v>11489</v>
      </c>
      <c r="D26" s="529">
        <v>14719</v>
      </c>
      <c r="E26" s="529">
        <v>15875.891570476233</v>
      </c>
      <c r="F26" s="529">
        <v>16277.523672190764</v>
      </c>
      <c r="G26" s="529">
        <v>17059.164627372957</v>
      </c>
      <c r="H26" s="279">
        <f t="shared" si="3"/>
        <v>5.0412347837009097E-2</v>
      </c>
      <c r="I26" s="249"/>
      <c r="J26" s="249" t="s">
        <v>11</v>
      </c>
      <c r="K26" s="249"/>
      <c r="L26" s="281">
        <f>D11+L25</f>
        <v>148401.22499999998</v>
      </c>
      <c r="M26" s="281">
        <f>E11+M25</f>
        <v>148494.15</v>
      </c>
      <c r="N26" s="281">
        <f>F11+N25</f>
        <v>148494.15</v>
      </c>
      <c r="O26" s="281">
        <f>G11+O25</f>
        <v>148494.15</v>
      </c>
      <c r="P26" s="279">
        <f>IF(L26=0,"nm",IF(O26=0,"nm",(O26/L26)^(1/3)-1))</f>
        <v>2.0868114128314019E-4</v>
      </c>
      <c r="Q26" s="5"/>
      <c r="S26" s="88"/>
      <c r="T26" s="42"/>
      <c r="U26" s="42"/>
      <c r="V26" s="147" t="s">
        <v>180</v>
      </c>
      <c r="W26" s="288">
        <f t="shared" si="5"/>
        <v>0.85961463549481076</v>
      </c>
      <c r="X26" s="288">
        <v>1</v>
      </c>
      <c r="Y26" s="42"/>
      <c r="Z26" s="42"/>
      <c r="AA26" s="42"/>
    </row>
    <row r="27" spans="2:27">
      <c r="B27" s="5" t="s">
        <v>582</v>
      </c>
      <c r="C27" s="545">
        <v>229689</v>
      </c>
      <c r="D27" s="529">
        <v>233906</v>
      </c>
      <c r="E27" s="529">
        <v>235102.89870323747</v>
      </c>
      <c r="F27" s="529">
        <v>235301.35339339433</v>
      </c>
      <c r="G27" s="529">
        <v>235788.97618306158</v>
      </c>
      <c r="H27" s="279">
        <f t="shared" si="3"/>
        <v>2.6762116959775373E-3</v>
      </c>
      <c r="I27" s="249"/>
      <c r="J27" s="248"/>
      <c r="K27" s="248"/>
      <c r="L27" s="248"/>
      <c r="M27" s="248"/>
      <c r="N27" s="248"/>
      <c r="O27" s="248"/>
      <c r="Q27" s="41"/>
      <c r="S27" s="88"/>
      <c r="T27" s="42"/>
      <c r="U27" s="42"/>
      <c r="V27" s="147" t="s">
        <v>181</v>
      </c>
      <c r="W27" s="288">
        <f t="shared" si="5"/>
        <v>1.0667945220591493</v>
      </c>
      <c r="X27" s="288">
        <v>1</v>
      </c>
      <c r="Y27" s="42"/>
      <c r="Z27" s="42"/>
      <c r="AA27" s="42"/>
    </row>
    <row r="28" spans="2:27" ht="12.6" thickBot="1">
      <c r="B28" s="5" t="s">
        <v>587</v>
      </c>
      <c r="C28" s="544">
        <v>127445</v>
      </c>
      <c r="D28" s="529">
        <v>128489</v>
      </c>
      <c r="E28" s="529">
        <v>130395.3596505075</v>
      </c>
      <c r="F28" s="529">
        <v>131205.13473654966</v>
      </c>
      <c r="G28" s="529">
        <v>131829.54772912303</v>
      </c>
      <c r="H28" s="279">
        <f t="shared" si="3"/>
        <v>8.5921980087044769E-3</v>
      </c>
      <c r="I28" s="248"/>
      <c r="J28" s="306" t="s">
        <v>1352</v>
      </c>
      <c r="K28" s="306"/>
      <c r="L28" s="306"/>
      <c r="M28" s="306"/>
      <c r="N28" s="266"/>
      <c r="O28" s="266"/>
      <c r="P28" s="266"/>
      <c r="Q28" s="5"/>
      <c r="S28" s="88"/>
      <c r="T28" s="42"/>
      <c r="U28" s="42"/>
      <c r="V28" s="147" t="s">
        <v>461</v>
      </c>
      <c r="W28" s="288">
        <f t="shared" si="5"/>
        <v>0.99069454379962918</v>
      </c>
      <c r="X28" s="288">
        <v>1</v>
      </c>
      <c r="Y28" s="42"/>
      <c r="Z28" s="42"/>
      <c r="AA28" s="42"/>
    </row>
    <row r="29" spans="2:27" ht="12.6" thickTop="1">
      <c r="B29" s="5" t="s">
        <v>583</v>
      </c>
      <c r="C29" s="544">
        <v>11936.400153524693</v>
      </c>
      <c r="D29" s="529">
        <v>12480.550695977327</v>
      </c>
      <c r="E29" s="529">
        <v>14264.64095751493</v>
      </c>
      <c r="F29" s="529">
        <v>15363.648469342021</v>
      </c>
      <c r="G29" s="529">
        <v>16223.944095304665</v>
      </c>
      <c r="H29" s="279">
        <f t="shared" si="3"/>
        <v>9.1375576939584535E-2</v>
      </c>
      <c r="I29" s="252"/>
      <c r="J29" s="249"/>
      <c r="K29" s="249"/>
      <c r="L29" s="249"/>
      <c r="M29" s="249"/>
      <c r="N29" s="249"/>
      <c r="O29" s="251"/>
      <c r="Q29" s="5"/>
      <c r="S29" s="88"/>
      <c r="T29" s="42"/>
      <c r="U29" s="42"/>
      <c r="V29" s="147" t="s">
        <v>525</v>
      </c>
      <c r="W29" s="288">
        <f t="shared" si="5"/>
        <v>0.86485455631843311</v>
      </c>
      <c r="X29" s="288">
        <v>1</v>
      </c>
      <c r="Y29" s="42"/>
      <c r="Z29" s="42"/>
      <c r="AA29" s="42"/>
    </row>
    <row r="30" spans="2:27">
      <c r="B30" s="5" t="s">
        <v>584</v>
      </c>
      <c r="C30" s="545">
        <v>18314.40015352469</v>
      </c>
      <c r="D30" s="529">
        <v>17374.550695977327</v>
      </c>
      <c r="E30" s="529">
        <v>16171.000608022408</v>
      </c>
      <c r="F30" s="529">
        <v>16173.423555384203</v>
      </c>
      <c r="G30" s="529">
        <v>16848.357087878037</v>
      </c>
      <c r="H30" s="279">
        <f t="shared" si="3"/>
        <v>-1.0198763626019569E-2</v>
      </c>
      <c r="I30" s="254"/>
      <c r="J30" s="248"/>
      <c r="K30" s="248"/>
      <c r="L30" s="248"/>
      <c r="M30" s="248"/>
      <c r="N30" s="248"/>
      <c r="O30" s="5"/>
      <c r="Q30" s="5"/>
      <c r="S30" s="88"/>
      <c r="T30" s="42"/>
      <c r="U30" s="42"/>
      <c r="V30" s="147" t="s">
        <v>588</v>
      </c>
      <c r="W30" s="288">
        <f t="shared" si="5"/>
        <v>0.62965360404612081</v>
      </c>
      <c r="X30" s="288">
        <v>1</v>
      </c>
      <c r="Y30" s="42"/>
      <c r="Z30" s="42"/>
      <c r="AA30" s="42"/>
    </row>
    <row r="31" spans="2:27">
      <c r="B31" s="5" t="s">
        <v>585</v>
      </c>
      <c r="C31" s="545">
        <v>9863</v>
      </c>
      <c r="D31" s="529">
        <v>8136</v>
      </c>
      <c r="E31" s="529">
        <v>8142.5000000000009</v>
      </c>
      <c r="F31" s="529">
        <v>8142.5000000000009</v>
      </c>
      <c r="G31" s="529">
        <v>8142.5000000000009</v>
      </c>
      <c r="H31" s="279">
        <f t="shared" si="3"/>
        <v>2.6623524164381962E-4</v>
      </c>
      <c r="I31" s="254"/>
      <c r="J31" s="252"/>
      <c r="K31" s="252"/>
      <c r="L31" s="252"/>
      <c r="M31" s="252"/>
      <c r="N31" s="252"/>
      <c r="O31" s="5"/>
      <c r="Q31" s="5"/>
      <c r="S31" s="88"/>
      <c r="T31" s="42"/>
      <c r="U31" s="42"/>
      <c r="V31" s="147" t="s">
        <v>470</v>
      </c>
      <c r="W31" s="288">
        <f t="shared" si="5"/>
        <v>0.8897449407958018</v>
      </c>
      <c r="X31" s="288">
        <v>1</v>
      </c>
      <c r="Y31" s="42"/>
      <c r="Z31" s="42"/>
      <c r="AA31" s="42"/>
    </row>
    <row r="32" spans="2:27">
      <c r="B32" s="5" t="s">
        <v>601</v>
      </c>
      <c r="C32" s="546">
        <v>0</v>
      </c>
      <c r="D32" s="529">
        <v>0</v>
      </c>
      <c r="E32" s="529">
        <v>-0.46509761968440755</v>
      </c>
      <c r="F32" s="529">
        <v>0</v>
      </c>
      <c r="G32" s="529">
        <v>0</v>
      </c>
      <c r="H32" s="279" t="str">
        <f t="shared" si="3"/>
        <v>nm</v>
      </c>
      <c r="I32" s="254"/>
      <c r="J32" s="254"/>
      <c r="K32" s="254"/>
      <c r="L32" s="254"/>
      <c r="M32" s="254"/>
      <c r="N32" s="254"/>
      <c r="O32" s="251"/>
      <c r="Q32" s="5"/>
      <c r="S32" s="88"/>
      <c r="T32" s="42"/>
      <c r="U32" s="42"/>
      <c r="V32" s="147" t="s">
        <v>528</v>
      </c>
      <c r="W32" s="288">
        <f t="shared" si="5"/>
        <v>0.66231426259975101</v>
      </c>
      <c r="X32" s="288">
        <v>1</v>
      </c>
      <c r="Y32" s="42"/>
      <c r="Z32" s="42"/>
      <c r="AA32" s="42"/>
    </row>
    <row r="33" spans="2:27">
      <c r="B33" s="5" t="s">
        <v>5</v>
      </c>
      <c r="C33" s="545">
        <v>6108</v>
      </c>
      <c r="D33" s="529">
        <v>6704</v>
      </c>
      <c r="E33" s="529">
        <v>6991.3353824999995</v>
      </c>
      <c r="F33" s="529">
        <v>6473.0000937500008</v>
      </c>
      <c r="G33" s="529">
        <v>5745.9179000000004</v>
      </c>
      <c r="H33" s="279">
        <f>IF(D33=0,"nm",IF(G33=0,"nm",(G33/D33)^(1/3)-1))</f>
        <v>-5.0106016542185494E-2</v>
      </c>
      <c r="I33" s="5"/>
      <c r="J33" s="254"/>
      <c r="K33" s="254"/>
      <c r="L33" s="254"/>
      <c r="M33" s="254"/>
      <c r="N33" s="254"/>
      <c r="O33" s="251"/>
      <c r="Q33" s="5"/>
      <c r="S33" s="88"/>
      <c r="T33" s="42"/>
      <c r="U33" s="42"/>
      <c r="V33" s="147" t="s">
        <v>575</v>
      </c>
      <c r="W33" s="288">
        <f t="shared" si="5"/>
        <v>1.6280413561093225</v>
      </c>
      <c r="X33" s="288">
        <v>1</v>
      </c>
      <c r="Y33" s="42"/>
      <c r="Z33" s="42"/>
      <c r="AA33" s="42"/>
    </row>
    <row r="34" spans="2:27">
      <c r="D34" s="5"/>
      <c r="E34" s="5"/>
      <c r="F34" s="5"/>
      <c r="G34" s="5"/>
      <c r="H34" s="277"/>
      <c r="I34" s="49"/>
      <c r="J34" s="254"/>
      <c r="K34" s="254"/>
      <c r="L34" s="254"/>
      <c r="M34" s="254"/>
      <c r="N34" s="254"/>
      <c r="O34" s="251"/>
      <c r="Q34" s="5"/>
      <c r="S34" s="88"/>
      <c r="T34" s="42"/>
      <c r="U34" s="42"/>
      <c r="V34" s="147" t="s">
        <v>576</v>
      </c>
      <c r="W34" s="288">
        <f>D47/L19</f>
        <v>1.1239176017180659</v>
      </c>
      <c r="X34" s="288">
        <v>1</v>
      </c>
      <c r="Y34" s="288"/>
      <c r="Z34" s="288"/>
      <c r="AA34" s="42"/>
    </row>
    <row r="35" spans="2:27" ht="12.6" thickBot="1">
      <c r="B35" s="306" t="s">
        <v>639</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2.288628622537328</v>
      </c>
      <c r="E37" s="525">
        <f t="shared" ref="E37:G41" si="7">E$18/E23</f>
        <v>2.1443292081325409</v>
      </c>
      <c r="F37" s="525">
        <f t="shared" si="7"/>
        <v>1.9834174128106341</v>
      </c>
      <c r="G37" s="525">
        <f t="shared" si="7"/>
        <v>1.8166307768277974</v>
      </c>
      <c r="H37" s="17">
        <f t="shared" ref="H37:H45" si="8">H23</f>
        <v>7.2312971710009055E-3</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6.4560420506912433</v>
      </c>
      <c r="E38" s="525">
        <f>E$18/E24</f>
        <v>5.8818019017512926</v>
      </c>
      <c r="F38" s="525">
        <f>F$18/F24</f>
        <v>5.4002270157837176</v>
      </c>
      <c r="G38" s="525">
        <f t="shared" si="7"/>
        <v>4.9440817705545221</v>
      </c>
      <c r="H38" s="17">
        <f t="shared" si="8"/>
        <v>1.9341943051038646E-2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14.147549861146175</v>
      </c>
      <c r="E39" s="525">
        <f t="shared" si="7"/>
        <v>11.337418785912602</v>
      </c>
      <c r="F39" s="525">
        <f>F$18/F25</f>
        <v>10.043191356482483</v>
      </c>
      <c r="G39" s="525">
        <f t="shared" si="7"/>
        <v>9.1025423638033462</v>
      </c>
      <c r="H39" s="17">
        <f t="shared" si="8"/>
        <v>8.0270461008097538E-2</v>
      </c>
      <c r="I39" s="17"/>
      <c r="J39" s="5"/>
      <c r="K39" s="5"/>
      <c r="L39" s="5"/>
      <c r="M39" s="5"/>
      <c r="N39" s="5"/>
      <c r="O39" s="5"/>
      <c r="Q39" s="5"/>
      <c r="R39" s="5"/>
      <c r="S39" s="42"/>
      <c r="T39" s="42"/>
      <c r="U39" s="42"/>
      <c r="V39" s="42"/>
      <c r="W39" s="42"/>
      <c r="X39" s="42"/>
      <c r="Y39" s="42"/>
      <c r="Z39" s="42"/>
      <c r="AA39" s="42"/>
    </row>
    <row r="40" spans="2:27">
      <c r="B40" s="5" t="s">
        <v>461</v>
      </c>
      <c r="C40" s="247"/>
      <c r="D40" s="525">
        <f>D$18/D26</f>
        <v>19.036091106732794</v>
      </c>
      <c r="E40" s="525">
        <f t="shared" si="7"/>
        <v>16.553165361637742</v>
      </c>
      <c r="F40" s="525">
        <f>F$18/F26</f>
        <v>15.070212134074429</v>
      </c>
      <c r="G40" s="525">
        <f t="shared" si="7"/>
        <v>13.32224137062911</v>
      </c>
      <c r="H40" s="17">
        <f t="shared" si="8"/>
        <v>5.0412347837009097E-2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1.197883872153771</v>
      </c>
      <c r="E41" s="525">
        <f t="shared" si="7"/>
        <v>1.1177925065111287</v>
      </c>
      <c r="F41" s="525">
        <f>F$18/F27</f>
        <v>1.04251731330764</v>
      </c>
      <c r="G41" s="525">
        <f t="shared" si="7"/>
        <v>0.96385468237800886</v>
      </c>
      <c r="H41" s="17">
        <f t="shared" si="8"/>
        <v>2.6762116959775373E-3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2.180670913463409</v>
      </c>
      <c r="E42" s="525">
        <f>E18/E28</f>
        <v>2.0153804486132341</v>
      </c>
      <c r="F42" s="525">
        <f>F18/F28</f>
        <v>1.8696351728146083</v>
      </c>
      <c r="G42" s="525">
        <f>G18/G28</f>
        <v>1.7239405934558503</v>
      </c>
      <c r="H42" s="17">
        <f t="shared" si="8"/>
        <v>8.5921980087044769E-3</v>
      </c>
      <c r="I42" s="248"/>
      <c r="J42" s="5"/>
      <c r="K42" s="5"/>
      <c r="L42" s="5"/>
      <c r="M42" s="5"/>
      <c r="N42" s="5"/>
      <c r="O42" s="5"/>
      <c r="Q42" s="5"/>
      <c r="R42" s="5"/>
      <c r="S42" s="42"/>
      <c r="T42" s="42"/>
      <c r="U42" s="42"/>
      <c r="V42" s="42"/>
      <c r="W42" s="288"/>
      <c r="X42" s="288"/>
      <c r="Y42" s="288"/>
      <c r="Z42" s="288"/>
      <c r="AA42" s="42"/>
    </row>
    <row r="43" spans="2:27">
      <c r="B43" s="5" t="s">
        <v>470</v>
      </c>
      <c r="C43" s="247"/>
      <c r="D43" s="525">
        <f>L26/D29</f>
        <v>11.890599110168429</v>
      </c>
      <c r="E43" s="525">
        <f>M26/E29</f>
        <v>10.409946555421008</v>
      </c>
      <c r="F43" s="525">
        <f>N26/F29</f>
        <v>9.6652920884201645</v>
      </c>
      <c r="G43" s="525">
        <f>O26/G29</f>
        <v>9.1527774706136569</v>
      </c>
      <c r="H43" s="17">
        <f t="shared" si="8"/>
        <v>9.1375576939584535E-2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8.5412985691974654</v>
      </c>
      <c r="E44" s="525">
        <f>E11/E30</f>
        <v>9.1827434553636884</v>
      </c>
      <c r="F44" s="525">
        <f>F11/F30</f>
        <v>9.1813677847177662</v>
      </c>
      <c r="G44" s="525">
        <f>G11/G30</f>
        <v>8.8135685411628497</v>
      </c>
      <c r="H44" s="17">
        <f t="shared" si="8"/>
        <v>-1.0198763626019569E-2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5.4824345284211783E-2</v>
      </c>
      <c r="E45" s="248">
        <f>E31/E11</f>
        <v>5.4833809951435802E-2</v>
      </c>
      <c r="F45" s="248">
        <f>F31/F11</f>
        <v>5.4833809951435802E-2</v>
      </c>
      <c r="G45" s="248">
        <f>G31/G11</f>
        <v>5.4833809951435802E-2</v>
      </c>
      <c r="H45" s="17">
        <f t="shared" si="8"/>
        <v>2.6623524164381962E-4</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5.4824345284211783E-2</v>
      </c>
      <c r="E46" s="248">
        <f>(E31+E32)/E11</f>
        <v>5.4830677857547361E-2</v>
      </c>
      <c r="F46" s="248">
        <f>(F31+F32)/F11</f>
        <v>5.4833809951435802E-2</v>
      </c>
      <c r="G46" s="248">
        <f>(G31+G32)/G11</f>
        <v>5.4833809951435802E-2</v>
      </c>
      <c r="H46" s="279">
        <f>((G31+G32)/(D31+D32))^(1/3)-1</f>
        <v>2.6623524164381962E-4</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8.4100051707641427E-2</v>
      </c>
      <c r="E47" s="248">
        <f>1/E43</f>
        <v>9.6061972525617559E-2</v>
      </c>
      <c r="F47" s="248">
        <f>1/F43</f>
        <v>0.10346298806614281</v>
      </c>
      <c r="G47" s="248">
        <f>1/G43</f>
        <v>0.10925645283201166</v>
      </c>
      <c r="H47" s="17">
        <f>H29</f>
        <v>9.1375576939584535E-2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0.65189431125201536</v>
      </c>
      <c r="E48" s="305">
        <f>E31/E29</f>
        <v>0.57081703102455938</v>
      </c>
      <c r="F48" s="305">
        <f>F31/F29</f>
        <v>0.52998478950154737</v>
      </c>
      <c r="G48" s="305">
        <f>G31/G29</f>
        <v>0.50188166035141257</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6">
    <pageSetUpPr fitToPage="1"/>
  </sheetPr>
  <dimension ref="B1:AB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16384" width="9.109375" style="39"/>
  </cols>
  <sheetData>
    <row r="1" spans="2:28" s="312" customFormat="1">
      <c r="T1" s="149"/>
      <c r="U1" s="149"/>
      <c r="V1" s="149"/>
      <c r="W1" s="149"/>
      <c r="X1" s="149"/>
      <c r="Y1" s="149"/>
      <c r="Z1" s="149"/>
      <c r="AA1" s="149"/>
      <c r="AB1" s="149"/>
    </row>
    <row r="2" spans="2:28" s="149" customFormat="1"/>
    <row r="3" spans="2:28" s="149" customFormat="1">
      <c r="H3" s="153"/>
      <c r="P3" s="153"/>
    </row>
    <row r="4" spans="2:28" s="156" customFormat="1" ht="21">
      <c r="B4" s="129" t="s">
        <v>325</v>
      </c>
      <c r="H4" s="222"/>
      <c r="P4" s="222"/>
    </row>
    <row r="5" spans="2:28"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8">
      <c r="I6" s="5"/>
      <c r="J6" s="5"/>
      <c r="K6" s="5"/>
      <c r="L6" s="5"/>
      <c r="M6" s="5"/>
      <c r="N6" s="5"/>
      <c r="O6" s="49"/>
    </row>
    <row r="7" spans="2:28"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28" ht="12.6" thickTop="1">
      <c r="B8" s="5"/>
      <c r="C8" s="5"/>
      <c r="D8" s="5"/>
      <c r="E8" s="5"/>
      <c r="F8" s="5"/>
      <c r="G8" s="5"/>
      <c r="H8" s="5"/>
      <c r="I8" s="5"/>
      <c r="J8" s="5"/>
      <c r="K8" s="5"/>
      <c r="L8" s="5"/>
      <c r="M8" s="5"/>
      <c r="N8" s="5"/>
      <c r="S8" s="88"/>
      <c r="T8" s="42"/>
      <c r="U8" s="42"/>
      <c r="V8" s="42"/>
      <c r="W8" s="42"/>
      <c r="X8" s="42"/>
      <c r="Y8" s="42"/>
      <c r="Z8" s="42"/>
      <c r="AA8" s="42"/>
    </row>
    <row r="9" spans="2:28">
      <c r="B9" s="41" t="s">
        <v>14</v>
      </c>
      <c r="C9" s="267">
        <f>Prices!C81</f>
        <v>2.44</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28">
      <c r="B10" s="5" t="s">
        <v>269</v>
      </c>
      <c r="C10" s="5"/>
      <c r="D10" s="527">
        <v>9183.7790000000005</v>
      </c>
      <c r="E10" s="527">
        <v>9183.7790000000005</v>
      </c>
      <c r="F10" s="527">
        <v>9183.7790000000005</v>
      </c>
      <c r="G10" s="527">
        <v>9183.7790000000005</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28">
      <c r="B11" s="41" t="s">
        <v>270</v>
      </c>
      <c r="C11" s="5"/>
      <c r="D11" s="528">
        <f>$C$9*D10</f>
        <v>22408.420760000001</v>
      </c>
      <c r="E11" s="528">
        <f>$C$9*E10</f>
        <v>22408.420760000001</v>
      </c>
      <c r="F11" s="528">
        <f>$C$9*F10</f>
        <v>22408.420760000001</v>
      </c>
      <c r="G11" s="528">
        <f>$C$9*G10</f>
        <v>22408.420760000001</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28">
      <c r="B12" s="5" t="s">
        <v>24</v>
      </c>
      <c r="C12" s="249"/>
      <c r="D12" s="529">
        <v>23035.81246180641</v>
      </c>
      <c r="E12" s="529">
        <v>22468.095603689435</v>
      </c>
      <c r="F12" s="529">
        <v>22022.401156534379</v>
      </c>
      <c r="G12" s="529">
        <v>21530.01854581822</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28">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28">
      <c r="B14" s="5" t="s">
        <v>527</v>
      </c>
      <c r="C14" s="257"/>
      <c r="D14" s="529">
        <v>7986</v>
      </c>
      <c r="E14" s="529">
        <v>266.47500000000002</v>
      </c>
      <c r="F14" s="529">
        <v>253.29300000000003</v>
      </c>
      <c r="G14" s="529">
        <v>246.70200000000003</v>
      </c>
      <c r="H14" s="249" t="s">
        <v>136</v>
      </c>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28">
      <c r="B15" s="5" t="s">
        <v>526</v>
      </c>
      <c r="C15" s="274"/>
      <c r="D15" s="529">
        <v>5773</v>
      </c>
      <c r="E15" s="529">
        <v>5737.9070000000002</v>
      </c>
      <c r="F15" s="529">
        <v>5811.6016791263946</v>
      </c>
      <c r="G15" s="529">
        <v>5987.1145973780158</v>
      </c>
      <c r="H15" s="249" t="s">
        <v>136</v>
      </c>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28">
      <c r="B16" s="5" t="s">
        <v>529</v>
      </c>
      <c r="C16" s="257"/>
      <c r="D16" s="529">
        <v>0</v>
      </c>
      <c r="E16" s="529">
        <v>0</v>
      </c>
      <c r="F16" s="529">
        <v>1102.0534799999998</v>
      </c>
      <c r="G16" s="529">
        <v>2295.9447499999997</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43231.233221806411</v>
      </c>
      <c r="E18" s="530">
        <f>E11+E12+E13-E14+E15-E16-E17</f>
        <v>50347.948363689437</v>
      </c>
      <c r="F18" s="530">
        <f>F11+F12+F13-F14+F15-F16-F17</f>
        <v>48887.077115660773</v>
      </c>
      <c r="G18" s="530">
        <f>G11+G12+G13-G14+G15-G16-G17</f>
        <v>47382.907153196233</v>
      </c>
      <c r="H18" s="276">
        <f>IF(D18=0,"nm",IF(G18=0,"nm",(G18/D18)^(1/3)-1))</f>
        <v>3.1038049659495748E-2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920</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26269.436999999998</v>
      </c>
      <c r="D23" s="536">
        <v>23145.438133827436</v>
      </c>
      <c r="E23" s="536">
        <v>23913.328055108745</v>
      </c>
      <c r="F23" s="536">
        <v>25367.978752874991</v>
      </c>
      <c r="G23" s="536">
        <v>26609.261375494349</v>
      </c>
      <c r="H23" s="279">
        <f t="shared" ref="H23:H32" si="3">IF(D23=0,"nm",IF(G23=0,"nm",(G23/D23)^(1/3)-1))</f>
        <v>4.7584677909829676E-2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11660.942999999999</v>
      </c>
      <c r="D24" s="536">
        <v>10398.165451754605</v>
      </c>
      <c r="E24" s="536">
        <v>10882.91315836106</v>
      </c>
      <c r="F24" s="536">
        <v>11614.735649513905</v>
      </c>
      <c r="G24" s="536">
        <v>12264.722799040725</v>
      </c>
      <c r="H24" s="279">
        <f t="shared" si="3"/>
        <v>5.6575017875276856E-2</v>
      </c>
      <c r="I24" s="249"/>
      <c r="J24" s="17"/>
      <c r="K24" s="17"/>
      <c r="L24" s="17"/>
      <c r="M24" s="17"/>
      <c r="N24" s="17"/>
      <c r="O24" s="248"/>
      <c r="S24" s="88"/>
      <c r="T24" s="42"/>
      <c r="U24" s="42"/>
      <c r="V24" s="42"/>
      <c r="W24" s="42" t="s">
        <v>323</v>
      </c>
      <c r="X24" s="42" t="s">
        <v>252</v>
      </c>
      <c r="Y24" s="42"/>
      <c r="Z24" s="42"/>
      <c r="AA24" s="42"/>
    </row>
    <row r="25" spans="2:27">
      <c r="B25" s="5" t="s">
        <v>179</v>
      </c>
      <c r="C25" s="544">
        <v>5113.9429999999993</v>
      </c>
      <c r="D25" s="536">
        <v>4191.0481458214017</v>
      </c>
      <c r="E25" s="536">
        <v>4358.722241706324</v>
      </c>
      <c r="F25" s="536">
        <v>4392.481370340749</v>
      </c>
      <c r="G25" s="536">
        <v>4698.1968450180084</v>
      </c>
      <c r="H25" s="279">
        <f>IF(D25=0,"nm",IF(G25=0,"nm",(G25/D25)^(1/3)-1))</f>
        <v>3.8810154632409111E-2</v>
      </c>
      <c r="I25" s="248"/>
      <c r="J25" s="247" t="s">
        <v>10</v>
      </c>
      <c r="K25" s="247"/>
      <c r="L25" s="321">
        <v>0</v>
      </c>
      <c r="M25" s="321">
        <v>0</v>
      </c>
      <c r="N25" s="321">
        <v>0</v>
      </c>
      <c r="O25" s="321">
        <v>0</v>
      </c>
      <c r="P25" s="279" t="str">
        <f>IF(L25=0,"nm",IF(O25=0,"nm",(O25/L25)^(1/3)-1))</f>
        <v>nm</v>
      </c>
      <c r="S25" s="88"/>
      <c r="T25" s="42"/>
      <c r="U25" s="42"/>
      <c r="V25" s="147" t="s">
        <v>268</v>
      </c>
      <c r="W25" s="288">
        <f t="shared" ref="W25:W33" si="5">D37/L9</f>
        <v>0.86760860858065414</v>
      </c>
      <c r="X25" s="288">
        <v>1</v>
      </c>
      <c r="Y25" s="42"/>
      <c r="Z25" s="42"/>
      <c r="AA25" s="42"/>
    </row>
    <row r="26" spans="2:27">
      <c r="B26" s="5" t="s">
        <v>581</v>
      </c>
      <c r="C26" s="544">
        <v>6789.0283577505443</v>
      </c>
      <c r="D26" s="536">
        <v>2514.6288874928409</v>
      </c>
      <c r="E26" s="536">
        <v>2615.2333450237943</v>
      </c>
      <c r="F26" s="536">
        <v>2635.4888222044492</v>
      </c>
      <c r="G26" s="536">
        <v>2818.9181070108048</v>
      </c>
      <c r="H26" s="279">
        <f t="shared" si="3"/>
        <v>3.8810154632409111E-2</v>
      </c>
      <c r="I26" s="249"/>
      <c r="J26" s="249" t="s">
        <v>11</v>
      </c>
      <c r="K26" s="249"/>
      <c r="L26" s="281">
        <f>D11+L25</f>
        <v>22408.420760000001</v>
      </c>
      <c r="M26" s="281">
        <f>E11+M25</f>
        <v>22408.420760000001</v>
      </c>
      <c r="N26" s="281">
        <f>F11+N25</f>
        <v>22408.420760000001</v>
      </c>
      <c r="O26" s="281">
        <f>G11+O25</f>
        <v>22408.420760000001</v>
      </c>
      <c r="P26" s="279">
        <f>IF(L26=0,"nm",IF(O26=0,"nm",(O26/L26)^(1/3)-1))</f>
        <v>0</v>
      </c>
      <c r="Q26" s="5"/>
      <c r="S26" s="88"/>
      <c r="T26" s="42"/>
      <c r="U26" s="42"/>
      <c r="V26" s="147" t="s">
        <v>180</v>
      </c>
      <c r="W26" s="288">
        <f t="shared" si="5"/>
        <v>0.6302076586580011</v>
      </c>
      <c r="X26" s="288">
        <v>1</v>
      </c>
      <c r="Y26" s="42"/>
      <c r="Z26" s="42"/>
      <c r="AA26" s="42"/>
    </row>
    <row r="27" spans="2:27">
      <c r="B27" s="5" t="s">
        <v>582</v>
      </c>
      <c r="C27" s="545">
        <v>61736.119999999995</v>
      </c>
      <c r="D27" s="536">
        <v>61637.96148437947</v>
      </c>
      <c r="E27" s="536">
        <v>63246.271150431239</v>
      </c>
      <c r="F27" s="536">
        <v>65350.755771979755</v>
      </c>
      <c r="G27" s="536">
        <v>67723.886951489651</v>
      </c>
      <c r="H27" s="279">
        <f t="shared" si="3"/>
        <v>3.1884770987806066E-2</v>
      </c>
      <c r="I27" s="249"/>
      <c r="J27" s="248"/>
      <c r="K27" s="248"/>
      <c r="L27" s="248"/>
      <c r="M27" s="248"/>
      <c r="N27" s="248"/>
      <c r="O27" s="248"/>
      <c r="Q27" s="41"/>
      <c r="S27" s="88"/>
      <c r="T27" s="42"/>
      <c r="U27" s="42"/>
      <c r="V27" s="147" t="s">
        <v>181</v>
      </c>
      <c r="W27" s="288">
        <f t="shared" si="5"/>
        <v>0.81129105815398295</v>
      </c>
      <c r="X27" s="288">
        <v>1</v>
      </c>
      <c r="Y27" s="42"/>
      <c r="Z27" s="42"/>
      <c r="AA27" s="42"/>
    </row>
    <row r="28" spans="2:27" ht="12.6" thickBot="1">
      <c r="B28" s="5" t="s">
        <v>587</v>
      </c>
      <c r="C28" s="544">
        <v>27933.612000000001</v>
      </c>
      <c r="D28" s="536">
        <v>26216.898576746808</v>
      </c>
      <c r="E28" s="536">
        <v>25202.810452225855</v>
      </c>
      <c r="F28" s="536">
        <v>24413.821339762992</v>
      </c>
      <c r="G28" s="536">
        <v>23525.439626648353</v>
      </c>
      <c r="H28" s="279">
        <f t="shared" si="3"/>
        <v>-3.5463179142296797E-2</v>
      </c>
      <c r="I28" s="248"/>
      <c r="J28" s="306" t="s">
        <v>1352</v>
      </c>
      <c r="K28" s="306"/>
      <c r="L28" s="306"/>
      <c r="M28" s="306"/>
      <c r="N28" s="266"/>
      <c r="O28" s="266"/>
      <c r="P28" s="266"/>
      <c r="Q28" s="5"/>
      <c r="S28" s="88"/>
      <c r="T28" s="42"/>
      <c r="U28" s="42"/>
      <c r="V28" s="147" t="s">
        <v>461</v>
      </c>
      <c r="W28" s="288">
        <f t="shared" si="5"/>
        <v>1.0385064673401365</v>
      </c>
      <c r="X28" s="288">
        <v>1</v>
      </c>
      <c r="Y28" s="42"/>
      <c r="Z28" s="42"/>
      <c r="AA28" s="42"/>
    </row>
    <row r="29" spans="2:27" ht="12.6" thickTop="1">
      <c r="B29" s="5" t="s">
        <v>583</v>
      </c>
      <c r="C29" s="544">
        <v>11058.802</v>
      </c>
      <c r="D29" s="536">
        <v>3768.0764526399253</v>
      </c>
      <c r="E29" s="536">
        <v>4490.6412541783411</v>
      </c>
      <c r="F29" s="536">
        <v>4780.8817327970664</v>
      </c>
      <c r="G29" s="536">
        <v>5306.3653164128536</v>
      </c>
      <c r="H29" s="279">
        <f t="shared" si="3"/>
        <v>0.12088006848502442</v>
      </c>
      <c r="I29" s="252"/>
      <c r="J29" s="249"/>
      <c r="K29" s="249"/>
      <c r="L29" s="249"/>
      <c r="M29" s="249"/>
      <c r="N29" s="249"/>
      <c r="O29" s="251"/>
      <c r="Q29" s="5"/>
      <c r="S29" s="88"/>
      <c r="T29" s="42"/>
      <c r="U29" s="42"/>
      <c r="V29" s="147" t="s">
        <v>525</v>
      </c>
      <c r="W29" s="288">
        <f t="shared" si="5"/>
        <v>0.47298273169495858</v>
      </c>
      <c r="X29" s="288">
        <v>1</v>
      </c>
      <c r="Y29" s="42"/>
      <c r="Z29" s="42"/>
      <c r="AA29" s="42"/>
    </row>
    <row r="30" spans="2:27">
      <c r="B30" s="5" t="s">
        <v>584</v>
      </c>
      <c r="C30" s="545">
        <v>9765.6359999999986</v>
      </c>
      <c r="D30" s="536">
        <v>2051.3630293867359</v>
      </c>
      <c r="E30" s="536">
        <v>3476.5531296573859</v>
      </c>
      <c r="F30" s="536">
        <v>3991.8926203342007</v>
      </c>
      <c r="G30" s="536">
        <v>4417.9836032982148</v>
      </c>
      <c r="H30" s="279">
        <f t="shared" si="3"/>
        <v>0.29139923610651675</v>
      </c>
      <c r="I30" s="254"/>
      <c r="J30" s="248"/>
      <c r="K30" s="248"/>
      <c r="L30" s="248"/>
      <c r="M30" s="248"/>
      <c r="N30" s="248"/>
      <c r="O30" s="5"/>
      <c r="Q30" s="5"/>
      <c r="S30" s="88"/>
      <c r="T30" s="42"/>
      <c r="U30" s="42"/>
      <c r="V30" s="147" t="s">
        <v>588</v>
      </c>
      <c r="W30" s="288">
        <f t="shared" si="5"/>
        <v>0.5419729952193898</v>
      </c>
      <c r="X30" s="288">
        <v>1</v>
      </c>
      <c r="Y30" s="42"/>
      <c r="Z30" s="42"/>
      <c r="AA30" s="42"/>
    </row>
    <row r="31" spans="2:27">
      <c r="B31" s="5" t="s">
        <v>585</v>
      </c>
      <c r="C31" s="545">
        <v>1285.7290600000001</v>
      </c>
      <c r="D31" s="536">
        <v>918.37790000000007</v>
      </c>
      <c r="E31" s="536">
        <v>1010.2156900000001</v>
      </c>
      <c r="F31" s="536">
        <v>1102.05348</v>
      </c>
      <c r="G31" s="536">
        <v>1193.8912700000001</v>
      </c>
      <c r="H31" s="279">
        <f t="shared" si="3"/>
        <v>9.1392883061105934E-2</v>
      </c>
      <c r="I31" s="254"/>
      <c r="J31" s="252"/>
      <c r="K31" s="252"/>
      <c r="L31" s="252"/>
      <c r="M31" s="252"/>
      <c r="N31" s="252"/>
      <c r="O31" s="5"/>
      <c r="Q31" s="5"/>
      <c r="S31" s="88"/>
      <c r="T31" s="42"/>
      <c r="U31" s="42"/>
      <c r="V31" s="147" t="s">
        <v>470</v>
      </c>
      <c r="W31" s="288">
        <f t="shared" si="5"/>
        <v>0.30208501351560268</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0.51051343712581676</v>
      </c>
      <c r="X32" s="288">
        <v>1</v>
      </c>
      <c r="Y32" s="42"/>
      <c r="Z32" s="42"/>
      <c r="AA32" s="42"/>
    </row>
    <row r="33" spans="2:27">
      <c r="B33" s="5" t="s">
        <v>5</v>
      </c>
      <c r="C33" s="545">
        <v>-1216.5232401778312</v>
      </c>
      <c r="D33" s="536">
        <v>-1520.011857526471</v>
      </c>
      <c r="E33" s="536">
        <v>-1463.1699028272164</v>
      </c>
      <c r="F33" s="536">
        <v>-1482.3439426826981</v>
      </c>
      <c r="G33" s="536">
        <v>-1514.8225342985288</v>
      </c>
      <c r="H33" s="279">
        <f>IF(D33=0,"nm",IF(G33=0,"nm",(G33/D33)^(1/3)-1))</f>
        <v>-1.1392981095103005E-3</v>
      </c>
      <c r="I33" s="5"/>
      <c r="J33" s="254"/>
      <c r="K33" s="254"/>
      <c r="L33" s="254"/>
      <c r="M33" s="254"/>
      <c r="N33" s="254"/>
      <c r="O33" s="251"/>
      <c r="Q33" s="5"/>
      <c r="S33" s="88"/>
      <c r="T33" s="42"/>
      <c r="U33" s="42"/>
      <c r="V33" s="147" t="s">
        <v>575</v>
      </c>
      <c r="W33" s="288">
        <f t="shared" si="5"/>
        <v>1.0392434545013143</v>
      </c>
      <c r="X33" s="288">
        <v>1</v>
      </c>
      <c r="Y33" s="42"/>
      <c r="Z33" s="42"/>
      <c r="AA33" s="42"/>
    </row>
    <row r="34" spans="2:27">
      <c r="H34" s="277"/>
      <c r="I34" s="49"/>
      <c r="J34" s="254"/>
      <c r="K34" s="254"/>
      <c r="L34" s="254"/>
      <c r="M34" s="254"/>
      <c r="N34" s="254"/>
      <c r="O34" s="251"/>
      <c r="Q34" s="5"/>
      <c r="S34" s="88"/>
      <c r="T34" s="42"/>
      <c r="U34" s="42"/>
      <c r="V34" s="147" t="s">
        <v>576</v>
      </c>
      <c r="W34" s="288">
        <f>D47/L19</f>
        <v>3.310326415608003</v>
      </c>
      <c r="X34" s="288">
        <v>1</v>
      </c>
      <c r="Y34" s="288"/>
      <c r="Z34" s="288"/>
      <c r="AA34" s="42"/>
    </row>
    <row r="35" spans="2:27" ht="12.6" thickBot="1">
      <c r="B35" s="306" t="s">
        <v>519</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1.8678079443492261</v>
      </c>
      <c r="E37" s="525">
        <f t="shared" ref="E37:G41" si="7">E$18/E23</f>
        <v>2.1054346031494058</v>
      </c>
      <c r="F37" s="525">
        <f t="shared" si="7"/>
        <v>1.9271175520879971</v>
      </c>
      <c r="G37" s="525">
        <f t="shared" si="7"/>
        <v>1.7806923117690616</v>
      </c>
      <c r="H37" s="17">
        <f t="shared" ref="H37:H45" si="8">H23</f>
        <v>4.7584677909829676E-2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4.1575827411470447</v>
      </c>
      <c r="E38" s="525">
        <f t="shared" si="7"/>
        <v>4.6263300672401684</v>
      </c>
      <c r="F38" s="525">
        <f t="shared" si="7"/>
        <v>4.2090563738062157</v>
      </c>
      <c r="G38" s="525">
        <f t="shared" si="7"/>
        <v>3.8633492113578178</v>
      </c>
      <c r="H38" s="17">
        <f t="shared" si="8"/>
        <v>5.6575017875276856E-2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10.315136385371574</v>
      </c>
      <c r="E39" s="525">
        <f t="shared" si="7"/>
        <v>11.551079782495972</v>
      </c>
      <c r="F39" s="525">
        <f t="shared" si="7"/>
        <v>11.1297175773493</v>
      </c>
      <c r="G39" s="525">
        <f t="shared" si="7"/>
        <v>10.085338847273142</v>
      </c>
      <c r="H39" s="17">
        <f t="shared" si="8"/>
        <v>3.8810154632409111E-2</v>
      </c>
      <c r="I39" s="17"/>
      <c r="J39" s="5"/>
      <c r="K39" s="5"/>
      <c r="L39" s="5"/>
      <c r="M39" s="5"/>
      <c r="N39" s="5"/>
      <c r="O39" s="5"/>
      <c r="Q39" s="5"/>
      <c r="R39" s="5"/>
      <c r="S39" s="42"/>
      <c r="T39" s="42"/>
      <c r="U39" s="42"/>
      <c r="V39" s="42"/>
      <c r="W39" s="42"/>
      <c r="X39" s="42"/>
      <c r="Y39" s="42"/>
      <c r="Z39" s="42"/>
      <c r="AA39" s="42"/>
    </row>
    <row r="40" spans="2:27">
      <c r="B40" s="5" t="s">
        <v>461</v>
      </c>
      <c r="C40" s="247"/>
      <c r="D40" s="525">
        <f>D$18/D26</f>
        <v>17.191893975619291</v>
      </c>
      <c r="E40" s="525">
        <f t="shared" si="7"/>
        <v>19.251799637493285</v>
      </c>
      <c r="F40" s="525">
        <f t="shared" si="7"/>
        <v>18.549529295582168</v>
      </c>
      <c r="G40" s="525">
        <f t="shared" si="7"/>
        <v>16.808898078788573</v>
      </c>
      <c r="H40" s="17">
        <f t="shared" si="8"/>
        <v>3.8810154632409111E-2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0.70137350718132097</v>
      </c>
      <c r="E41" s="525">
        <f t="shared" si="7"/>
        <v>0.796061925041191</v>
      </c>
      <c r="F41" s="525">
        <f t="shared" si="7"/>
        <v>0.74807210013356784</v>
      </c>
      <c r="G41" s="525">
        <f t="shared" si="7"/>
        <v>0.69964837055404716</v>
      </c>
      <c r="H41" s="17">
        <f t="shared" si="8"/>
        <v>3.1884770987806066E-2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1.6489835018147625</v>
      </c>
      <c r="E42" s="525">
        <f>E18/E28</f>
        <v>1.9977116623214861</v>
      </c>
      <c r="F42" s="525">
        <f>F18/F28</f>
        <v>2.0024344585514759</v>
      </c>
      <c r="G42" s="525">
        <f>G18/G28</f>
        <v>2.014113568340012</v>
      </c>
      <c r="H42" s="17">
        <f t="shared" si="8"/>
        <v>-3.5463179142296797E-2</v>
      </c>
      <c r="I42" s="248"/>
      <c r="J42" s="5"/>
      <c r="K42" s="5"/>
      <c r="L42" s="5"/>
      <c r="M42" s="5"/>
      <c r="N42" s="5"/>
      <c r="O42" s="5"/>
      <c r="Q42" s="5"/>
      <c r="R42" s="5"/>
      <c r="S42" s="42"/>
      <c r="T42" s="42"/>
      <c r="U42" s="42"/>
      <c r="V42" s="42"/>
      <c r="W42" s="288"/>
      <c r="X42" s="288"/>
      <c r="Y42" s="288"/>
      <c r="Z42" s="288"/>
      <c r="AA42" s="42"/>
    </row>
    <row r="43" spans="2:27">
      <c r="B43" s="5" t="s">
        <v>470</v>
      </c>
      <c r="C43" s="247"/>
      <c r="D43" s="525">
        <f>L26/D29</f>
        <v>5.9469124476762136</v>
      </c>
      <c r="E43" s="525">
        <f>M26/E29</f>
        <v>4.9900269230257406</v>
      </c>
      <c r="F43" s="525">
        <f>N26/F29</f>
        <v>4.6870895396297323</v>
      </c>
      <c r="G43" s="525">
        <f>O26/G29</f>
        <v>4.22293216237669</v>
      </c>
      <c r="H43" s="17">
        <f t="shared" si="8"/>
        <v>0.12088006848502442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10.923673888526254</v>
      </c>
      <c r="E44" s="525">
        <f>E11/E30</f>
        <v>6.4455855913263003</v>
      </c>
      <c r="F44" s="525">
        <f>F11/F30</f>
        <v>5.6134828491764317</v>
      </c>
      <c r="G44" s="525">
        <f>G11/G30</f>
        <v>5.0720923326358998</v>
      </c>
      <c r="H44" s="17">
        <f t="shared" si="8"/>
        <v>0.29139923610651675</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4.0983606557377053E-2</v>
      </c>
      <c r="E45" s="248">
        <f>E31/E11</f>
        <v>4.5081967213114756E-2</v>
      </c>
      <c r="F45" s="248">
        <f>F31/F11</f>
        <v>4.9180327868852458E-2</v>
      </c>
      <c r="G45" s="248">
        <f>G31/G11</f>
        <v>5.3278688524590168E-2</v>
      </c>
      <c r="H45" s="17">
        <f t="shared" si="8"/>
        <v>9.1392883061105934E-2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4.0983606557377053E-2</v>
      </c>
      <c r="E46" s="248">
        <f>(E31+E32)/E11</f>
        <v>4.5081967213114756E-2</v>
      </c>
      <c r="F46" s="248">
        <f>(F31+F32)/F11</f>
        <v>4.9180327868852458E-2</v>
      </c>
      <c r="G46" s="248">
        <f>(G31+G32)/G11</f>
        <v>5.3278688524590168E-2</v>
      </c>
      <c r="H46" s="279">
        <f>((G31+G32)/(D31+D32))^(1/3)-1</f>
        <v>9.1392883061105934E-2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0.16815448500351726</v>
      </c>
      <c r="E47" s="248">
        <f>1/E43</f>
        <v>0.20039972036736878</v>
      </c>
      <c r="F47" s="248">
        <f>1/F43</f>
        <v>0.21335201547675092</v>
      </c>
      <c r="G47" s="248">
        <f>1/G43</f>
        <v>0.23680228844528595</v>
      </c>
      <c r="H47" s="17">
        <f>H29</f>
        <v>0.12088006848502442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0.24372591998673007</v>
      </c>
      <c r="E48" s="305">
        <f>E31/E29</f>
        <v>0.22496023013640637</v>
      </c>
      <c r="F48" s="305">
        <f>F31/F29</f>
        <v>0.23051260030965898</v>
      </c>
      <c r="G48" s="305">
        <f>G31/G29</f>
        <v>0.22499228733974169</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AXISOP!A1" display="Jump to Axiata SOP" xr:uid="{00000000-0004-0000-0D00-000001000000}"/>
  </hyperlinks>
  <pageMargins left="0.75" right="0.75" top="1" bottom="1" header="0.5" footer="0.5"/>
  <pageSetup scale="7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8">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85</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86</v>
      </c>
      <c r="C9" s="285">
        <f>Prices!C82</f>
        <v>1539.1</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27">
      <c r="B10" s="5" t="s">
        <v>269</v>
      </c>
      <c r="C10" s="5"/>
      <c r="D10" s="527">
        <v>6047</v>
      </c>
      <c r="E10" s="527">
        <v>6047</v>
      </c>
      <c r="F10" s="527">
        <v>6047</v>
      </c>
      <c r="G10" s="527">
        <v>6047</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27">
      <c r="B11" s="41" t="s">
        <v>270</v>
      </c>
      <c r="C11" s="5"/>
      <c r="D11" s="528">
        <f>$C$9*D10</f>
        <v>9306937.6999999993</v>
      </c>
      <c r="E11" s="528">
        <f>$C$9*E10</f>
        <v>9306937.6999999993</v>
      </c>
      <c r="F11" s="528">
        <f>$C$9*F10</f>
        <v>9306937.6999999993</v>
      </c>
      <c r="G11" s="528">
        <f>$C$9*G10</f>
        <v>9306937.6999999993</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27">
      <c r="B12" s="5" t="s">
        <v>24</v>
      </c>
      <c r="C12" s="249"/>
      <c r="D12" s="529">
        <v>2046461</v>
      </c>
      <c r="E12" s="529">
        <v>1795593.444468796</v>
      </c>
      <c r="F12" s="529">
        <v>1486726.0638948218</v>
      </c>
      <c r="G12" s="529">
        <v>1104691.7838755336</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27">
      <c r="B14" s="5" t="s">
        <v>527</v>
      </c>
      <c r="C14" s="257"/>
      <c r="D14" s="534">
        <v>0</v>
      </c>
      <c r="E14" s="526">
        <f t="shared" ref="E14:G15" si="2">D14</f>
        <v>0</v>
      </c>
      <c r="F14" s="526">
        <f t="shared" si="2"/>
        <v>0</v>
      </c>
      <c r="G14" s="526">
        <f t="shared" si="2"/>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27">
      <c r="B15" s="5" t="s">
        <v>526</v>
      </c>
      <c r="C15" s="274"/>
      <c r="D15" s="529">
        <f>BHARTSOP!T20</f>
        <v>894903.04037411837</v>
      </c>
      <c r="E15" s="529">
        <f t="shared" si="2"/>
        <v>894903.04037411837</v>
      </c>
      <c r="F15" s="529">
        <f t="shared" si="2"/>
        <v>894903.04037411837</v>
      </c>
      <c r="G15" s="529">
        <f t="shared" si="2"/>
        <v>894903.04037411837</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27">
      <c r="B16" s="5" t="s">
        <v>529</v>
      </c>
      <c r="C16" s="257"/>
      <c r="D16" s="529">
        <v>0</v>
      </c>
      <c r="E16" s="529">
        <v>0</v>
      </c>
      <c r="F16" s="529">
        <v>120940</v>
      </c>
      <c r="G16" s="529">
        <v>244903.5</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12248301.740374118</v>
      </c>
      <c r="E18" s="530">
        <f>E11+E12+E13-E14+E15-E16-E17</f>
        <v>11997434.184842914</v>
      </c>
      <c r="F18" s="530">
        <f>F11+F12+F13-F14+F15-F16-F17</f>
        <v>11567626.804268939</v>
      </c>
      <c r="G18" s="530">
        <f>G11+G12+G13-G14+G15-G16-G17</f>
        <v>11061629.024249652</v>
      </c>
      <c r="H18" s="276">
        <f>IF(D18=0,"nm",IF(G18=0,"nm",(G18/D18)^(1/3)-1))</f>
        <v>-3.3397892894971304E-2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921</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1400814</v>
      </c>
      <c r="D23" s="536">
        <v>1514178</v>
      </c>
      <c r="E23" s="536">
        <v>1698558.0091180783</v>
      </c>
      <c r="F23" s="536">
        <v>1951795.2743559789</v>
      </c>
      <c r="G23" s="536">
        <v>2223267.5914594317</v>
      </c>
      <c r="H23" s="279">
        <f t="shared" ref="H23:H32" si="4">IF(D23=0,"nm",IF(G23=0,"nm",(G23/D23)^(1/3)-1))</f>
        <v>0.13659289046180012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717330.54708857101</v>
      </c>
      <c r="D24" s="536">
        <v>790458.16848928644</v>
      </c>
      <c r="E24" s="536">
        <v>903344.79373470007</v>
      </c>
      <c r="F24" s="536">
        <v>1054746.3036419598</v>
      </c>
      <c r="G24" s="536">
        <v>1211517.2379437531</v>
      </c>
      <c r="H24" s="279">
        <f t="shared" si="4"/>
        <v>0.15296706595857801</v>
      </c>
      <c r="I24" s="249"/>
      <c r="J24" s="17"/>
      <c r="K24" s="17"/>
      <c r="L24" s="17"/>
      <c r="M24" s="17"/>
      <c r="N24" s="17"/>
      <c r="O24" s="248"/>
      <c r="S24" s="88"/>
      <c r="T24" s="42"/>
      <c r="U24" s="42"/>
      <c r="V24" s="42"/>
      <c r="W24" s="42" t="s">
        <v>565</v>
      </c>
      <c r="X24" s="42" t="s">
        <v>252</v>
      </c>
      <c r="Y24" s="42"/>
      <c r="Z24" s="42"/>
      <c r="AA24" s="42"/>
    </row>
    <row r="25" spans="2:27">
      <c r="B25" s="5" t="s">
        <v>179</v>
      </c>
      <c r="C25" s="544">
        <v>376898.01190905657</v>
      </c>
      <c r="D25" s="536">
        <v>395636.98829647427</v>
      </c>
      <c r="E25" s="536">
        <v>529390.89440867445</v>
      </c>
      <c r="F25" s="536">
        <v>675554.55295517296</v>
      </c>
      <c r="G25" s="536">
        <v>837480.24008662906</v>
      </c>
      <c r="H25" s="279">
        <f t="shared" si="4"/>
        <v>0.28398286260087913</v>
      </c>
      <c r="I25" s="248"/>
      <c r="J25" s="247" t="s">
        <v>10</v>
      </c>
      <c r="K25" s="247"/>
      <c r="L25" s="321">
        <v>0</v>
      </c>
      <c r="M25" s="321">
        <v>0</v>
      </c>
      <c r="N25" s="321">
        <v>0</v>
      </c>
      <c r="O25" s="321">
        <v>0</v>
      </c>
      <c r="P25" s="279" t="str">
        <f>IF(L25=0,"nm",IF(O25=0,"nm",(O25/L25)^(1/3)-1))</f>
        <v>nm</v>
      </c>
      <c r="S25" s="88"/>
      <c r="T25" s="42"/>
      <c r="U25" s="42"/>
      <c r="V25" s="147" t="s">
        <v>268</v>
      </c>
      <c r="W25" s="288">
        <f>D37/L9</f>
        <v>3.7574272369019637</v>
      </c>
      <c r="X25" s="288">
        <v>1</v>
      </c>
      <c r="Y25" s="42"/>
      <c r="Z25" s="42"/>
      <c r="AA25" s="42"/>
    </row>
    <row r="26" spans="2:27">
      <c r="B26" s="5" t="s">
        <v>581</v>
      </c>
      <c r="C26" s="544">
        <v>301518.40952724527</v>
      </c>
      <c r="D26" s="536">
        <v>316509.59063717944</v>
      </c>
      <c r="E26" s="536">
        <v>423512.7155269396</v>
      </c>
      <c r="F26" s="536">
        <v>540443.64236413839</v>
      </c>
      <c r="G26" s="536">
        <v>669984.19206930324</v>
      </c>
      <c r="H26" s="279">
        <f t="shared" si="4"/>
        <v>0.28398286260087913</v>
      </c>
      <c r="I26" s="249"/>
      <c r="J26" s="249" t="s">
        <v>11</v>
      </c>
      <c r="K26" s="249"/>
      <c r="L26" s="281">
        <f>D11+L25</f>
        <v>9306937.6999999993</v>
      </c>
      <c r="M26" s="281">
        <f>E11+M25</f>
        <v>9306937.6999999993</v>
      </c>
      <c r="N26" s="281">
        <f>F11+N25</f>
        <v>9306937.6999999993</v>
      </c>
      <c r="O26" s="281">
        <f>G11+O25</f>
        <v>9306937.6999999993</v>
      </c>
      <c r="P26" s="279">
        <f>IF(L26=0,"nm",IF(O26=0,"nm",(O26/L26)^(1/3)-1))</f>
        <v>0</v>
      </c>
      <c r="Q26" s="5"/>
      <c r="S26" s="88"/>
      <c r="T26" s="42"/>
      <c r="U26" s="42"/>
      <c r="V26" s="147" t="s">
        <v>180</v>
      </c>
      <c r="W26" s="288">
        <f t="shared" ref="W26:W33" si="6">D38/L10</f>
        <v>2.3487660494842406</v>
      </c>
      <c r="X26" s="288">
        <v>1</v>
      </c>
      <c r="Y26" s="42"/>
      <c r="Z26" s="42"/>
      <c r="AA26" s="42"/>
    </row>
    <row r="27" spans="2:27">
      <c r="B27" s="5" t="s">
        <v>582</v>
      </c>
      <c r="C27" s="545">
        <v>2906893.891177</v>
      </c>
      <c r="D27" s="536">
        <v>2866649.7375125196</v>
      </c>
      <c r="E27" s="536">
        <v>2804978.0345506836</v>
      </c>
      <c r="F27" s="536">
        <v>2717112.4563159528</v>
      </c>
      <c r="G27" s="536">
        <v>2610314.3744879141</v>
      </c>
      <c r="H27" s="279">
        <f t="shared" si="4"/>
        <v>-3.0741999675800602E-2</v>
      </c>
      <c r="I27" s="249"/>
      <c r="J27" s="248"/>
      <c r="K27" s="248"/>
      <c r="L27" s="248"/>
      <c r="M27" s="248"/>
      <c r="N27" s="248"/>
      <c r="O27" s="248"/>
      <c r="Q27" s="41"/>
      <c r="S27" s="88"/>
      <c r="T27" s="42"/>
      <c r="U27" s="42"/>
      <c r="V27" s="147" t="s">
        <v>181</v>
      </c>
      <c r="W27" s="288">
        <f t="shared" si="6"/>
        <v>2.4348976153478814</v>
      </c>
      <c r="X27" s="288">
        <v>1</v>
      </c>
      <c r="Y27" s="42"/>
      <c r="Z27" s="42"/>
      <c r="AA27" s="42"/>
    </row>
    <row r="28" spans="2:27" ht="12.6" thickBot="1">
      <c r="B28" s="5" t="s">
        <v>587</v>
      </c>
      <c r="C28" s="544">
        <v>1609000</v>
      </c>
      <c r="D28" s="536">
        <v>1714565</v>
      </c>
      <c r="E28" s="536">
        <v>1663971.7960534287</v>
      </c>
      <c r="F28" s="536">
        <v>1599034.4631856899</v>
      </c>
      <c r="G28" s="536">
        <v>1507226.7700654801</v>
      </c>
      <c r="H28" s="279">
        <f t="shared" si="4"/>
        <v>-4.2052852985401845E-2</v>
      </c>
      <c r="I28" s="248"/>
      <c r="J28" s="306" t="s">
        <v>1352</v>
      </c>
      <c r="K28" s="306"/>
      <c r="L28" s="306"/>
      <c r="M28" s="306"/>
      <c r="N28" s="266"/>
      <c r="O28" s="266"/>
      <c r="P28" s="266"/>
      <c r="Q28" s="5"/>
      <c r="S28" s="88"/>
      <c r="T28" s="42"/>
      <c r="U28" s="42"/>
      <c r="V28" s="147" t="s">
        <v>461</v>
      </c>
      <c r="W28" s="288">
        <f t="shared" si="6"/>
        <v>2.3376230658238488</v>
      </c>
      <c r="X28" s="288">
        <v>1</v>
      </c>
      <c r="Y28" s="42"/>
      <c r="Z28" s="42"/>
      <c r="AA28" s="42"/>
    </row>
    <row r="29" spans="2:27" ht="12.6" thickTop="1">
      <c r="B29" s="5" t="s">
        <v>583</v>
      </c>
      <c r="C29" s="544">
        <v>114042.46482048556</v>
      </c>
      <c r="D29" s="536">
        <v>150947.81980718783</v>
      </c>
      <c r="E29" s="536">
        <v>250244.08172343869</v>
      </c>
      <c r="F29" s="536">
        <v>368330.83541448269</v>
      </c>
      <c r="G29" s="536">
        <v>504268.87506145943</v>
      </c>
      <c r="H29" s="279">
        <f t="shared" si="4"/>
        <v>0.49489872946611912</v>
      </c>
      <c r="I29" s="252"/>
      <c r="J29" s="249"/>
      <c r="K29" s="249"/>
      <c r="L29" s="249"/>
      <c r="M29" s="249"/>
      <c r="N29" s="249"/>
      <c r="O29" s="251"/>
      <c r="Q29" s="5"/>
      <c r="S29" s="88"/>
      <c r="T29" s="42"/>
      <c r="U29" s="42"/>
      <c r="V29" s="147" t="s">
        <v>525</v>
      </c>
      <c r="W29" s="288">
        <f t="shared" si="6"/>
        <v>2.8813576779346444</v>
      </c>
      <c r="X29" s="288">
        <v>1</v>
      </c>
      <c r="Y29" s="42"/>
      <c r="Z29" s="42"/>
      <c r="AA29" s="42"/>
    </row>
    <row r="30" spans="2:27">
      <c r="B30" s="5" t="s">
        <v>584</v>
      </c>
      <c r="C30" s="545">
        <v>90157</v>
      </c>
      <c r="D30" s="536">
        <v>150393</v>
      </c>
      <c r="E30" s="536">
        <v>199650.87777686754</v>
      </c>
      <c r="F30" s="536">
        <v>303393.50254674384</v>
      </c>
      <c r="G30" s="536">
        <v>412461.18194124958</v>
      </c>
      <c r="H30" s="279">
        <f t="shared" si="4"/>
        <v>0.39975433052608622</v>
      </c>
      <c r="I30" s="254"/>
      <c r="J30" s="248"/>
      <c r="K30" s="248"/>
      <c r="L30" s="248"/>
      <c r="M30" s="248"/>
      <c r="N30" s="248"/>
      <c r="O30" s="5"/>
      <c r="Q30" s="5"/>
      <c r="S30" s="88"/>
      <c r="T30" s="42"/>
      <c r="U30" s="42"/>
      <c r="V30" s="147" t="s">
        <v>588</v>
      </c>
      <c r="W30" s="288">
        <f t="shared" si="6"/>
        <v>2.347919808199546</v>
      </c>
      <c r="X30" s="288">
        <v>1</v>
      </c>
      <c r="Y30" s="42"/>
      <c r="Z30" s="42"/>
      <c r="AA30" s="42"/>
    </row>
    <row r="31" spans="2:27">
      <c r="B31" s="5" t="s">
        <v>585</v>
      </c>
      <c r="C31" s="545">
        <v>23868</v>
      </c>
      <c r="D31" s="536">
        <v>48376</v>
      </c>
      <c r="E31" s="536">
        <v>120940</v>
      </c>
      <c r="F31" s="536">
        <v>181410</v>
      </c>
      <c r="G31" s="536">
        <v>258999.36431060266</v>
      </c>
      <c r="H31" s="279">
        <f t="shared" si="4"/>
        <v>0.74940184755137995</v>
      </c>
      <c r="I31" s="254"/>
      <c r="J31" s="252"/>
      <c r="K31" s="252"/>
      <c r="L31" s="252"/>
      <c r="M31" s="252"/>
      <c r="N31" s="252"/>
      <c r="O31" s="5"/>
      <c r="Q31" s="5"/>
      <c r="S31" s="88"/>
      <c r="T31" s="42"/>
      <c r="U31" s="42"/>
      <c r="V31" s="147" t="s">
        <v>470</v>
      </c>
      <c r="W31" s="288">
        <f t="shared" si="6"/>
        <v>3.1319700307066318</v>
      </c>
      <c r="X31" s="288">
        <v>1</v>
      </c>
      <c r="Y31" s="42"/>
      <c r="Z31" s="42"/>
      <c r="AA31" s="42"/>
    </row>
    <row r="32" spans="2:27">
      <c r="B32" s="5" t="s">
        <v>601</v>
      </c>
      <c r="C32" s="546">
        <v>0</v>
      </c>
      <c r="D32" s="536">
        <v>0</v>
      </c>
      <c r="E32" s="536">
        <v>-377273.22501414153</v>
      </c>
      <c r="F32" s="536">
        <v>0</v>
      </c>
      <c r="G32" s="536">
        <v>-63106</v>
      </c>
      <c r="H32" s="279" t="str">
        <f t="shared" si="4"/>
        <v>nm</v>
      </c>
      <c r="I32" s="254"/>
      <c r="J32" s="254"/>
      <c r="K32" s="254"/>
      <c r="L32" s="254"/>
      <c r="M32" s="254"/>
      <c r="N32" s="254"/>
      <c r="O32" s="251"/>
      <c r="Q32" s="5"/>
      <c r="S32" s="88"/>
      <c r="T32" s="42"/>
      <c r="U32" s="42"/>
      <c r="V32" s="147" t="s">
        <v>528</v>
      </c>
      <c r="W32" s="288">
        <f t="shared" si="6"/>
        <v>2.8921288341369498</v>
      </c>
      <c r="X32" s="288">
        <v>1</v>
      </c>
      <c r="Y32" s="42"/>
      <c r="Z32" s="42"/>
      <c r="AA32" s="42"/>
    </row>
    <row r="33" spans="2:27">
      <c r="B33" s="5" t="s">
        <v>5</v>
      </c>
      <c r="C33" s="545">
        <v>189918.87022993001</v>
      </c>
      <c r="D33" s="536">
        <v>219983.85066838801</v>
      </c>
      <c r="E33" s="536">
        <v>215210.35104173672</v>
      </c>
      <c r="F33" s="536">
        <v>204057.34673573013</v>
      </c>
      <c r="G33" s="536">
        <v>188802.57684141991</v>
      </c>
      <c r="H33" s="279">
        <f>IF(D33=0,"nm",IF(G33=0,"nm",(G33/D33)^(1/3)-1))</f>
        <v>-4.9674522485429362E-2</v>
      </c>
      <c r="I33" s="5"/>
      <c r="J33" s="254"/>
      <c r="K33" s="254"/>
      <c r="L33" s="254"/>
      <c r="M33" s="254"/>
      <c r="N33" s="254"/>
      <c r="O33" s="251"/>
      <c r="Q33" s="5"/>
      <c r="S33" s="88"/>
      <c r="T33" s="42"/>
      <c r="U33" s="42"/>
      <c r="V33" s="147" t="s">
        <v>575</v>
      </c>
      <c r="W33" s="288">
        <f t="shared" si="6"/>
        <v>0.13180451063521315</v>
      </c>
      <c r="X33" s="288">
        <v>1</v>
      </c>
      <c r="Y33" s="42"/>
      <c r="Z33" s="42"/>
      <c r="AA33" s="42"/>
    </row>
    <row r="34" spans="2:27">
      <c r="H34" s="277"/>
      <c r="I34" s="49"/>
      <c r="J34" s="254"/>
      <c r="K34" s="254"/>
      <c r="L34" s="254"/>
      <c r="M34" s="254"/>
      <c r="N34" s="254"/>
      <c r="O34" s="251"/>
      <c r="Q34" s="5"/>
      <c r="S34" s="88"/>
      <c r="T34" s="42"/>
      <c r="U34" s="42"/>
      <c r="V34" s="147" t="s">
        <v>576</v>
      </c>
      <c r="W34" s="288">
        <f>D47/L19</f>
        <v>0.31928785722588193</v>
      </c>
      <c r="X34" s="288">
        <v>1</v>
      </c>
      <c r="Y34" s="288"/>
      <c r="Z34" s="288"/>
      <c r="AA34" s="42"/>
    </row>
    <row r="35" spans="2:27" ht="12.6" thickBot="1">
      <c r="B35" s="306" t="s">
        <v>231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288"/>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8.0890765421067528</v>
      </c>
      <c r="E37" s="525">
        <f t="shared" ref="E37:G41" si="8">E$18/E23</f>
        <v>7.0633055335402979</v>
      </c>
      <c r="F37" s="525">
        <f t="shared" si="8"/>
        <v>5.9266599095982713</v>
      </c>
      <c r="G37" s="525">
        <f t="shared" si="8"/>
        <v>4.9753925558679182</v>
      </c>
      <c r="H37" s="17">
        <f t="shared" ref="H37:H45" si="9">H23</f>
        <v>0.13659289046180012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15.49519282441336</v>
      </c>
      <c r="E38" s="525">
        <f t="shared" si="8"/>
        <v>13.281123960699325</v>
      </c>
      <c r="F38" s="525">
        <f t="shared" si="8"/>
        <v>10.967212460784923</v>
      </c>
      <c r="G38" s="525">
        <f t="shared" si="8"/>
        <v>9.1303934255396939</v>
      </c>
      <c r="H38" s="17">
        <f t="shared" si="9"/>
        <v>0.15296706595857801</v>
      </c>
      <c r="I38" s="259"/>
      <c r="J38" s="17"/>
      <c r="K38" s="17"/>
      <c r="L38" s="17"/>
      <c r="M38" s="17"/>
      <c r="N38" s="17"/>
      <c r="O38" s="5"/>
      <c r="Q38" s="5"/>
      <c r="R38" s="5"/>
      <c r="S38" s="42"/>
      <c r="T38" s="42"/>
      <c r="U38" s="42"/>
      <c r="V38" s="42"/>
      <c r="W38" s="42"/>
      <c r="X38" s="42"/>
      <c r="Y38" s="42"/>
      <c r="Z38" s="42"/>
      <c r="AA38" s="42"/>
    </row>
    <row r="39" spans="2:27">
      <c r="B39" s="5" t="s">
        <v>181</v>
      </c>
      <c r="C39" s="247"/>
      <c r="D39" s="525">
        <f>D$18/D25</f>
        <v>30.958434379739387</v>
      </c>
      <c r="E39" s="525">
        <f t="shared" si="8"/>
        <v>22.662713528996292</v>
      </c>
      <c r="F39" s="525">
        <f t="shared" si="8"/>
        <v>17.12315719532501</v>
      </c>
      <c r="G39" s="525">
        <f t="shared" si="8"/>
        <v>13.208226886768619</v>
      </c>
      <c r="H39" s="17">
        <f t="shared" si="9"/>
        <v>0.28398286260087913</v>
      </c>
      <c r="I39" s="17"/>
      <c r="J39" s="5"/>
      <c r="K39" s="5"/>
      <c r="L39" s="5"/>
      <c r="M39" s="5"/>
      <c r="N39" s="5"/>
      <c r="O39" s="5"/>
      <c r="Q39" s="5"/>
      <c r="R39" s="5"/>
      <c r="S39" s="42"/>
      <c r="T39" s="42"/>
      <c r="U39" s="42"/>
      <c r="V39" s="42"/>
      <c r="W39" s="42"/>
      <c r="X39" s="42"/>
      <c r="Y39" s="42"/>
      <c r="Z39" s="42"/>
      <c r="AA39" s="42"/>
    </row>
    <row r="40" spans="2:27">
      <c r="B40" s="5" t="s">
        <v>461</v>
      </c>
      <c r="C40" s="247"/>
      <c r="D40" s="525">
        <f>D$18/D26</f>
        <v>38.69804297467423</v>
      </c>
      <c r="E40" s="525">
        <f t="shared" si="8"/>
        <v>28.328391911245362</v>
      </c>
      <c r="F40" s="525">
        <f t="shared" si="8"/>
        <v>21.403946494156258</v>
      </c>
      <c r="G40" s="525">
        <f t="shared" si="8"/>
        <v>16.510283608460774</v>
      </c>
      <c r="H40" s="17">
        <f t="shared" si="9"/>
        <v>0.28398286260087913</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4.2726886302483358</v>
      </c>
      <c r="E41" s="525">
        <f t="shared" si="8"/>
        <v>4.2771936311311354</v>
      </c>
      <c r="F41" s="525">
        <f t="shared" si="8"/>
        <v>4.2573235338051187</v>
      </c>
      <c r="G41" s="525">
        <f t="shared" si="8"/>
        <v>4.2376616136206575</v>
      </c>
      <c r="H41" s="17">
        <f t="shared" si="9"/>
        <v>-3.0741999675800602E-2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7.1436788575376946</v>
      </c>
      <c r="E42" s="525">
        <f>E18/E28</f>
        <v>7.2101187131285291</v>
      </c>
      <c r="F42" s="525">
        <f>F18/F28</f>
        <v>7.234132265806978</v>
      </c>
      <c r="G42" s="525">
        <f>G18/G28</f>
        <v>7.3390608791861425</v>
      </c>
      <c r="H42" s="17">
        <f t="shared" si="9"/>
        <v>-4.2052852985401845E-2</v>
      </c>
      <c r="I42" s="248"/>
      <c r="J42" s="5"/>
      <c r="K42" s="5"/>
      <c r="L42" s="5"/>
      <c r="M42" s="5"/>
      <c r="N42" s="5"/>
      <c r="O42" s="5"/>
      <c r="Q42" s="5"/>
      <c r="R42" s="5"/>
      <c r="S42" s="42"/>
      <c r="T42" s="42"/>
      <c r="U42" s="42"/>
      <c r="V42" s="42"/>
      <c r="W42" s="288"/>
      <c r="X42" s="288"/>
      <c r="Y42" s="288"/>
      <c r="Z42" s="288"/>
      <c r="AA42" s="42"/>
    </row>
    <row r="43" spans="2:27">
      <c r="B43" s="5" t="s">
        <v>470</v>
      </c>
      <c r="C43" s="247"/>
      <c r="D43" s="525">
        <f>L26/D29</f>
        <v>61.656655338832671</v>
      </c>
      <c r="E43" s="525">
        <f>M26/E29</f>
        <v>37.191439797108622</v>
      </c>
      <c r="F43" s="525">
        <f>N26/F29</f>
        <v>25.267875521545466</v>
      </c>
      <c r="G43" s="525">
        <f>O26/G29</f>
        <v>18.456300121370145</v>
      </c>
      <c r="H43" s="17">
        <f t="shared" si="9"/>
        <v>0.49489872946611912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61.884114952158676</v>
      </c>
      <c r="E44" s="525">
        <f>E11/E30</f>
        <v>46.616062016023569</v>
      </c>
      <c r="F44" s="525">
        <f>F11/F30</f>
        <v>30.676127279838759</v>
      </c>
      <c r="G44" s="525">
        <f>G11/G30</f>
        <v>22.564396620784709</v>
      </c>
      <c r="H44" s="17">
        <f t="shared" si="9"/>
        <v>0.39975433052608622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5.1978428951984929E-3</v>
      </c>
      <c r="E45" s="248">
        <f>E31/E11</f>
        <v>1.2994607237996232E-2</v>
      </c>
      <c r="F45" s="248">
        <f>F31/F11</f>
        <v>1.9491910856994348E-2</v>
      </c>
      <c r="G45" s="248">
        <f>G31/G11</f>
        <v>2.782863415004945E-2</v>
      </c>
      <c r="H45" s="17">
        <f t="shared" si="9"/>
        <v>0.74940184755137995</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5.1978428951984929E-3</v>
      </c>
      <c r="E46" s="248">
        <f>(E31+E32)/E11</f>
        <v>-2.7542166207273695E-2</v>
      </c>
      <c r="F46" s="248">
        <f>(F31+F32)/F11</f>
        <v>1.9491910856994348E-2</v>
      </c>
      <c r="G46" s="248">
        <f>(G31+G32)/G11</f>
        <v>2.1048100957053003E-2</v>
      </c>
      <c r="H46" s="279">
        <f>((G31+G32)/(D31+D32))^(1/3)-1</f>
        <v>0.59390802219171013</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1.6218849279198231E-2</v>
      </c>
      <c r="E47" s="248">
        <f>1/E43</f>
        <v>2.6887907686696848E-2</v>
      </c>
      <c r="F47" s="248">
        <f>1/F43</f>
        <v>3.9575942945710568E-2</v>
      </c>
      <c r="G47" s="248">
        <f>1/G43</f>
        <v>5.4182040464444005E-2</v>
      </c>
      <c r="H47" s="17">
        <f>H29</f>
        <v>0.49489872946611912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0.32048160789465363</v>
      </c>
      <c r="E48" s="305">
        <f>E31/E29</f>
        <v>0.48328815277900877</v>
      </c>
      <c r="F48" s="305">
        <f>F31/F29</f>
        <v>0.49251917721159383</v>
      </c>
      <c r="G48" s="305">
        <f>G31/G29</f>
        <v>0.51361362384112297</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BHARTSOP!A1" display="Jump to Bharti SOP" xr:uid="{00000000-0004-0000-0E00-000001000000}"/>
  </hyperlinks>
  <pageMargins left="0.75" right="0.75" top="1" bottom="1" header="0.5" footer="0.5"/>
  <pageSetup scale="71"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7">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1366</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86</v>
      </c>
      <c r="C9" s="285">
        <f>Prices!$C$97</f>
        <v>423.15</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27">
      <c r="B10" s="5" t="s">
        <v>269</v>
      </c>
      <c r="C10" s="5"/>
      <c r="D10" s="527">
        <v>2694.94</v>
      </c>
      <c r="E10" s="527">
        <v>2694.94</v>
      </c>
      <c r="F10" s="527">
        <v>2694.94</v>
      </c>
      <c r="G10" s="527">
        <v>2694.94</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27">
      <c r="B11" s="41" t="s">
        <v>270</v>
      </c>
      <c r="C11" s="5"/>
      <c r="D11" s="528">
        <f>$C$9*D10</f>
        <v>1140363.861</v>
      </c>
      <c r="E11" s="528">
        <f>$C$9*E10</f>
        <v>1140363.861</v>
      </c>
      <c r="F11" s="528">
        <f>$C$9*F10</f>
        <v>1140363.861</v>
      </c>
      <c r="G11" s="528">
        <f>$C$9*G10</f>
        <v>1140363.861</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27">
      <c r="B12" s="5" t="s">
        <v>24</v>
      </c>
      <c r="C12" s="249"/>
      <c r="D12" s="529">
        <v>204679</v>
      </c>
      <c r="E12" s="529">
        <v>171293.87757420941</v>
      </c>
      <c r="F12" s="529">
        <v>84081.221098452253</v>
      </c>
      <c r="G12" s="529">
        <v>-14277.917285461357</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27">
      <c r="B14" s="5" t="s">
        <v>527</v>
      </c>
      <c r="C14" s="257"/>
      <c r="D14" s="529">
        <v>0</v>
      </c>
      <c r="E14" s="529">
        <v>0</v>
      </c>
      <c r="F14" s="529">
        <v>0</v>
      </c>
      <c r="G14" s="529">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27">
      <c r="B15" s="5" t="s">
        <v>526</v>
      </c>
      <c r="C15" s="274"/>
      <c r="D15" s="529">
        <v>0</v>
      </c>
      <c r="E15" s="529">
        <v>0</v>
      </c>
      <c r="F15" s="529">
        <v>0</v>
      </c>
      <c r="G15" s="529">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27">
      <c r="B16" s="5" t="s">
        <v>529</v>
      </c>
      <c r="C16" s="257"/>
      <c r="D16" s="529">
        <v>0</v>
      </c>
      <c r="E16" s="529">
        <v>0</v>
      </c>
      <c r="F16" s="529">
        <v>0</v>
      </c>
      <c r="G16" s="529">
        <v>0</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1345042.861</v>
      </c>
      <c r="E18" s="530">
        <f>E11+E12+E13-E14+E15-E16-E17</f>
        <v>1311657.7385742094</v>
      </c>
      <c r="F18" s="530">
        <f>F11+F12+F13-F14+F15-F16-F17</f>
        <v>1224445.0820984524</v>
      </c>
      <c r="G18" s="530">
        <f>G11+G12+G13-G14+G15-G16-G17</f>
        <v>1126085.9437145386</v>
      </c>
      <c r="H18" s="276">
        <f>IF(D18=0,"nm",IF(G18=0,"nm",(G18/D18)^(1/3)-1))</f>
        <v>-5.7506266695843578E-2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921</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283818</v>
      </c>
      <c r="D23" s="536">
        <v>286006</v>
      </c>
      <c r="E23" s="536">
        <v>316269.78311628883</v>
      </c>
      <c r="F23" s="536">
        <v>339298.09720601287</v>
      </c>
      <c r="G23" s="536">
        <v>353066.5826498504</v>
      </c>
      <c r="H23" s="279">
        <f t="shared" ref="H23:H32" si="3">IF(D23=0,"nm",IF(G23=0,"nm",(G23/D23)^(1/3)-1))</f>
        <v>7.2738390856111668E-2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101283</v>
      </c>
      <c r="D24" s="536">
        <v>150550</v>
      </c>
      <c r="E24" s="536">
        <v>168126.56505859297</v>
      </c>
      <c r="F24" s="536">
        <v>180867.74967924223</v>
      </c>
      <c r="G24" s="536">
        <v>188136.98234769658</v>
      </c>
      <c r="H24" s="279">
        <f t="shared" si="3"/>
        <v>7.7120945837035215E-2</v>
      </c>
      <c r="I24" s="249"/>
      <c r="J24" s="17"/>
      <c r="K24" s="17"/>
      <c r="L24" s="17"/>
      <c r="M24" s="17"/>
      <c r="N24" s="17"/>
      <c r="O24" s="248"/>
      <c r="S24" s="88"/>
      <c r="T24" s="42"/>
      <c r="U24" s="42"/>
      <c r="V24" s="42"/>
      <c r="W24" s="42" t="s">
        <v>757</v>
      </c>
      <c r="X24" s="42" t="s">
        <v>252</v>
      </c>
      <c r="Y24" s="42"/>
      <c r="Z24" s="42"/>
      <c r="AA24" s="42"/>
    </row>
    <row r="25" spans="2:27">
      <c r="B25" s="5" t="s">
        <v>179</v>
      </c>
      <c r="C25" s="544">
        <v>1099</v>
      </c>
      <c r="D25" s="536">
        <v>85605</v>
      </c>
      <c r="E25" s="536">
        <v>121940.66169835145</v>
      </c>
      <c r="F25" s="536">
        <v>134714.39008459897</v>
      </c>
      <c r="G25" s="536">
        <v>144257.79412839416</v>
      </c>
      <c r="H25" s="279">
        <f t="shared" si="3"/>
        <v>0.18999933438850336</v>
      </c>
      <c r="I25" s="248"/>
      <c r="J25" s="247" t="s">
        <v>10</v>
      </c>
      <c r="K25" s="247"/>
      <c r="L25" s="321">
        <v>0</v>
      </c>
      <c r="M25" s="321">
        <v>0</v>
      </c>
      <c r="N25" s="321">
        <v>0</v>
      </c>
      <c r="O25" s="321">
        <v>0</v>
      </c>
      <c r="P25" s="279" t="str">
        <f>IF(L25=0,"nm",IF(O25=0,"nm",(O25/L25)^(1/3)-1))</f>
        <v>nm</v>
      </c>
      <c r="S25" s="88"/>
      <c r="T25" s="42"/>
      <c r="U25" s="42"/>
      <c r="V25" s="147" t="s">
        <v>268</v>
      </c>
      <c r="W25" s="288">
        <f>D37/L9</f>
        <v>2.1845028412119718</v>
      </c>
      <c r="X25" s="288">
        <v>1</v>
      </c>
      <c r="Y25" s="42"/>
      <c r="Z25" s="42"/>
      <c r="AA25" s="42"/>
    </row>
    <row r="26" spans="2:27">
      <c r="B26" s="5" t="s">
        <v>581</v>
      </c>
      <c r="C26" s="544">
        <v>-40111</v>
      </c>
      <c r="D26" s="536">
        <v>-11370</v>
      </c>
      <c r="E26" s="536">
        <v>33385.122425790571</v>
      </c>
      <c r="F26" s="536">
        <v>87212.656475757161</v>
      </c>
      <c r="G26" s="536">
        <v>98359.138383913611</v>
      </c>
      <c r="H26" s="279">
        <f t="shared" si="3"/>
        <v>-3.0528225844054613</v>
      </c>
      <c r="I26" s="249"/>
      <c r="J26" s="249" t="s">
        <v>11</v>
      </c>
      <c r="K26" s="249"/>
      <c r="L26" s="281">
        <f>D11+L25</f>
        <v>1140363.861</v>
      </c>
      <c r="M26" s="281">
        <f>E11+M25</f>
        <v>1140363.861</v>
      </c>
      <c r="N26" s="281">
        <f>F11+N25</f>
        <v>1140363.861</v>
      </c>
      <c r="O26" s="281">
        <f>G11+O25</f>
        <v>1140363.861</v>
      </c>
      <c r="P26" s="279">
        <f>IF(L26=0,"nm",IF(O26=0,"nm",(O26/L26)^(1/3)-1))</f>
        <v>0</v>
      </c>
      <c r="Q26" s="5"/>
      <c r="S26" s="88"/>
      <c r="T26" s="42"/>
      <c r="U26" s="42"/>
      <c r="V26" s="147" t="s">
        <v>180</v>
      </c>
      <c r="W26" s="288">
        <f t="shared" ref="W26:W33" si="5">D38/L10</f>
        <v>1.3542478026260887</v>
      </c>
      <c r="X26" s="288">
        <v>1</v>
      </c>
      <c r="Y26" s="42"/>
      <c r="Z26" s="42"/>
      <c r="AA26" s="42"/>
    </row>
    <row r="27" spans="2:27">
      <c r="B27" s="5" t="s">
        <v>582</v>
      </c>
      <c r="C27" s="545">
        <v>22226</v>
      </c>
      <c r="D27" s="536">
        <v>65709</v>
      </c>
      <c r="E27" s="536">
        <v>193053.01290212298</v>
      </c>
      <c r="F27" s="536">
        <v>360143.40144632699</v>
      </c>
      <c r="G27" s="536">
        <v>544313.76667070913</v>
      </c>
      <c r="H27" s="279">
        <f t="shared" si="3"/>
        <v>1.0233677342933767</v>
      </c>
      <c r="I27" s="249"/>
      <c r="J27" s="248"/>
      <c r="K27" s="248"/>
      <c r="L27" s="248"/>
      <c r="M27" s="248"/>
      <c r="N27" s="248"/>
      <c r="O27" s="248"/>
      <c r="Q27" s="41"/>
      <c r="S27" s="88"/>
      <c r="T27" s="42"/>
      <c r="U27" s="42"/>
      <c r="V27" s="147" t="s">
        <v>181</v>
      </c>
      <c r="W27" s="288">
        <f t="shared" si="5"/>
        <v>1.2357730133807547</v>
      </c>
      <c r="X27" s="288">
        <v>1</v>
      </c>
      <c r="Y27" s="42"/>
      <c r="Z27" s="42"/>
      <c r="AA27" s="42"/>
    </row>
    <row r="28" spans="2:27">
      <c r="B28" s="5" t="s">
        <v>587</v>
      </c>
      <c r="C28" s="544">
        <v>211723</v>
      </c>
      <c r="D28" s="536">
        <v>266493</v>
      </c>
      <c r="E28" s="536">
        <v>293055.76227256085</v>
      </c>
      <c r="F28" s="536">
        <v>277138.88501040265</v>
      </c>
      <c r="G28" s="536">
        <v>258160.30183385022</v>
      </c>
      <c r="H28" s="279">
        <f t="shared" si="3"/>
        <v>-1.0533219632068769E-2</v>
      </c>
      <c r="I28" s="248"/>
      <c r="Q28" s="5"/>
      <c r="S28" s="88"/>
      <c r="T28" s="42"/>
      <c r="U28" s="42"/>
      <c r="V28" s="147" t="s">
        <v>461</v>
      </c>
      <c r="W28" s="288">
        <f t="shared" si="5"/>
        <v>-7.1459692060046294</v>
      </c>
      <c r="X28" s="288">
        <v>1</v>
      </c>
      <c r="Y28" s="42"/>
      <c r="Z28" s="42"/>
      <c r="AA28" s="42"/>
    </row>
    <row r="29" spans="2:27" ht="12.6" thickBot="1">
      <c r="B29" s="5" t="s">
        <v>583</v>
      </c>
      <c r="C29" s="544">
        <v>32429</v>
      </c>
      <c r="D29" s="536">
        <v>23986</v>
      </c>
      <c r="E29" s="536">
        <v>43406.128203771514</v>
      </c>
      <c r="F29" s="536">
        <v>95794.609330605046</v>
      </c>
      <c r="G29" s="536">
        <v>104789.81001702097</v>
      </c>
      <c r="H29" s="279">
        <f t="shared" si="3"/>
        <v>0.63475901584017325</v>
      </c>
      <c r="I29" s="252"/>
      <c r="J29" s="306" t="s">
        <v>1353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525</v>
      </c>
      <c r="W29" s="288">
        <f t="shared" si="5"/>
        <v>13.804071296825503</v>
      </c>
      <c r="X29" s="288">
        <v>1</v>
      </c>
      <c r="Y29" s="42"/>
      <c r="Z29" s="42"/>
      <c r="AA29" s="42"/>
    </row>
    <row r="30" spans="2:27" ht="12.6" thickTop="1">
      <c r="B30" s="5" t="s">
        <v>584</v>
      </c>
      <c r="C30" s="545">
        <v>20400</v>
      </c>
      <c r="D30" s="536">
        <v>60362</v>
      </c>
      <c r="E30" s="536">
        <v>69968.89047633241</v>
      </c>
      <c r="F30" s="536">
        <v>79877.732068446872</v>
      </c>
      <c r="G30" s="536">
        <v>85811.226840468516</v>
      </c>
      <c r="H30" s="279">
        <f t="shared" si="3"/>
        <v>0.12441551640085269</v>
      </c>
      <c r="I30" s="254"/>
      <c r="J30" s="248"/>
      <c r="K30" s="248"/>
      <c r="L30" s="248"/>
      <c r="M30" s="248"/>
      <c r="N30" s="248"/>
      <c r="O30" s="5"/>
      <c r="Q30" s="5"/>
      <c r="S30" s="88"/>
      <c r="T30" s="42"/>
      <c r="U30" s="42"/>
      <c r="V30" s="147" t="s">
        <v>588</v>
      </c>
      <c r="W30" s="288">
        <f t="shared" si="5"/>
        <v>1.658867332958103</v>
      </c>
      <c r="X30" s="288">
        <v>1</v>
      </c>
      <c r="Y30" s="42"/>
      <c r="Z30" s="42"/>
      <c r="AA30" s="42"/>
    </row>
    <row r="31" spans="2:27">
      <c r="B31" s="5" t="s">
        <v>585</v>
      </c>
      <c r="C31" s="545">
        <v>0</v>
      </c>
      <c r="D31" s="536">
        <v>0</v>
      </c>
      <c r="E31" s="536">
        <v>0</v>
      </c>
      <c r="F31" s="536">
        <v>0</v>
      </c>
      <c r="G31" s="536">
        <v>0</v>
      </c>
      <c r="H31" s="279" t="str">
        <f t="shared" si="3"/>
        <v>nm</v>
      </c>
      <c r="I31" s="254"/>
      <c r="J31" s="5" t="s">
        <v>731</v>
      </c>
      <c r="K31" s="247"/>
      <c r="L31" s="322">
        <v>219736</v>
      </c>
      <c r="M31" s="322">
        <v>232920.16</v>
      </c>
      <c r="N31" s="322">
        <v>236413.96239999999</v>
      </c>
      <c r="O31" s="322">
        <v>239960.17183599996</v>
      </c>
      <c r="Q31" s="5"/>
      <c r="S31" s="88"/>
      <c r="T31" s="42"/>
      <c r="U31" s="42"/>
      <c r="V31" s="147" t="s">
        <v>470</v>
      </c>
      <c r="W31" s="288">
        <f t="shared" si="5"/>
        <v>2.4150340151119289</v>
      </c>
      <c r="X31" s="288">
        <v>1</v>
      </c>
      <c r="Y31" s="42"/>
      <c r="Z31" s="42"/>
      <c r="AA31" s="42"/>
    </row>
    <row r="32" spans="2:27">
      <c r="B32" s="5" t="s">
        <v>601</v>
      </c>
      <c r="C32" s="546">
        <v>0</v>
      </c>
      <c r="D32" s="536">
        <v>0</v>
      </c>
      <c r="E32" s="536">
        <v>0</v>
      </c>
      <c r="F32" s="536">
        <v>0</v>
      </c>
      <c r="G32" s="536">
        <v>0</v>
      </c>
      <c r="H32" s="279" t="str">
        <f t="shared" si="3"/>
        <v>nm</v>
      </c>
      <c r="I32" s="254"/>
      <c r="J32" s="5" t="s">
        <v>1351</v>
      </c>
      <c r="K32" s="254"/>
      <c r="L32" s="322">
        <v>368588</v>
      </c>
      <c r="M32" s="322">
        <v>406690.7120169191</v>
      </c>
      <c r="N32" s="322">
        <v>421046.89415111631</v>
      </c>
      <c r="O32" s="322">
        <v>435909.84951465065</v>
      </c>
      <c r="Q32" s="5"/>
      <c r="S32" s="88"/>
      <c r="T32" s="42"/>
      <c r="U32" s="42"/>
      <c r="V32" s="147" t="s">
        <v>528</v>
      </c>
      <c r="W32" s="288">
        <f t="shared" si="5"/>
        <v>0.88291374097943309</v>
      </c>
      <c r="X32" s="288">
        <v>1</v>
      </c>
      <c r="Y32" s="42"/>
      <c r="Z32" s="42"/>
      <c r="AA32" s="42"/>
    </row>
    <row r="33" spans="2:27">
      <c r="B33" s="5" t="s">
        <v>5</v>
      </c>
      <c r="C33" s="545">
        <v>33944</v>
      </c>
      <c r="D33" s="536">
        <v>35800</v>
      </c>
      <c r="E33" s="536">
        <v>12841.934090149743</v>
      </c>
      <c r="F33" s="536">
        <v>10945.496050313079</v>
      </c>
      <c r="G33" s="536">
        <v>8844.7743060389057</v>
      </c>
      <c r="H33" s="279">
        <f>IF(D33=0,"nm",IF(G33=0,"nm",(G33/D33)^(1/3)-1))</f>
        <v>-0.37251804219592799</v>
      </c>
      <c r="I33" s="5"/>
      <c r="Q33" s="5"/>
      <c r="S33" s="88"/>
      <c r="T33" s="42"/>
      <c r="U33" s="42"/>
      <c r="V33" s="147" t="s">
        <v>575</v>
      </c>
      <c r="W33" s="288">
        <f t="shared" si="5"/>
        <v>0</v>
      </c>
      <c r="X33" s="288">
        <v>1</v>
      </c>
      <c r="Y33" s="42"/>
      <c r="Z33" s="42"/>
      <c r="AA33" s="42"/>
    </row>
    <row r="34" spans="2:27">
      <c r="H34" s="277"/>
      <c r="I34" s="49"/>
      <c r="Q34" s="5"/>
      <c r="S34" s="88"/>
      <c r="T34" s="42"/>
      <c r="U34" s="42"/>
      <c r="V34" s="147" t="s">
        <v>576</v>
      </c>
      <c r="W34" s="288">
        <f>D47/L19</f>
        <v>0.41407284276020989</v>
      </c>
      <c r="X34" s="288">
        <v>1</v>
      </c>
      <c r="Y34" s="288"/>
      <c r="Z34" s="288"/>
      <c r="AA34" s="42"/>
    </row>
    <row r="35" spans="2:27" ht="12.6" thickBot="1">
      <c r="B35" s="306" t="s">
        <v>758</v>
      </c>
      <c r="C35" s="265"/>
      <c r="D35" s="265" t="str">
        <f>D5</f>
        <v>2023E</v>
      </c>
      <c r="E35" s="265" t="str">
        <f t="shared" ref="E35:H35" si="7">E5</f>
        <v>2024E</v>
      </c>
      <c r="F35" s="265" t="str">
        <f t="shared" si="7"/>
        <v>2025E</v>
      </c>
      <c r="G35" s="265" t="str">
        <f t="shared" si="7"/>
        <v>2026E</v>
      </c>
      <c r="H35" s="265" t="str">
        <f t="shared" si="7"/>
        <v>23E-26E</v>
      </c>
      <c r="I35" s="254"/>
      <c r="J35" s="306" t="s">
        <v>1352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D$18/D23</f>
        <v>4.7028484052782114</v>
      </c>
      <c r="E37" s="525">
        <f t="shared" ref="E37:G41" si="8">E$18/E23</f>
        <v>4.147274917161238</v>
      </c>
      <c r="F37" s="525">
        <f t="shared" si="8"/>
        <v>3.6087590593088459</v>
      </c>
      <c r="G37" s="525">
        <f t="shared" si="8"/>
        <v>3.1894435753817034</v>
      </c>
      <c r="H37" s="17">
        <f t="shared" ref="H37:H45" si="9">H23</f>
        <v>7.2738390856111668E-2</v>
      </c>
      <c r="I37" s="5"/>
      <c r="J37" s="248"/>
      <c r="K37" s="248"/>
      <c r="L37" s="248"/>
      <c r="M37" s="248"/>
      <c r="N37" s="248"/>
      <c r="O37" s="5"/>
      <c r="Q37" s="5"/>
      <c r="R37" s="5"/>
      <c r="S37" s="42"/>
      <c r="T37" s="42"/>
      <c r="U37" s="42"/>
      <c r="V37" s="42"/>
      <c r="W37" s="42"/>
      <c r="X37" s="42"/>
      <c r="Y37" s="42"/>
      <c r="Z37" s="42"/>
      <c r="AA37" s="42"/>
    </row>
    <row r="38" spans="2:27">
      <c r="B38" s="5" t="s">
        <v>180</v>
      </c>
      <c r="C38" s="247"/>
      <c r="D38" s="525">
        <f>D$18/D24</f>
        <v>8.9341936964463642</v>
      </c>
      <c r="E38" s="525">
        <f>E$18/E24</f>
        <v>7.8016090920378343</v>
      </c>
      <c r="F38" s="525">
        <f t="shared" si="8"/>
        <v>6.7698364372306834</v>
      </c>
      <c r="G38" s="525">
        <f t="shared" si="8"/>
        <v>5.9854576684631597</v>
      </c>
      <c r="H38" s="17">
        <f t="shared" si="9"/>
        <v>7.7120945837035215E-2</v>
      </c>
      <c r="I38" s="259"/>
      <c r="J38" s="252"/>
      <c r="K38" s="252"/>
      <c r="L38" s="252"/>
      <c r="M38" s="252"/>
      <c r="N38" s="252"/>
      <c r="O38" s="5"/>
      <c r="Q38" s="5"/>
      <c r="R38" s="5"/>
      <c r="S38" s="42"/>
      <c r="T38" s="42"/>
      <c r="U38" s="42"/>
      <c r="V38" s="42"/>
      <c r="W38" s="42"/>
      <c r="X38" s="42"/>
      <c r="Y38" s="42"/>
      <c r="Z38" s="42"/>
      <c r="AA38" s="42"/>
    </row>
    <row r="39" spans="2:27">
      <c r="B39" s="5" t="s">
        <v>181</v>
      </c>
      <c r="C39" s="247"/>
      <c r="D39" s="525">
        <f>D$18/D25</f>
        <v>15.712199766368787</v>
      </c>
      <c r="E39" s="525">
        <f t="shared" si="8"/>
        <v>10.756524692468041</v>
      </c>
      <c r="F39" s="525">
        <f t="shared" si="8"/>
        <v>9.0891929312786548</v>
      </c>
      <c r="G39" s="525">
        <f t="shared" si="8"/>
        <v>7.8060665665820812</v>
      </c>
      <c r="H39" s="17">
        <f t="shared" si="9"/>
        <v>0.18999933438850336</v>
      </c>
      <c r="I39" s="17"/>
      <c r="J39" s="259"/>
      <c r="K39" s="259"/>
      <c r="L39" s="259"/>
      <c r="M39" s="259"/>
      <c r="N39" s="259"/>
      <c r="O39" s="18"/>
      <c r="Q39" s="5"/>
      <c r="R39" s="5"/>
      <c r="S39" s="42"/>
      <c r="T39" s="42"/>
      <c r="U39" s="42"/>
      <c r="V39" s="42"/>
      <c r="W39" s="42"/>
      <c r="X39" s="42"/>
      <c r="Y39" s="42"/>
      <c r="Z39" s="42"/>
      <c r="AA39" s="42"/>
    </row>
    <row r="40" spans="2:27">
      <c r="B40" s="5" t="s">
        <v>461</v>
      </c>
      <c r="C40" s="247"/>
      <c r="D40" s="525">
        <f>D$18/D26</f>
        <v>-118.29752515391381</v>
      </c>
      <c r="E40" s="525">
        <f t="shared" si="8"/>
        <v>39.28869038865443</v>
      </c>
      <c r="F40" s="525">
        <f t="shared" si="8"/>
        <v>14.039763625808327</v>
      </c>
      <c r="G40" s="525">
        <f t="shared" si="8"/>
        <v>11.448717040598915</v>
      </c>
      <c r="H40" s="17">
        <f t="shared" si="9"/>
        <v>-3.0528225844054613</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20.469690012022706</v>
      </c>
      <c r="E41" s="525">
        <f t="shared" si="8"/>
        <v>6.7942878427865514</v>
      </c>
      <c r="F41" s="525">
        <f t="shared" si="8"/>
        <v>3.3998820391574891</v>
      </c>
      <c r="G41" s="525">
        <f t="shared" si="8"/>
        <v>2.068817679556838</v>
      </c>
      <c r="H41" s="17">
        <f t="shared" si="9"/>
        <v>1.0233677342933767</v>
      </c>
      <c r="I41" s="247"/>
      <c r="J41" s="259"/>
      <c r="K41" s="259"/>
      <c r="L41" s="259"/>
      <c r="M41" s="259"/>
      <c r="N41" s="259"/>
      <c r="O41" s="18"/>
      <c r="Q41" s="5"/>
      <c r="R41" s="5"/>
      <c r="S41" s="42"/>
      <c r="T41" s="42"/>
      <c r="U41" s="42"/>
      <c r="V41" s="42"/>
      <c r="W41" s="288"/>
      <c r="X41" s="288"/>
      <c r="Y41" s="288"/>
      <c r="Z41" s="288"/>
      <c r="AA41" s="42"/>
    </row>
    <row r="42" spans="2:27">
      <c r="B42" s="5" t="s">
        <v>588</v>
      </c>
      <c r="C42" s="247"/>
      <c r="D42" s="525">
        <f>D18/D28</f>
        <v>5.0471977162627164</v>
      </c>
      <c r="E42" s="525">
        <f>E18/E28</f>
        <v>4.4757957611981114</v>
      </c>
      <c r="F42" s="525">
        <f>F18/F28</f>
        <v>4.4181641347532006</v>
      </c>
      <c r="G42" s="525">
        <f>G18/G28</f>
        <v>4.3619640034325569</v>
      </c>
      <c r="H42" s="17">
        <f t="shared" si="9"/>
        <v>-1.0533219632068769E-2</v>
      </c>
      <c r="I42" s="248"/>
      <c r="J42" s="5"/>
      <c r="K42" s="5"/>
      <c r="L42" s="5"/>
      <c r="M42" s="5"/>
      <c r="N42" s="5"/>
      <c r="O42" s="5"/>
      <c r="Q42" s="5"/>
      <c r="R42" s="5"/>
      <c r="S42" s="42"/>
      <c r="T42" s="42"/>
      <c r="U42" s="42"/>
      <c r="V42" s="42"/>
      <c r="W42" s="288"/>
      <c r="X42" s="288"/>
      <c r="Y42" s="288"/>
      <c r="Z42" s="288"/>
      <c r="AA42" s="42"/>
    </row>
    <row r="43" spans="2:27">
      <c r="B43" s="5" t="s">
        <v>470</v>
      </c>
      <c r="C43" s="247"/>
      <c r="D43" s="525">
        <f>L26/D29</f>
        <v>47.54289422996748</v>
      </c>
      <c r="E43" s="525">
        <f>M26/E29</f>
        <v>26.271955324983697</v>
      </c>
      <c r="F43" s="525">
        <f>N26/F29</f>
        <v>11.904259216344752</v>
      </c>
      <c r="G43" s="525">
        <f>O26/G29</f>
        <v>10.882392675535639</v>
      </c>
      <c r="H43" s="17">
        <f t="shared" si="9"/>
        <v>0.63475901584017325</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18.89208212120208</v>
      </c>
      <c r="E44" s="525">
        <f>E11/E30</f>
        <v>16.298155555085415</v>
      </c>
      <c r="F44" s="525">
        <f>F11/F30</f>
        <v>14.27636753660992</v>
      </c>
      <c r="G44" s="525">
        <f>G11/G30</f>
        <v>13.289215210965907</v>
      </c>
      <c r="H44" s="17">
        <f t="shared" si="9"/>
        <v>0.12441551640085269</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9"/>
        <v>nm</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0</v>
      </c>
      <c r="E46" s="248">
        <f>(E31+E32)/E11</f>
        <v>0</v>
      </c>
      <c r="F46" s="248">
        <f>(F31+F32)/F11</f>
        <v>0</v>
      </c>
      <c r="G46" s="248">
        <f>(G31+G32)/G11</f>
        <v>0</v>
      </c>
      <c r="H46" s="279" t="e">
        <f>((G31+G32)/(D31+D32))^(1/3)-1</f>
        <v>#DIV/0!</v>
      </c>
      <c r="I46" s="247"/>
      <c r="J46" s="5"/>
      <c r="K46" s="5"/>
      <c r="L46" s="5"/>
      <c r="M46" s="5"/>
      <c r="N46" s="5"/>
      <c r="O46" s="5"/>
      <c r="Q46" s="5"/>
      <c r="R46" s="5"/>
      <c r="S46" s="42"/>
      <c r="T46" s="42"/>
      <c r="U46" s="42"/>
      <c r="V46" s="42"/>
      <c r="W46" s="42"/>
      <c r="X46" s="42"/>
      <c r="Y46" s="42"/>
      <c r="Z46" s="42"/>
      <c r="AA46" s="326"/>
    </row>
    <row r="47" spans="2:27">
      <c r="B47" s="5" t="s">
        <v>576</v>
      </c>
      <c r="C47" s="5"/>
      <c r="D47" s="248">
        <f>1/D43</f>
        <v>2.1033637438287778E-2</v>
      </c>
      <c r="E47" s="248">
        <f>1/E43</f>
        <v>3.8063402119485015E-2</v>
      </c>
      <c r="F47" s="248">
        <f>1/F43</f>
        <v>8.4003547119251482E-2</v>
      </c>
      <c r="G47" s="248">
        <f>1/G43</f>
        <v>9.1891556371428151E-2</v>
      </c>
      <c r="H47" s="17">
        <f>H29</f>
        <v>0.63475901584017325</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589</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971</v>
      </c>
      <c r="C9" s="267">
        <f>Prices!C8</f>
        <v>143.94999999999999</v>
      </c>
      <c r="D9" s="531">
        <v>0</v>
      </c>
      <c r="E9" s="532">
        <v>0</v>
      </c>
      <c r="F9" s="532">
        <v>0</v>
      </c>
      <c r="G9" s="532">
        <v>0</v>
      </c>
      <c r="H9" s="249"/>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27">
      <c r="B10" s="5" t="s">
        <v>269</v>
      </c>
      <c r="C10" s="5"/>
      <c r="D10" s="527">
        <v>9779.6709879999999</v>
      </c>
      <c r="E10" s="527">
        <v>9749.6709879999999</v>
      </c>
      <c r="F10" s="527">
        <v>9719.6709879999999</v>
      </c>
      <c r="G10" s="527">
        <v>9689.6709879999999</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27">
      <c r="B11" s="41" t="s">
        <v>972</v>
      </c>
      <c r="C11" s="5"/>
      <c r="D11" s="528">
        <f>$C$9*D10/100</f>
        <v>14077.836387226</v>
      </c>
      <c r="E11" s="528">
        <f t="shared" ref="E11:G11" si="2">$C$9*E10/100</f>
        <v>14034.651387226</v>
      </c>
      <c r="F11" s="528">
        <f t="shared" si="2"/>
        <v>13991.466387225999</v>
      </c>
      <c r="G11" s="528">
        <f t="shared" si="2"/>
        <v>13948.281387225999</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27">
      <c r="B12" s="5" t="s">
        <v>24</v>
      </c>
      <c r="C12" s="249"/>
      <c r="D12" s="529">
        <v>14524</v>
      </c>
      <c r="E12" s="529">
        <v>15210.477003457199</v>
      </c>
      <c r="F12" s="529">
        <v>15616.176971111297</v>
      </c>
      <c r="G12" s="529">
        <v>15936.162889123345</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27">
      <c r="B13" s="5" t="s">
        <v>524</v>
      </c>
      <c r="C13" s="257"/>
      <c r="D13" s="529">
        <v>6753.5065563766502</v>
      </c>
      <c r="E13" s="529">
        <v>6207.9883886989719</v>
      </c>
      <c r="F13" s="529">
        <v>5539.544346637872</v>
      </c>
      <c r="G13" s="529">
        <v>4853.3037591140392</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27">
      <c r="B14" s="5" t="s">
        <v>527</v>
      </c>
      <c r="C14" s="257"/>
      <c r="D14" s="534">
        <v>0</v>
      </c>
      <c r="E14" s="529">
        <f>D14</f>
        <v>0</v>
      </c>
      <c r="F14" s="529">
        <f t="shared" ref="F14:G14" si="3">E14</f>
        <v>0</v>
      </c>
      <c r="G14" s="529">
        <f t="shared" si="3"/>
        <v>0</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27">
      <c r="B15" s="5" t="s">
        <v>526</v>
      </c>
      <c r="C15" s="274"/>
      <c r="D15" s="534">
        <v>0</v>
      </c>
      <c r="E15" s="529">
        <f t="shared" ref="E15:G15" si="4">D15</f>
        <v>0</v>
      </c>
      <c r="F15" s="529">
        <f t="shared" si="4"/>
        <v>0</v>
      </c>
      <c r="G15" s="529">
        <f t="shared" si="4"/>
        <v>0</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27">
      <c r="B16" s="5" t="s">
        <v>529</v>
      </c>
      <c r="C16" s="257"/>
      <c r="D16" s="529">
        <v>0</v>
      </c>
      <c r="E16" s="529">
        <v>790.68937503291204</v>
      </c>
      <c r="F16" s="529">
        <v>1610.4814962671405</v>
      </c>
      <c r="G16" s="529">
        <v>2499.1748471264727</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973</v>
      </c>
      <c r="C18" s="249"/>
      <c r="D18" s="530">
        <f>D11+D12+D13-D14+D15-D16-D17</f>
        <v>35355.342943602649</v>
      </c>
      <c r="E18" s="530">
        <f>E11+E12+E13-E14+E15-E16-E17</f>
        <v>34662.427404349262</v>
      </c>
      <c r="F18" s="530">
        <f>F11+F12+F13-F14+F15-F16-F17</f>
        <v>33536.706208708034</v>
      </c>
      <c r="G18" s="530">
        <f>G11+G12+G13-G14+G15-G16-G17</f>
        <v>32238.573188336908</v>
      </c>
      <c r="H18" s="276">
        <f>IF(D18=0,"nm",IF(G18=0,"nm",(G18/D18)^(1/3)-1))</f>
        <v>-3.0293620414168387E-2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922</v>
      </c>
      <c r="C21" s="265"/>
      <c r="D21" s="265" t="str">
        <f>D5</f>
        <v>2023E</v>
      </c>
      <c r="E21" s="265" t="str">
        <f t="shared" ref="E21:H21" si="5">E5</f>
        <v>2024E</v>
      </c>
      <c r="F21" s="265" t="str">
        <f t="shared" si="5"/>
        <v>2025E</v>
      </c>
      <c r="G21" s="265" t="str">
        <f t="shared" si="5"/>
        <v>2026E</v>
      </c>
      <c r="H21" s="265" t="str">
        <f t="shared" si="5"/>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20835</v>
      </c>
      <c r="D23" s="536">
        <v>20872.391491416623</v>
      </c>
      <c r="E23" s="536">
        <v>20850.155534134268</v>
      </c>
      <c r="F23" s="536">
        <v>20868.762122372344</v>
      </c>
      <c r="G23" s="536">
        <v>20892.069205795255</v>
      </c>
      <c r="H23" s="279">
        <f t="shared" ref="H23:H32" si="6">IF(D23=0,"nm",IF(G23=0,"nm",(G23/D23)^(1/3)-1))</f>
        <v>3.1415556474456707E-4</v>
      </c>
      <c r="I23" s="247"/>
      <c r="J23" s="306" t="s">
        <v>9</v>
      </c>
      <c r="K23" s="306"/>
      <c r="L23" s="265" t="str">
        <f>D21</f>
        <v>2023E</v>
      </c>
      <c r="M23" s="265" t="str">
        <f t="shared" ref="M23:P23" si="7">E21</f>
        <v>2024E</v>
      </c>
      <c r="N23" s="265" t="str">
        <f t="shared" si="7"/>
        <v>2025E</v>
      </c>
      <c r="O23" s="265" t="str">
        <f t="shared" si="7"/>
        <v>2026E</v>
      </c>
      <c r="P23" s="265" t="str">
        <f t="shared" si="7"/>
        <v>23E-26E</v>
      </c>
      <c r="S23" s="88"/>
      <c r="T23" s="42"/>
      <c r="U23" s="42"/>
      <c r="V23" s="42"/>
      <c r="W23" s="42"/>
      <c r="X23" s="42"/>
      <c r="Y23" s="42"/>
      <c r="Z23" s="42"/>
      <c r="AA23" s="42"/>
    </row>
    <row r="24" spans="2:27" ht="12.6" thickTop="1">
      <c r="B24" s="5" t="s">
        <v>1513</v>
      </c>
      <c r="C24" s="544">
        <v>7031.5</v>
      </c>
      <c r="D24" s="536">
        <v>7032</v>
      </c>
      <c r="E24" s="536">
        <v>7131.2949999999992</v>
      </c>
      <c r="F24" s="536">
        <v>7215.5410499999998</v>
      </c>
      <c r="G24" s="536">
        <v>7410.8439709999993</v>
      </c>
      <c r="H24" s="279">
        <f t="shared" si="6"/>
        <v>1.7644920518030904E-2</v>
      </c>
      <c r="I24" s="249"/>
      <c r="J24" s="17"/>
      <c r="K24" s="17"/>
      <c r="L24" s="17"/>
      <c r="M24" s="17"/>
      <c r="N24" s="17"/>
      <c r="O24" s="248"/>
      <c r="S24" s="88"/>
      <c r="T24" s="42"/>
      <c r="U24" s="42"/>
      <c r="V24" s="42"/>
      <c r="W24" s="42" t="s">
        <v>278</v>
      </c>
      <c r="X24" s="42" t="s">
        <v>246</v>
      </c>
      <c r="Y24" s="42"/>
      <c r="Z24" s="42"/>
      <c r="AA24" s="42"/>
    </row>
    <row r="25" spans="2:27">
      <c r="B25" s="5" t="s">
        <v>179</v>
      </c>
      <c r="C25" s="544">
        <v>1975.5</v>
      </c>
      <c r="D25" s="536">
        <v>1992</v>
      </c>
      <c r="E25" s="536">
        <v>2131.2952613660354</v>
      </c>
      <c r="F25" s="536">
        <v>2310.5277721651837</v>
      </c>
      <c r="G25" s="536">
        <v>2842.7547503402448</v>
      </c>
      <c r="H25" s="279">
        <f t="shared" si="6"/>
        <v>0.12585731340470874</v>
      </c>
      <c r="I25" s="248"/>
      <c r="J25" s="247" t="s">
        <v>10</v>
      </c>
      <c r="K25" s="247"/>
      <c r="L25" s="321">
        <v>1547.5432863395777</v>
      </c>
      <c r="M25" s="321">
        <v>1710.1727359777353</v>
      </c>
      <c r="N25" s="321">
        <v>1634.5786739166406</v>
      </c>
      <c r="O25" s="321">
        <v>1553.0450659928038</v>
      </c>
      <c r="P25" s="279">
        <f>IF(L25=0,"nm",IF(O25=0,"nm",(O25/L25)^(1/3)-1))</f>
        <v>1.1836551149322361E-3</v>
      </c>
      <c r="S25" s="88"/>
      <c r="T25" s="42"/>
      <c r="U25" s="42"/>
      <c r="V25" s="147" t="s">
        <v>268</v>
      </c>
      <c r="W25" s="288">
        <f>D37/L9</f>
        <v>0.72952375040511086</v>
      </c>
      <c r="X25" s="288">
        <v>1</v>
      </c>
      <c r="Y25" s="42"/>
      <c r="Z25" s="42"/>
      <c r="AA25" s="42"/>
    </row>
    <row r="26" spans="2:27">
      <c r="B26" s="5" t="s">
        <v>581</v>
      </c>
      <c r="C26" s="544">
        <v>1865.0527318932654</v>
      </c>
      <c r="D26" s="536">
        <v>1578.6643417611158</v>
      </c>
      <c r="E26" s="536">
        <v>1598.4714460245266</v>
      </c>
      <c r="F26" s="536">
        <v>1732.8958291238878</v>
      </c>
      <c r="G26" s="536">
        <v>2132.0660627551833</v>
      </c>
      <c r="H26" s="279">
        <f t="shared" si="6"/>
        <v>0.10535968113946526</v>
      </c>
      <c r="I26" s="249"/>
      <c r="J26" s="249" t="s">
        <v>11</v>
      </c>
      <c r="K26" s="249"/>
      <c r="L26" s="281">
        <f>D11+L25</f>
        <v>15625.379673565578</v>
      </c>
      <c r="M26" s="281">
        <f>E11+M25</f>
        <v>15744.824123203736</v>
      </c>
      <c r="N26" s="281">
        <f>F11+N25</f>
        <v>15626.045061142639</v>
      </c>
      <c r="O26" s="281">
        <f>G11+O25</f>
        <v>15501.326453218804</v>
      </c>
      <c r="P26" s="279">
        <f>IF(L26=0,"nm",IF(O26=0,"nm",(O26/L26)^(1/3)-1))</f>
        <v>-2.653438906103478E-3</v>
      </c>
      <c r="Q26" s="5"/>
      <c r="S26" s="88"/>
      <c r="T26" s="42"/>
      <c r="U26" s="42"/>
      <c r="V26" s="147" t="s">
        <v>180</v>
      </c>
      <c r="W26" s="288">
        <f t="shared" ref="W26:W33" si="8">D38/L10</f>
        <v>0.71892193291004924</v>
      </c>
      <c r="X26" s="288">
        <v>1</v>
      </c>
      <c r="Y26" s="42"/>
      <c r="Z26" s="42"/>
      <c r="AA26" s="42"/>
    </row>
    <row r="27" spans="2:27">
      <c r="B27" s="5" t="s">
        <v>582</v>
      </c>
      <c r="C27" s="544">
        <v>28014</v>
      </c>
      <c r="D27" s="536">
        <v>27042</v>
      </c>
      <c r="E27" s="536">
        <v>28241.88308372633</v>
      </c>
      <c r="F27" s="536">
        <v>29124.515947923195</v>
      </c>
      <c r="G27" s="536">
        <v>30018.194346490025</v>
      </c>
      <c r="H27" s="279">
        <f t="shared" si="6"/>
        <v>3.5416907064302672E-2</v>
      </c>
      <c r="I27" s="249"/>
      <c r="J27" s="248"/>
      <c r="K27" s="248"/>
      <c r="L27" s="248"/>
      <c r="M27" s="248"/>
      <c r="N27" s="248"/>
      <c r="O27" s="248"/>
      <c r="Q27" s="41"/>
      <c r="S27" s="88"/>
      <c r="T27" s="42"/>
      <c r="U27" s="42"/>
      <c r="V27" s="147" t="s">
        <v>181</v>
      </c>
      <c r="W27" s="288">
        <f t="shared" si="8"/>
        <v>1.230889905748312</v>
      </c>
      <c r="X27" s="288">
        <v>1</v>
      </c>
      <c r="Y27" s="42"/>
      <c r="Z27" s="42"/>
      <c r="AA27" s="42"/>
    </row>
    <row r="28" spans="2:27" ht="12.6" thickBot="1">
      <c r="B28" s="5" t="s">
        <v>587</v>
      </c>
      <c r="C28" s="544">
        <v>21667</v>
      </c>
      <c r="D28" s="536">
        <v>22562</v>
      </c>
      <c r="E28" s="536">
        <v>23038.078633531939</v>
      </c>
      <c r="F28" s="536">
        <v>23451.999855553418</v>
      </c>
      <c r="G28" s="536">
        <v>23663.066747438836</v>
      </c>
      <c r="H28" s="279">
        <f t="shared" si="6"/>
        <v>1.6009599514313022E-2</v>
      </c>
      <c r="I28" s="248"/>
      <c r="J28" s="306" t="s">
        <v>1352</v>
      </c>
      <c r="K28" s="306"/>
      <c r="L28" s="306"/>
      <c r="M28" s="306"/>
      <c r="N28" s="266"/>
      <c r="O28" s="266"/>
      <c r="P28" s="266"/>
      <c r="Q28" s="5"/>
      <c r="S28" s="88"/>
      <c r="T28" s="42"/>
      <c r="U28" s="42"/>
      <c r="V28" s="147" t="s">
        <v>461</v>
      </c>
      <c r="W28" s="288">
        <f t="shared" si="8"/>
        <v>1.1580159004231629</v>
      </c>
      <c r="X28" s="288">
        <v>1</v>
      </c>
      <c r="Y28" s="42"/>
      <c r="Z28" s="42"/>
      <c r="AA28" s="42"/>
    </row>
    <row r="29" spans="2:27" ht="12.6" thickTop="1">
      <c r="B29" s="5" t="s">
        <v>583</v>
      </c>
      <c r="C29" s="544">
        <v>1185.9893997701388</v>
      </c>
      <c r="D29" s="536">
        <v>1183.6952609508057</v>
      </c>
      <c r="E29" s="536">
        <v>1080.2317682500245</v>
      </c>
      <c r="F29" s="536">
        <v>1090.5327896095466</v>
      </c>
      <c r="G29" s="536">
        <v>1407.5642414308188</v>
      </c>
      <c r="H29" s="279">
        <f t="shared" si="6"/>
        <v>5.9439364309655573E-2</v>
      </c>
      <c r="I29" s="252"/>
      <c r="J29" s="249"/>
      <c r="K29" s="249"/>
      <c r="L29" s="249"/>
      <c r="M29" s="249"/>
      <c r="N29" s="249"/>
      <c r="O29" s="251"/>
      <c r="Q29" s="5"/>
      <c r="S29" s="88"/>
      <c r="T29" s="42"/>
      <c r="U29" s="42"/>
      <c r="V29" s="147" t="s">
        <v>525</v>
      </c>
      <c r="W29" s="288">
        <f t="shared" si="8"/>
        <v>0.87373670728989372</v>
      </c>
      <c r="X29" s="288">
        <v>1</v>
      </c>
      <c r="Y29" s="42"/>
      <c r="Z29" s="42"/>
      <c r="AA29" s="42"/>
    </row>
    <row r="30" spans="2:27">
      <c r="B30" s="5" t="s">
        <v>584</v>
      </c>
      <c r="C30" s="544">
        <v>2191.2343997701387</v>
      </c>
      <c r="D30" s="536">
        <v>1732.3452609508056</v>
      </c>
      <c r="E30" s="536">
        <v>1500.8714552265321</v>
      </c>
      <c r="F30" s="536">
        <v>1463.0895367471198</v>
      </c>
      <c r="G30" s="536">
        <v>1526.6621776065094</v>
      </c>
      <c r="H30" s="279">
        <f t="shared" si="6"/>
        <v>-4.1255619760983686E-2</v>
      </c>
      <c r="I30" s="254"/>
      <c r="J30" s="248"/>
      <c r="K30" s="248"/>
      <c r="L30" s="248"/>
      <c r="M30" s="248"/>
      <c r="N30" s="248"/>
      <c r="O30" s="5"/>
      <c r="Q30" s="5"/>
      <c r="S30" s="88"/>
      <c r="T30" s="42"/>
      <c r="U30" s="42"/>
      <c r="V30" s="147" t="s">
        <v>588</v>
      </c>
      <c r="W30" s="288">
        <f t="shared" si="8"/>
        <v>0.47459290360977141</v>
      </c>
      <c r="X30" s="288">
        <v>1</v>
      </c>
      <c r="Y30" s="42"/>
      <c r="Z30" s="42"/>
      <c r="AA30" s="42"/>
    </row>
    <row r="31" spans="2:27">
      <c r="B31" s="5" t="s">
        <v>585</v>
      </c>
      <c r="C31" s="544">
        <v>749.83660143700001</v>
      </c>
      <c r="D31" s="536">
        <v>782.37367903999996</v>
      </c>
      <c r="E31" s="536">
        <v>811.17262620160011</v>
      </c>
      <c r="F31" s="536">
        <v>841.02369124966413</v>
      </c>
      <c r="G31" s="536">
        <v>1006.1134214995968</v>
      </c>
      <c r="H31" s="279">
        <f>IF(D31=0,"nm",IF(G31=0,"nm",(G31/D31)^(1/3)-1))</f>
        <v>8.7454021669845394E-2</v>
      </c>
      <c r="I31" s="254"/>
      <c r="J31" s="252"/>
      <c r="K31" s="252"/>
      <c r="L31" s="252"/>
      <c r="M31" s="252"/>
      <c r="N31" s="252"/>
      <c r="O31" s="5"/>
      <c r="Q31" s="5"/>
      <c r="S31" s="88"/>
      <c r="T31" s="42"/>
      <c r="U31" s="42"/>
      <c r="V31" s="147" t="s">
        <v>470</v>
      </c>
      <c r="W31" s="288">
        <f t="shared" si="8"/>
        <v>0.75718815660158389</v>
      </c>
      <c r="X31" s="288">
        <v>1</v>
      </c>
      <c r="Y31" s="42"/>
      <c r="Z31" s="42"/>
      <c r="AA31" s="42"/>
    </row>
    <row r="32" spans="2:27">
      <c r="B32" s="5" t="s">
        <v>601</v>
      </c>
      <c r="C32" s="546">
        <v>0</v>
      </c>
      <c r="D32" s="536">
        <v>0</v>
      </c>
      <c r="E32" s="536">
        <v>0</v>
      </c>
      <c r="F32" s="536">
        <v>0</v>
      </c>
      <c r="G32" s="536">
        <v>0</v>
      </c>
      <c r="H32" s="279" t="str">
        <f t="shared" si="6"/>
        <v>nm</v>
      </c>
      <c r="I32" s="254"/>
      <c r="J32" s="254"/>
      <c r="K32" s="254"/>
      <c r="L32" s="254"/>
      <c r="M32" s="254"/>
      <c r="N32" s="254"/>
      <c r="O32" s="251"/>
      <c r="Q32" s="5"/>
      <c r="S32" s="88"/>
      <c r="T32" s="42"/>
      <c r="U32" s="42"/>
      <c r="V32" s="147" t="s">
        <v>528</v>
      </c>
      <c r="W32" s="288">
        <f t="shared" si="8"/>
        <v>0.50492695565862367</v>
      </c>
      <c r="X32" s="288">
        <v>1</v>
      </c>
      <c r="Y32" s="42"/>
      <c r="Z32" s="42"/>
      <c r="AA32" s="42"/>
    </row>
    <row r="33" spans="2:27">
      <c r="B33" s="5" t="s">
        <v>5</v>
      </c>
      <c r="C33" s="544">
        <v>667.2856002298613</v>
      </c>
      <c r="D33" s="536">
        <v>698.20473904919436</v>
      </c>
      <c r="E33" s="536">
        <v>807.81463304049987</v>
      </c>
      <c r="F33" s="536">
        <v>914.04217780659667</v>
      </c>
      <c r="G33" s="536">
        <v>924.74294802392251</v>
      </c>
      <c r="H33" s="279">
        <f>IF(D33=0,"nm",IF(G33=0,"nm",(G33/D33)^(1/3)-1))</f>
        <v>9.8194873286669537E-2</v>
      </c>
      <c r="I33" s="5"/>
      <c r="J33" s="254"/>
      <c r="K33" s="254"/>
      <c r="L33" s="254"/>
      <c r="M33" s="254"/>
      <c r="N33" s="254"/>
      <c r="O33" s="251"/>
      <c r="Q33" s="5"/>
      <c r="S33" s="88"/>
      <c r="T33" s="42"/>
      <c r="U33" s="42"/>
      <c r="V33" s="147" t="s">
        <v>575</v>
      </c>
      <c r="W33" s="288">
        <f t="shared" si="8"/>
        <v>1.253857754019003</v>
      </c>
      <c r="X33" s="288">
        <v>1</v>
      </c>
      <c r="Y33" s="42"/>
      <c r="Z33" s="42"/>
      <c r="AA33" s="42"/>
    </row>
    <row r="34" spans="2:27">
      <c r="I34" s="49"/>
      <c r="J34" s="254"/>
      <c r="K34" s="254"/>
      <c r="L34" s="254"/>
      <c r="M34" s="254"/>
      <c r="N34" s="254"/>
      <c r="O34" s="251"/>
      <c r="Q34" s="5"/>
      <c r="S34" s="88"/>
      <c r="T34" s="42"/>
      <c r="U34" s="42"/>
      <c r="V34" s="147" t="s">
        <v>576</v>
      </c>
      <c r="W34" s="288">
        <f>D47/L19</f>
        <v>1.3206757016488551</v>
      </c>
      <c r="X34" s="288">
        <v>1</v>
      </c>
      <c r="Y34" s="288"/>
      <c r="Z34" s="288"/>
      <c r="AA34" s="42"/>
    </row>
    <row r="35" spans="2:27" ht="12.6" thickBot="1">
      <c r="B35" s="306" t="s">
        <v>595</v>
      </c>
      <c r="C35" s="265"/>
      <c r="D35" s="265" t="str">
        <f>D5</f>
        <v>2023E</v>
      </c>
      <c r="E35" s="265" t="str">
        <f t="shared" ref="E35:H35" si="9">E5</f>
        <v>2024E</v>
      </c>
      <c r="F35" s="265" t="str">
        <f t="shared" si="9"/>
        <v>2025E</v>
      </c>
      <c r="G35" s="265" t="str">
        <f t="shared" si="9"/>
        <v>2026E</v>
      </c>
      <c r="H35" s="265" t="str">
        <f t="shared" si="9"/>
        <v>23E-26E</v>
      </c>
      <c r="I35" s="254"/>
      <c r="J35" s="5"/>
      <c r="K35" s="5"/>
      <c r="L35" s="5"/>
      <c r="M35" s="5"/>
      <c r="N35" s="5"/>
      <c r="O35" s="5"/>
      <c r="Q35" s="5"/>
      <c r="S35" s="88"/>
      <c r="T35" s="42"/>
      <c r="U35" s="42"/>
      <c r="V35" s="42"/>
      <c r="W35" s="288"/>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1.693880787840812</v>
      </c>
      <c r="E37" s="525">
        <f t="shared" ref="E37:G41" si="10">E$18/E23</f>
        <v>1.6624541408145663</v>
      </c>
      <c r="F37" s="525">
        <f t="shared" si="10"/>
        <v>1.607029013606659</v>
      </c>
      <c r="G37" s="525">
        <f t="shared" si="10"/>
        <v>1.5431010145895097</v>
      </c>
      <c r="H37" s="17">
        <f t="shared" ref="H37:H45" si="11">H23</f>
        <v>3.1415556474456707E-4</v>
      </c>
      <c r="I37" s="5"/>
      <c r="J37" s="259"/>
      <c r="K37" s="259"/>
      <c r="L37" s="259"/>
      <c r="M37" s="259"/>
      <c r="N37" s="259"/>
      <c r="O37" s="18"/>
      <c r="Q37" s="5"/>
      <c r="R37" s="5"/>
      <c r="S37" s="42"/>
      <c r="T37" s="42"/>
      <c r="U37" s="42"/>
      <c r="V37" s="42"/>
      <c r="W37" s="42"/>
      <c r="X37" s="42"/>
      <c r="Y37" s="42"/>
      <c r="Z37" s="42"/>
      <c r="AA37" s="42"/>
    </row>
    <row r="38" spans="2:27">
      <c r="B38" s="5" t="s">
        <v>180</v>
      </c>
      <c r="C38" s="247"/>
      <c r="D38" s="525">
        <f t="shared" ref="D38" si="12">D$18/D24</f>
        <v>5.0277791444258604</v>
      </c>
      <c r="E38" s="525">
        <f t="shared" si="10"/>
        <v>4.8606077022966048</v>
      </c>
      <c r="F38" s="525">
        <f t="shared" si="10"/>
        <v>4.647843588764287</v>
      </c>
      <c r="G38" s="525">
        <f t="shared" si="10"/>
        <v>4.3501891706926221</v>
      </c>
      <c r="H38" s="17">
        <f t="shared" si="11"/>
        <v>1.7644920518030904E-2</v>
      </c>
      <c r="I38" s="259"/>
      <c r="J38" s="17"/>
      <c r="K38" s="17"/>
      <c r="L38" s="17"/>
      <c r="M38" s="17"/>
      <c r="N38" s="17"/>
      <c r="O38" s="5"/>
      <c r="Q38" s="5"/>
      <c r="R38" s="5"/>
      <c r="S38" s="42"/>
      <c r="T38" s="42"/>
      <c r="U38" s="42"/>
      <c r="V38" s="42"/>
      <c r="W38" s="42"/>
      <c r="X38" s="42"/>
      <c r="Y38" s="42"/>
      <c r="Z38" s="42"/>
      <c r="AA38" s="42"/>
    </row>
    <row r="39" spans="2:27">
      <c r="B39" s="5" t="s">
        <v>181</v>
      </c>
      <c r="C39" s="247"/>
      <c r="D39" s="525">
        <f t="shared" ref="D39" si="13">D$18/D25</f>
        <v>17.74866613634671</v>
      </c>
      <c r="E39" s="525">
        <f t="shared" si="10"/>
        <v>16.263550167203334</v>
      </c>
      <c r="F39" s="525">
        <f t="shared" si="10"/>
        <v>14.514738412895579</v>
      </c>
      <c r="G39" s="525">
        <f t="shared" si="10"/>
        <v>11.340610084101812</v>
      </c>
      <c r="H39" s="17">
        <f t="shared" si="11"/>
        <v>0.12585731340470874</v>
      </c>
      <c r="I39" s="17"/>
      <c r="J39" s="5"/>
      <c r="K39" s="5"/>
      <c r="L39" s="5"/>
      <c r="M39" s="5"/>
      <c r="N39" s="5"/>
      <c r="O39" s="5"/>
      <c r="Q39" s="5"/>
      <c r="R39" s="5"/>
      <c r="S39" s="42"/>
      <c r="T39" s="42"/>
      <c r="U39" s="42"/>
      <c r="V39" s="42"/>
      <c r="W39" s="42"/>
      <c r="X39" s="42"/>
      <c r="Y39" s="42"/>
      <c r="Z39" s="42"/>
      <c r="AA39" s="42"/>
    </row>
    <row r="40" spans="2:27">
      <c r="B40" s="5" t="s">
        <v>461</v>
      </c>
      <c r="C40" s="247"/>
      <c r="D40" s="525">
        <f>D$18/D26</f>
        <v>22.395731637392387</v>
      </c>
      <c r="E40" s="525">
        <f>E$18/E26</f>
        <v>21.684733556271112</v>
      </c>
      <c r="F40" s="525">
        <f t="shared" si="10"/>
        <v>19.352984550527438</v>
      </c>
      <c r="G40" s="525">
        <f t="shared" si="10"/>
        <v>15.120813445469084</v>
      </c>
      <c r="H40" s="17">
        <f>H26</f>
        <v>0.10535968113946526</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1.3074233763627929</v>
      </c>
      <c r="E41" s="525">
        <f>E$18/E27</f>
        <v>1.2273412258519902</v>
      </c>
      <c r="F41" s="525">
        <f t="shared" si="10"/>
        <v>1.1514940289024602</v>
      </c>
      <c r="G41" s="525">
        <f t="shared" si="10"/>
        <v>1.0739677682214257</v>
      </c>
      <c r="H41" s="17">
        <f t="shared" si="11"/>
        <v>3.5416907064302672E-2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1.5670305355732048</v>
      </c>
      <c r="E42" s="525">
        <f>E18/E28</f>
        <v>1.504571104028531</v>
      </c>
      <c r="F42" s="525">
        <f>F18/F28</f>
        <v>1.4300147712463236</v>
      </c>
      <c r="G42" s="525">
        <f>G18/G28</f>
        <v>1.362400467041164</v>
      </c>
      <c r="H42" s="17">
        <f t="shared" si="11"/>
        <v>1.6009599514313022E-2</v>
      </c>
      <c r="I42" s="248"/>
      <c r="J42" s="5"/>
      <c r="K42" s="5"/>
      <c r="L42" s="5"/>
      <c r="M42" s="5"/>
      <c r="N42" s="5"/>
      <c r="O42" s="5"/>
      <c r="Q42" s="5"/>
      <c r="R42" s="5"/>
      <c r="S42" s="42"/>
      <c r="T42" s="42"/>
      <c r="U42" s="42"/>
      <c r="V42" s="42"/>
      <c r="W42" s="288"/>
      <c r="X42" s="288"/>
      <c r="Y42" s="288"/>
      <c r="Z42" s="288"/>
      <c r="AA42" s="42"/>
    </row>
    <row r="43" spans="2:27">
      <c r="B43" s="5" t="s">
        <v>470</v>
      </c>
      <c r="C43" s="247"/>
      <c r="D43" s="525">
        <f>L26/D29</f>
        <v>13.200508770318518</v>
      </c>
      <c r="E43" s="525">
        <f>M26/E29</f>
        <v>14.57541296782111</v>
      </c>
      <c r="F43" s="525">
        <f>N26/F29</f>
        <v>14.328817262557848</v>
      </c>
      <c r="G43" s="525">
        <f>O26/G29</f>
        <v>11.012873158429613</v>
      </c>
      <c r="H43" s="17">
        <f t="shared" si="11"/>
        <v>5.9439364309655573E-2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8.1264611071232498</v>
      </c>
      <c r="E44" s="525">
        <f>E11/E30</f>
        <v>9.3510016053358136</v>
      </c>
      <c r="F44" s="525">
        <f>F11/F30</f>
        <v>9.5629597750614508</v>
      </c>
      <c r="G44" s="525">
        <f>G11/G30</f>
        <v>9.1364557213921547</v>
      </c>
      <c r="H44" s="17">
        <f t="shared" si="11"/>
        <v>-4.1255619760983686E-2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5.5574852379298365E-2</v>
      </c>
      <c r="E45" s="248">
        <f>E31/E11</f>
        <v>5.779784647447031E-2</v>
      </c>
      <c r="F45" s="248">
        <f>F31/F11</f>
        <v>6.0109760333449128E-2</v>
      </c>
      <c r="G45" s="248">
        <f>G31/G11</f>
        <v>7.2131712400138936E-2</v>
      </c>
      <c r="H45" s="17">
        <f t="shared" si="11"/>
        <v>8.7454021669845394E-2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5.5574852379298365E-2</v>
      </c>
      <c r="E46" s="248">
        <f>(E31+E32)/E11</f>
        <v>5.779784647447031E-2</v>
      </c>
      <c r="F46" s="248">
        <f>(F31+F32)/F11</f>
        <v>6.0109760333449128E-2</v>
      </c>
      <c r="G46" s="248">
        <f>(G31+G32)/G11</f>
        <v>7.2131712400138936E-2</v>
      </c>
      <c r="H46" s="279">
        <f>((G31+G32)/(D31+D32))^(1/3)-1</f>
        <v>8.7454021669845394E-2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7.5754655930270698E-2</v>
      </c>
      <c r="E47" s="248">
        <f>1/E43</f>
        <v>6.8608690690805912E-2</v>
      </c>
      <c r="F47" s="248">
        <f>1/F43</f>
        <v>6.9789430744787745E-2</v>
      </c>
      <c r="G47" s="248">
        <f>1/G43</f>
        <v>9.0802825531007533E-2</v>
      </c>
      <c r="H47" s="17">
        <f>H29</f>
        <v>5.9439364309655573E-2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0.6609586984504412</v>
      </c>
      <c r="E48" s="305">
        <f>E31/E29</f>
        <v>0.75092461640495889</v>
      </c>
      <c r="F48" s="305">
        <f>F31/F29</f>
        <v>0.77120440509705668</v>
      </c>
      <c r="G48" s="305">
        <f>G31/G29</f>
        <v>0.71479041018892409</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6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CF8F5-CDDB-46F7-A547-7C60D4BB3A03}">
  <sheetPr codeName="Sheet10">
    <pageSetUpPr fitToPage="1"/>
  </sheetPr>
  <dimension ref="A1:N35"/>
  <sheetViews>
    <sheetView showGridLines="0" tabSelected="1" zoomScale="80" zoomScaleNormal="80" zoomScaleSheetLayoutView="70" workbookViewId="0"/>
  </sheetViews>
  <sheetFormatPr defaultColWidth="8.88671875" defaultRowHeight="12"/>
  <cols>
    <col min="1" max="1" width="2.33203125" style="39" customWidth="1"/>
    <col min="2" max="2" width="11.5546875" style="39" customWidth="1"/>
    <col min="3" max="4" width="8.88671875" style="39" customWidth="1"/>
    <col min="5" max="16384" width="8.88671875" style="39"/>
  </cols>
  <sheetData>
    <row r="1" spans="1:1">
      <c r="A1" s="613"/>
    </row>
    <row r="17" spans="2:14" ht="12.6" thickBot="1"/>
    <row r="18" spans="2:14">
      <c r="B18" s="550"/>
      <c r="C18" s="550"/>
      <c r="D18" s="550"/>
      <c r="E18" s="550"/>
      <c r="F18" s="550"/>
      <c r="G18" s="550"/>
      <c r="H18" s="550"/>
      <c r="I18" s="550"/>
      <c r="J18" s="550"/>
      <c r="K18" s="550"/>
      <c r="L18" s="550"/>
      <c r="M18" s="550"/>
      <c r="N18" s="550"/>
    </row>
    <row r="19" spans="2:14" s="549" customFormat="1" ht="21">
      <c r="B19" s="549" t="s">
        <v>1444</v>
      </c>
    </row>
    <row r="21" spans="2:14" s="552" customFormat="1" ht="14.4">
      <c r="B21" s="551">
        <f ca="1">TODAY()</f>
        <v>45541</v>
      </c>
    </row>
    <row r="23" spans="2:14" ht="12.6" thickBot="1"/>
    <row r="24" spans="2:14">
      <c r="B24" s="550"/>
      <c r="C24" s="550"/>
      <c r="D24" s="550"/>
      <c r="E24" s="550"/>
      <c r="F24" s="550"/>
      <c r="G24" s="550"/>
      <c r="H24" s="550"/>
      <c r="I24" s="550"/>
      <c r="J24" s="550"/>
      <c r="K24" s="550"/>
      <c r="L24" s="550"/>
      <c r="M24" s="550"/>
      <c r="N24" s="550"/>
    </row>
    <row r="27" spans="2:14" s="146" customFormat="1">
      <c r="B27" s="556" t="s">
        <v>107</v>
      </c>
      <c r="C27" s="556"/>
      <c r="D27" s="556"/>
      <c r="F27" s="556" t="s">
        <v>1469</v>
      </c>
      <c r="G27" s="556"/>
      <c r="H27" s="556"/>
      <c r="J27" s="556" t="s">
        <v>1472</v>
      </c>
      <c r="K27" s="556"/>
      <c r="L27" s="556"/>
    </row>
    <row r="29" spans="2:14">
      <c r="B29" s="39" t="s">
        <v>1465</v>
      </c>
      <c r="F29" s="39" t="s">
        <v>1470</v>
      </c>
      <c r="J29" s="39" t="s">
        <v>1474</v>
      </c>
    </row>
    <row r="30" spans="2:14">
      <c r="B30" s="555" t="s">
        <v>1477</v>
      </c>
      <c r="F30" s="555" t="s">
        <v>1479</v>
      </c>
      <c r="J30" s="555" t="s">
        <v>1480</v>
      </c>
    </row>
    <row r="31" spans="2:14">
      <c r="B31" s="554" t="s">
        <v>1466</v>
      </c>
      <c r="F31" s="554" t="s">
        <v>1471</v>
      </c>
      <c r="J31" s="554" t="s">
        <v>1473</v>
      </c>
      <c r="K31" s="554"/>
    </row>
    <row r="33" spans="2:10">
      <c r="B33" s="39" t="s">
        <v>1467</v>
      </c>
      <c r="J33" s="39" t="s">
        <v>1475</v>
      </c>
    </row>
    <row r="34" spans="2:10">
      <c r="B34" s="555" t="s">
        <v>1478</v>
      </c>
      <c r="J34" s="555" t="s">
        <v>1481</v>
      </c>
    </row>
    <row r="35" spans="2:10">
      <c r="B35" s="554" t="s">
        <v>1468</v>
      </c>
      <c r="J35" s="554" t="s">
        <v>1476</v>
      </c>
    </row>
  </sheetData>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4">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700</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696</v>
      </c>
      <c r="K7" s="306"/>
      <c r="L7" s="265" t="str">
        <f>L5</f>
        <v>2023E</v>
      </c>
      <c r="M7" s="265" t="str">
        <f t="shared" ref="M7:P7" si="1">M5</f>
        <v>2024E</v>
      </c>
      <c r="N7" s="265" t="str">
        <f t="shared" si="1"/>
        <v>2025E</v>
      </c>
      <c r="O7" s="265" t="str">
        <f t="shared" si="1"/>
        <v>2026E</v>
      </c>
      <c r="P7" s="265" t="str">
        <f t="shared" si="1"/>
        <v>23E-26E</v>
      </c>
    </row>
    <row r="8" spans="2:27" ht="12.6" thickTop="1">
      <c r="I8" s="5"/>
      <c r="J8" s="5"/>
      <c r="K8" s="5"/>
      <c r="L8" s="5"/>
      <c r="M8" s="5"/>
      <c r="N8" s="5"/>
      <c r="S8" s="88"/>
      <c r="T8" s="42"/>
      <c r="U8" s="42"/>
      <c r="V8" s="42"/>
      <c r="W8" s="42"/>
      <c r="X8" s="42"/>
      <c r="Y8" s="42"/>
      <c r="Z8" s="42"/>
      <c r="AA8" s="42"/>
    </row>
    <row r="9" spans="2:27">
      <c r="B9" s="41" t="s">
        <v>15</v>
      </c>
      <c r="C9" s="287">
        <f>Prices!C52</f>
        <v>113.87</v>
      </c>
      <c r="D9" s="531">
        <v>0</v>
      </c>
      <c r="E9" s="532">
        <v>0</v>
      </c>
      <c r="F9" s="532">
        <v>0</v>
      </c>
      <c r="G9" s="532">
        <v>0</v>
      </c>
      <c r="H9" s="249"/>
      <c r="I9" s="249"/>
      <c r="J9" s="5" t="s">
        <v>268</v>
      </c>
      <c r="L9" s="525">
        <f>'US TOWERS'!D37</f>
        <v>11.716514317123721</v>
      </c>
      <c r="M9" s="525">
        <f>'US TOWERS'!E37</f>
        <v>11.358559001089553</v>
      </c>
      <c r="N9" s="525">
        <f>'US TOWERS'!F37</f>
        <v>10.683724669440947</v>
      </c>
      <c r="O9" s="525">
        <f>'US TOWERS'!G37</f>
        <v>10.039837788234205</v>
      </c>
      <c r="P9" s="279">
        <f>'US TOWERS'!H37</f>
        <v>2.6157777948455641E-2</v>
      </c>
      <c r="S9" s="88"/>
      <c r="T9" s="42"/>
      <c r="U9" s="42"/>
      <c r="V9" s="42"/>
      <c r="W9" s="42"/>
      <c r="X9" s="42"/>
      <c r="Y9" s="42"/>
      <c r="Z9" s="42"/>
      <c r="AA9" s="42"/>
    </row>
    <row r="10" spans="2:27">
      <c r="B10" s="5" t="s">
        <v>269</v>
      </c>
      <c r="C10" s="5"/>
      <c r="D10" s="527">
        <v>434.625</v>
      </c>
      <c r="E10" s="527">
        <v>435</v>
      </c>
      <c r="F10" s="527">
        <v>435</v>
      </c>
      <c r="G10" s="527">
        <v>435</v>
      </c>
      <c r="H10" s="247"/>
      <c r="I10" s="247"/>
      <c r="J10" s="5" t="s">
        <v>180</v>
      </c>
      <c r="L10" s="525">
        <f>'US TOWERS'!D38</f>
        <v>18.346861481363135</v>
      </c>
      <c r="M10" s="525">
        <f>'US TOWERS'!E38</f>
        <v>17.815357115878655</v>
      </c>
      <c r="N10" s="525">
        <f>'US TOWERS'!F38</f>
        <v>16.732780196675282</v>
      </c>
      <c r="O10" s="525">
        <f>'US TOWERS'!G38</f>
        <v>15.520501658491678</v>
      </c>
      <c r="P10" s="279">
        <f>'US TOWERS'!H38</f>
        <v>3.0565437622663838E-2</v>
      </c>
      <c r="S10" s="88"/>
      <c r="T10" s="42"/>
      <c r="U10" s="42"/>
      <c r="V10" s="42"/>
      <c r="W10" s="288"/>
      <c r="X10" s="288"/>
      <c r="Y10" s="288"/>
      <c r="Z10" s="288"/>
      <c r="AA10" s="42"/>
    </row>
    <row r="11" spans="2:27">
      <c r="B11" s="41" t="s">
        <v>437</v>
      </c>
      <c r="C11" s="5"/>
      <c r="D11" s="528">
        <f>$C$9*D10</f>
        <v>49490.748749999999</v>
      </c>
      <c r="E11" s="528">
        <f>$C$9*E10</f>
        <v>49533.450000000004</v>
      </c>
      <c r="F11" s="528">
        <f>$C$9*F10</f>
        <v>49533.450000000004</v>
      </c>
      <c r="G11" s="528">
        <f>$C$9*G10</f>
        <v>49533.450000000004</v>
      </c>
      <c r="H11" s="249"/>
      <c r="I11" s="249"/>
      <c r="J11" s="5" t="s">
        <v>181</v>
      </c>
      <c r="L11" s="525">
        <f>'US TOWERS'!D39</f>
        <v>25.045375564476512</v>
      </c>
      <c r="M11" s="525">
        <f>'US TOWERS'!E39</f>
        <v>23.597682484349907</v>
      </c>
      <c r="N11" s="525">
        <f>'US TOWERS'!F39</f>
        <v>21.868917154229834</v>
      </c>
      <c r="O11" s="525">
        <f>'US TOWERS'!G39</f>
        <v>19.956409169016258</v>
      </c>
      <c r="P11" s="279">
        <f>'US TOWERS'!H39</f>
        <v>5.1328926157078847E-2</v>
      </c>
      <c r="S11" s="88"/>
      <c r="T11" s="42"/>
      <c r="U11" s="42"/>
      <c r="V11" s="42"/>
      <c r="W11" s="288"/>
      <c r="X11" s="288"/>
      <c r="Y11" s="288"/>
      <c r="Z11" s="288"/>
      <c r="AA11" s="42"/>
    </row>
    <row r="12" spans="2:27">
      <c r="B12" s="5" t="s">
        <v>24</v>
      </c>
      <c r="C12" s="249"/>
      <c r="D12" s="529">
        <v>22662.714083846906</v>
      </c>
      <c r="E12" s="529">
        <v>22653.236873730293</v>
      </c>
      <c r="F12" s="529">
        <v>23633.867358365744</v>
      </c>
      <c r="G12" s="529">
        <v>24191.629483340716</v>
      </c>
      <c r="H12" s="247"/>
      <c r="I12" s="247"/>
      <c r="J12" s="5" t="s">
        <v>461</v>
      </c>
      <c r="L12" s="525">
        <f>'US TOWERS'!D40</f>
        <v>27.828195071640568</v>
      </c>
      <c r="M12" s="525">
        <f>'US TOWERS'!E40</f>
        <v>26.219647204833233</v>
      </c>
      <c r="N12" s="525">
        <f>'US TOWERS'!F40</f>
        <v>24.298796838033148</v>
      </c>
      <c r="O12" s="525">
        <f>'US TOWERS'!G40</f>
        <v>22.17378796557362</v>
      </c>
      <c r="P12" s="279">
        <f>'US TOWERS'!H40</f>
        <v>5.1328926157078847E-2</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'US TOWERS'!D41</f>
        <v>3.0956838617797171</v>
      </c>
      <c r="M13" s="525">
        <f>'US TOWERS'!E41</f>
        <v>3.5458182205202253</v>
      </c>
      <c r="N13" s="525">
        <f>'US TOWERS'!F41</f>
        <v>3.9623582726442019</v>
      </c>
      <c r="O13" s="525">
        <f>'US TOWERS'!G41</f>
        <v>4.5186454654812991</v>
      </c>
      <c r="P13" s="279">
        <f>'US TOWERS'!H41</f>
        <v>-0.14077611221633957</v>
      </c>
      <c r="S13" s="88"/>
      <c r="T13" s="42"/>
      <c r="U13" s="42"/>
      <c r="V13" s="42"/>
      <c r="W13" s="42"/>
      <c r="X13" s="42"/>
      <c r="Y13" s="42"/>
      <c r="Z13" s="42"/>
      <c r="AA13" s="42"/>
    </row>
    <row r="14" spans="2:27">
      <c r="B14" s="5" t="s">
        <v>527</v>
      </c>
      <c r="C14" s="257"/>
      <c r="D14" s="529">
        <v>0</v>
      </c>
      <c r="E14" s="529">
        <v>0</v>
      </c>
      <c r="F14" s="529">
        <v>0</v>
      </c>
      <c r="G14" s="529">
        <v>0</v>
      </c>
      <c r="H14" s="247"/>
      <c r="I14" s="247"/>
      <c r="J14" s="5" t="s">
        <v>588</v>
      </c>
      <c r="L14" s="525">
        <f>'US TOWERS'!D42</f>
        <v>6.5626918432670882</v>
      </c>
      <c r="M14" s="525">
        <f>'US TOWERS'!E42</f>
        <v>6.6987951806393502</v>
      </c>
      <c r="N14" s="525">
        <f>'US TOWERS'!F42</f>
        <v>6.6556447612521508</v>
      </c>
      <c r="O14" s="525">
        <f>'US TOWERS'!G42</f>
        <v>6.9759762217836165</v>
      </c>
      <c r="P14" s="279">
        <f>'US TOWERS'!H42</f>
        <v>-4.4972440556020565E-2</v>
      </c>
      <c r="S14" s="88"/>
      <c r="T14" s="42"/>
      <c r="U14" s="42"/>
      <c r="V14" s="42"/>
      <c r="W14" s="42"/>
      <c r="X14" s="42"/>
      <c r="Y14" s="42"/>
      <c r="Z14" s="42"/>
      <c r="AA14" s="42"/>
    </row>
    <row r="15" spans="2:27">
      <c r="B15" s="5" t="s">
        <v>526</v>
      </c>
      <c r="C15" s="274"/>
      <c r="D15" s="529">
        <v>0</v>
      </c>
      <c r="E15" s="529">
        <v>0</v>
      </c>
      <c r="F15" s="529">
        <v>0</v>
      </c>
      <c r="G15" s="529">
        <v>0</v>
      </c>
      <c r="H15" s="247"/>
      <c r="I15" s="247"/>
      <c r="J15" s="5" t="s">
        <v>470</v>
      </c>
      <c r="L15" s="525">
        <f>'US TOWERS'!D43</f>
        <v>26.46791028508412</v>
      </c>
      <c r="M15" s="525">
        <f>'US TOWERS'!E43</f>
        <v>24.838103660229184</v>
      </c>
      <c r="N15" s="525">
        <f>'US TOWERS'!F43</f>
        <v>23.446630439093443</v>
      </c>
      <c r="O15" s="525">
        <f>'US TOWERS'!G43</f>
        <v>21.075239163698498</v>
      </c>
      <c r="P15" s="279">
        <f>'US TOWERS'!H43</f>
        <v>6.3471221095444452E-2</v>
      </c>
      <c r="S15" s="88"/>
      <c r="T15" s="42"/>
      <c r="U15" s="42"/>
      <c r="V15" s="42"/>
      <c r="W15" s="42"/>
      <c r="X15" s="42"/>
      <c r="Y15" s="42"/>
      <c r="Z15" s="42"/>
      <c r="AA15" s="42"/>
    </row>
    <row r="16" spans="2:27">
      <c r="B16" s="5" t="s">
        <v>529</v>
      </c>
      <c r="C16" s="257"/>
      <c r="D16" s="529">
        <v>4269.76</v>
      </c>
      <c r="E16" s="529">
        <v>4313.3310000000001</v>
      </c>
      <c r="F16" s="529">
        <v>4483.8343100000002</v>
      </c>
      <c r="G16" s="529">
        <v>15008.5897117</v>
      </c>
      <c r="H16" s="247"/>
      <c r="I16" s="247"/>
      <c r="J16" s="5" t="s">
        <v>528</v>
      </c>
      <c r="L16" s="525">
        <f>'US TOWERS'!D44</f>
        <v>36.51566242451004</v>
      </c>
      <c r="M16" s="525">
        <f>'US TOWERS'!E44</f>
        <v>33.8583047236311</v>
      </c>
      <c r="N16" s="525">
        <f>'US TOWERS'!F44</f>
        <v>30.682824288938619</v>
      </c>
      <c r="O16" s="525">
        <f>'US TOWERS'!G44</f>
        <v>25.895139427993158</v>
      </c>
      <c r="P16" s="279">
        <f>'US TOWERS'!H44</f>
        <v>0.1053428450222762</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525">
        <f>'US TOWERS'!D45</f>
        <v>3.2063535452362318E-2</v>
      </c>
      <c r="M17" s="525">
        <f>'US TOWERS'!E45</f>
        <v>4.6151912053218884E-2</v>
      </c>
      <c r="N17" s="525">
        <f>'US TOWERS'!F45</f>
        <v>4.9715665478411129E-2</v>
      </c>
      <c r="O17" s="525">
        <f>'US TOWERS'!G45</f>
        <v>5.3019276050279021E-2</v>
      </c>
      <c r="P17" s="279">
        <f>'US TOWERS'!H45</f>
        <v>0.16560344677482641</v>
      </c>
      <c r="S17" s="88"/>
      <c r="T17" s="42"/>
      <c r="U17" s="42"/>
      <c r="V17" s="42"/>
      <c r="W17" s="42"/>
      <c r="X17" s="42"/>
      <c r="Y17" s="42"/>
      <c r="Z17" s="42"/>
      <c r="AA17" s="42"/>
    </row>
    <row r="18" spans="2:27" ht="12.6" thickBot="1">
      <c r="B18" s="41" t="s">
        <v>513</v>
      </c>
      <c r="C18" s="249"/>
      <c r="D18" s="530">
        <f>D11+D12+D13-D14+D15-D16-D17</f>
        <v>67883.70283384691</v>
      </c>
      <c r="E18" s="530">
        <f>E11+E12+E13-E14+E15-E16-E17</f>
        <v>67873.355873730296</v>
      </c>
      <c r="F18" s="530">
        <f>F11+F12+F13-F14+F15-F16-F17</f>
        <v>68683.483048365742</v>
      </c>
      <c r="G18" s="530">
        <f>G11+G12+G13-G14+G15-G16-G17</f>
        <v>58716.489771640729</v>
      </c>
      <c r="H18" s="276">
        <f>IF(D18=0,"nm",IF(G18=0,"nm",(G18/D18)^(1/3)-1))</f>
        <v>-4.7207813668637244E-2</v>
      </c>
      <c r="I18" s="254"/>
      <c r="J18" s="5" t="s">
        <v>36</v>
      </c>
      <c r="L18" s="525">
        <f>'US TOWERS'!D46</f>
        <v>2.8537414385636919E-2</v>
      </c>
      <c r="M18" s="525">
        <f>'US TOWERS'!E46</f>
        <v>8.6563762902990948E-2</v>
      </c>
      <c r="N18" s="525">
        <f>'US TOWERS'!F46</f>
        <v>8.5442855274594054E-2</v>
      </c>
      <c r="O18" s="525">
        <f>'US TOWERS'!G46</f>
        <v>9.752950113893015E-2</v>
      </c>
      <c r="P18" s="279">
        <f>'US TOWERS'!H46</f>
        <v>0.48474027103495088</v>
      </c>
      <c r="S18" s="88"/>
      <c r="T18" s="42"/>
      <c r="U18" s="42"/>
      <c r="V18" s="42"/>
      <c r="W18" s="42"/>
      <c r="X18" s="42"/>
      <c r="Y18" s="42"/>
      <c r="Z18" s="42"/>
      <c r="AA18" s="42"/>
    </row>
    <row r="19" spans="2:27" ht="12.6" thickTop="1">
      <c r="B19" s="41"/>
      <c r="C19" s="249"/>
      <c r="D19" s="229"/>
      <c r="E19" s="229"/>
      <c r="F19" s="229"/>
      <c r="G19" s="229"/>
      <c r="H19" s="276"/>
      <c r="I19" s="254"/>
      <c r="J19" s="5" t="s">
        <v>576</v>
      </c>
      <c r="L19" s="525">
        <f>'US TOWERS'!D47</f>
        <v>3.7781600029207663E-2</v>
      </c>
      <c r="M19" s="525">
        <f>'US TOWERS'!E47</f>
        <v>4.0260722544660357E-2</v>
      </c>
      <c r="N19" s="525">
        <f>'US TOWERS'!F47</f>
        <v>4.2650051682166776E-2</v>
      </c>
      <c r="O19" s="525">
        <f>'US TOWERS'!G47</f>
        <v>4.7449046354001601E-2</v>
      </c>
      <c r="P19" s="279">
        <f>'US TOWERS'!H47</f>
        <v>6.3471221095444452E-2</v>
      </c>
      <c r="S19" s="88"/>
      <c r="T19" s="42"/>
      <c r="U19" s="42"/>
      <c r="V19" s="42"/>
      <c r="W19" s="42"/>
      <c r="X19" s="42"/>
      <c r="Y19" s="42"/>
      <c r="Z19" s="42"/>
      <c r="AA19" s="42"/>
    </row>
    <row r="20" spans="2:27">
      <c r="H20" s="277"/>
      <c r="I20" s="17"/>
      <c r="J20" s="5" t="s">
        <v>599</v>
      </c>
      <c r="L20" s="548">
        <f>'US TOWERS'!D48</f>
        <v>0.84865477977573978</v>
      </c>
      <c r="M20" s="548">
        <f>'US TOWERS'!E48</f>
        <v>1.1463259756956312</v>
      </c>
      <c r="N20" s="548">
        <f>'US TOWERS'!F48</f>
        <v>1.1656648355059014</v>
      </c>
      <c r="O20" s="548">
        <f>'US TOWERS'!G48</f>
        <v>1.1173939230457823</v>
      </c>
      <c r="P20" s="279" t="str">
        <f>'US TOWERS'!H48</f>
        <v>nm</v>
      </c>
      <c r="S20" s="88"/>
      <c r="T20" s="42"/>
      <c r="U20" s="42"/>
      <c r="V20" s="42"/>
      <c r="W20" s="42"/>
      <c r="X20" s="42"/>
      <c r="Y20" s="42"/>
      <c r="Z20" s="42"/>
      <c r="AA20" s="42"/>
    </row>
    <row r="21" spans="2:27" ht="12.6" thickBot="1">
      <c r="B21" s="306" t="s">
        <v>916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6986</v>
      </c>
      <c r="D23" s="529">
        <v>7176.8389228336255</v>
      </c>
      <c r="E23" s="529">
        <v>7121.0835774969737</v>
      </c>
      <c r="F23" s="529">
        <v>7178.3976318506666</v>
      </c>
      <c r="G23" s="529">
        <v>7486.307593739416</v>
      </c>
      <c r="H23" s="279">
        <f t="shared" ref="H23:H33" si="3">IF(D23=0,"nm",IF(G23=0,"nm",(G23/D23)^(1/3)-1))</f>
        <v>1.4171704223975956E-2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4340</v>
      </c>
      <c r="D24" s="529">
        <v>4457.2823367301335</v>
      </c>
      <c r="E24" s="529">
        <v>4356.3917064865946</v>
      </c>
      <c r="F24" s="529">
        <v>4376.6421034010637</v>
      </c>
      <c r="G24" s="529">
        <v>4652.2364391039837</v>
      </c>
      <c r="H24" s="279">
        <f t="shared" si="3"/>
        <v>1.4371903454581503E-2</v>
      </c>
      <c r="I24" s="249"/>
      <c r="J24" s="17"/>
      <c r="K24" s="17"/>
      <c r="L24" s="17"/>
      <c r="M24" s="17"/>
      <c r="N24" s="17"/>
      <c r="O24" s="248"/>
      <c r="S24" s="88"/>
      <c r="T24" s="42"/>
      <c r="U24" s="42"/>
      <c r="V24" s="42"/>
      <c r="W24" s="42" t="s">
        <v>702</v>
      </c>
      <c r="X24" s="42" t="s">
        <v>698</v>
      </c>
      <c r="Y24" s="42"/>
      <c r="Z24" s="42"/>
      <c r="AA24" s="42"/>
    </row>
    <row r="25" spans="2:27">
      <c r="B25" s="5" t="s">
        <v>179</v>
      </c>
      <c r="C25" s="544">
        <v>3030</v>
      </c>
      <c r="D25" s="529">
        <v>2836.3237707391527</v>
      </c>
      <c r="E25" s="529">
        <v>2828.4457218200068</v>
      </c>
      <c r="F25" s="529">
        <v>2864.8082332657232</v>
      </c>
      <c r="G25" s="529">
        <v>3136.1988197758524</v>
      </c>
      <c r="H25" s="279">
        <f t="shared" si="3"/>
        <v>3.4068385731666595E-2</v>
      </c>
      <c r="I25" s="248"/>
      <c r="J25" s="247" t="s">
        <v>10</v>
      </c>
      <c r="K25" s="247"/>
      <c r="L25" s="321">
        <v>0</v>
      </c>
      <c r="M25" s="321">
        <v>0</v>
      </c>
      <c r="N25" s="321">
        <v>0</v>
      </c>
      <c r="O25" s="321">
        <v>0</v>
      </c>
      <c r="P25" s="279" t="str">
        <f>IF(L25=0,"nm",IF(O25=0,"nm",(O25/L25)^(1/3)-1))</f>
        <v>nm</v>
      </c>
      <c r="S25" s="88"/>
      <c r="T25" s="42"/>
      <c r="U25" s="42"/>
      <c r="V25" s="147" t="s">
        <v>268</v>
      </c>
      <c r="W25" s="288">
        <f>D37/L9</f>
        <v>0.80729803809515022</v>
      </c>
      <c r="X25" s="288">
        <v>1</v>
      </c>
      <c r="Y25" s="42"/>
      <c r="Z25" s="42"/>
      <c r="AA25" s="42"/>
    </row>
    <row r="26" spans="2:27">
      <c r="B26" s="5" t="s">
        <v>581</v>
      </c>
      <c r="C26" s="544">
        <v>2727</v>
      </c>
      <c r="D26" s="529">
        <v>2552.6913936652377</v>
      </c>
      <c r="E26" s="529">
        <v>2545.6011496380061</v>
      </c>
      <c r="F26" s="529">
        <v>2578.327409939151</v>
      </c>
      <c r="G26" s="529">
        <v>2822.5789377982674</v>
      </c>
      <c r="H26" s="279">
        <f t="shared" si="3"/>
        <v>3.4068385731666595E-2</v>
      </c>
      <c r="I26" s="249"/>
      <c r="J26" s="249" t="s">
        <v>11</v>
      </c>
      <c r="K26" s="249"/>
      <c r="L26" s="281">
        <f>D11+L25</f>
        <v>49490.748749999999</v>
      </c>
      <c r="M26" s="281">
        <f>E11+M25</f>
        <v>49533.450000000004</v>
      </c>
      <c r="N26" s="281">
        <f>F11+N25</f>
        <v>49533.450000000004</v>
      </c>
      <c r="O26" s="281">
        <f>G11+O25</f>
        <v>49533.450000000004</v>
      </c>
      <c r="P26" s="279">
        <f>IF(L26=0,"nm",IF(O26=0,"nm",(O26/L26)^(1/3)-1))</f>
        <v>2.8752157996114747E-4</v>
      </c>
      <c r="Q26" s="5"/>
      <c r="S26" s="88"/>
      <c r="T26" s="42"/>
      <c r="U26" s="42"/>
      <c r="V26" s="147" t="s">
        <v>180</v>
      </c>
      <c r="W26" s="288">
        <f t="shared" ref="W26:W33" si="5">D38/L10</f>
        <v>0.83010608457283586</v>
      </c>
      <c r="X26" s="288">
        <v>1</v>
      </c>
      <c r="Y26" s="42"/>
      <c r="Z26" s="42"/>
      <c r="AA26" s="42"/>
    </row>
    <row r="27" spans="2:27">
      <c r="B27" s="5" t="s">
        <v>582</v>
      </c>
      <c r="C27" s="545">
        <v>29003</v>
      </c>
      <c r="D27" s="529">
        <v>29036.604708129107</v>
      </c>
      <c r="E27" s="529">
        <v>27703.137272698768</v>
      </c>
      <c r="F27" s="529">
        <v>27288.801159675</v>
      </c>
      <c r="G27" s="529">
        <v>26464.383761653658</v>
      </c>
      <c r="H27" s="279">
        <f t="shared" si="3"/>
        <v>-3.0446040152147136E-2</v>
      </c>
      <c r="I27" s="249"/>
      <c r="J27" s="248"/>
      <c r="K27" s="248"/>
      <c r="L27" s="248"/>
      <c r="M27" s="248"/>
      <c r="N27" s="248"/>
      <c r="O27" s="248"/>
      <c r="Q27" s="41"/>
      <c r="S27" s="88"/>
      <c r="T27" s="42"/>
      <c r="U27" s="42"/>
      <c r="V27" s="147" t="s">
        <v>181</v>
      </c>
      <c r="W27" s="288">
        <f t="shared" si="5"/>
        <v>0.95561326678007352</v>
      </c>
      <c r="X27" s="288">
        <v>1</v>
      </c>
      <c r="Y27" s="42"/>
      <c r="Z27" s="42"/>
      <c r="AA27" s="42"/>
    </row>
    <row r="28" spans="2:27">
      <c r="B28" s="5" t="s">
        <v>587</v>
      </c>
      <c r="C28" s="544">
        <v>15407</v>
      </c>
      <c r="D28" s="529">
        <v>15430.127057691434</v>
      </c>
      <c r="E28" s="529">
        <v>15111.986676314184</v>
      </c>
      <c r="F28" s="529">
        <v>14728.861721996662</v>
      </c>
      <c r="G28" s="529">
        <v>14293.764368556724</v>
      </c>
      <c r="H28" s="279">
        <f t="shared" si="3"/>
        <v>-2.5177139074638588E-2</v>
      </c>
      <c r="I28" s="248"/>
      <c r="Q28" s="5"/>
      <c r="S28" s="88"/>
      <c r="T28" s="42"/>
      <c r="U28" s="42"/>
      <c r="V28" s="147" t="s">
        <v>461</v>
      </c>
      <c r="W28" s="288">
        <f t="shared" si="5"/>
        <v>0.95561326678007341</v>
      </c>
      <c r="X28" s="288">
        <v>1</v>
      </c>
      <c r="Y28" s="42"/>
      <c r="Z28" s="42"/>
      <c r="AA28" s="42"/>
    </row>
    <row r="29" spans="2:27" ht="12.6" thickBot="1">
      <c r="B29" s="5" t="s">
        <v>583</v>
      </c>
      <c r="C29" s="544">
        <v>2316</v>
      </c>
      <c r="D29" s="529">
        <v>1979.9854367747394</v>
      </c>
      <c r="E29" s="529">
        <v>1954.0368898539598</v>
      </c>
      <c r="F29" s="529">
        <v>1971.7944343965389</v>
      </c>
      <c r="G29" s="529">
        <v>2233.1567911413877</v>
      </c>
      <c r="H29" s="279">
        <f t="shared" si="3"/>
        <v>4.0924123389850076E-2</v>
      </c>
      <c r="I29" s="252"/>
      <c r="J29" s="306" t="s">
        <v>1353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525</v>
      </c>
      <c r="W29" s="288">
        <f t="shared" si="5"/>
        <v>0.75520192477292181</v>
      </c>
      <c r="X29" s="288">
        <v>1</v>
      </c>
      <c r="Y29" s="42"/>
      <c r="Z29" s="42"/>
      <c r="AA29" s="42"/>
    </row>
    <row r="30" spans="2:27" ht="12.6" thickTop="1">
      <c r="B30" s="5" t="s">
        <v>584</v>
      </c>
      <c r="C30" s="545">
        <v>1918</v>
      </c>
      <c r="D30" s="529">
        <v>1828.1124944661713</v>
      </c>
      <c r="E30" s="529">
        <v>1635.8965084767099</v>
      </c>
      <c r="F30" s="529">
        <v>1588.669480079019</v>
      </c>
      <c r="G30" s="529">
        <v>1798.0594377014497</v>
      </c>
      <c r="H30" s="279">
        <f t="shared" si="3"/>
        <v>-5.5101025893445899E-3</v>
      </c>
      <c r="I30" s="254"/>
      <c r="J30" s="248"/>
      <c r="K30" s="248"/>
      <c r="L30" s="248"/>
      <c r="M30" s="248"/>
      <c r="N30" s="248"/>
      <c r="O30" s="5"/>
      <c r="Q30" s="5"/>
      <c r="S30" s="88"/>
      <c r="T30" s="42"/>
      <c r="U30" s="42"/>
      <c r="V30" s="147" t="s">
        <v>588</v>
      </c>
      <c r="W30" s="288">
        <f t="shared" si="5"/>
        <v>0.67036913338013016</v>
      </c>
      <c r="X30" s="288">
        <v>1</v>
      </c>
      <c r="Y30" s="42"/>
      <c r="Z30" s="42"/>
      <c r="AA30" s="42"/>
    </row>
    <row r="31" spans="2:27">
      <c r="B31" s="5" t="s">
        <v>585</v>
      </c>
      <c r="C31" s="545">
        <v>2602</v>
      </c>
      <c r="D31" s="529">
        <v>2726.76</v>
      </c>
      <c r="E31" s="529">
        <v>2750.3309999999997</v>
      </c>
      <c r="F31" s="529">
        <v>2777.8343099999997</v>
      </c>
      <c r="G31" s="529">
        <v>2972.2827117000002</v>
      </c>
      <c r="H31" s="279">
        <f t="shared" si="3"/>
        <v>2.9155660251550142E-2</v>
      </c>
      <c r="I31" s="254"/>
      <c r="J31" s="5" t="s">
        <v>731</v>
      </c>
      <c r="K31" s="247"/>
      <c r="L31" s="322">
        <v>40184</v>
      </c>
      <c r="M31" s="322">
        <v>40234</v>
      </c>
      <c r="N31" s="322">
        <v>40284</v>
      </c>
      <c r="O31" s="322">
        <v>40284</v>
      </c>
      <c r="Q31" s="5"/>
      <c r="S31" s="88"/>
      <c r="T31" s="42"/>
      <c r="U31" s="42"/>
      <c r="V31" s="147" t="s">
        <v>470</v>
      </c>
      <c r="W31" s="288">
        <f t="shared" si="5"/>
        <v>0.94437041792809839</v>
      </c>
      <c r="X31" s="288">
        <v>1</v>
      </c>
      <c r="Y31" s="42"/>
      <c r="Z31" s="42"/>
      <c r="AA31" s="42"/>
    </row>
    <row r="32" spans="2:27">
      <c r="B32" s="5" t="s">
        <v>601</v>
      </c>
      <c r="C32" s="546">
        <v>65</v>
      </c>
      <c r="D32" s="529">
        <v>28</v>
      </c>
      <c r="E32" s="529">
        <v>0</v>
      </c>
      <c r="F32" s="529">
        <v>0</v>
      </c>
      <c r="G32" s="529">
        <v>0</v>
      </c>
      <c r="H32" s="279" t="str">
        <f t="shared" si="3"/>
        <v>nm</v>
      </c>
      <c r="I32" s="254"/>
      <c r="J32" s="5" t="s">
        <v>1351</v>
      </c>
      <c r="K32" s="254"/>
      <c r="L32" s="322">
        <v>86325.902870813385</v>
      </c>
      <c r="M32" s="322">
        <v>90456.716148325344</v>
      </c>
      <c r="N32" s="322">
        <v>94597.529425837318</v>
      </c>
      <c r="O32" s="322">
        <v>94597.529425837318</v>
      </c>
      <c r="Q32" s="5"/>
      <c r="S32" s="88"/>
      <c r="T32" s="42"/>
      <c r="U32" s="42"/>
      <c r="V32" s="147" t="s">
        <v>528</v>
      </c>
      <c r="W32" s="288">
        <f t="shared" si="5"/>
        <v>0.74138180595892966</v>
      </c>
      <c r="X32" s="288">
        <v>1</v>
      </c>
      <c r="Y32" s="42"/>
      <c r="Z32" s="42"/>
      <c r="AA32" s="42"/>
    </row>
    <row r="33" spans="2:27">
      <c r="B33" s="5" t="s">
        <v>5</v>
      </c>
      <c r="C33" s="545">
        <v>-698</v>
      </c>
      <c r="D33" s="529">
        <v>-834.86484460066185</v>
      </c>
      <c r="E33" s="529">
        <v>-848.26409271517809</v>
      </c>
      <c r="F33" s="529">
        <v>-866.23042829377675</v>
      </c>
      <c r="G33" s="529">
        <v>-870.59094315071616</v>
      </c>
      <c r="H33" s="279">
        <f t="shared" si="3"/>
        <v>1.4065459721459339E-2</v>
      </c>
      <c r="I33" s="5"/>
      <c r="J33" s="5"/>
      <c r="K33" s="5"/>
      <c r="L33" s="5"/>
      <c r="M33" s="5"/>
      <c r="N33" s="5"/>
      <c r="O33" s="5"/>
      <c r="Q33" s="5"/>
      <c r="S33" s="88"/>
      <c r="T33" s="42"/>
      <c r="U33" s="42"/>
      <c r="V33" s="147" t="s">
        <v>575</v>
      </c>
      <c r="W33" s="288">
        <f t="shared" si="5"/>
        <v>1.7183494272885413</v>
      </c>
      <c r="X33" s="288">
        <v>1</v>
      </c>
      <c r="Y33" s="42"/>
      <c r="Z33" s="42"/>
      <c r="AA33" s="42"/>
    </row>
    <row r="34" spans="2:27">
      <c r="H34" s="277"/>
      <c r="I34" s="49"/>
      <c r="Q34" s="5"/>
      <c r="S34" s="88"/>
      <c r="T34" s="42"/>
      <c r="U34" s="42"/>
      <c r="V34" s="147" t="s">
        <v>576</v>
      </c>
      <c r="W34" s="288">
        <f>D47/L19</f>
        <v>1.0589065275826302</v>
      </c>
      <c r="X34" s="288">
        <v>1</v>
      </c>
      <c r="Y34" s="288"/>
      <c r="Z34" s="288"/>
      <c r="AA34" s="42"/>
    </row>
    <row r="35" spans="2:27" ht="12.6" thickBot="1">
      <c r="B35" s="306" t="s">
        <v>701</v>
      </c>
      <c r="C35" s="265"/>
      <c r="D35" s="265" t="str">
        <f>D5</f>
        <v>2023E</v>
      </c>
      <c r="E35" s="265" t="str">
        <f t="shared" ref="E35:H35" si="7">E5</f>
        <v>2024E</v>
      </c>
      <c r="F35" s="265" t="str">
        <f t="shared" si="7"/>
        <v>2025E</v>
      </c>
      <c r="G35" s="265" t="str">
        <f t="shared" si="7"/>
        <v>2026E</v>
      </c>
      <c r="H35" s="265" t="str">
        <f t="shared" si="7"/>
        <v>23E-26E</v>
      </c>
      <c r="I35" s="254"/>
      <c r="J35" s="306" t="s">
        <v>1352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 t="shared" ref="D37:G41" si="8">D$18/D23</f>
        <v>9.4587190215277186</v>
      </c>
      <c r="E37" s="525">
        <f t="shared" si="8"/>
        <v>9.5313241496299703</v>
      </c>
      <c r="F37" s="525">
        <f t="shared" si="8"/>
        <v>9.5680800327382283</v>
      </c>
      <c r="G37" s="525">
        <f t="shared" si="8"/>
        <v>7.8431842448931226</v>
      </c>
      <c r="H37" s="17">
        <f t="shared" ref="H37:H45" si="9">H23</f>
        <v>1.4171704223975956E-2</v>
      </c>
      <c r="I37" s="5"/>
      <c r="J37" s="248"/>
      <c r="K37" s="248"/>
      <c r="L37" s="248"/>
      <c r="M37" s="248"/>
      <c r="N37" s="248"/>
      <c r="O37" s="5"/>
      <c r="Q37" s="5"/>
      <c r="R37" s="5"/>
      <c r="S37" s="42"/>
      <c r="T37" s="42"/>
      <c r="U37" s="42"/>
      <c r="V37" s="42"/>
      <c r="W37" s="42"/>
      <c r="X37" s="42"/>
      <c r="Y37" s="42"/>
      <c r="Z37" s="42"/>
      <c r="AA37" s="42"/>
    </row>
    <row r="38" spans="2:27">
      <c r="B38" s="5" t="s">
        <v>180</v>
      </c>
      <c r="C38" s="247"/>
      <c r="D38" s="525">
        <f t="shared" si="8"/>
        <v>15.229841348494531</v>
      </c>
      <c r="E38" s="525">
        <f t="shared" si="8"/>
        <v>15.580177460320659</v>
      </c>
      <c r="F38" s="525">
        <f t="shared" si="8"/>
        <v>15.693191589733187</v>
      </c>
      <c r="G38" s="525">
        <f t="shared" si="8"/>
        <v>12.621131909398283</v>
      </c>
      <c r="H38" s="17">
        <f t="shared" si="9"/>
        <v>1.4371903454581503E-2</v>
      </c>
      <c r="I38" s="259"/>
      <c r="J38" s="252"/>
      <c r="K38" s="252"/>
      <c r="L38" s="252"/>
      <c r="M38" s="252"/>
      <c r="N38" s="252"/>
      <c r="O38" s="5"/>
      <c r="Q38" s="5"/>
      <c r="R38" s="5"/>
      <c r="S38" s="42"/>
      <c r="T38" s="42"/>
      <c r="U38" s="42"/>
      <c r="V38" s="42"/>
      <c r="W38" s="42"/>
      <c r="X38" s="42"/>
      <c r="Y38" s="42"/>
      <c r="Z38" s="42"/>
      <c r="AA38" s="42"/>
    </row>
    <row r="39" spans="2:27">
      <c r="B39" s="5" t="s">
        <v>181</v>
      </c>
      <c r="C39" s="247"/>
      <c r="D39" s="525">
        <f t="shared" si="8"/>
        <v>23.933693160903228</v>
      </c>
      <c r="E39" s="525">
        <f t="shared" si="8"/>
        <v>23.99669732041248</v>
      </c>
      <c r="F39" s="525">
        <f t="shared" si="8"/>
        <v>23.974897255189177</v>
      </c>
      <c r="G39" s="525">
        <f t="shared" si="8"/>
        <v>18.722183492128622</v>
      </c>
      <c r="H39" s="17">
        <f t="shared" si="9"/>
        <v>3.4068385731666595E-2</v>
      </c>
      <c r="I39" s="17"/>
      <c r="J39" s="259"/>
      <c r="K39" s="259"/>
      <c r="L39" s="259"/>
      <c r="M39" s="259"/>
      <c r="N39" s="259"/>
      <c r="O39" s="18"/>
      <c r="Q39" s="5"/>
      <c r="R39" s="5"/>
      <c r="S39" s="42"/>
      <c r="T39" s="42"/>
      <c r="U39" s="42"/>
      <c r="V39" s="42"/>
      <c r="W39" s="42"/>
      <c r="X39" s="42"/>
      <c r="Y39" s="42"/>
      <c r="Z39" s="42"/>
      <c r="AA39" s="42"/>
    </row>
    <row r="40" spans="2:27">
      <c r="B40" s="5" t="s">
        <v>461</v>
      </c>
      <c r="C40" s="247"/>
      <c r="D40" s="525">
        <f t="shared" si="8"/>
        <v>26.592992401003581</v>
      </c>
      <c r="E40" s="525">
        <f t="shared" si="8"/>
        <v>26.662997022680532</v>
      </c>
      <c r="F40" s="525">
        <f t="shared" si="8"/>
        <v>26.638774727987972</v>
      </c>
      <c r="G40" s="525">
        <f t="shared" si="8"/>
        <v>20.802426102365132</v>
      </c>
      <c r="H40" s="17">
        <f t="shared" si="9"/>
        <v>3.4068385731666595E-2</v>
      </c>
      <c r="I40" s="5"/>
      <c r="J40" s="259"/>
      <c r="K40" s="259"/>
      <c r="L40" s="259"/>
      <c r="M40" s="259"/>
      <c r="N40" s="259"/>
      <c r="O40" s="18"/>
      <c r="Q40" s="5"/>
      <c r="R40" s="5"/>
      <c r="S40" s="42"/>
      <c r="T40" s="42"/>
      <c r="U40" s="42"/>
      <c r="V40" s="42"/>
      <c r="W40" s="288"/>
      <c r="X40" s="288"/>
      <c r="Y40" s="42"/>
      <c r="Z40" s="42"/>
      <c r="AA40" s="42"/>
    </row>
    <row r="41" spans="2:27">
      <c r="B41" s="5" t="s">
        <v>525</v>
      </c>
      <c r="C41" s="247"/>
      <c r="D41" s="525">
        <f t="shared" si="8"/>
        <v>2.337866410904514</v>
      </c>
      <c r="E41" s="525">
        <f t="shared" si="8"/>
        <v>2.4500241689456224</v>
      </c>
      <c r="F41" s="525">
        <f t="shared" si="8"/>
        <v>2.5169109718846929</v>
      </c>
      <c r="G41" s="525">
        <f t="shared" si="8"/>
        <v>2.2186985459574426</v>
      </c>
      <c r="H41" s="17">
        <f t="shared" si="9"/>
        <v>-3.0446040152147136E-2</v>
      </c>
      <c r="I41" s="247"/>
      <c r="J41" s="259"/>
      <c r="K41" s="259"/>
      <c r="L41" s="259"/>
      <c r="M41" s="259"/>
      <c r="N41" s="259"/>
      <c r="O41" s="18"/>
      <c r="Q41" s="5"/>
      <c r="R41" s="5"/>
      <c r="S41" s="42"/>
      <c r="T41" s="42"/>
      <c r="U41" s="42"/>
      <c r="V41" s="42"/>
      <c r="W41" s="288"/>
      <c r="X41" s="288"/>
      <c r="Y41" s="288"/>
      <c r="Z41" s="288"/>
      <c r="AA41" s="42"/>
    </row>
    <row r="42" spans="2:27">
      <c r="B42" s="5" t="s">
        <v>588</v>
      </c>
      <c r="C42" s="247"/>
      <c r="D42" s="525">
        <f>D18/D28</f>
        <v>4.3994260436118067</v>
      </c>
      <c r="E42" s="525">
        <f>E18/E28</f>
        <v>4.4913589012165946</v>
      </c>
      <c r="F42" s="525">
        <f>F18/F28</f>
        <v>4.6631901598879919</v>
      </c>
      <c r="G42" s="525">
        <f>G18/G28</f>
        <v>4.1078394926395081</v>
      </c>
      <c r="H42" s="17">
        <f t="shared" si="9"/>
        <v>-2.5177139074638588E-2</v>
      </c>
      <c r="I42" s="248"/>
      <c r="J42" s="5"/>
      <c r="K42" s="5"/>
      <c r="L42" s="5"/>
      <c r="M42" s="5"/>
      <c r="N42" s="5"/>
      <c r="O42" s="5"/>
      <c r="Q42" s="5"/>
      <c r="R42" s="5"/>
      <c r="S42" s="42"/>
      <c r="T42" s="42"/>
      <c r="U42" s="42"/>
      <c r="V42" s="42"/>
      <c r="W42" s="288"/>
      <c r="X42" s="288"/>
      <c r="Y42" s="288"/>
      <c r="Z42" s="288"/>
      <c r="AA42" s="42"/>
    </row>
    <row r="43" spans="2:27">
      <c r="B43" s="5" t="s">
        <v>470</v>
      </c>
      <c r="C43" s="247"/>
      <c r="D43" s="525">
        <f>L26/D29</f>
        <v>24.995511497608305</v>
      </c>
      <c r="E43" s="525">
        <f>M26/E29</f>
        <v>25.349291130170023</v>
      </c>
      <c r="F43" s="525">
        <f>N26/F29</f>
        <v>25.121001021163522</v>
      </c>
      <c r="G43" s="525">
        <f>O26/G29</f>
        <v>22.180910089471588</v>
      </c>
      <c r="H43" s="17">
        <f t="shared" si="9"/>
        <v>4.0924123389850076E-2</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27.072047754069882</v>
      </c>
      <c r="E44" s="525">
        <f>E11/E30</f>
        <v>30.279085347595636</v>
      </c>
      <c r="F44" s="525">
        <f>F11/F30</f>
        <v>31.179204120882499</v>
      </c>
      <c r="G44" s="525">
        <f>G11/G30</f>
        <v>27.548282866177725</v>
      </c>
      <c r="H44" s="17">
        <f t="shared" si="9"/>
        <v>-5.5101025893445899E-3</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5.5096357781412635E-2</v>
      </c>
      <c r="E45" s="248">
        <f>E31/E11</f>
        <v>5.5524721173267753E-2</v>
      </c>
      <c r="F45" s="248">
        <f>F31/F11</f>
        <v>5.6079968385000428E-2</v>
      </c>
      <c r="G45" s="248">
        <f>G31/G11</f>
        <v>6.0005566171950471E-2</v>
      </c>
      <c r="H45" s="17">
        <f t="shared" si="9"/>
        <v>2.9155660251550142E-2</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5.5662120084614811E-2</v>
      </c>
      <c r="E46" s="248">
        <f>(E31+E32)/E11</f>
        <v>5.5524721173267753E-2</v>
      </c>
      <c r="F46" s="248">
        <f>(F31+F32)/F11</f>
        <v>5.6079968385000428E-2</v>
      </c>
      <c r="G46" s="248">
        <f>(G31+G32)/G11</f>
        <v>6.0005566171950471E-2</v>
      </c>
      <c r="H46" s="279">
        <f>((G31+G32)/(D31+D32))^(1/3)-1</f>
        <v>2.565692284908061E-2</v>
      </c>
      <c r="I46" s="247"/>
      <c r="J46" s="5"/>
      <c r="K46" s="5"/>
      <c r="L46" s="5"/>
      <c r="M46" s="5"/>
      <c r="N46" s="5"/>
      <c r="O46" s="5"/>
      <c r="Q46" s="5"/>
      <c r="R46" s="5"/>
      <c r="S46" s="42"/>
      <c r="T46" s="42"/>
      <c r="U46" s="42"/>
      <c r="V46" s="42"/>
      <c r="W46" s="42"/>
      <c r="X46" s="42"/>
      <c r="Y46" s="42"/>
      <c r="Z46" s="42"/>
      <c r="AA46" s="326"/>
    </row>
    <row r="47" spans="2:27">
      <c r="B47" s="5" t="s">
        <v>576</v>
      </c>
      <c r="C47" s="5"/>
      <c r="D47" s="248">
        <f>1/D43</f>
        <v>4.0007182893444085E-2</v>
      </c>
      <c r="E47" s="248">
        <f>1/E43</f>
        <v>3.9448834875300626E-2</v>
      </c>
      <c r="F47" s="248">
        <f>1/F43</f>
        <v>3.9807330892488585E-2</v>
      </c>
      <c r="G47" s="248">
        <f>1/G43</f>
        <v>4.5083812880818669E-2</v>
      </c>
      <c r="H47" s="17">
        <f>H29</f>
        <v>4.0924123389850076E-2</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1.3771616444016404</v>
      </c>
      <c r="E48" s="305">
        <f>E31/E29</f>
        <v>1.4075123219426799</v>
      </c>
      <c r="F48" s="305">
        <f>F31/F29</f>
        <v>1.4087849430664139</v>
      </c>
      <c r="G48" s="305">
        <f>G31/G29</f>
        <v>1.3309780681278713</v>
      </c>
      <c r="H48" s="279" t="s">
        <v>602</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Q60" s="5"/>
      <c r="R60" s="5"/>
      <c r="S60" s="5"/>
    </row>
    <row r="61" spans="2:27">
      <c r="B61" s="5"/>
      <c r="C61" s="5"/>
      <c r="D61" s="5"/>
      <c r="E61" s="5"/>
      <c r="F61" s="5"/>
      <c r="G61" s="5"/>
      <c r="H61" s="5"/>
      <c r="I61" s="5"/>
      <c r="Q61" s="41"/>
      <c r="R61" s="5"/>
      <c r="S61" s="5"/>
    </row>
    <row r="62" spans="2:27">
      <c r="B62" s="41"/>
      <c r="C62" s="249"/>
      <c r="D62" s="249"/>
      <c r="E62" s="249"/>
      <c r="F62" s="249"/>
      <c r="G62" s="249"/>
      <c r="H62" s="249"/>
      <c r="I62" s="5"/>
      <c r="Q62" s="5"/>
      <c r="R62" s="5"/>
      <c r="S62" s="5"/>
    </row>
    <row r="63" spans="2:27">
      <c r="B63" s="5"/>
      <c r="C63" s="5"/>
      <c r="D63" s="5"/>
      <c r="E63" s="5"/>
      <c r="F63" s="5"/>
      <c r="G63" s="5"/>
      <c r="H63" s="5"/>
      <c r="I63" s="254"/>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5">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1021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543</v>
      </c>
      <c r="C9" s="267">
        <f>Prices!$C$98</f>
        <v>0.99</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44">
      <c r="B10" s="5" t="s">
        <v>269</v>
      </c>
      <c r="C10" s="5"/>
      <c r="D10" s="527">
        <v>175278</v>
      </c>
      <c r="E10" s="527">
        <v>176008</v>
      </c>
      <c r="F10" s="527">
        <v>176008</v>
      </c>
      <c r="G10" s="527">
        <v>174812</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44">
      <c r="B11" s="41" t="s">
        <v>430</v>
      </c>
      <c r="C11" s="5"/>
      <c r="D11" s="528">
        <f>$C$9*D10/Prices!$C$167*Prices!$C$175</f>
        <v>157839.3363083342</v>
      </c>
      <c r="E11" s="528">
        <f>$C$9*E10/Prices!$C$167*Prices!$C$175</f>
        <v>158496.70754434261</v>
      </c>
      <c r="F11" s="528">
        <f>$C$9*F10/Prices!$C$167*Prices!$C$175</f>
        <v>158496.70754434261</v>
      </c>
      <c r="G11" s="528">
        <f>$C$9*G10/Prices!$C$167*Prices!$C$175</f>
        <v>157419.69932753977</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44">
      <c r="B12" s="5" t="s">
        <v>24</v>
      </c>
      <c r="C12" s="249"/>
      <c r="D12" s="529">
        <v>99001.382259999998</v>
      </c>
      <c r="E12" s="529">
        <v>88534.230677800602</v>
      </c>
      <c r="F12" s="529">
        <v>78589.391427466617</v>
      </c>
      <c r="G12" s="529">
        <v>71396.263670637665</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44">
      <c r="B16" s="5" t="s">
        <v>529</v>
      </c>
      <c r="C16" s="257"/>
      <c r="D16" s="529">
        <v>0</v>
      </c>
      <c r="E16" s="529">
        <v>0</v>
      </c>
      <c r="F16" s="529">
        <v>10433.456057533527</v>
      </c>
      <c r="G16" s="529">
        <v>24480.707253843459</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256840.71856833418</v>
      </c>
      <c r="E18" s="530">
        <f>E11+E12+E13-E14+E15-E16-E17</f>
        <v>247030.93822214322</v>
      </c>
      <c r="F18" s="530">
        <f>F11+F12+F13-F14+F15-F16-F17</f>
        <v>226652.6429142757</v>
      </c>
      <c r="G18" s="530">
        <f>G11+G12+G13-G14+G15-G16-G17</f>
        <v>204335.25574433399</v>
      </c>
      <c r="H18" s="276">
        <f>IF(D18=0,"nm",IF(G18=0,"nm",(G18/D18)^(1/3)-1))</f>
        <v>-7.339819226847244E-2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927</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92170</v>
      </c>
      <c r="D23" s="536">
        <v>94009</v>
      </c>
      <c r="E23" s="536">
        <v>98717.297075414186</v>
      </c>
      <c r="F23" s="536">
        <v>104293.51255137422</v>
      </c>
      <c r="G23" s="536">
        <v>109941.02976383799</v>
      </c>
      <c r="H23" s="279">
        <f t="shared" ref="H23:H32" si="3">IF(D23=0,"nm",IF(G23=0,"nm",(G23/D23)^(1/3)-1))</f>
        <v>5.3570145711258954E-2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62844</v>
      </c>
      <c r="D24" s="536">
        <v>63551</v>
      </c>
      <c r="E24" s="536">
        <v>67049.958256523678</v>
      </c>
      <c r="F24" s="536">
        <v>71361.925512674425</v>
      </c>
      <c r="G24" s="536">
        <v>75206.38026200149</v>
      </c>
      <c r="H24" s="279">
        <f t="shared" si="3"/>
        <v>5.7736357319920772E-2</v>
      </c>
      <c r="I24" s="249"/>
      <c r="J24" s="17"/>
      <c r="K24" s="17"/>
      <c r="L24" s="17"/>
      <c r="M24" s="17"/>
      <c r="N24" s="17"/>
      <c r="O24" s="248"/>
      <c r="S24" s="88"/>
      <c r="T24" s="42"/>
      <c r="U24" s="42"/>
      <c r="V24" s="42"/>
      <c r="W24" s="42" t="s">
        <v>1019</v>
      </c>
      <c r="X24" s="42" t="s">
        <v>252</v>
      </c>
      <c r="Y24" s="42"/>
      <c r="Z24" s="42"/>
      <c r="AA24" s="42"/>
    </row>
    <row r="25" spans="2:27">
      <c r="B25" s="5" t="s">
        <v>179</v>
      </c>
      <c r="C25" s="544">
        <v>36637</v>
      </c>
      <c r="D25" s="536">
        <v>31836</v>
      </c>
      <c r="E25" s="536">
        <v>42627.244582249601</v>
      </c>
      <c r="F25" s="536">
        <v>46169.761210749028</v>
      </c>
      <c r="G25" s="536">
        <v>49219.566697631068</v>
      </c>
      <c r="H25" s="279">
        <f t="shared" si="3"/>
        <v>0.15630684537103678</v>
      </c>
      <c r="I25" s="248"/>
      <c r="J25" s="247" t="s">
        <v>10</v>
      </c>
      <c r="K25" s="247"/>
      <c r="L25" s="321">
        <v>0</v>
      </c>
      <c r="M25" s="321">
        <v>0</v>
      </c>
      <c r="N25" s="321">
        <v>0</v>
      </c>
      <c r="O25" s="321">
        <v>0</v>
      </c>
      <c r="P25" s="279" t="str">
        <f>IF(L25=0,"nm",IF(O25=0,"nm",(O25/L25)^(1/3)-1))</f>
        <v>nm</v>
      </c>
      <c r="S25" s="88"/>
      <c r="T25" s="42"/>
      <c r="U25" s="42"/>
      <c r="V25" s="147" t="s">
        <v>268</v>
      </c>
      <c r="W25" s="288">
        <f>D37/L9</f>
        <v>1.269071460365939</v>
      </c>
      <c r="X25" s="288">
        <v>1</v>
      </c>
      <c r="Y25" s="42"/>
      <c r="Z25" s="42"/>
      <c r="AA25" s="42"/>
    </row>
    <row r="26" spans="2:27">
      <c r="B26" s="5" t="s">
        <v>581</v>
      </c>
      <c r="C26" s="544">
        <v>36545.407500000001</v>
      </c>
      <c r="D26" s="536">
        <v>31756.410000000003</v>
      </c>
      <c r="E26" s="536">
        <v>42520.67647079398</v>
      </c>
      <c r="F26" s="536">
        <v>46054.33680772216</v>
      </c>
      <c r="G26" s="536">
        <v>49096.517780886992</v>
      </c>
      <c r="H26" s="279">
        <f t="shared" si="3"/>
        <v>0.15630684537103678</v>
      </c>
      <c r="I26" s="249"/>
      <c r="J26" s="249" t="s">
        <v>11</v>
      </c>
      <c r="K26" s="249"/>
      <c r="L26" s="281">
        <f>D11+L25</f>
        <v>157839.3363083342</v>
      </c>
      <c r="M26" s="281">
        <f>E11+M25</f>
        <v>158496.70754434261</v>
      </c>
      <c r="N26" s="281">
        <f>F11+N25</f>
        <v>158496.70754434261</v>
      </c>
      <c r="O26" s="281">
        <f>G11+O25</f>
        <v>157419.69932753977</v>
      </c>
      <c r="P26" s="279">
        <f>IF(L26=0,"nm",IF(O26=0,"nm",(O26/L26)^(1/3)-1))</f>
        <v>-8.8699777019174419E-4</v>
      </c>
      <c r="Q26" s="5"/>
      <c r="S26" s="88"/>
      <c r="T26" s="42"/>
      <c r="U26" s="42"/>
      <c r="V26" s="147" t="s">
        <v>180</v>
      </c>
      <c r="W26" s="288">
        <f t="shared" ref="W26:W33" si="5">D38/L10</f>
        <v>0.61261025595530794</v>
      </c>
      <c r="X26" s="288">
        <v>1</v>
      </c>
      <c r="Y26" s="42"/>
      <c r="Z26" s="42"/>
      <c r="AA26" s="42"/>
    </row>
    <row r="27" spans="2:27">
      <c r="B27" s="5" t="s">
        <v>582</v>
      </c>
      <c r="C27" s="545">
        <v>267593</v>
      </c>
      <c r="D27" s="536">
        <v>296695.38225999998</v>
      </c>
      <c r="E27" s="536">
        <v>274444.58449998952</v>
      </c>
      <c r="F27" s="536">
        <v>253840.93010959399</v>
      </c>
      <c r="G27" s="536">
        <v>239100.36521013343</v>
      </c>
      <c r="H27" s="279">
        <f t="shared" si="3"/>
        <v>-6.9414065259425506E-2</v>
      </c>
      <c r="I27" s="249"/>
      <c r="J27" s="248"/>
      <c r="K27" s="248"/>
      <c r="L27" s="248"/>
      <c r="M27" s="248"/>
      <c r="N27" s="248"/>
      <c r="O27" s="248"/>
      <c r="Q27" s="41"/>
      <c r="S27" s="88"/>
      <c r="T27" s="42"/>
      <c r="U27" s="42"/>
      <c r="V27" s="147" t="s">
        <v>181</v>
      </c>
      <c r="W27" s="288">
        <f t="shared" si="5"/>
        <v>0.63452259988771165</v>
      </c>
      <c r="X27" s="288">
        <v>1</v>
      </c>
      <c r="Y27" s="42"/>
      <c r="Z27" s="42"/>
      <c r="AA27" s="42"/>
    </row>
    <row r="28" spans="2:27">
      <c r="B28" s="5" t="s">
        <v>587</v>
      </c>
      <c r="C28" s="544">
        <v>209377</v>
      </c>
      <c r="D28" s="536">
        <v>201542</v>
      </c>
      <c r="E28" s="536">
        <v>177359.28240904753</v>
      </c>
      <c r="F28" s="536">
        <v>154467.58181276021</v>
      </c>
      <c r="G28" s="536">
        <v>137409.71400662494</v>
      </c>
      <c r="H28" s="279">
        <f t="shared" si="3"/>
        <v>-0.11986230027244849</v>
      </c>
      <c r="I28" s="248"/>
      <c r="Q28" s="5"/>
      <c r="S28" s="88"/>
      <c r="T28" s="42"/>
      <c r="U28" s="42"/>
      <c r="V28" s="147" t="s">
        <v>461</v>
      </c>
      <c r="W28" s="288">
        <f t="shared" si="5"/>
        <v>0.48856005649689743</v>
      </c>
      <c r="X28" s="288">
        <v>1</v>
      </c>
      <c r="Y28" s="42"/>
      <c r="Z28" s="42"/>
      <c r="AA28" s="42"/>
    </row>
    <row r="29" spans="2:27" ht="12.6" thickBot="1">
      <c r="B29" s="5" t="s">
        <v>583</v>
      </c>
      <c r="C29" s="544">
        <v>32112</v>
      </c>
      <c r="D29" s="536">
        <v>27084</v>
      </c>
      <c r="E29" s="536">
        <v>37801.207404360095</v>
      </c>
      <c r="F29" s="536">
        <v>40400.126944759308</v>
      </c>
      <c r="G29" s="536">
        <v>41457.665145123545</v>
      </c>
      <c r="H29" s="279">
        <f t="shared" si="3"/>
        <v>0.1524727837606481</v>
      </c>
      <c r="I29" s="252"/>
      <c r="J29" s="306" t="s">
        <v>1353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525</v>
      </c>
      <c r="W29" s="288">
        <f t="shared" si="5"/>
        <v>0.58377973772335923</v>
      </c>
      <c r="X29" s="288">
        <v>1</v>
      </c>
      <c r="Y29" s="42"/>
      <c r="Z29" s="42"/>
      <c r="AA29" s="42"/>
    </row>
    <row r="30" spans="2:27" ht="12.6" thickTop="1">
      <c r="B30" s="5" t="s">
        <v>584</v>
      </c>
      <c r="C30" s="545">
        <v>8787</v>
      </c>
      <c r="D30" s="536">
        <v>9750</v>
      </c>
      <c r="E30" s="536">
        <v>13618.489813407639</v>
      </c>
      <c r="F30" s="536">
        <v>17508.426348471989</v>
      </c>
      <c r="G30" s="536">
        <v>24399.79733898829</v>
      </c>
      <c r="H30" s="279">
        <f t="shared" si="3"/>
        <v>0.35766889391217083</v>
      </c>
      <c r="I30" s="254"/>
      <c r="J30" s="248"/>
      <c r="K30" s="248"/>
      <c r="L30" s="248"/>
      <c r="M30" s="248"/>
      <c r="N30" s="248"/>
      <c r="O30" s="5"/>
      <c r="Q30" s="5"/>
      <c r="S30" s="88"/>
      <c r="T30" s="42"/>
      <c r="U30" s="42"/>
      <c r="V30" s="147" t="s">
        <v>588</v>
      </c>
      <c r="W30" s="288">
        <f t="shared" si="5"/>
        <v>0.41885108941958232</v>
      </c>
      <c r="X30" s="288">
        <v>1</v>
      </c>
      <c r="Y30" s="42"/>
      <c r="Z30" s="42"/>
      <c r="AA30" s="42"/>
    </row>
    <row r="31" spans="2:27">
      <c r="B31" s="5" t="s">
        <v>585</v>
      </c>
      <c r="C31" s="545">
        <v>5649.9238400000004</v>
      </c>
      <c r="D31" s="536">
        <v>6536.2206800000004</v>
      </c>
      <c r="E31" s="536">
        <v>9129.5851024373678</v>
      </c>
      <c r="F31" s="536">
        <v>11737.327012629688</v>
      </c>
      <c r="G31" s="536">
        <v>16357.175379990178</v>
      </c>
      <c r="H31" s="279">
        <f t="shared" si="3"/>
        <v>0.35766889391217083</v>
      </c>
      <c r="I31" s="254"/>
      <c r="J31" s="5" t="s">
        <v>731</v>
      </c>
      <c r="K31" s="247"/>
      <c r="L31" s="322">
        <v>3620500</v>
      </c>
      <c r="M31" s="322">
        <v>3715498.6207666248</v>
      </c>
      <c r="N31" s="322">
        <v>3832303.4573737206</v>
      </c>
      <c r="O31" s="322">
        <v>3952780.3098385413</v>
      </c>
      <c r="Q31" s="5"/>
      <c r="S31" s="88"/>
      <c r="T31" s="42"/>
      <c r="U31" s="42"/>
      <c r="V31" s="147" t="s">
        <v>470</v>
      </c>
      <c r="W31" s="288">
        <f t="shared" si="5"/>
        <v>0.29603296613340724</v>
      </c>
      <c r="X31" s="288">
        <v>1</v>
      </c>
      <c r="Y31" s="42"/>
      <c r="Z31" s="42"/>
      <c r="AA31" s="42"/>
    </row>
    <row r="32" spans="2:27">
      <c r="B32" s="5" t="s">
        <v>601</v>
      </c>
      <c r="C32" s="546">
        <v>0</v>
      </c>
      <c r="D32" s="536">
        <v>0</v>
      </c>
      <c r="E32" s="536">
        <v>0</v>
      </c>
      <c r="F32" s="536">
        <v>0</v>
      </c>
      <c r="G32" s="536">
        <v>0</v>
      </c>
      <c r="H32" s="279" t="str">
        <f t="shared" si="3"/>
        <v>nm</v>
      </c>
      <c r="I32" s="254"/>
      <c r="J32" s="5" t="s">
        <v>1351</v>
      </c>
      <c r="K32" s="254"/>
      <c r="L32" s="322">
        <v>2050500</v>
      </c>
      <c r="M32" s="322">
        <v>2051999.8949999996</v>
      </c>
      <c r="N32" s="322">
        <v>2064034.8743841746</v>
      </c>
      <c r="O32" s="322">
        <v>2076140.4389224376</v>
      </c>
      <c r="Q32" s="5"/>
      <c r="S32" s="88"/>
      <c r="T32" s="42"/>
      <c r="U32" s="42"/>
      <c r="V32" s="147" t="s">
        <v>528</v>
      </c>
      <c r="W32" s="288">
        <f t="shared" si="5"/>
        <v>0.75656993936916261</v>
      </c>
      <c r="X32" s="288">
        <v>1</v>
      </c>
      <c r="Y32" s="42"/>
      <c r="Z32" s="42"/>
      <c r="AA32" s="42"/>
    </row>
    <row r="33" spans="2:27">
      <c r="B33" s="5" t="s">
        <v>5</v>
      </c>
      <c r="C33" s="545">
        <v>-2879</v>
      </c>
      <c r="D33" s="536">
        <v>-2784</v>
      </c>
      <c r="E33" s="536">
        <v>-1635.197628666705</v>
      </c>
      <c r="F33" s="536">
        <v>-1349.1758038368346</v>
      </c>
      <c r="G33" s="536">
        <v>-1163.0630500704124</v>
      </c>
      <c r="H33" s="279">
        <f>IF(D33=0,"nm",IF(G33=0,"nm",(G33/D33)^(1/3)-1))</f>
        <v>-0.2524423744867228</v>
      </c>
      <c r="I33" s="5"/>
      <c r="Q33" s="5"/>
      <c r="S33" s="88"/>
      <c r="T33" s="42"/>
      <c r="U33" s="42"/>
      <c r="V33" s="147" t="s">
        <v>575</v>
      </c>
      <c r="W33" s="288">
        <f t="shared" si="5"/>
        <v>1.0500708068903737</v>
      </c>
      <c r="X33" s="288">
        <v>1</v>
      </c>
      <c r="Y33" s="42"/>
      <c r="Z33" s="42"/>
      <c r="AA33" s="42"/>
    </row>
    <row r="34" spans="2:27">
      <c r="H34" s="277"/>
      <c r="I34" s="49"/>
      <c r="Q34" s="5"/>
      <c r="S34" s="88"/>
      <c r="T34" s="42"/>
      <c r="U34" s="42"/>
      <c r="V34" s="147" t="s">
        <v>576</v>
      </c>
      <c r="W34" s="288">
        <f>D47/L19</f>
        <v>3.3780021632771473</v>
      </c>
      <c r="X34" s="288">
        <v>1</v>
      </c>
      <c r="Y34" s="288"/>
      <c r="Z34" s="288"/>
      <c r="AA34" s="42"/>
    </row>
    <row r="35" spans="2:27" ht="12.6" thickBot="1">
      <c r="B35" s="306" t="s">
        <v>1022</v>
      </c>
      <c r="C35" s="265"/>
      <c r="D35" s="265" t="str">
        <f>D5</f>
        <v>2023E</v>
      </c>
      <c r="E35" s="265" t="str">
        <f t="shared" ref="E35:H35" si="7">E5</f>
        <v>2024E</v>
      </c>
      <c r="F35" s="265" t="str">
        <f t="shared" si="7"/>
        <v>2025E</v>
      </c>
      <c r="G35" s="265" t="str">
        <f t="shared" si="7"/>
        <v>2026E</v>
      </c>
      <c r="H35" s="265" t="str">
        <f t="shared" si="7"/>
        <v>23E-26E</v>
      </c>
      <c r="I35" s="254"/>
      <c r="J35" s="306" t="s">
        <v>1352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D$18/D23</f>
        <v>2.7320864871271282</v>
      </c>
      <c r="E37" s="525">
        <f t="shared" ref="E37:G41" si="8">E$18/E23</f>
        <v>2.5024078407801844</v>
      </c>
      <c r="F37" s="525">
        <f t="shared" si="8"/>
        <v>2.1732189986661754</v>
      </c>
      <c r="G37" s="525">
        <f t="shared" si="8"/>
        <v>1.8585896110238576</v>
      </c>
      <c r="H37" s="17">
        <f t="shared" ref="H37:H45" si="9">H23</f>
        <v>5.3570145711258954E-2</v>
      </c>
      <c r="I37" s="5"/>
      <c r="J37" s="248"/>
      <c r="K37" s="248"/>
      <c r="L37" s="248"/>
      <c r="M37" s="248"/>
      <c r="N37" s="248"/>
      <c r="O37" s="5"/>
      <c r="Q37" s="5"/>
      <c r="R37" s="5"/>
      <c r="S37" s="42"/>
      <c r="T37" s="42"/>
      <c r="U37" s="42"/>
      <c r="V37" s="42"/>
      <c r="W37" s="42"/>
      <c r="X37" s="42"/>
      <c r="Y37" s="42"/>
      <c r="Z37" s="42"/>
      <c r="AA37" s="42"/>
    </row>
    <row r="38" spans="2:27">
      <c r="B38" s="5" t="s">
        <v>180</v>
      </c>
      <c r="C38" s="247"/>
      <c r="D38" s="525">
        <f>D$18/D24</f>
        <v>4.0414898045401992</v>
      </c>
      <c r="E38" s="525">
        <f>E$18/E24</f>
        <v>3.6842817601323139</v>
      </c>
      <c r="F38" s="525">
        <f t="shared" si="8"/>
        <v>3.176100438517742</v>
      </c>
      <c r="G38" s="525">
        <f t="shared" si="8"/>
        <v>2.7169936251748537</v>
      </c>
      <c r="H38" s="17">
        <f t="shared" si="9"/>
        <v>5.7736357319920772E-2</v>
      </c>
      <c r="I38" s="259"/>
      <c r="J38" s="252"/>
      <c r="K38" s="252"/>
      <c r="L38" s="252"/>
      <c r="M38" s="252"/>
      <c r="N38" s="252"/>
      <c r="O38" s="5"/>
      <c r="Q38" s="5"/>
      <c r="R38" s="5"/>
      <c r="S38" s="42"/>
      <c r="T38" s="42"/>
      <c r="U38" s="42"/>
      <c r="V38" s="42"/>
      <c r="W38" s="42"/>
      <c r="X38" s="42"/>
      <c r="Y38" s="42"/>
      <c r="Z38" s="42"/>
      <c r="AA38" s="42"/>
    </row>
    <row r="39" spans="2:27">
      <c r="B39" s="5" t="s">
        <v>181</v>
      </c>
      <c r="C39" s="247"/>
      <c r="D39" s="525">
        <f>D$18/D25</f>
        <v>8.0676190026490193</v>
      </c>
      <c r="E39" s="525">
        <f t="shared" si="8"/>
        <v>5.7951420656687089</v>
      </c>
      <c r="F39" s="525">
        <f t="shared" si="8"/>
        <v>4.9091144716925132</v>
      </c>
      <c r="G39" s="525">
        <f t="shared" si="8"/>
        <v>4.1515045632079612</v>
      </c>
      <c r="H39" s="17">
        <f t="shared" si="9"/>
        <v>0.15630684537103678</v>
      </c>
      <c r="I39" s="17"/>
      <c r="J39" s="259"/>
      <c r="K39" s="259"/>
      <c r="L39" s="259"/>
      <c r="M39" s="259"/>
      <c r="N39" s="259"/>
      <c r="O39" s="18"/>
      <c r="Q39" s="5"/>
      <c r="R39" s="5"/>
      <c r="S39" s="42"/>
      <c r="T39" s="42"/>
      <c r="U39" s="42"/>
      <c r="V39" s="42"/>
      <c r="W39" s="42"/>
      <c r="X39" s="42"/>
      <c r="Y39" s="42"/>
      <c r="Z39" s="42"/>
      <c r="AA39" s="42"/>
    </row>
    <row r="40" spans="2:27">
      <c r="B40" s="5" t="s">
        <v>461</v>
      </c>
      <c r="C40" s="247"/>
      <c r="D40" s="525">
        <f>D$18/D26</f>
        <v>8.0878385991468864</v>
      </c>
      <c r="E40" s="525">
        <f t="shared" si="8"/>
        <v>5.8096662312468252</v>
      </c>
      <c r="F40" s="525">
        <f t="shared" si="8"/>
        <v>4.9214180167343482</v>
      </c>
      <c r="G40" s="525">
        <f t="shared" si="8"/>
        <v>4.1619093365493347</v>
      </c>
      <c r="H40" s="17">
        <f t="shared" si="9"/>
        <v>0.15630684537103678</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0.86567143921120959</v>
      </c>
      <c r="E41" s="525">
        <f t="shared" si="8"/>
        <v>0.90011227101532643</v>
      </c>
      <c r="F41" s="525">
        <f t="shared" si="8"/>
        <v>0.89289242210237751</v>
      </c>
      <c r="G41" s="525">
        <f t="shared" si="8"/>
        <v>0.85460034979350152</v>
      </c>
      <c r="H41" s="17">
        <f t="shared" si="9"/>
        <v>-6.9414065259425506E-2</v>
      </c>
      <c r="I41" s="247"/>
      <c r="J41" s="259"/>
      <c r="K41" s="259"/>
      <c r="L41" s="259"/>
      <c r="M41" s="259"/>
      <c r="N41" s="259"/>
      <c r="O41" s="18"/>
      <c r="Q41" s="5"/>
      <c r="R41" s="5"/>
      <c r="S41" s="42"/>
      <c r="T41" s="42"/>
      <c r="U41" s="42"/>
      <c r="V41" s="42"/>
      <c r="W41" s="288"/>
      <c r="X41" s="288"/>
      <c r="Y41" s="288"/>
      <c r="Z41" s="288"/>
      <c r="AA41" s="42"/>
    </row>
    <row r="42" spans="2:27">
      <c r="B42" s="5" t="s">
        <v>588</v>
      </c>
      <c r="C42" s="247"/>
      <c r="D42" s="525">
        <f>D18/D28</f>
        <v>1.2743781374022991</v>
      </c>
      <c r="E42" s="525">
        <f>E18/E28</f>
        <v>1.3928277948960712</v>
      </c>
      <c r="F42" s="525">
        <f>F18/F28</f>
        <v>1.4673152790662283</v>
      </c>
      <c r="G42" s="525">
        <f>G18/G28</f>
        <v>1.4870510227135934</v>
      </c>
      <c r="H42" s="17">
        <f t="shared" si="9"/>
        <v>-0.11986230027244849</v>
      </c>
      <c r="I42" s="248"/>
      <c r="J42" s="5"/>
      <c r="K42" s="5"/>
      <c r="L42" s="5"/>
      <c r="M42" s="5"/>
      <c r="N42" s="5"/>
      <c r="O42" s="5"/>
      <c r="Q42" s="5"/>
      <c r="R42" s="5"/>
      <c r="S42" s="42"/>
      <c r="T42" s="42"/>
      <c r="U42" s="42"/>
      <c r="V42" s="42"/>
      <c r="W42" s="288"/>
      <c r="X42" s="288"/>
      <c r="Y42" s="288"/>
      <c r="Z42" s="288"/>
      <c r="AA42" s="42"/>
    </row>
    <row r="43" spans="2:27">
      <c r="B43" s="5" t="s">
        <v>470</v>
      </c>
      <c r="C43" s="247"/>
      <c r="D43" s="525">
        <f>L26/D29</f>
        <v>5.8277705031876454</v>
      </c>
      <c r="E43" s="525">
        <f>M26/E29</f>
        <v>4.1929006618466156</v>
      </c>
      <c r="F43" s="525">
        <f>N26/F29</f>
        <v>3.9231735029214496</v>
      </c>
      <c r="G43" s="525">
        <f>O26/G29</f>
        <v>3.7971192727928202</v>
      </c>
      <c r="H43" s="17">
        <f t="shared" si="9"/>
        <v>0.1524727837606481</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16.188649877777866</v>
      </c>
      <c r="E44" s="525">
        <f>E11/E30</f>
        <v>11.638346814952996</v>
      </c>
      <c r="F44" s="525">
        <f>F11/F30</f>
        <v>9.0525958409834519</v>
      </c>
      <c r="G44" s="525">
        <f>G11/G30</f>
        <v>6.4516806078548763</v>
      </c>
      <c r="H44" s="17">
        <f t="shared" si="9"/>
        <v>0.35766889391217083</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4.1410594043754072E-2</v>
      </c>
      <c r="E45" s="248">
        <f>E31/E11</f>
        <v>5.7601102533206779E-2</v>
      </c>
      <c r="F45" s="248">
        <f>F31/F11</f>
        <v>7.4054074652282212E-2</v>
      </c>
      <c r="G45" s="248">
        <f>G31/G11</f>
        <v>0.10390805883802481</v>
      </c>
      <c r="H45" s="17">
        <f t="shared" si="9"/>
        <v>0.35766889391217083</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4.1410594043754072E-2</v>
      </c>
      <c r="E46" s="248">
        <f>(E31+E32)/E11</f>
        <v>5.7601102533206779E-2</v>
      </c>
      <c r="F46" s="248">
        <f>(F31+F32)/F11</f>
        <v>7.4054074652282212E-2</v>
      </c>
      <c r="G46" s="248">
        <f>(G31+G32)/G11</f>
        <v>0.10390805883802481</v>
      </c>
      <c r="H46" s="279">
        <f>((G31+G32)/(D31+D32))^(1/3)-1</f>
        <v>0.35766889391217083</v>
      </c>
      <c r="I46" s="247"/>
      <c r="J46" s="5"/>
      <c r="K46" s="5"/>
      <c r="L46" s="5"/>
      <c r="M46" s="5"/>
      <c r="N46" s="5"/>
      <c r="O46" s="5"/>
      <c r="Q46" s="5"/>
      <c r="R46" s="5"/>
      <c r="S46" s="42"/>
      <c r="T46" s="42"/>
      <c r="U46" s="42"/>
      <c r="V46" s="42"/>
      <c r="W46" s="42"/>
      <c r="X46" s="42"/>
      <c r="Y46" s="42"/>
      <c r="Z46" s="42"/>
      <c r="AA46" s="326"/>
    </row>
    <row r="47" spans="2:27">
      <c r="B47" s="5" t="s">
        <v>576</v>
      </c>
      <c r="C47" s="5"/>
      <c r="D47" s="248">
        <f>1/D43</f>
        <v>0.17159220656561971</v>
      </c>
      <c r="E47" s="248">
        <f>1/E43</f>
        <v>0.238498376338729</v>
      </c>
      <c r="F47" s="248">
        <f>1/F43</f>
        <v>0.25489568566247073</v>
      </c>
      <c r="G47" s="248">
        <f>1/G43</f>
        <v>0.26335754243097287</v>
      </c>
      <c r="H47" s="17">
        <f>H29</f>
        <v>0.1524727837606481</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0.241331438487668</v>
      </c>
      <c r="E48" s="305">
        <f>E31/E29</f>
        <v>0.24151570093457747</v>
      </c>
      <c r="F48" s="305">
        <f>F31/F29</f>
        <v>0.29052698345920053</v>
      </c>
      <c r="G48" s="305">
        <f>G31/G29</f>
        <v>0.3945512928123544</v>
      </c>
      <c r="H48" s="279" t="s">
        <v>602</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6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3">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300</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154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116</v>
      </c>
      <c r="C9" s="267">
        <f>Prices!C45</f>
        <v>330.78</v>
      </c>
      <c r="D9" s="543">
        <v>0</v>
      </c>
      <c r="E9" s="543">
        <v>0</v>
      </c>
      <c r="F9" s="543">
        <v>0</v>
      </c>
      <c r="G9" s="543">
        <v>0</v>
      </c>
      <c r="H9" s="249"/>
      <c r="I9" s="249"/>
      <c r="J9" s="5" t="s">
        <v>268</v>
      </c>
      <c r="L9" s="525">
        <f>'US OTHER'!D37</f>
        <v>2.0615992706049235</v>
      </c>
      <c r="M9" s="525">
        <f>'US OTHER'!E37</f>
        <v>2.0145901059151643</v>
      </c>
      <c r="N9" s="525">
        <f>'US OTHER'!F37</f>
        <v>1.9460103757669567</v>
      </c>
      <c r="O9" s="525">
        <f>'US OTHER'!G37</f>
        <v>1.8352364265652237</v>
      </c>
      <c r="P9" s="18">
        <f>'US OTHER'!H37</f>
        <v>6.8251004257615655E-3</v>
      </c>
      <c r="S9" s="88"/>
      <c r="T9" s="42"/>
      <c r="U9" s="42"/>
      <c r="V9" s="42"/>
      <c r="W9" s="42"/>
      <c r="X9" s="42"/>
      <c r="Y9" s="42"/>
      <c r="Z9" s="42"/>
      <c r="AA9" s="42"/>
    </row>
    <row r="10" spans="2:27">
      <c r="B10" s="5" t="s">
        <v>269</v>
      </c>
      <c r="C10" s="5"/>
      <c r="D10" s="527">
        <v>165.61092099999999</v>
      </c>
      <c r="E10" s="527">
        <v>152.76517175881489</v>
      </c>
      <c r="F10" s="527">
        <v>144.75234035164442</v>
      </c>
      <c r="G10" s="527">
        <v>129.07828054399852</v>
      </c>
      <c r="H10" s="249"/>
      <c r="I10" s="247"/>
      <c r="J10" s="5" t="s">
        <v>180</v>
      </c>
      <c r="L10" s="525">
        <f>'US OTHER'!D38</f>
        <v>6.419136047060916</v>
      </c>
      <c r="M10" s="525">
        <f>'US OTHER'!E38</f>
        <v>6.1617174775214849</v>
      </c>
      <c r="N10" s="525">
        <f>'US OTHER'!F38</f>
        <v>5.8157046048820016</v>
      </c>
      <c r="O10" s="525">
        <f>'US OTHER'!G38</f>
        <v>5.3383564537368979</v>
      </c>
      <c r="P10" s="18">
        <f>'US OTHER'!H38</f>
        <v>2.9926645487549974E-2</v>
      </c>
      <c r="S10" s="88"/>
      <c r="T10" s="42"/>
      <c r="U10" s="42"/>
      <c r="V10" s="42"/>
      <c r="W10" s="288"/>
      <c r="X10" s="288"/>
      <c r="Y10" s="288"/>
      <c r="Z10" s="288"/>
      <c r="AA10" s="42"/>
    </row>
    <row r="11" spans="2:27">
      <c r="B11" s="41" t="s">
        <v>270</v>
      </c>
      <c r="C11" s="5"/>
      <c r="D11" s="528">
        <f>$C$9*(SUM(D9:D10))</f>
        <v>54780.780448379992</v>
      </c>
      <c r="E11" s="528">
        <f>$C$9*(SUM(E9:E10))</f>
        <v>50531.663514380787</v>
      </c>
      <c r="F11" s="528">
        <f>$C$9*(SUM(F9:F10))</f>
        <v>47881.179141516935</v>
      </c>
      <c r="G11" s="528">
        <f>$C$9*(SUM(G9:G10))</f>
        <v>42696.513638343829</v>
      </c>
      <c r="H11" s="249"/>
      <c r="I11" s="249"/>
      <c r="J11" s="5" t="s">
        <v>181</v>
      </c>
      <c r="L11" s="525">
        <f>'US OTHER'!D39</f>
        <v>12.034441933121379</v>
      </c>
      <c r="M11" s="525">
        <f>'US OTHER'!E39</f>
        <v>10.557338294237372</v>
      </c>
      <c r="N11" s="525">
        <f>'US OTHER'!F39</f>
        <v>9.5336430529255392</v>
      </c>
      <c r="O11" s="525">
        <f>'US OTHER'!G39</f>
        <v>7.9150896964308144</v>
      </c>
      <c r="P11" s="18">
        <f>'US OTHER'!H39</f>
        <v>0.11371310161076686</v>
      </c>
      <c r="S11" s="88"/>
      <c r="T11" s="42"/>
      <c r="U11" s="42"/>
      <c r="V11" s="42"/>
      <c r="W11" s="288"/>
      <c r="X11" s="288"/>
      <c r="Y11" s="288"/>
      <c r="Z11" s="288"/>
      <c r="AA11" s="42"/>
    </row>
    <row r="12" spans="2:27">
      <c r="B12" s="5" t="s">
        <v>24</v>
      </c>
      <c r="C12" s="249"/>
      <c r="D12" s="529">
        <v>97068</v>
      </c>
      <c r="E12" s="529">
        <v>99850.680471104075</v>
      </c>
      <c r="F12" s="529">
        <v>101063.26924865619</v>
      </c>
      <c r="G12" s="529">
        <v>105157.81058783272</v>
      </c>
      <c r="H12" s="247"/>
      <c r="I12" s="247"/>
      <c r="J12" s="5" t="s">
        <v>461</v>
      </c>
      <c r="L12" s="525">
        <f>'US OTHER'!D40</f>
        <v>19.460370475479301</v>
      </c>
      <c r="M12" s="525">
        <f>'US OTHER'!E40</f>
        <v>15.799116916538814</v>
      </c>
      <c r="N12" s="525">
        <f>'US OTHER'!F40</f>
        <v>14.366667808632414</v>
      </c>
      <c r="O12" s="525">
        <f>'US OTHER'!G40</f>
        <v>11.869951475688792</v>
      </c>
      <c r="P12" s="18">
        <f>'US OTHER'!H40</f>
        <v>0.14204708718901382</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'US OTHER'!D41</f>
        <v>1.2036175965808336</v>
      </c>
      <c r="M13" s="525">
        <f>'US OTHER'!E41</f>
        <v>1.1592310186707702</v>
      </c>
      <c r="N13" s="525">
        <f>'US OTHER'!F41</f>
        <v>1.125914878616818</v>
      </c>
      <c r="O13" s="525">
        <f>'US OTHER'!G41</f>
        <v>1.0954740100112548</v>
      </c>
      <c r="P13" s="18">
        <f>'US OTHER'!H41</f>
        <v>-5.8597350806643966E-4</v>
      </c>
      <c r="S13" s="88"/>
      <c r="T13" s="42"/>
      <c r="U13" s="42"/>
      <c r="V13" s="42"/>
      <c r="W13" s="42"/>
      <c r="X13" s="42"/>
      <c r="Y13" s="42"/>
      <c r="Z13" s="42"/>
      <c r="AA13" s="42"/>
    </row>
    <row r="14" spans="2:27">
      <c r="B14" s="5" t="s">
        <v>527</v>
      </c>
      <c r="C14" s="257"/>
      <c r="D14" s="529">
        <v>0</v>
      </c>
      <c r="E14" s="529">
        <v>0</v>
      </c>
      <c r="F14" s="529">
        <v>0</v>
      </c>
      <c r="G14" s="529">
        <v>0</v>
      </c>
      <c r="H14" s="247"/>
      <c r="I14" s="247"/>
      <c r="J14" s="5" t="s">
        <v>588</v>
      </c>
      <c r="L14" s="525">
        <f>'US OTHER'!D42</f>
        <v>3.5328918375024028</v>
      </c>
      <c r="M14" s="525">
        <f>'US OTHER'!E42</f>
        <v>3.4017377827100885</v>
      </c>
      <c r="N14" s="525">
        <f>'US OTHER'!F42</f>
        <v>3.3002217631142288</v>
      </c>
      <c r="O14" s="525">
        <f>'US OTHER'!G42</f>
        <v>3.257653737649747</v>
      </c>
      <c r="P14" s="18">
        <f>'US OTHER'!H42</f>
        <v>-4.9190074724069222E-3</v>
      </c>
      <c r="S14" s="88"/>
      <c r="T14" s="42"/>
      <c r="U14" s="42"/>
      <c r="V14" s="42"/>
      <c r="W14" s="42"/>
      <c r="X14" s="42"/>
      <c r="Y14" s="42"/>
      <c r="Z14" s="42"/>
      <c r="AA14" s="42"/>
    </row>
    <row r="15" spans="2:27">
      <c r="B15" s="5" t="s">
        <v>526</v>
      </c>
      <c r="C15" s="274"/>
      <c r="D15" s="529">
        <v>0</v>
      </c>
      <c r="E15" s="529">
        <v>0</v>
      </c>
      <c r="F15" s="529">
        <v>0</v>
      </c>
      <c r="G15" s="529">
        <v>0</v>
      </c>
      <c r="H15" s="247"/>
      <c r="I15" s="247"/>
      <c r="J15" s="5" t="s">
        <v>470</v>
      </c>
      <c r="L15" s="525">
        <f>'US OTHER'!D43</f>
        <v>5.644822519442771</v>
      </c>
      <c r="M15" s="525">
        <f>'US OTHER'!E43</f>
        <v>4.6775450582156051</v>
      </c>
      <c r="N15" s="525">
        <f>'US OTHER'!F43</f>
        <v>4.2930779917194659</v>
      </c>
      <c r="O15" s="525">
        <f>'US OTHER'!G43</f>
        <v>3.6601872793786949</v>
      </c>
      <c r="P15" s="18">
        <f>'US OTHER'!H43</f>
        <v>8.0117819415815195E-2</v>
      </c>
      <c r="S15" s="88"/>
      <c r="T15" s="42"/>
      <c r="U15" s="42"/>
      <c r="V15" s="42"/>
      <c r="W15" s="42"/>
      <c r="X15" s="42"/>
      <c r="Y15" s="42"/>
      <c r="Z15" s="42"/>
      <c r="AA15" s="42"/>
    </row>
    <row r="16" spans="2:27">
      <c r="B16" s="5" t="s">
        <v>529</v>
      </c>
      <c r="C16" s="257"/>
      <c r="D16" s="529">
        <v>0</v>
      </c>
      <c r="E16" s="529">
        <v>0</v>
      </c>
      <c r="F16" s="529">
        <v>0</v>
      </c>
      <c r="G16" s="529">
        <v>0</v>
      </c>
      <c r="H16" s="247"/>
      <c r="I16" s="247"/>
      <c r="J16" s="5" t="s">
        <v>528</v>
      </c>
      <c r="L16" s="525">
        <f>'US OTHER'!D44</f>
        <v>11.589674186134612</v>
      </c>
      <c r="M16" s="525">
        <f>'US OTHER'!E44</f>
        <v>9.8176351313521053</v>
      </c>
      <c r="N16" s="525">
        <f>'US OTHER'!F44</f>
        <v>8.5897880374302709</v>
      </c>
      <c r="O16" s="525">
        <f>'US OTHER'!G44</f>
        <v>7.1736568667637073</v>
      </c>
      <c r="P16" s="18">
        <f>'US OTHER'!H44</f>
        <v>0.10233723564171293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18">
        <f>'US OTHER'!D45</f>
        <v>2.0337906612049358E-2</v>
      </c>
      <c r="M17" s="18">
        <f>'US OTHER'!E45</f>
        <v>2.2697199181179739E-2</v>
      </c>
      <c r="N17" s="18">
        <f>'US OTHER'!F45</f>
        <v>2.3716257475136997E-2</v>
      </c>
      <c r="O17" s="18">
        <f>'US OTHER'!G45</f>
        <v>2.5027193590269611E-2</v>
      </c>
      <c r="P17" s="18">
        <f>'US OTHER'!H45</f>
        <v>6.714297299340366E-3</v>
      </c>
      <c r="S17" s="88"/>
      <c r="T17" s="42"/>
      <c r="U17" s="42"/>
      <c r="V17" s="42"/>
      <c r="W17" s="42"/>
      <c r="X17" s="42"/>
      <c r="Y17" s="42"/>
      <c r="Z17" s="42"/>
      <c r="AA17" s="42"/>
    </row>
    <row r="18" spans="2:27" ht="12.6" thickBot="1">
      <c r="B18" s="41" t="s">
        <v>578</v>
      </c>
      <c r="C18" s="249"/>
      <c r="D18" s="530">
        <f>D11+D12+D13-D14+D15-D16-D17</f>
        <v>151848.78044837998</v>
      </c>
      <c r="E18" s="530">
        <f>E11+E12+E13-E14+E15-E16-E17</f>
        <v>150382.34398548485</v>
      </c>
      <c r="F18" s="530">
        <f>F11+F12+F13-F14+F15-F16-F17</f>
        <v>148944.44839017311</v>
      </c>
      <c r="G18" s="530">
        <f>G11+G12+G13-G14+G15-G16-G17</f>
        <v>147854.32422617654</v>
      </c>
      <c r="H18" s="276">
        <f>IF(D18=0,"nm",IF(G18=0,"nm",(G18/D18)^(1/3)-1))</f>
        <v>-8.8465261361870828E-3</v>
      </c>
      <c r="I18" s="254"/>
      <c r="J18" s="5" t="s">
        <v>36</v>
      </c>
      <c r="L18" s="18">
        <f>'US OTHER'!D46</f>
        <v>7.1702643846444009E-2</v>
      </c>
      <c r="M18" s="18">
        <f>'US OTHER'!E46</f>
        <v>0.12374018659128148</v>
      </c>
      <c r="N18" s="18">
        <f>'US OTHER'!F46</f>
        <v>0.13496323475757685</v>
      </c>
      <c r="O18" s="18">
        <f>'US OTHER'!G46</f>
        <v>0.20145357159966482</v>
      </c>
      <c r="P18" s="18">
        <f>'US OTHER'!H46</f>
        <v>0.3256153847966301</v>
      </c>
      <c r="S18" s="88"/>
      <c r="T18" s="42"/>
      <c r="U18" s="42"/>
      <c r="V18" s="42"/>
      <c r="W18" s="42"/>
      <c r="X18" s="42"/>
      <c r="Y18" s="42"/>
      <c r="Z18" s="42"/>
      <c r="AA18" s="42"/>
    </row>
    <row r="19" spans="2:27" ht="12.6" thickTop="1">
      <c r="B19" s="41"/>
      <c r="C19" s="249"/>
      <c r="D19" s="229"/>
      <c r="E19" s="229"/>
      <c r="F19" s="229"/>
      <c r="G19" s="229"/>
      <c r="H19" s="276"/>
      <c r="I19" s="254"/>
      <c r="J19" s="5" t="s">
        <v>576</v>
      </c>
      <c r="L19" s="18">
        <f>'US OTHER'!D47</f>
        <v>0.1771534882727748</v>
      </c>
      <c r="M19" s="18">
        <f>'US OTHER'!E47</f>
        <v>0.21378735801670312</v>
      </c>
      <c r="N19" s="18">
        <f>'US OTHER'!F47</f>
        <v>0.23293310811702245</v>
      </c>
      <c r="O19" s="18">
        <f>'US OTHER'!G47</f>
        <v>0.27321006376748752</v>
      </c>
      <c r="P19" s="18">
        <f>'US OTHER'!H47</f>
        <v>8.0117819415815195E-2</v>
      </c>
      <c r="S19" s="88"/>
      <c r="T19" s="42"/>
      <c r="U19" s="42"/>
      <c r="V19" s="42"/>
      <c r="W19" s="42"/>
      <c r="X19" s="42"/>
      <c r="Y19" s="42"/>
      <c r="Z19" s="42"/>
      <c r="AA19" s="42"/>
    </row>
    <row r="20" spans="2:27">
      <c r="H20" s="277"/>
      <c r="I20" s="17"/>
      <c r="J20" s="5" t="s">
        <v>599</v>
      </c>
      <c r="L20" s="548">
        <f>'US OTHER'!D48</f>
        <v>0.122956651873093</v>
      </c>
      <c r="M20" s="548">
        <f>'US OTHER'!E48</f>
        <v>0.11420338650121682</v>
      </c>
      <c r="N20" s="548">
        <f>'US OTHER'!F48</f>
        <v>0.10996826737203369</v>
      </c>
      <c r="O20" s="548">
        <f>'US OTHER'!G48</f>
        <v>9.9553686168744285E-2</v>
      </c>
      <c r="P20" s="18" t="str">
        <f>'US OTHER'!H48</f>
        <v>nm</v>
      </c>
      <c r="S20" s="88"/>
      <c r="T20" s="42"/>
      <c r="U20" s="42"/>
      <c r="V20" s="42"/>
      <c r="W20" s="42"/>
      <c r="X20" s="42"/>
      <c r="Y20" s="42"/>
      <c r="Z20" s="42"/>
      <c r="AA20" s="42"/>
    </row>
    <row r="21" spans="2:27" ht="12.6" thickBot="1">
      <c r="B21" s="306" t="s">
        <v>919</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54022</v>
      </c>
      <c r="D23" s="536">
        <v>54607</v>
      </c>
      <c r="E23" s="536">
        <v>55342.960082813857</v>
      </c>
      <c r="F23" s="536">
        <v>55601.399675917899</v>
      </c>
      <c r="G23" s="536">
        <v>56917.494602181396</v>
      </c>
      <c r="H23" s="279">
        <f>IF(D23=0,"nm",IF(G23=0,"nm",(G23/D23)^(1/3)-1))</f>
        <v>1.3909406851535078E-2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478</v>
      </c>
      <c r="C24" s="545">
        <v>21616</v>
      </c>
      <c r="D24" s="536">
        <v>21894</v>
      </c>
      <c r="E24" s="536">
        <v>22519.694194458712</v>
      </c>
      <c r="F24" s="536">
        <v>22800.609893001412</v>
      </c>
      <c r="G24" s="536">
        <v>23732.533168670401</v>
      </c>
      <c r="H24" s="279">
        <f>IF(D24=0,"nm",IF(G24=0,"nm",(G24/D24)^(1/3)-1))</f>
        <v>2.7242535806642598E-2</v>
      </c>
      <c r="I24" s="249"/>
      <c r="J24" s="17"/>
      <c r="K24" s="17"/>
      <c r="L24" s="17"/>
      <c r="M24" s="17"/>
      <c r="N24" s="17"/>
      <c r="O24" s="248"/>
      <c r="S24" s="88"/>
      <c r="T24" s="42"/>
      <c r="U24" s="42"/>
      <c r="V24" s="42"/>
      <c r="W24" s="42" t="s">
        <v>306</v>
      </c>
      <c r="X24" s="42" t="s">
        <v>259</v>
      </c>
      <c r="Y24" s="42"/>
      <c r="Z24" s="42"/>
      <c r="AA24" s="42"/>
    </row>
    <row r="25" spans="2:27">
      <c r="B25" s="5" t="s">
        <v>179</v>
      </c>
      <c r="C25" s="544">
        <v>12240</v>
      </c>
      <c r="D25" s="536">
        <v>10779</v>
      </c>
      <c r="E25" s="536">
        <v>10201.830972666865</v>
      </c>
      <c r="F25" s="536">
        <v>10335.71817790352</v>
      </c>
      <c r="G25" s="536">
        <v>12547.898628497966</v>
      </c>
      <c r="H25" s="279">
        <f>IF(D25=0,"nm",IF(G25=0,"nm",(G25/D25)^(1/3)-1))</f>
        <v>5.1955842122821005E-2</v>
      </c>
      <c r="I25" s="248"/>
      <c r="J25" s="247" t="s">
        <v>10</v>
      </c>
      <c r="K25" s="247"/>
      <c r="L25" s="321">
        <v>0</v>
      </c>
      <c r="M25" s="321">
        <v>0</v>
      </c>
      <c r="N25" s="321">
        <v>0</v>
      </c>
      <c r="O25" s="321">
        <v>0</v>
      </c>
      <c r="P25" s="279" t="str">
        <f>IF(L25=0,"nm",IF(O25=0,"nm",(O25/L25)^(1/3)-1))</f>
        <v>nm</v>
      </c>
      <c r="S25" s="88"/>
      <c r="T25" s="42"/>
      <c r="U25" s="42"/>
      <c r="V25" s="147" t="s">
        <v>268</v>
      </c>
      <c r="W25" s="288">
        <f>D37/L9</f>
        <v>1.3488347262276976</v>
      </c>
      <c r="X25" s="288">
        <v>1</v>
      </c>
      <c r="Y25" s="42"/>
      <c r="Z25" s="42"/>
      <c r="AA25" s="42"/>
    </row>
    <row r="26" spans="2:27">
      <c r="B26" s="5" t="s">
        <v>581</v>
      </c>
      <c r="C26" s="544">
        <v>7956</v>
      </c>
      <c r="D26" s="536">
        <v>7006.35</v>
      </c>
      <c r="E26" s="536">
        <v>6631.1901322334625</v>
      </c>
      <c r="F26" s="536">
        <v>6718.2168156372882</v>
      </c>
      <c r="G26" s="536">
        <v>8156.1341085236782</v>
      </c>
      <c r="H26" s="279">
        <f>IF(D26=0,"nm",IF(G26=0,"nm",(G26/D26)^(1/3)-1))</f>
        <v>5.1955842122821005E-2</v>
      </c>
      <c r="I26" s="249"/>
      <c r="J26" s="249" t="s">
        <v>11</v>
      </c>
      <c r="K26" s="249"/>
      <c r="L26" s="281">
        <f>D11+L25</f>
        <v>54780.780448379992</v>
      </c>
      <c r="M26" s="281">
        <f>E11+M25</f>
        <v>50531.663514380787</v>
      </c>
      <c r="N26" s="281">
        <f>F11+N25</f>
        <v>47881.179141516935</v>
      </c>
      <c r="O26" s="281">
        <f>G11+O25</f>
        <v>42696.513638343829</v>
      </c>
      <c r="P26" s="279">
        <f>IF(L26=0,"nm",IF(O26=0,"nm",(O26/L26)^(1/3)-1))</f>
        <v>-7.9716999683671186E-2</v>
      </c>
      <c r="Q26" s="5"/>
      <c r="S26" s="88"/>
      <c r="T26" s="42"/>
      <c r="U26" s="42"/>
      <c r="V26" s="147" t="s">
        <v>180</v>
      </c>
      <c r="W26" s="288">
        <f t="shared" ref="W26:W33" si="4">D38/L10</f>
        <v>1.0804622911901516</v>
      </c>
      <c r="X26" s="288">
        <v>1</v>
      </c>
      <c r="Y26" s="42"/>
      <c r="Z26" s="42"/>
      <c r="AA26" s="42"/>
    </row>
    <row r="27" spans="2:27">
      <c r="B27" s="5" t="s">
        <v>582</v>
      </c>
      <c r="C27" s="545">
        <v>109507</v>
      </c>
      <c r="D27" s="536">
        <v>109449.84742375098</v>
      </c>
      <c r="E27" s="536">
        <v>108680.91166830885</v>
      </c>
      <c r="F27" s="536">
        <v>107490.03157958762</v>
      </c>
      <c r="G27" s="536">
        <v>105029.67896036338</v>
      </c>
      <c r="H27" s="279">
        <f>IF(ISERROR((G27/D27)^(1/3)-1),"na",(G27/D27)^(1/3)-1)</f>
        <v>-1.36471756094243E-2</v>
      </c>
      <c r="I27" s="249"/>
      <c r="J27" s="248"/>
      <c r="K27" s="248"/>
      <c r="L27" s="248"/>
      <c r="M27" s="248"/>
      <c r="N27" s="248"/>
      <c r="O27" s="248"/>
      <c r="Q27" s="41"/>
      <c r="S27" s="88"/>
      <c r="T27" s="42"/>
      <c r="U27" s="42"/>
      <c r="V27" s="147" t="s">
        <v>181</v>
      </c>
      <c r="W27" s="288">
        <f t="shared" si="4"/>
        <v>1.1705955817659675</v>
      </c>
      <c r="X27" s="288">
        <v>1</v>
      </c>
      <c r="Y27" s="42"/>
      <c r="Z27" s="42"/>
      <c r="AA27" s="42"/>
    </row>
    <row r="28" spans="2:27" ht="12.6" thickBot="1">
      <c r="B28" s="5" t="s">
        <v>587</v>
      </c>
      <c r="C28" s="544">
        <v>36039</v>
      </c>
      <c r="D28" s="536">
        <v>37235.006096108045</v>
      </c>
      <c r="E28" s="536">
        <v>39019.612102465369</v>
      </c>
      <c r="F28" s="536">
        <v>40941.087837491854</v>
      </c>
      <c r="G28" s="536">
        <v>40925.761378870317</v>
      </c>
      <c r="H28" s="279">
        <f>IF(ISERROR((G28/D28)^(1/3)-1),"na",(G28/D28)^(1/3)-1)</f>
        <v>3.2004947857466881E-2</v>
      </c>
      <c r="I28" s="248"/>
      <c r="J28" s="306" t="s">
        <v>1352</v>
      </c>
      <c r="K28" s="306"/>
      <c r="L28" s="306"/>
      <c r="M28" s="306"/>
      <c r="N28" s="266"/>
      <c r="O28" s="266"/>
      <c r="P28" s="266"/>
      <c r="Q28" s="5"/>
      <c r="S28" s="88"/>
      <c r="T28" s="42"/>
      <c r="U28" s="42"/>
      <c r="V28" s="147" t="s">
        <v>461</v>
      </c>
      <c r="W28" s="288">
        <f t="shared" si="4"/>
        <v>1.113700400567845</v>
      </c>
      <c r="X28" s="288">
        <v>1</v>
      </c>
      <c r="Y28" s="42"/>
      <c r="Z28" s="42"/>
      <c r="AA28" s="42"/>
    </row>
    <row r="29" spans="2:27" ht="12.6" thickTop="1">
      <c r="B29" s="5" t="s">
        <v>583</v>
      </c>
      <c r="C29" s="544">
        <v>4582</v>
      </c>
      <c r="D29" s="536">
        <v>1901.7121563520705</v>
      </c>
      <c r="E29" s="536">
        <v>2813.8919823784727</v>
      </c>
      <c r="F29" s="536">
        <v>3403.0756805043457</v>
      </c>
      <c r="G29" s="536">
        <v>5256.3716551760917</v>
      </c>
      <c r="H29" s="279">
        <f>IF(D29=0,"nm",IF(G29=0,"nm",(G29/D29)^(1/3)-1))</f>
        <v>0.40339662366130269</v>
      </c>
      <c r="I29" s="252"/>
      <c r="J29" s="249"/>
      <c r="K29" s="249"/>
      <c r="L29" s="249"/>
      <c r="M29" s="249"/>
      <c r="N29" s="249"/>
      <c r="O29" s="251"/>
      <c r="Q29" s="5"/>
      <c r="S29" s="88"/>
      <c r="T29" s="42"/>
      <c r="U29" s="42"/>
      <c r="V29" s="147" t="s">
        <v>525</v>
      </c>
      <c r="W29" s="288">
        <f t="shared" si="4"/>
        <v>1.1526769784799171</v>
      </c>
      <c r="X29" s="288">
        <v>1</v>
      </c>
      <c r="Y29" s="42"/>
      <c r="Z29" s="42"/>
      <c r="AA29" s="42"/>
    </row>
    <row r="30" spans="2:27">
      <c r="B30" s="5" t="s">
        <v>584</v>
      </c>
      <c r="C30" s="545">
        <v>5055</v>
      </c>
      <c r="D30" s="536">
        <v>4320.7121563520705</v>
      </c>
      <c r="E30" s="536">
        <v>5316.8605015127287</v>
      </c>
      <c r="F30" s="536">
        <v>5784.8621026508363</v>
      </c>
      <c r="G30" s="536">
        <v>6248.925821732666</v>
      </c>
      <c r="H30" s="279">
        <f>IF(D30=0,"nm",IF(G30=0,"nm",(G30/D30)^(1/3)-1))</f>
        <v>0.13088040283838387</v>
      </c>
      <c r="I30" s="254"/>
      <c r="J30" s="248"/>
      <c r="K30" s="248"/>
      <c r="L30" s="248"/>
      <c r="M30" s="248"/>
      <c r="N30" s="248"/>
      <c r="O30" s="5"/>
      <c r="Q30" s="5"/>
      <c r="S30" s="88"/>
      <c r="T30" s="42"/>
      <c r="U30" s="42"/>
      <c r="V30" s="147" t="s">
        <v>588</v>
      </c>
      <c r="W30" s="288">
        <f t="shared" si="4"/>
        <v>1.1543288170601249</v>
      </c>
      <c r="X30" s="288">
        <v>1</v>
      </c>
      <c r="Y30" s="42"/>
      <c r="Z30" s="42"/>
      <c r="AA30" s="42"/>
    </row>
    <row r="31" spans="2:27">
      <c r="B31" s="5" t="s">
        <v>585</v>
      </c>
      <c r="C31" s="545">
        <v>0</v>
      </c>
      <c r="D31" s="536">
        <v>0</v>
      </c>
      <c r="E31" s="536">
        <v>0</v>
      </c>
      <c r="F31" s="536">
        <v>0</v>
      </c>
      <c r="G31" s="536">
        <v>0</v>
      </c>
      <c r="H31" s="279" t="str">
        <f>IF(D31=0,"nm",IF(G31=0,"nm",(G31/D31)^(1/3)-1))</f>
        <v>nm</v>
      </c>
      <c r="I31" s="254"/>
      <c r="J31" s="252"/>
      <c r="K31" s="252"/>
      <c r="L31" s="252"/>
      <c r="M31" s="252"/>
      <c r="N31" s="252"/>
      <c r="O31" s="5"/>
      <c r="Q31" s="5"/>
      <c r="S31" s="88"/>
      <c r="T31" s="42"/>
      <c r="U31" s="42"/>
      <c r="V31" s="147" t="s">
        <v>470</v>
      </c>
      <c r="W31" s="288">
        <f t="shared" si="4"/>
        <v>5.1030889792234619</v>
      </c>
      <c r="X31" s="288">
        <v>1</v>
      </c>
      <c r="Y31" s="42"/>
      <c r="Z31" s="42"/>
      <c r="AA31" s="42"/>
    </row>
    <row r="32" spans="2:27">
      <c r="B32" s="5" t="s">
        <v>601</v>
      </c>
      <c r="C32" s="546">
        <v>10277</v>
      </c>
      <c r="D32" s="536">
        <v>5698.2038780515168</v>
      </c>
      <c r="E32" s="536">
        <v>10254.698250557556</v>
      </c>
      <c r="F32" s="536">
        <v>9667.6198018988762</v>
      </c>
      <c r="G32" s="536">
        <v>14376.222501607934</v>
      </c>
      <c r="H32" s="279">
        <f>IF(D32=0,"nm",IF(G32=0,"nm",(G32/D32)^(1/3)-1))</f>
        <v>0.36134729872699389</v>
      </c>
      <c r="I32" s="254"/>
      <c r="J32" s="254"/>
      <c r="K32" s="254"/>
      <c r="L32" s="254"/>
      <c r="M32" s="254"/>
      <c r="N32" s="254"/>
      <c r="O32" s="251"/>
      <c r="Q32" s="5"/>
      <c r="S32" s="88"/>
      <c r="T32" s="42"/>
      <c r="U32" s="42"/>
      <c r="V32" s="147" t="s">
        <v>528</v>
      </c>
      <c r="W32" s="288">
        <f t="shared" si="4"/>
        <v>1.0939605310461709</v>
      </c>
      <c r="X32" s="288">
        <v>1</v>
      </c>
      <c r="Y32" s="42"/>
      <c r="Z32" s="42"/>
      <c r="AA32" s="42"/>
    </row>
    <row r="33" spans="2:27">
      <c r="B33" s="5" t="s">
        <v>5</v>
      </c>
      <c r="C33" s="545">
        <v>0</v>
      </c>
      <c r="D33" s="536">
        <v>0</v>
      </c>
      <c r="E33" s="536">
        <v>0</v>
      </c>
      <c r="F33" s="536">
        <v>0</v>
      </c>
      <c r="G33" s="536">
        <v>0</v>
      </c>
      <c r="H33" s="279" t="str">
        <f>IF(ISERROR((G33/D33)^(1/3)-1),"na",(G33/D33)^(1/3)-1)</f>
        <v>na</v>
      </c>
      <c r="I33" s="5"/>
      <c r="J33" s="254"/>
      <c r="K33" s="254"/>
      <c r="L33" s="254"/>
      <c r="M33" s="254"/>
      <c r="N33" s="254"/>
      <c r="O33" s="251"/>
      <c r="Q33" s="5"/>
      <c r="S33" s="88"/>
      <c r="T33" s="42"/>
      <c r="U33" s="42"/>
      <c r="V33" s="147" t="s">
        <v>575</v>
      </c>
      <c r="W33" s="288">
        <f t="shared" si="4"/>
        <v>0</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0.19595974204474292</v>
      </c>
      <c r="X34" s="288">
        <v>1</v>
      </c>
      <c r="Y34" s="288"/>
      <c r="Z34" s="288"/>
      <c r="AA34" s="42"/>
    </row>
    <row r="35" spans="2:27" ht="12.6" thickBot="1">
      <c r="B35" s="306" t="s">
        <v>638</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2.7807566877576133</v>
      </c>
      <c r="E37" s="525">
        <f t="shared" ref="E37:G41" si="6">E$18/E23</f>
        <v>2.717280459166918</v>
      </c>
      <c r="F37" s="525">
        <f t="shared" si="6"/>
        <v>2.678789549513517</v>
      </c>
      <c r="G37" s="525">
        <f t="shared" si="6"/>
        <v>2.5976955812898681</v>
      </c>
      <c r="H37" s="17">
        <f t="shared" ref="H37:H44" si="7">H23</f>
        <v>1.3909406851535078E-2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6.9356344408687303</v>
      </c>
      <c r="E38" s="525">
        <f t="shared" si="6"/>
        <v>6.677814658002263</v>
      </c>
      <c r="F38" s="525">
        <f t="shared" si="6"/>
        <v>6.5324765034417442</v>
      </c>
      <c r="G38" s="525">
        <f t="shared" si="6"/>
        <v>6.2300270761387067</v>
      </c>
      <c r="H38" s="17">
        <f t="shared" si="7"/>
        <v>2.7242535806642598E-2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14.087464555930975</v>
      </c>
      <c r="E39" s="525">
        <f t="shared" si="6"/>
        <v>14.740720992966358</v>
      </c>
      <c r="F39" s="525">
        <f t="shared" si="6"/>
        <v>14.410653021538245</v>
      </c>
      <c r="G39" s="525">
        <f t="shared" si="6"/>
        <v>11.78319403141969</v>
      </c>
      <c r="H39" s="17">
        <f t="shared" si="7"/>
        <v>5.1955842122821005E-2</v>
      </c>
      <c r="I39" s="17"/>
      <c r="J39" s="5"/>
      <c r="K39" s="5"/>
      <c r="L39" s="5"/>
      <c r="M39" s="5"/>
      <c r="N39" s="5"/>
      <c r="O39" s="5"/>
      <c r="Q39" s="5"/>
      <c r="R39" s="5"/>
      <c r="S39" s="42"/>
      <c r="T39" s="42"/>
      <c r="U39" s="42"/>
      <c r="V39" s="42"/>
      <c r="W39" s="42"/>
      <c r="X39" s="42"/>
      <c r="Y39" s="42"/>
      <c r="Z39" s="42"/>
      <c r="AA39" s="42"/>
    </row>
    <row r="40" spans="2:27">
      <c r="B40" s="5" t="s">
        <v>461</v>
      </c>
      <c r="C40" s="247"/>
      <c r="D40" s="525">
        <f>D$18/D26</f>
        <v>21.673022393739963</v>
      </c>
      <c r="E40" s="525">
        <f t="shared" si="6"/>
        <v>22.678032296871319</v>
      </c>
      <c r="F40" s="525">
        <f t="shared" si="6"/>
        <v>22.170235417751144</v>
      </c>
      <c r="G40" s="525">
        <f t="shared" si="6"/>
        <v>18.127990817568751</v>
      </c>
      <c r="H40" s="17">
        <f t="shared" si="7"/>
        <v>5.1955842122821005E-2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1.3873822944720551</v>
      </c>
      <c r="E41" s="525">
        <f t="shared" si="6"/>
        <v>1.3837052125993168</v>
      </c>
      <c r="F41" s="525">
        <f t="shared" si="6"/>
        <v>1.3856582438520531</v>
      </c>
      <c r="G41" s="525">
        <f t="shared" si="6"/>
        <v>1.4077385143867243</v>
      </c>
      <c r="H41" s="17">
        <f t="shared" si="7"/>
        <v>-1.36471756094243E-2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4.0781188555855197</v>
      </c>
      <c r="E42" s="525">
        <f>E18/E28</f>
        <v>3.8540194502851879</v>
      </c>
      <c r="F42" s="525">
        <f>F18/F28</f>
        <v>3.638018827965217</v>
      </c>
      <c r="G42" s="525">
        <f>G18/G28</f>
        <v>3.6127446196398116</v>
      </c>
      <c r="H42" s="17">
        <f t="shared" si="7"/>
        <v>3.2004947857466881E-2</v>
      </c>
      <c r="I42" s="248"/>
      <c r="J42" s="5"/>
      <c r="K42" s="5"/>
      <c r="L42" s="5"/>
      <c r="M42" s="5"/>
      <c r="N42" s="5"/>
      <c r="O42" s="5"/>
      <c r="Q42" s="5"/>
      <c r="R42" s="5"/>
      <c r="S42" s="42"/>
      <c r="T42" s="42"/>
      <c r="U42" s="42"/>
      <c r="V42" s="42"/>
      <c r="W42" s="288"/>
      <c r="X42" s="288"/>
      <c r="Y42" s="288"/>
      <c r="Z42" s="288"/>
      <c r="AA42" s="42"/>
    </row>
    <row r="43" spans="2:27">
      <c r="B43" s="5" t="s">
        <v>470</v>
      </c>
      <c r="C43" s="247"/>
      <c r="D43" s="525">
        <f>L26/D29</f>
        <v>28.80603158864082</v>
      </c>
      <c r="E43" s="525">
        <f>M26/E29</f>
        <v>17.957925830425214</v>
      </c>
      <c r="F43" s="525">
        <f>N26/F29</f>
        <v>14.069971883323149</v>
      </c>
      <c r="G43" s="525">
        <f>O26/G29</f>
        <v>8.1228110261760911</v>
      </c>
      <c r="H43" s="17">
        <f t="shared" si="7"/>
        <v>0.40339662366130269</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12.678646127315918</v>
      </c>
      <c r="E44" s="525">
        <f>E11/E30</f>
        <v>9.504041623812352</v>
      </c>
      <c r="F44" s="525">
        <f>F11/F30</f>
        <v>8.2769784814016614</v>
      </c>
      <c r="G44" s="525">
        <f>G11/G30</f>
        <v>6.8326164938384863</v>
      </c>
      <c r="H44" s="17">
        <f t="shared" si="7"/>
        <v>0.13088040283838387</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H31</f>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0.10401830407328612</v>
      </c>
      <c r="E46" s="248">
        <f>(E31+E32)/E11</f>
        <v>0.20293609070754567</v>
      </c>
      <c r="F46" s="248">
        <f>(F31+F32)/F11</f>
        <v>0.20190855729190368</v>
      </c>
      <c r="G46" s="248">
        <f>(G31+G32)/G11</f>
        <v>0.33670717528321309</v>
      </c>
      <c r="H46" s="279">
        <f>((G31+G32)/(D31+D32))^(1/3)-1</f>
        <v>0.36134729872699389</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3.4714951864259339E-2</v>
      </c>
      <c r="E47" s="248">
        <f>1/E43</f>
        <v>5.568571835316026E-2</v>
      </c>
      <c r="F47" s="248">
        <f>1/F43</f>
        <v>7.1073347430443676E-2</v>
      </c>
      <c r="G47" s="248">
        <f>1/G43</f>
        <v>0.1231100904326666</v>
      </c>
      <c r="H47" s="17">
        <f>H29</f>
        <v>0.40339662366130269</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9">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335</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340</v>
      </c>
      <c r="C9" s="287">
        <f>Prices!C76</f>
        <v>124</v>
      </c>
      <c r="D9" s="531">
        <v>0</v>
      </c>
      <c r="E9" s="532">
        <v>0</v>
      </c>
      <c r="F9" s="532">
        <v>0</v>
      </c>
      <c r="G9" s="532">
        <v>0</v>
      </c>
      <c r="H9" s="249"/>
      <c r="I9" s="249"/>
      <c r="J9" s="5" t="s">
        <v>268</v>
      </c>
      <c r="L9" s="525">
        <f>'AGG ASIA INCUMB'!D37</f>
        <v>1.2719441813172812</v>
      </c>
      <c r="M9" s="525">
        <f>'AGG ASIA INCUMB'!E37</f>
        <v>1.2095974060822232</v>
      </c>
      <c r="N9" s="525">
        <f>'AGG ASIA INCUMB'!F37</f>
        <v>1.0996822317000925</v>
      </c>
      <c r="O9" s="525">
        <f>'AGG ASIA INCUMB'!G37</f>
        <v>0.99635076165065495</v>
      </c>
      <c r="P9" s="286">
        <f>'AGG ASIA INCUMB'!H37</f>
        <v>3.2483076143146272E-2</v>
      </c>
      <c r="S9" s="88"/>
      <c r="T9" s="42"/>
      <c r="U9" s="42"/>
      <c r="V9" s="42"/>
      <c r="W9" s="42"/>
      <c r="X9" s="42"/>
      <c r="Y9" s="42"/>
      <c r="Z9" s="42"/>
      <c r="AA9" s="42"/>
    </row>
    <row r="10" spans="2:27">
      <c r="B10" s="5" t="s">
        <v>269</v>
      </c>
      <c r="C10" s="5"/>
      <c r="D10" s="527">
        <v>7757.4470000000001</v>
      </c>
      <c r="E10" s="527">
        <v>7757.4470000000001</v>
      </c>
      <c r="F10" s="527">
        <v>7757.4470000000001</v>
      </c>
      <c r="G10" s="527">
        <v>7757.4470000000001</v>
      </c>
      <c r="H10" s="247"/>
      <c r="I10" s="247"/>
      <c r="J10" s="5" t="s">
        <v>180</v>
      </c>
      <c r="L10" s="525">
        <f>'AGG ASIA INCUMB'!D38</f>
        <v>4.6234760036627636</v>
      </c>
      <c r="M10" s="525">
        <f>'AGG ASIA INCUMB'!E38</f>
        <v>4.4228353660546906</v>
      </c>
      <c r="N10" s="525">
        <f>'AGG ASIA INCUMB'!F38</f>
        <v>3.9347110260162674</v>
      </c>
      <c r="O10" s="525">
        <f>'AGG ASIA INCUMB'!G38</f>
        <v>3.5504425976257274</v>
      </c>
      <c r="P10" s="286">
        <f>'AGG ASIA INCUMB'!H38</f>
        <v>3.9344958775427097E-2</v>
      </c>
      <c r="S10" s="88"/>
      <c r="T10" s="42"/>
      <c r="U10" s="42"/>
      <c r="V10" s="42"/>
      <c r="W10" s="288"/>
      <c r="X10" s="288"/>
      <c r="Y10" s="288"/>
      <c r="Z10" s="288"/>
      <c r="AA10" s="42"/>
    </row>
    <row r="11" spans="2:27">
      <c r="B11" s="41" t="s">
        <v>270</v>
      </c>
      <c r="C11" s="5"/>
      <c r="D11" s="528">
        <f>$C$9*D10</f>
        <v>961923.42800000007</v>
      </c>
      <c r="E11" s="528">
        <f>$C$9*E10</f>
        <v>961923.42800000007</v>
      </c>
      <c r="F11" s="528">
        <f>$C$9*F10</f>
        <v>961923.42800000007</v>
      </c>
      <c r="G11" s="528">
        <f>$C$9*G10</f>
        <v>961923.42800000007</v>
      </c>
      <c r="H11" s="249"/>
      <c r="I11" s="249"/>
      <c r="J11" s="5" t="s">
        <v>181</v>
      </c>
      <c r="L11" s="525">
        <f>'AGG ASIA INCUMB'!D39</f>
        <v>11.794671519746432</v>
      </c>
      <c r="M11" s="525">
        <f>'AGG ASIA INCUMB'!E39</f>
        <v>10.669369371390847</v>
      </c>
      <c r="N11" s="525">
        <f>'AGG ASIA INCUMB'!F39</f>
        <v>8.6767991012662229</v>
      </c>
      <c r="O11" s="525">
        <f>'AGG ASIA INCUMB'!G39</f>
        <v>7.5891310442771198</v>
      </c>
      <c r="P11" s="286">
        <f>'AGG ASIA INCUMB'!H39</f>
        <v>0.10245856505371931</v>
      </c>
      <c r="S11" s="88"/>
      <c r="T11" s="42"/>
      <c r="U11" s="42"/>
      <c r="V11" s="42"/>
      <c r="W11" s="288"/>
      <c r="X11" s="288"/>
      <c r="Y11" s="288"/>
      <c r="Z11" s="288"/>
      <c r="AA11" s="42"/>
    </row>
    <row r="12" spans="2:27">
      <c r="B12" s="5" t="s">
        <v>24</v>
      </c>
      <c r="C12" s="249"/>
      <c r="D12" s="529">
        <v>-12032.599185754967</v>
      </c>
      <c r="E12" s="529">
        <v>-25120.146079008504</v>
      </c>
      <c r="F12" s="529">
        <v>-39153.545754241619</v>
      </c>
      <c r="G12" s="529">
        <v>-51742.469896738046</v>
      </c>
      <c r="H12" s="247"/>
      <c r="I12" s="247"/>
      <c r="J12" s="5" t="s">
        <v>461</v>
      </c>
      <c r="L12" s="525">
        <f>'AGG ASIA INCUMB'!D40</f>
        <v>15.854102984572272</v>
      </c>
      <c r="M12" s="525">
        <f>'AGG ASIA INCUMB'!E40</f>
        <v>14.308248533194654</v>
      </c>
      <c r="N12" s="525">
        <f>'AGG ASIA INCUMB'!F40</f>
        <v>11.663579867439855</v>
      </c>
      <c r="O12" s="525">
        <f>'AGG ASIA INCUMB'!G40</f>
        <v>10.196208292202796</v>
      </c>
      <c r="P12" s="286">
        <f>'AGG ASIA INCUMB'!H40</f>
        <v>0.10263557885889418</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'AGG ASIA INCUMB'!D41</f>
        <v>1.1460518303805354</v>
      </c>
      <c r="M13" s="525">
        <f>'AGG ASIA INCUMB'!E41</f>
        <v>1.0866662606716921</v>
      </c>
      <c r="N13" s="525">
        <f>'AGG ASIA INCUMB'!F41</f>
        <v>0.99834975778923052</v>
      </c>
      <c r="O13" s="525">
        <f>'AGG ASIA INCUMB'!G41</f>
        <v>0.90898439887584492</v>
      </c>
      <c r="P13" s="286">
        <f>'AGG ASIA INCUMB'!H41</f>
        <v>2.8206361075399977E-2</v>
      </c>
      <c r="S13" s="88"/>
      <c r="T13" s="42"/>
      <c r="U13" s="42"/>
      <c r="V13" s="42"/>
      <c r="W13" s="42"/>
      <c r="X13" s="42"/>
      <c r="Y13" s="42"/>
      <c r="Z13" s="42"/>
      <c r="AA13" s="42"/>
    </row>
    <row r="14" spans="2:27">
      <c r="B14" s="5" t="s">
        <v>527</v>
      </c>
      <c r="C14" s="257"/>
      <c r="D14" s="529">
        <v>0</v>
      </c>
      <c r="E14" s="529">
        <f t="shared" ref="E14:G15" si="2">D14</f>
        <v>0</v>
      </c>
      <c r="F14" s="529">
        <f t="shared" si="2"/>
        <v>0</v>
      </c>
      <c r="G14" s="529">
        <f t="shared" si="2"/>
        <v>0</v>
      </c>
      <c r="H14" s="247"/>
      <c r="I14" s="247"/>
      <c r="J14" s="5" t="s">
        <v>588</v>
      </c>
      <c r="L14" s="525">
        <f>'AGG ASIA INCUMB'!D42</f>
        <v>1.5276634915643974</v>
      </c>
      <c r="M14" s="525">
        <f>'AGG ASIA INCUMB'!E42</f>
        <v>1.4907282921032592</v>
      </c>
      <c r="N14" s="525">
        <f>'AGG ASIA INCUMB'!F42</f>
        <v>1.4247632256720226</v>
      </c>
      <c r="O14" s="525">
        <f>'AGG ASIA INCUMB'!G42</f>
        <v>1.3972444432688993</v>
      </c>
      <c r="P14" s="286">
        <f>'AGG ASIA INCUMB'!H42</f>
        <v>-1.9495827781895958E-2</v>
      </c>
      <c r="S14" s="88"/>
      <c r="T14" s="42"/>
      <c r="U14" s="42"/>
      <c r="V14" s="42"/>
      <c r="W14" s="42"/>
      <c r="X14" s="42"/>
      <c r="Y14" s="42"/>
      <c r="Z14" s="42"/>
      <c r="AA14" s="42"/>
    </row>
    <row r="15" spans="2:27">
      <c r="B15" s="5" t="s">
        <v>526</v>
      </c>
      <c r="C15" s="274"/>
      <c r="D15" s="529">
        <v>0</v>
      </c>
      <c r="E15" s="529">
        <f t="shared" si="2"/>
        <v>0</v>
      </c>
      <c r="F15" s="529">
        <f t="shared" si="2"/>
        <v>0</v>
      </c>
      <c r="G15" s="529">
        <f t="shared" si="2"/>
        <v>0</v>
      </c>
      <c r="H15" s="247"/>
      <c r="I15" s="247"/>
      <c r="J15" s="5" t="s">
        <v>470</v>
      </c>
      <c r="L15" s="525">
        <f>'AGG ASIA INCUMB'!D43</f>
        <v>15.273312397129398</v>
      </c>
      <c r="M15" s="525">
        <f>'AGG ASIA INCUMB'!E43</f>
        <v>13.757505713732883</v>
      </c>
      <c r="N15" s="525">
        <f>'AGG ASIA INCUMB'!F43</f>
        <v>11.624732006664775</v>
      </c>
      <c r="O15" s="525">
        <f>'AGG ASIA INCUMB'!G43</f>
        <v>10.50556297379473</v>
      </c>
      <c r="P15" s="286">
        <f>'AGG ASIA INCUMB'!H43</f>
        <v>0.12108281340051441</v>
      </c>
      <c r="S15" s="88"/>
      <c r="T15" s="42"/>
      <c r="U15" s="42"/>
      <c r="V15" s="42"/>
      <c r="W15" s="42"/>
      <c r="X15" s="42"/>
      <c r="Y15" s="42"/>
      <c r="Z15" s="42"/>
      <c r="AA15" s="42"/>
    </row>
    <row r="16" spans="2:27">
      <c r="B16" s="5" t="s">
        <v>529</v>
      </c>
      <c r="C16" s="257"/>
      <c r="D16" s="529">
        <v>131766.21189461363</v>
      </c>
      <c r="E16" s="529">
        <v>167201.84831548305</v>
      </c>
      <c r="F16" s="529">
        <v>204326.65928947239</v>
      </c>
      <c r="G16" s="529">
        <v>243472.3190144471</v>
      </c>
      <c r="H16" s="247"/>
      <c r="I16" s="247"/>
      <c r="J16" s="5" t="s">
        <v>528</v>
      </c>
      <c r="L16" s="525">
        <f>'AGG ASIA INCUMB'!D44</f>
        <v>13.678025117962957</v>
      </c>
      <c r="M16" s="525">
        <f>'AGG ASIA INCUMB'!E44</f>
        <v>12.517033973894927</v>
      </c>
      <c r="N16" s="525">
        <f>'AGG ASIA INCUMB'!F44</f>
        <v>11.122029574192924</v>
      </c>
      <c r="O16" s="525">
        <f>'AGG ASIA INCUMB'!G44</f>
        <v>10.11878172223563</v>
      </c>
      <c r="P16" s="286">
        <f>'AGG ASIA INCUMB'!H44</f>
        <v>9.9914942744836699E-2</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INCUMB'!D45</f>
        <v>4.5509267152536094E-2</v>
      </c>
      <c r="M17" s="248">
        <f>'AGG ASIA INCUMB'!E45</f>
        <v>5.1800129870851246E-2</v>
      </c>
      <c r="N17" s="248">
        <f>'AGG ASIA INCUMB'!F45</f>
        <v>5.7884939069478336E-2</v>
      </c>
      <c r="O17" s="248">
        <f>'AGG ASIA INCUMB'!G45</f>
        <v>6.5680371296715834E-2</v>
      </c>
      <c r="P17" s="286">
        <f>'AGG ASIA INCUMB'!H45</f>
        <v>0.12418891359974715</v>
      </c>
      <c r="S17" s="88"/>
      <c r="T17" s="42"/>
      <c r="U17" s="42"/>
      <c r="V17" s="42"/>
      <c r="W17" s="42"/>
      <c r="X17" s="42"/>
      <c r="Y17" s="42"/>
      <c r="Z17" s="42"/>
      <c r="AA17" s="42"/>
    </row>
    <row r="18" spans="2:27" ht="12.6" thickBot="1">
      <c r="B18" s="41" t="s">
        <v>578</v>
      </c>
      <c r="C18" s="249"/>
      <c r="D18" s="530">
        <f>D11+D12+D13-D14+D15-D16-D17</f>
        <v>818124.61691963137</v>
      </c>
      <c r="E18" s="530">
        <f>E11+E12+E13-E14+E15-E16-E17</f>
        <v>769601.43360550853</v>
      </c>
      <c r="F18" s="530">
        <f>F11+F12+F13-F14+F15-F16-F17</f>
        <v>718443.22295628604</v>
      </c>
      <c r="G18" s="530">
        <f>G11+G12+G13-G14+G15-G16-G17</f>
        <v>666708.63908881485</v>
      </c>
      <c r="H18" s="276">
        <f>IF(D18=0,"nm",IF(G18=0,"nm",(G18/D18)^(1/3)-1))</f>
        <v>-6.5945520880175135E-2</v>
      </c>
      <c r="I18" s="254"/>
      <c r="J18" s="5" t="s">
        <v>36</v>
      </c>
      <c r="L18" s="248">
        <f>'AGG ASIA INCUMB'!D46</f>
        <v>4.5540516507029512E-2</v>
      </c>
      <c r="M18" s="248">
        <f>'AGG ASIA INCUMB'!E46</f>
        <v>5.1831531492466568E-2</v>
      </c>
      <c r="N18" s="248">
        <f>'AGG ASIA INCUMB'!F46</f>
        <v>5.8199730113416448E-2</v>
      </c>
      <c r="O18" s="248">
        <f>'AGG ASIA INCUMB'!G46</f>
        <v>6.6192895380097247E-2</v>
      </c>
      <c r="P18" s="286">
        <f>'AGG ASIA INCUMB'!H46</f>
        <v>0.12684760968524134</v>
      </c>
      <c r="S18" s="88"/>
      <c r="T18" s="42"/>
      <c r="U18" s="42"/>
      <c r="V18" s="42"/>
      <c r="W18" s="42"/>
      <c r="X18" s="42"/>
      <c r="Y18" s="42"/>
      <c r="Z18" s="42"/>
      <c r="AA18" s="42"/>
    </row>
    <row r="19" spans="2:27" ht="12.6" thickTop="1">
      <c r="B19" s="41"/>
      <c r="C19" s="249"/>
      <c r="D19" s="229"/>
      <c r="E19" s="229"/>
      <c r="F19" s="229"/>
      <c r="G19" s="229"/>
      <c r="H19" s="276"/>
      <c r="I19" s="254"/>
      <c r="J19" s="5" t="s">
        <v>576</v>
      </c>
      <c r="L19" s="248">
        <f>'AGG ASIA INCUMB'!D47</f>
        <v>6.5473682067024891E-2</v>
      </c>
      <c r="M19" s="248">
        <f>'AGG ASIA INCUMB'!E47</f>
        <v>7.2687594743412673E-2</v>
      </c>
      <c r="N19" s="248">
        <f>'AGG ASIA INCUMB'!F47</f>
        <v>8.6023488492179667E-2</v>
      </c>
      <c r="O19" s="248">
        <f>'AGG ASIA INCUMB'!G47</f>
        <v>9.5187664144645884E-2</v>
      </c>
      <c r="P19" s="286">
        <f>'AGG ASIA INCUMB'!H47</f>
        <v>0.12108281340051441</v>
      </c>
      <c r="S19" s="88"/>
      <c r="T19" s="42"/>
      <c r="U19" s="42"/>
      <c r="V19" s="42"/>
      <c r="W19" s="42"/>
      <c r="X19" s="42"/>
      <c r="Y19" s="42"/>
      <c r="Z19" s="42"/>
      <c r="AA19" s="42"/>
    </row>
    <row r="20" spans="2:27">
      <c r="H20" s="277"/>
      <c r="I20" s="17"/>
      <c r="J20" s="5" t="s">
        <v>599</v>
      </c>
      <c r="L20" s="305">
        <f>'AGG ASIA INCUMB'!D48</f>
        <v>0.59351892336330403</v>
      </c>
      <c r="M20" s="305">
        <f>'AGG ASIA INCUMB'!E48</f>
        <v>0.60592876311616806</v>
      </c>
      <c r="N20" s="305">
        <f>'AGG ASIA INCUMB'!F48</f>
        <v>0.57735687268970703</v>
      </c>
      <c r="O20" s="305">
        <f>'AGG ASIA INCUMB'!G48</f>
        <v>0.59846585949408893</v>
      </c>
      <c r="P20" s="286" t="str">
        <f>'AGG ASIA INCUMB'!H48</f>
        <v>nm</v>
      </c>
      <c r="S20" s="88"/>
      <c r="T20" s="42"/>
      <c r="U20" s="42"/>
      <c r="V20" s="42"/>
      <c r="W20" s="42"/>
      <c r="X20" s="42"/>
      <c r="Y20" s="42"/>
      <c r="Z20" s="42"/>
      <c r="AA20" s="42"/>
    </row>
    <row r="21" spans="2:27" ht="12.6" thickBot="1">
      <c r="B21" s="306" t="s">
        <v>924</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206413.75495427032</v>
      </c>
      <c r="D23" s="536">
        <v>208789.53139106714</v>
      </c>
      <c r="E23" s="536">
        <v>211153.64817967257</v>
      </c>
      <c r="F23" s="536">
        <v>213623.18347203344</v>
      </c>
      <c r="G23" s="536">
        <v>216198.57850321187</v>
      </c>
      <c r="H23" s="279">
        <f t="shared" ref="H23:H32" si="4">IF(D23=0,"nm",IF(G23=0,"nm",(G23/D23)^(1/3)-1))</f>
        <v>1.1691353321333642E-2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77384.338750670344</v>
      </c>
      <c r="D24" s="536">
        <v>78469.821025431156</v>
      </c>
      <c r="E24" s="536">
        <v>79530.740710380225</v>
      </c>
      <c r="F24" s="536">
        <v>80684.046928048163</v>
      </c>
      <c r="G24" s="536">
        <v>81930.050593786727</v>
      </c>
      <c r="H24" s="279">
        <f t="shared" si="4"/>
        <v>1.4487858365059614E-2</v>
      </c>
      <c r="I24" s="249"/>
      <c r="J24" s="17"/>
      <c r="K24" s="17"/>
      <c r="L24" s="17"/>
      <c r="M24" s="17"/>
      <c r="N24" s="17"/>
      <c r="O24" s="248"/>
      <c r="S24" s="88"/>
      <c r="T24" s="42"/>
      <c r="U24" s="42"/>
      <c r="V24" s="42"/>
      <c r="W24" s="42" t="s">
        <v>247</v>
      </c>
      <c r="X24" s="42" t="s">
        <v>254</v>
      </c>
      <c r="Y24" s="42"/>
      <c r="Z24" s="42"/>
      <c r="AA24" s="42"/>
    </row>
    <row r="25" spans="2:27">
      <c r="B25" s="5" t="s">
        <v>179</v>
      </c>
      <c r="C25" s="544">
        <v>46669.239365462243</v>
      </c>
      <c r="D25" s="536">
        <v>51327.181944592427</v>
      </c>
      <c r="E25" s="536">
        <v>56303.839410616245</v>
      </c>
      <c r="F25" s="536">
        <v>59321.728580844821</v>
      </c>
      <c r="G25" s="536">
        <v>60310.192743465537</v>
      </c>
      <c r="H25" s="279">
        <f t="shared" si="4"/>
        <v>5.5231544534847021E-2</v>
      </c>
      <c r="I25" s="248"/>
      <c r="J25" s="247" t="s">
        <v>10</v>
      </c>
      <c r="K25" s="247"/>
      <c r="L25" s="321">
        <v>0</v>
      </c>
      <c r="M25" s="321">
        <v>0</v>
      </c>
      <c r="N25" s="321">
        <v>0</v>
      </c>
      <c r="O25" s="321">
        <v>0</v>
      </c>
      <c r="P25" s="279" t="str">
        <f>IF(L25=0,"nm",IF(O25=0,"nm",(O25/L25)^(1/3)-1))</f>
        <v>nm</v>
      </c>
      <c r="S25" s="88"/>
      <c r="T25" s="42"/>
      <c r="U25" s="42"/>
      <c r="V25" s="147" t="s">
        <v>268</v>
      </c>
      <c r="W25" s="288">
        <f>D37/L9</f>
        <v>3.080652327933441</v>
      </c>
      <c r="X25" s="288">
        <v>1</v>
      </c>
      <c r="Y25" s="42"/>
      <c r="Z25" s="42"/>
      <c r="AA25" s="42"/>
    </row>
    <row r="26" spans="2:27">
      <c r="B26" s="5" t="s">
        <v>581</v>
      </c>
      <c r="C26" s="544">
        <v>37742.019833796679</v>
      </c>
      <c r="D26" s="536">
        <v>41508.958476818982</v>
      </c>
      <c r="E26" s="536">
        <v>45533.645987104115</v>
      </c>
      <c r="F26" s="536">
        <v>47974.252143699421</v>
      </c>
      <c r="G26" s="536">
        <v>48773.635946346891</v>
      </c>
      <c r="H26" s="279">
        <f t="shared" si="4"/>
        <v>5.5231544534847021E-2</v>
      </c>
      <c r="I26" s="249"/>
      <c r="J26" s="249" t="s">
        <v>11</v>
      </c>
      <c r="K26" s="249"/>
      <c r="L26" s="281">
        <f>D11+L25</f>
        <v>961923.42800000007</v>
      </c>
      <c r="M26" s="281">
        <f>E11+M25</f>
        <v>961923.42800000007</v>
      </c>
      <c r="N26" s="281">
        <f>F11+N25</f>
        <v>961923.42800000007</v>
      </c>
      <c r="O26" s="281">
        <f>G11+O25</f>
        <v>961923.42800000007</v>
      </c>
      <c r="P26" s="279">
        <f>IF(L26=0,"nm",IF(O26=0,"nm",(O26/L26)^(1/3)-1))</f>
        <v>0</v>
      </c>
      <c r="Q26" s="5"/>
      <c r="S26" s="88"/>
      <c r="T26" s="42"/>
      <c r="U26" s="42"/>
      <c r="V26" s="147" t="s">
        <v>180</v>
      </c>
      <c r="W26" s="288">
        <f t="shared" ref="W26:W33" si="6">D38/L10</f>
        <v>2.2550085378783464</v>
      </c>
      <c r="X26" s="288">
        <v>1</v>
      </c>
      <c r="Y26" s="42"/>
      <c r="Z26" s="42"/>
      <c r="AA26" s="42"/>
    </row>
    <row r="27" spans="2:27">
      <c r="B27" s="5" t="s">
        <v>582</v>
      </c>
      <c r="C27" s="545">
        <v>385540.9432180649</v>
      </c>
      <c r="D27" s="536">
        <v>377941.6380689831</v>
      </c>
      <c r="E27" s="536">
        <v>367338.58025808854</v>
      </c>
      <c r="F27" s="536">
        <v>356089.53128191014</v>
      </c>
      <c r="G27" s="536">
        <v>346378.75331700913</v>
      </c>
      <c r="H27" s="279">
        <f t="shared" si="4"/>
        <v>-2.8650544100582875E-2</v>
      </c>
      <c r="I27" s="249"/>
      <c r="J27" s="248"/>
      <c r="K27" s="248"/>
      <c r="L27" s="248"/>
      <c r="M27" s="248"/>
      <c r="N27" s="248"/>
      <c r="O27" s="248"/>
      <c r="Q27" s="41"/>
      <c r="S27" s="88"/>
      <c r="T27" s="42"/>
      <c r="U27" s="42"/>
      <c r="V27" s="147" t="s">
        <v>181</v>
      </c>
      <c r="W27" s="288">
        <f t="shared" si="6"/>
        <v>1.35140707947292</v>
      </c>
      <c r="X27" s="288">
        <v>1</v>
      </c>
      <c r="Y27" s="42"/>
      <c r="Z27" s="42"/>
      <c r="AA27" s="42"/>
    </row>
    <row r="28" spans="2:27" ht="12.6" thickBot="1">
      <c r="B28" s="5" t="s">
        <v>587</v>
      </c>
      <c r="C28" s="544">
        <v>283743.0357559548</v>
      </c>
      <c r="D28" s="536">
        <v>278074.35977157031</v>
      </c>
      <c r="E28" s="536">
        <v>271398.76170915761</v>
      </c>
      <c r="F28" s="536">
        <v>265924.73483676009</v>
      </c>
      <c r="G28" s="536">
        <v>0</v>
      </c>
      <c r="H28" s="279" t="str">
        <f t="shared" si="4"/>
        <v>nm</v>
      </c>
      <c r="I28" s="248"/>
      <c r="J28" s="306" t="s">
        <v>1352</v>
      </c>
      <c r="K28" s="306"/>
      <c r="L28" s="306"/>
      <c r="M28" s="306"/>
      <c r="N28" s="266"/>
      <c r="O28" s="266"/>
      <c r="P28" s="266"/>
      <c r="Q28" s="5"/>
      <c r="S28" s="88"/>
      <c r="T28" s="42"/>
      <c r="U28" s="42"/>
      <c r="V28" s="147" t="s">
        <v>461</v>
      </c>
      <c r="W28" s="288">
        <f t="shared" si="6"/>
        <v>1.243185537609085</v>
      </c>
      <c r="X28" s="288">
        <v>1</v>
      </c>
      <c r="Y28" s="42"/>
      <c r="Z28" s="42"/>
      <c r="AA28" s="42"/>
    </row>
    <row r="29" spans="2:27" ht="12.6" thickTop="1">
      <c r="B29" s="5" t="s">
        <v>583</v>
      </c>
      <c r="C29" s="544">
        <v>37552.140609549911</v>
      </c>
      <c r="D29" s="536">
        <v>41952.850070367604</v>
      </c>
      <c r="E29" s="536">
        <v>46622.323316756272</v>
      </c>
      <c r="F29" s="536">
        <v>49262.248260140099</v>
      </c>
      <c r="G29" s="536">
        <v>49840.649397000176</v>
      </c>
      <c r="H29" s="279">
        <f t="shared" si="4"/>
        <v>5.910920048487367E-2</v>
      </c>
      <c r="I29" s="252"/>
      <c r="J29" s="249"/>
      <c r="K29" s="249"/>
      <c r="L29" s="249"/>
      <c r="M29" s="249"/>
      <c r="N29" s="249"/>
      <c r="O29" s="251"/>
      <c r="Q29" s="5"/>
      <c r="S29" s="88"/>
      <c r="T29" s="42"/>
      <c r="U29" s="42"/>
      <c r="V29" s="147" t="s">
        <v>525</v>
      </c>
      <c r="W29" s="288">
        <f t="shared" si="6"/>
        <v>1.8888195115913176</v>
      </c>
      <c r="X29" s="288">
        <v>1</v>
      </c>
      <c r="Y29" s="42"/>
      <c r="Z29" s="42"/>
      <c r="AA29" s="42"/>
    </row>
    <row r="30" spans="2:27">
      <c r="B30" s="5" t="s">
        <v>584</v>
      </c>
      <c r="C30" s="545">
        <v>32931.141330363629</v>
      </c>
      <c r="D30" s="536">
        <v>34339.148337423925</v>
      </c>
      <c r="E30" s="536">
        <v>35989.577572311187</v>
      </c>
      <c r="F30" s="536">
        <v>37970.065320871065</v>
      </c>
      <c r="G30" s="536">
        <v>40073.198589126376</v>
      </c>
      <c r="H30" s="279">
        <f t="shared" si="4"/>
        <v>5.2821704558468241E-2</v>
      </c>
      <c r="I30" s="254"/>
      <c r="J30" s="248"/>
      <c r="K30" s="248"/>
      <c r="L30" s="248"/>
      <c r="M30" s="248"/>
      <c r="N30" s="248"/>
      <c r="O30" s="5"/>
      <c r="Q30" s="5"/>
      <c r="S30" s="88"/>
      <c r="T30" s="42"/>
      <c r="U30" s="42"/>
      <c r="V30" s="147" t="s">
        <v>588</v>
      </c>
      <c r="W30" s="288">
        <f t="shared" si="6"/>
        <v>1.9258870578043341</v>
      </c>
      <c r="X30" s="288">
        <v>1</v>
      </c>
      <c r="Y30" s="42"/>
      <c r="Z30" s="42"/>
      <c r="AA30" s="42"/>
    </row>
    <row r="31" spans="2:27">
      <c r="B31" s="5" t="s">
        <v>585</v>
      </c>
      <c r="C31" s="545">
        <v>33990.428847687632</v>
      </c>
      <c r="D31" s="536">
        <v>35435.636420869407</v>
      </c>
      <c r="E31" s="536">
        <v>37124.810973989333</v>
      </c>
      <c r="F31" s="536">
        <v>39145.659724974706</v>
      </c>
      <c r="G31" s="536">
        <v>41290.844032423585</v>
      </c>
      <c r="H31" s="279">
        <f t="shared" si="4"/>
        <v>5.2295809971018903E-2</v>
      </c>
      <c r="I31" s="254"/>
      <c r="J31" s="252"/>
      <c r="K31" s="252"/>
      <c r="L31" s="252"/>
      <c r="M31" s="252"/>
      <c r="N31" s="252"/>
      <c r="O31" s="5"/>
      <c r="Q31" s="5"/>
      <c r="S31" s="88"/>
      <c r="T31" s="42"/>
      <c r="U31" s="42"/>
      <c r="V31" s="147" t="s">
        <v>470</v>
      </c>
      <c r="W31" s="288">
        <f t="shared" si="6"/>
        <v>1.5012250321982201</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2.0479888390947369</v>
      </c>
      <c r="X32" s="288">
        <v>1</v>
      </c>
      <c r="Y32" s="42"/>
      <c r="Z32" s="42"/>
      <c r="AA32" s="42"/>
    </row>
    <row r="33" spans="2:27">
      <c r="B33" s="5" t="s">
        <v>5</v>
      </c>
      <c r="C33" s="545">
        <v>10.160519694622085</v>
      </c>
      <c r="D33" s="536">
        <v>-31.761425628345961</v>
      </c>
      <c r="E33" s="536">
        <v>-83.145770957951811</v>
      </c>
      <c r="F33" s="536">
        <v>-143.84093615978162</v>
      </c>
      <c r="G33" s="536">
        <v>-203.42021146617233</v>
      </c>
      <c r="H33" s="279">
        <f>IF(D33=0,"nm",IF(G33=0,"nm",(G33/D33)^(1/3)-1))</f>
        <v>0.85708324295895366</v>
      </c>
      <c r="I33" s="5"/>
      <c r="J33" s="254"/>
      <c r="K33" s="254"/>
      <c r="L33" s="254"/>
      <c r="M33" s="254"/>
      <c r="N33" s="254"/>
      <c r="O33" s="251"/>
      <c r="Q33" s="5"/>
      <c r="S33" s="88"/>
      <c r="T33" s="42"/>
      <c r="U33" s="42"/>
      <c r="V33" s="147" t="s">
        <v>575</v>
      </c>
      <c r="W33" s="288">
        <f t="shared" si="6"/>
        <v>0.80946838758324391</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0.66612265220205913</v>
      </c>
      <c r="X34" s="288">
        <v>1</v>
      </c>
      <c r="Y34" s="288"/>
      <c r="Z34" s="288"/>
      <c r="AA34" s="42"/>
    </row>
    <row r="35" spans="2:27" ht="12.6" thickBot="1">
      <c r="B35" s="306" t="s">
        <v>344</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3.9184178031764771</v>
      </c>
      <c r="E37" s="525">
        <f t="shared" ref="E37:G41" si="8">E$18/E23</f>
        <v>3.6447460900635145</v>
      </c>
      <c r="F37" s="525">
        <f t="shared" si="8"/>
        <v>3.3631332109154779</v>
      </c>
      <c r="G37" s="525">
        <f t="shared" si="8"/>
        <v>3.0837790132783418</v>
      </c>
      <c r="H37" s="17">
        <f t="shared" ref="H37:H45" si="9">H23</f>
        <v>1.1691353321333642E-2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10.425977862935188</v>
      </c>
      <c r="E38" s="525">
        <f t="shared" si="8"/>
        <v>9.676779402924149</v>
      </c>
      <c r="F38" s="525">
        <f t="shared" si="8"/>
        <v>8.9044024229098735</v>
      </c>
      <c r="G38" s="525">
        <f t="shared" si="8"/>
        <v>8.1375348148433293</v>
      </c>
      <c r="H38" s="17">
        <f t="shared" si="9"/>
        <v>1.4487858365059614E-2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15.939402591842953</v>
      </c>
      <c r="E39" s="525">
        <f t="shared" si="8"/>
        <v>13.668720315730335</v>
      </c>
      <c r="F39" s="525">
        <f t="shared" si="8"/>
        <v>12.11096237657973</v>
      </c>
      <c r="G39" s="525">
        <f t="shared" si="8"/>
        <v>11.054659399360833</v>
      </c>
      <c r="H39" s="17">
        <f t="shared" si="9"/>
        <v>5.5231544534847021E-2</v>
      </c>
      <c r="I39" s="17"/>
      <c r="J39" s="5"/>
      <c r="K39" s="5"/>
      <c r="L39" s="5"/>
      <c r="M39" s="5"/>
      <c r="N39" s="5"/>
      <c r="O39" s="5"/>
      <c r="Q39" s="5"/>
      <c r="R39" s="5"/>
      <c r="S39" s="42"/>
      <c r="T39" s="42"/>
      <c r="U39" s="42"/>
      <c r="V39" s="42"/>
      <c r="W39" s="42"/>
      <c r="X39" s="42"/>
      <c r="Y39" s="42"/>
      <c r="Z39" s="42"/>
      <c r="AA39" s="42"/>
    </row>
    <row r="40" spans="2:27">
      <c r="B40" s="5" t="s">
        <v>461</v>
      </c>
      <c r="C40" s="247"/>
      <c r="D40" s="525">
        <f>D$18/D26</f>
        <v>19.709591542185279</v>
      </c>
      <c r="E40" s="525">
        <f t="shared" si="8"/>
        <v>16.901818796225378</v>
      </c>
      <c r="F40" s="525">
        <f t="shared" si="8"/>
        <v>14.975600261663297</v>
      </c>
      <c r="G40" s="525">
        <f t="shared" si="8"/>
        <v>13.669447154241755</v>
      </c>
      <c r="H40" s="17">
        <f t="shared" si="9"/>
        <v>5.5231544534847021E-2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2.1646850585176982</v>
      </c>
      <c r="E41" s="525">
        <f t="shared" si="8"/>
        <v>2.0950737955833389</v>
      </c>
      <c r="F41" s="525">
        <f t="shared" si="8"/>
        <v>2.017591532022621</v>
      </c>
      <c r="G41" s="525">
        <f t="shared" si="8"/>
        <v>1.9247965780355956</v>
      </c>
      <c r="H41" s="17">
        <f t="shared" si="9"/>
        <v>-2.8650544100582875E-2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2.9421073470840535</v>
      </c>
      <c r="E42" s="525">
        <f>E18/E28</f>
        <v>2.8356851326766406</v>
      </c>
      <c r="F42" s="525">
        <f>F18/F28</f>
        <v>2.7016788167422932</v>
      </c>
      <c r="G42" s="525" t="e">
        <f>G18/G28</f>
        <v>#DIV/0!</v>
      </c>
      <c r="H42" s="17" t="str">
        <f t="shared" si="9"/>
        <v>nm</v>
      </c>
      <c r="I42" s="248"/>
      <c r="J42" s="5"/>
      <c r="K42" s="5"/>
      <c r="L42" s="5"/>
      <c r="M42" s="5"/>
      <c r="N42" s="5"/>
      <c r="O42" s="5"/>
      <c r="Q42" s="5"/>
      <c r="R42" s="5"/>
      <c r="S42" s="42"/>
      <c r="T42" s="42"/>
      <c r="U42" s="42"/>
      <c r="V42" s="42"/>
      <c r="W42" s="288"/>
      <c r="X42" s="288"/>
      <c r="Y42" s="288"/>
      <c r="Z42" s="288"/>
      <c r="AA42" s="42"/>
    </row>
    <row r="43" spans="2:27">
      <c r="B43" s="5" t="s">
        <v>470</v>
      </c>
      <c r="C43" s="247"/>
      <c r="D43" s="525">
        <f>L26/D29</f>
        <v>22.928678895154057</v>
      </c>
      <c r="E43" s="525">
        <f>M26/E29</f>
        <v>20.632249951693858</v>
      </c>
      <c r="F43" s="525">
        <f>N26/F29</f>
        <v>19.526583986186594</v>
      </c>
      <c r="G43" s="525">
        <f>O26/G29</f>
        <v>19.299977822076624</v>
      </c>
      <c r="H43" s="17">
        <f t="shared" si="9"/>
        <v>5.910920048487367E-2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28.012442782445611</v>
      </c>
      <c r="E44" s="525">
        <f>E11/E30</f>
        <v>26.727833247480572</v>
      </c>
      <c r="F44" s="525">
        <f>F11/F30</f>
        <v>25.333731187216529</v>
      </c>
      <c r="G44" s="525">
        <f>G11/G30</f>
        <v>24.004158935818321</v>
      </c>
      <c r="H44" s="17">
        <f t="shared" si="9"/>
        <v>5.2821704558468241E-2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3.6838313102058477E-2</v>
      </c>
      <c r="E45" s="248">
        <f>E31/E11</f>
        <v>3.8594351580746956E-2</v>
      </c>
      <c r="F45" s="248">
        <f>F31/F11</f>
        <v>4.0695193178073526E-2</v>
      </c>
      <c r="G45" s="248">
        <f>G31/G11</f>
        <v>4.2925292004036296E-2</v>
      </c>
      <c r="H45" s="17">
        <f t="shared" si="9"/>
        <v>5.2295809971018903E-2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3.6838313102058477E-2</v>
      </c>
      <c r="E46" s="248">
        <f>(E31+E32)/E11</f>
        <v>3.8594351580746956E-2</v>
      </c>
      <c r="F46" s="248">
        <f>(F31+F32)/F11</f>
        <v>4.0695193178073526E-2</v>
      </c>
      <c r="G46" s="248">
        <f>(G31+G32)/G11</f>
        <v>4.2925292004036296E-2</v>
      </c>
      <c r="H46" s="279">
        <f>((G31+G32)/(D31+D32))^(1/3)-1</f>
        <v>5.2295809971018903E-2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4.3613502747921015E-2</v>
      </c>
      <c r="E47" s="248">
        <f>1/E43</f>
        <v>4.8467811428287898E-2</v>
      </c>
      <c r="F47" s="248">
        <f>1/F43</f>
        <v>5.1212234598095367E-2</v>
      </c>
      <c r="G47" s="248">
        <f>1/G43</f>
        <v>5.1813531042306807E-2</v>
      </c>
      <c r="H47" s="17">
        <f>H29</f>
        <v>5.910920048487367E-2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0.84465385215624533</v>
      </c>
      <c r="E48" s="305">
        <f>E31/E29</f>
        <v>0.79628830853752219</v>
      </c>
      <c r="F48" s="305">
        <f>F31/F29</f>
        <v>0.79463810742574048</v>
      </c>
      <c r="G48" s="305">
        <f>G31/G29</f>
        <v>0.82845718368406351</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2">
    <pageSetUpPr fitToPage="1"/>
  </sheetPr>
  <dimension ref="B1:GU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03" s="312" customFormat="1">
      <c r="T1" s="149"/>
      <c r="U1" s="149"/>
      <c r="V1" s="149"/>
      <c r="W1" s="149"/>
      <c r="X1" s="149"/>
      <c r="Y1" s="149"/>
      <c r="Z1" s="149"/>
      <c r="AA1" s="149"/>
    </row>
    <row r="2" spans="2:203" s="149" customFormat="1"/>
    <row r="3" spans="2:203" s="149" customFormat="1">
      <c r="H3" s="153"/>
      <c r="P3" s="153"/>
    </row>
    <row r="4" spans="2:203" s="156" customFormat="1" ht="21">
      <c r="B4" s="129" t="s">
        <v>299</v>
      </c>
      <c r="H4" s="222"/>
      <c r="P4" s="222"/>
    </row>
    <row r="5" spans="2:20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03">
      <c r="I6" s="5"/>
      <c r="J6" s="5"/>
      <c r="K6" s="5"/>
      <c r="L6" s="5"/>
      <c r="M6" s="5"/>
      <c r="N6" s="5"/>
      <c r="O6" s="49"/>
    </row>
    <row r="7" spans="2:203" ht="12.6" thickBot="1">
      <c r="B7" s="306" t="s">
        <v>266</v>
      </c>
      <c r="C7" s="265"/>
      <c r="D7" s="265" t="str">
        <f>D5</f>
        <v>2023E</v>
      </c>
      <c r="E7" s="265" t="str">
        <f t="shared" ref="E7:H7" si="0">E5</f>
        <v>2024E</v>
      </c>
      <c r="F7" s="265" t="str">
        <f t="shared" si="0"/>
        <v>2025E</v>
      </c>
      <c r="G7" s="265" t="str">
        <f t="shared" si="0"/>
        <v>2026E</v>
      </c>
      <c r="H7" s="265" t="str">
        <f t="shared" si="0"/>
        <v>23E-26E</v>
      </c>
      <c r="I7" s="49"/>
      <c r="J7" s="306" t="s">
        <v>154</v>
      </c>
      <c r="K7" s="306"/>
      <c r="L7" s="265" t="str">
        <f>L5</f>
        <v>2023E</v>
      </c>
      <c r="M7" s="265" t="str">
        <f t="shared" ref="M7:P7" si="1">M5</f>
        <v>2024E</v>
      </c>
      <c r="N7" s="265" t="str">
        <f t="shared" si="1"/>
        <v>2025E</v>
      </c>
      <c r="O7" s="265" t="str">
        <f t="shared" si="1"/>
        <v>2026E</v>
      </c>
      <c r="P7" s="265" t="str">
        <f t="shared" si="1"/>
        <v>23E-26E</v>
      </c>
    </row>
    <row r="8" spans="2:203" ht="12.6" thickTop="1">
      <c r="B8" s="5"/>
      <c r="C8" s="5"/>
      <c r="D8" s="5"/>
      <c r="E8" s="5"/>
      <c r="F8" s="5"/>
      <c r="G8" s="5"/>
      <c r="H8" s="5"/>
      <c r="I8" s="5"/>
      <c r="J8" s="5"/>
      <c r="K8" s="5"/>
      <c r="L8" s="5"/>
      <c r="M8" s="5"/>
      <c r="N8" s="5"/>
      <c r="S8" s="88"/>
      <c r="T8" s="42"/>
      <c r="U8" s="42"/>
      <c r="V8" s="42"/>
      <c r="W8" s="42"/>
      <c r="X8" s="42"/>
      <c r="Y8" s="42"/>
      <c r="Z8" s="42"/>
      <c r="AA8" s="42"/>
    </row>
    <row r="9" spans="2:203">
      <c r="B9" s="41" t="s">
        <v>116</v>
      </c>
      <c r="C9" s="267">
        <f>Prices!C46</f>
        <v>39.799999999999997</v>
      </c>
      <c r="D9" s="529"/>
      <c r="E9" s="529"/>
      <c r="F9" s="529"/>
      <c r="G9" s="529"/>
      <c r="H9" s="249"/>
      <c r="I9" s="249"/>
      <c r="J9" s="5" t="s">
        <v>268</v>
      </c>
      <c r="L9" s="525">
        <f>'US OTHER'!D37</f>
        <v>2.0615992706049235</v>
      </c>
      <c r="M9" s="525">
        <f>'US OTHER'!E37</f>
        <v>2.0145901059151643</v>
      </c>
      <c r="N9" s="525">
        <f>'US OTHER'!F37</f>
        <v>1.9460103757669567</v>
      </c>
      <c r="O9" s="525">
        <f>'US OTHER'!G37</f>
        <v>1.8352364265652237</v>
      </c>
      <c r="P9" s="18">
        <f>'US OTHER'!H37</f>
        <v>6.8251004257615655E-3</v>
      </c>
      <c r="S9" s="88"/>
      <c r="T9" s="42"/>
      <c r="U9" s="42"/>
      <c r="V9" s="42"/>
      <c r="W9" s="42"/>
      <c r="X9" s="42"/>
      <c r="Y9" s="42"/>
      <c r="Z9" s="42"/>
      <c r="AA9" s="42"/>
      <c r="GH9" s="267">
        <v>36.57</v>
      </c>
      <c r="GI9" s="272">
        <v>0</v>
      </c>
      <c r="GJ9" s="272">
        <v>0</v>
      </c>
      <c r="GK9" s="272">
        <v>0</v>
      </c>
      <c r="GL9" s="272">
        <v>0</v>
      </c>
      <c r="GM9" s="249"/>
      <c r="GN9" s="249"/>
      <c r="GO9" s="41" t="s">
        <v>268</v>
      </c>
      <c r="GQ9" s="268">
        <v>2.810699549390566</v>
      </c>
      <c r="GR9" s="268">
        <v>2.5929218299862731</v>
      </c>
      <c r="GS9" s="268">
        <v>2.3350913168370666</v>
      </c>
      <c r="GT9" s="268">
        <v>2.2585840923916103</v>
      </c>
      <c r="GU9" s="18">
        <v>4.6820726417848846E-2</v>
      </c>
    </row>
    <row r="10" spans="2:203">
      <c r="B10" s="5" t="s">
        <v>269</v>
      </c>
      <c r="D10" s="527">
        <v>4149.1708065767343</v>
      </c>
      <c r="E10" s="527">
        <v>3906.1814101207701</v>
      </c>
      <c r="F10" s="527">
        <v>3689.9676534435584</v>
      </c>
      <c r="G10" s="527">
        <v>3442.0769183065618</v>
      </c>
      <c r="H10" s="249"/>
      <c r="I10" s="247"/>
      <c r="J10" s="5" t="s">
        <v>180</v>
      </c>
      <c r="L10" s="525">
        <f>'US OTHER'!D38</f>
        <v>6.419136047060916</v>
      </c>
      <c r="M10" s="525">
        <f>'US OTHER'!E38</f>
        <v>6.1617174775214849</v>
      </c>
      <c r="N10" s="525">
        <f>'US OTHER'!F38</f>
        <v>5.8157046048820016</v>
      </c>
      <c r="O10" s="525">
        <f>'US OTHER'!G38</f>
        <v>5.3383564537368979</v>
      </c>
      <c r="P10" s="18">
        <f>'US OTHER'!H38</f>
        <v>2.9926645487549974E-2</v>
      </c>
      <c r="S10" s="88"/>
      <c r="T10" s="42"/>
      <c r="U10" s="42"/>
      <c r="V10" s="42"/>
      <c r="W10" s="288"/>
      <c r="X10" s="288"/>
      <c r="Y10" s="288"/>
      <c r="Z10" s="288"/>
      <c r="AA10" s="42"/>
      <c r="GI10" s="269">
        <v>4637.2798813248946</v>
      </c>
      <c r="GJ10" s="269">
        <v>4586.6211527196192</v>
      </c>
      <c r="GK10" s="269">
        <v>4611.3178079864056</v>
      </c>
      <c r="GL10" s="269">
        <v>4611.3178079864056</v>
      </c>
      <c r="GM10" s="249"/>
      <c r="GN10" s="247"/>
      <c r="GO10" s="41" t="s">
        <v>180</v>
      </c>
      <c r="GQ10" s="268">
        <v>8.6854361666532824</v>
      </c>
      <c r="GR10" s="268">
        <v>7.9979948611797189</v>
      </c>
      <c r="GS10" s="268">
        <v>7.1643881514581524</v>
      </c>
      <c r="GT10" s="268">
        <v>6.8965778001375213</v>
      </c>
      <c r="GU10" s="18">
        <v>5.0990823579210254E-2</v>
      </c>
    </row>
    <row r="11" spans="2:203">
      <c r="B11" s="41" t="s">
        <v>270</v>
      </c>
      <c r="C11" s="5"/>
      <c r="D11" s="528">
        <f>(D10*$C$9)</f>
        <v>165136.99810175403</v>
      </c>
      <c r="E11" s="528">
        <f>(E10*$C$9)</f>
        <v>155466.02012280663</v>
      </c>
      <c r="F11" s="528">
        <f>(F10*$C$9)</f>
        <v>146860.7126070536</v>
      </c>
      <c r="G11" s="528">
        <f>(G10*$C$9)</f>
        <v>136994.66134860116</v>
      </c>
      <c r="H11" s="249"/>
      <c r="I11" s="249"/>
      <c r="J11" s="5" t="s">
        <v>181</v>
      </c>
      <c r="L11" s="525">
        <f>'US OTHER'!D39</f>
        <v>12.034441933121379</v>
      </c>
      <c r="M11" s="525">
        <f>'US OTHER'!E39</f>
        <v>10.557338294237372</v>
      </c>
      <c r="N11" s="525">
        <f>'US OTHER'!F39</f>
        <v>9.5336430529255392</v>
      </c>
      <c r="O11" s="525">
        <f>'US OTHER'!G39</f>
        <v>7.9150896964308144</v>
      </c>
      <c r="P11" s="18">
        <f>'US OTHER'!H39</f>
        <v>0.11371310161076686</v>
      </c>
      <c r="S11" s="88"/>
      <c r="T11" s="42"/>
      <c r="U11" s="42"/>
      <c r="V11" s="42"/>
      <c r="W11" s="288"/>
      <c r="X11" s="288"/>
      <c r="Y11" s="288"/>
      <c r="Z11" s="288"/>
      <c r="AA11" s="42"/>
      <c r="GH11" s="5"/>
      <c r="GI11" s="271">
        <v>169585.32526005141</v>
      </c>
      <c r="GJ11" s="271">
        <v>167732.73555495648</v>
      </c>
      <c r="GK11" s="271">
        <v>168635.89223806286</v>
      </c>
      <c r="GL11" s="271">
        <v>168635.89223806286</v>
      </c>
      <c r="GM11" s="249"/>
      <c r="GN11" s="249"/>
      <c r="GO11" s="41" t="s">
        <v>181</v>
      </c>
      <c r="GQ11" s="268">
        <v>8.5252065004301869</v>
      </c>
      <c r="GR11" s="268">
        <v>7.7336513138868801</v>
      </c>
      <c r="GS11" s="268">
        <v>6.8498781989532249</v>
      </c>
      <c r="GT11" s="268">
        <v>6.6056629738361234</v>
      </c>
      <c r="GU11" s="18">
        <v>5.9601159804935078E-2</v>
      </c>
    </row>
    <row r="12" spans="2:203">
      <c r="B12" s="5" t="s">
        <v>24</v>
      </c>
      <c r="C12" s="249"/>
      <c r="D12" s="529">
        <v>87610.320071999988</v>
      </c>
      <c r="E12" s="529">
        <v>93837.521219944072</v>
      </c>
      <c r="F12" s="529">
        <v>96731.924716820111</v>
      </c>
      <c r="G12" s="529">
        <v>101162.42574620256</v>
      </c>
      <c r="H12" s="247"/>
      <c r="I12" s="247"/>
      <c r="J12" s="5" t="s">
        <v>461</v>
      </c>
      <c r="L12" s="525">
        <f>'US OTHER'!D40</f>
        <v>19.460370475479301</v>
      </c>
      <c r="M12" s="525">
        <f>'US OTHER'!E40</f>
        <v>15.799116916538814</v>
      </c>
      <c r="N12" s="525">
        <f>'US OTHER'!F40</f>
        <v>14.366667808632414</v>
      </c>
      <c r="O12" s="525">
        <f>'US OTHER'!G40</f>
        <v>11.869951475688792</v>
      </c>
      <c r="P12" s="18">
        <f>'US OTHER'!H40</f>
        <v>0.14204708718901382</v>
      </c>
      <c r="S12" s="88"/>
      <c r="T12" s="42"/>
      <c r="U12" s="42"/>
      <c r="V12" s="42"/>
      <c r="W12" s="288"/>
      <c r="X12" s="288"/>
      <c r="Y12" s="288"/>
      <c r="Z12" s="288"/>
      <c r="AA12" s="42"/>
      <c r="GH12" s="249"/>
      <c r="GI12" s="272">
        <v>105917.10555782284</v>
      </c>
      <c r="GJ12" s="272">
        <v>94962.950286532287</v>
      </c>
      <c r="GK12" s="272">
        <v>82578.249035989124</v>
      </c>
      <c r="GL12" s="272">
        <v>82578.249035989124</v>
      </c>
      <c r="GM12" s="247"/>
      <c r="GN12" s="247"/>
      <c r="GO12" s="41" t="s">
        <v>461</v>
      </c>
      <c r="GQ12" s="268">
        <v>13.115702308354136</v>
      </c>
      <c r="GR12" s="268">
        <v>11.897925098287507</v>
      </c>
      <c r="GS12" s="268">
        <v>10.538274152235731</v>
      </c>
      <c r="GT12" s="268">
        <v>10.162558421286343</v>
      </c>
      <c r="GU12" s="18">
        <v>5.96011598049353E-2</v>
      </c>
    </row>
    <row r="13" spans="2:203">
      <c r="B13" s="5" t="s">
        <v>524</v>
      </c>
      <c r="C13" s="257"/>
      <c r="D13" s="529">
        <v>1333.7951000000005</v>
      </c>
      <c r="E13" s="529">
        <v>1333.7951000000005</v>
      </c>
      <c r="F13" s="529">
        <v>1333.7951000000005</v>
      </c>
      <c r="G13" s="529">
        <v>1333.7951000000005</v>
      </c>
      <c r="H13" s="247"/>
      <c r="I13" s="247"/>
      <c r="J13" s="5" t="s">
        <v>525</v>
      </c>
      <c r="L13" s="525">
        <f>'US OTHER'!D41</f>
        <v>1.2036175965808336</v>
      </c>
      <c r="M13" s="525">
        <f>'US OTHER'!E41</f>
        <v>1.1592310186707702</v>
      </c>
      <c r="N13" s="525">
        <f>'US OTHER'!F41</f>
        <v>1.125914878616818</v>
      </c>
      <c r="O13" s="525">
        <f>'US OTHER'!G41</f>
        <v>1.0954740100112548</v>
      </c>
      <c r="P13" s="18">
        <f>'US OTHER'!H41</f>
        <v>-5.8597350806643966E-4</v>
      </c>
      <c r="S13" s="88"/>
      <c r="T13" s="42"/>
      <c r="U13" s="42"/>
      <c r="V13" s="42"/>
      <c r="W13" s="42"/>
      <c r="X13" s="42"/>
      <c r="Y13" s="42"/>
      <c r="Z13" s="42"/>
      <c r="AA13" s="42"/>
      <c r="GH13" s="257"/>
      <c r="GI13" s="272">
        <v>1467.1746100000007</v>
      </c>
      <c r="GJ13" s="272">
        <v>1613.8920710000009</v>
      </c>
      <c r="GK13" s="272">
        <v>1775.2812781000011</v>
      </c>
      <c r="GL13" s="272">
        <v>1775.2812781000011</v>
      </c>
      <c r="GM13" s="247"/>
      <c r="GN13" s="247"/>
      <c r="GO13" s="41" t="s">
        <v>525</v>
      </c>
      <c r="GQ13" s="268">
        <v>1.4259036409602526</v>
      </c>
      <c r="GR13" s="268">
        <v>1.4735449492572357</v>
      </c>
      <c r="GS13" s="268">
        <v>1.5264570886732127</v>
      </c>
      <c r="GT13" s="268">
        <v>1.5275176364294605</v>
      </c>
      <c r="GU13" s="18">
        <v>-4.8853148320087691E-2</v>
      </c>
    </row>
    <row r="14" spans="2:203">
      <c r="B14" s="5" t="s">
        <v>527</v>
      </c>
      <c r="C14" s="257"/>
      <c r="D14" s="529">
        <v>9849</v>
      </c>
      <c r="E14" s="529">
        <v>9849</v>
      </c>
      <c r="F14" s="529">
        <v>9849</v>
      </c>
      <c r="G14" s="529">
        <v>9849</v>
      </c>
      <c r="H14" s="247"/>
      <c r="I14" s="247"/>
      <c r="J14" s="5" t="s">
        <v>588</v>
      </c>
      <c r="L14" s="525">
        <f>'US OTHER'!D42</f>
        <v>3.5328918375024028</v>
      </c>
      <c r="M14" s="525">
        <f>'US OTHER'!E42</f>
        <v>3.4017377827100885</v>
      </c>
      <c r="N14" s="525">
        <f>'US OTHER'!F42</f>
        <v>3.3002217631142288</v>
      </c>
      <c r="O14" s="525">
        <f>'US OTHER'!G42</f>
        <v>3.257653737649747</v>
      </c>
      <c r="P14" s="18">
        <f>'US OTHER'!H42</f>
        <v>-4.9190074724069222E-3</v>
      </c>
      <c r="S14" s="88"/>
      <c r="T14" s="42"/>
      <c r="U14" s="42"/>
      <c r="V14" s="42"/>
      <c r="W14" s="42"/>
      <c r="X14" s="42"/>
      <c r="Y14" s="42"/>
      <c r="Z14" s="42"/>
      <c r="AA14" s="42"/>
      <c r="GH14" s="257"/>
      <c r="GI14" s="273">
        <v>6981</v>
      </c>
      <c r="GJ14" s="273">
        <v>6981</v>
      </c>
      <c r="GK14" s="273">
        <v>6981</v>
      </c>
      <c r="GL14" s="273">
        <v>6981</v>
      </c>
      <c r="GM14" s="247"/>
      <c r="GN14" s="247"/>
      <c r="GO14" s="41" t="s">
        <v>588</v>
      </c>
      <c r="GQ14" s="268">
        <v>5.71264133904541</v>
      </c>
      <c r="GR14" s="268">
        <v>5.7329083220638122</v>
      </c>
      <c r="GS14" s="268">
        <v>5.8042748621753013</v>
      </c>
      <c r="GT14" s="268">
        <v>5.9479588828951195</v>
      </c>
      <c r="GU14" s="18">
        <v>-3.9783288709726472E-2</v>
      </c>
    </row>
    <row r="15" spans="2:203">
      <c r="B15" s="5" t="s">
        <v>526</v>
      </c>
      <c r="C15" s="274"/>
      <c r="D15" s="529">
        <v>0</v>
      </c>
      <c r="E15" s="529">
        <v>0</v>
      </c>
      <c r="F15" s="529">
        <v>0</v>
      </c>
      <c r="G15" s="529">
        <v>0</v>
      </c>
      <c r="H15" s="247"/>
      <c r="I15" s="247"/>
      <c r="J15" s="5" t="s">
        <v>470</v>
      </c>
      <c r="L15" s="525">
        <f>'US OTHER'!D43</f>
        <v>5.644822519442771</v>
      </c>
      <c r="M15" s="525">
        <f>'US OTHER'!E43</f>
        <v>4.6775450582156051</v>
      </c>
      <c r="N15" s="525">
        <f>'US OTHER'!F43</f>
        <v>4.2930779917194659</v>
      </c>
      <c r="O15" s="525">
        <f>'US OTHER'!G43</f>
        <v>3.6601872793786949</v>
      </c>
      <c r="P15" s="18">
        <f>'US OTHER'!H43</f>
        <v>8.0117819415815195E-2</v>
      </c>
      <c r="S15" s="88"/>
      <c r="T15" s="42"/>
      <c r="U15" s="42"/>
      <c r="V15" s="42"/>
      <c r="W15" s="42"/>
      <c r="X15" s="42"/>
      <c r="Y15" s="42"/>
      <c r="Z15" s="42"/>
      <c r="AA15" s="42"/>
      <c r="GH15" s="274"/>
      <c r="GI15" s="273">
        <v>0</v>
      </c>
      <c r="GJ15" s="273">
        <v>0</v>
      </c>
      <c r="GK15" s="273">
        <v>0</v>
      </c>
      <c r="GL15" s="273">
        <v>0</v>
      </c>
      <c r="GM15" s="247"/>
      <c r="GN15" s="247"/>
      <c r="GO15" s="41" t="s">
        <v>470</v>
      </c>
      <c r="GQ15" s="268">
        <v>6.6417584397994434</v>
      </c>
      <c r="GR15" s="268">
        <v>6.188915596015069</v>
      </c>
      <c r="GS15" s="268">
        <v>5.5834146991484852</v>
      </c>
      <c r="GT15" s="268">
        <v>5.2633839541627951</v>
      </c>
      <c r="GU15" s="18">
        <v>4.6427635217388463E-2</v>
      </c>
    </row>
    <row r="16" spans="2:203">
      <c r="B16" s="5" t="s">
        <v>529</v>
      </c>
      <c r="C16" s="257"/>
      <c r="D16" s="529">
        <v>38433.292988797475</v>
      </c>
      <c r="E16" s="529">
        <v>43462.775931233882</v>
      </c>
      <c r="F16" s="529">
        <v>48451.138234841863</v>
      </c>
      <c r="G16" s="529">
        <v>53338.570892380587</v>
      </c>
      <c r="H16" s="247"/>
      <c r="I16" s="247"/>
      <c r="J16" s="5" t="s">
        <v>528</v>
      </c>
      <c r="L16" s="525">
        <f>'US OTHER'!D44</f>
        <v>11.589674186134612</v>
      </c>
      <c r="M16" s="525">
        <f>'US OTHER'!E44</f>
        <v>9.8176351313521053</v>
      </c>
      <c r="N16" s="525">
        <f>'US OTHER'!F44</f>
        <v>8.5897880374302709</v>
      </c>
      <c r="O16" s="525">
        <f>'US OTHER'!G44</f>
        <v>7.1736568667637073</v>
      </c>
      <c r="P16" s="18">
        <f>'US OTHER'!H44</f>
        <v>0.10233723564171293</v>
      </c>
      <c r="S16" s="88"/>
      <c r="T16" s="42"/>
      <c r="U16" s="42"/>
      <c r="V16" s="42"/>
      <c r="W16" s="42"/>
      <c r="X16" s="42"/>
      <c r="Y16" s="42"/>
      <c r="Z16" s="42"/>
      <c r="AA16" s="42"/>
      <c r="GH16" s="257"/>
      <c r="GI16" s="272">
        <v>4094.6446979492916</v>
      </c>
      <c r="GJ16" s="272">
        <v>4478.068799068511</v>
      </c>
      <c r="GK16" s="272">
        <v>4836.3388595905371</v>
      </c>
      <c r="GL16" s="272">
        <v>4836.3388595905371</v>
      </c>
      <c r="GM16" s="247"/>
      <c r="GN16" s="247"/>
      <c r="GO16" s="41" t="s">
        <v>528</v>
      </c>
      <c r="GQ16" s="268">
        <v>20.956479578778474</v>
      </c>
      <c r="GR16" s="268">
        <v>17.947755537307142</v>
      </c>
      <c r="GS16" s="268">
        <v>14.430761874455737</v>
      </c>
      <c r="GT16" s="268">
        <v>12.990189963688129</v>
      </c>
      <c r="GU16" s="18">
        <v>0.13215376917788624</v>
      </c>
    </row>
    <row r="17" spans="2:203">
      <c r="B17" s="5" t="s">
        <v>6</v>
      </c>
      <c r="C17" s="257"/>
      <c r="D17" s="529">
        <v>0</v>
      </c>
      <c r="E17" s="529">
        <v>0</v>
      </c>
      <c r="F17" s="529">
        <v>0</v>
      </c>
      <c r="G17" s="529">
        <v>0</v>
      </c>
      <c r="H17" s="247"/>
      <c r="I17" s="247"/>
      <c r="J17" s="5" t="s">
        <v>575</v>
      </c>
      <c r="L17" s="18">
        <f>'US OTHER'!D45</f>
        <v>2.0337906612049358E-2</v>
      </c>
      <c r="M17" s="18">
        <f>'US OTHER'!E45</f>
        <v>2.2697199181179739E-2</v>
      </c>
      <c r="N17" s="18">
        <f>'US OTHER'!F45</f>
        <v>2.3716257475136997E-2</v>
      </c>
      <c r="O17" s="18">
        <f>'US OTHER'!G45</f>
        <v>2.5027193590269611E-2</v>
      </c>
      <c r="P17" s="18">
        <f>'US OTHER'!H45</f>
        <v>6.714297299340366E-3</v>
      </c>
      <c r="S17" s="88"/>
      <c r="T17" s="42"/>
      <c r="U17" s="42"/>
      <c r="V17" s="42"/>
      <c r="W17" s="42"/>
      <c r="X17" s="42"/>
      <c r="Y17" s="42"/>
      <c r="Z17" s="42"/>
      <c r="AA17" s="42"/>
      <c r="GH17" s="257"/>
      <c r="GI17" s="272">
        <v>0</v>
      </c>
      <c r="GJ17" s="272">
        <v>0</v>
      </c>
      <c r="GK17" s="272">
        <v>0</v>
      </c>
      <c r="GL17" s="272">
        <v>0</v>
      </c>
      <c r="GM17" s="247"/>
      <c r="GN17" s="247"/>
      <c r="GO17" s="41" t="s">
        <v>575</v>
      </c>
      <c r="GQ17" s="251">
        <v>1.2338621146093347E-2</v>
      </c>
      <c r="GR17" s="251">
        <v>1.4176347265248707E-2</v>
      </c>
      <c r="GS17" s="251">
        <v>1.5980018529099502E-2</v>
      </c>
      <c r="GT17" s="251">
        <v>1.6745915344338228E-2</v>
      </c>
      <c r="GU17" s="18">
        <v>6.8772396344291664E-2</v>
      </c>
    </row>
    <row r="18" spans="2:203" ht="12.6" thickBot="1">
      <c r="B18" s="41" t="s">
        <v>578</v>
      </c>
      <c r="C18" s="249"/>
      <c r="D18" s="530">
        <f>D11+D12+D13-D14+D15-D16-D17</f>
        <v>205798.82028495654</v>
      </c>
      <c r="E18" s="530">
        <f>E11+E12+E13-E14+E15-E16-E17</f>
        <v>197325.56051151681</v>
      </c>
      <c r="F18" s="530">
        <f>F11+F12+F13-F14+F15-F16-F17</f>
        <v>186626.29418903182</v>
      </c>
      <c r="G18" s="530">
        <f>G11+G12+G13-G14+G15-G16-G17</f>
        <v>176303.31130242313</v>
      </c>
      <c r="H18" s="276">
        <f>IF(D18=0,"nm",IF(G18=0,"nm",(G18/D18)^(1/3)-1))</f>
        <v>-5.025752163318753E-2</v>
      </c>
      <c r="I18" s="254"/>
      <c r="J18" s="5" t="s">
        <v>36</v>
      </c>
      <c r="L18" s="18">
        <f>'US OTHER'!D46</f>
        <v>7.1702643846444009E-2</v>
      </c>
      <c r="M18" s="18">
        <f>'US OTHER'!E46</f>
        <v>0.12374018659128148</v>
      </c>
      <c r="N18" s="18">
        <f>'US OTHER'!F46</f>
        <v>0.13496323475757685</v>
      </c>
      <c r="O18" s="18">
        <f>'US OTHER'!G46</f>
        <v>0.20145357159966482</v>
      </c>
      <c r="P18" s="18">
        <f>'US OTHER'!H46</f>
        <v>0.3256153847966301</v>
      </c>
      <c r="S18" s="88"/>
      <c r="T18" s="42"/>
      <c r="U18" s="42"/>
      <c r="V18" s="42"/>
      <c r="W18" s="42"/>
      <c r="X18" s="42"/>
      <c r="Y18" s="42"/>
      <c r="Z18" s="42"/>
      <c r="AA18" s="42"/>
      <c r="GH18" s="249"/>
      <c r="GI18" s="275">
        <v>265893.96072992496</v>
      </c>
      <c r="GJ18" s="275">
        <v>252850.50911342027</v>
      </c>
      <c r="GK18" s="275">
        <v>241172.08369256146</v>
      </c>
      <c r="GL18" s="275">
        <v>241172.08369256146</v>
      </c>
      <c r="GM18" s="276">
        <v>-3.2005579345431912E-2</v>
      </c>
      <c r="GN18" s="254"/>
      <c r="GO18" s="41" t="s">
        <v>36</v>
      </c>
      <c r="GQ18" s="251">
        <v>5.4529983489231257E-2</v>
      </c>
      <c r="GR18" s="251">
        <v>0.10704024988856996</v>
      </c>
      <c r="GS18" s="251">
        <v>0.12187037086065715</v>
      </c>
      <c r="GT18" s="251">
        <v>0.13958362299267688</v>
      </c>
      <c r="GU18" s="18">
        <v>0.32049727117842752</v>
      </c>
    </row>
    <row r="19" spans="2:203" ht="12.6" thickTop="1">
      <c r="B19" s="41"/>
      <c r="C19" s="249"/>
      <c r="D19" s="229"/>
      <c r="E19" s="229"/>
      <c r="F19" s="229"/>
      <c r="G19" s="229"/>
      <c r="H19" s="276"/>
      <c r="I19" s="254"/>
      <c r="J19" s="5" t="s">
        <v>576</v>
      </c>
      <c r="L19" s="18">
        <f>'US OTHER'!D47</f>
        <v>0.1771534882727748</v>
      </c>
      <c r="M19" s="18">
        <f>'US OTHER'!E47</f>
        <v>0.21378735801670312</v>
      </c>
      <c r="N19" s="18">
        <f>'US OTHER'!F47</f>
        <v>0.23293310811702245</v>
      </c>
      <c r="O19" s="18">
        <f>'US OTHER'!G47</f>
        <v>0.27321006376748752</v>
      </c>
      <c r="P19" s="18">
        <f>'US OTHER'!H47</f>
        <v>8.0117819415815195E-2</v>
      </c>
      <c r="S19" s="88"/>
      <c r="T19" s="42"/>
      <c r="U19" s="42"/>
      <c r="V19" s="42"/>
      <c r="W19" s="42"/>
      <c r="X19" s="42"/>
      <c r="Y19" s="42"/>
      <c r="Z19" s="42"/>
      <c r="AA19" s="42"/>
      <c r="GH19" s="249"/>
      <c r="GI19" s="229"/>
      <c r="GJ19" s="229"/>
      <c r="GK19" s="229"/>
      <c r="GL19" s="229"/>
      <c r="GM19" s="276"/>
      <c r="GN19" s="254"/>
      <c r="GO19" s="41" t="s">
        <v>576</v>
      </c>
      <c r="GQ19" s="251">
        <v>0.15056253687392407</v>
      </c>
      <c r="GR19" s="251">
        <v>0.16157919501178558</v>
      </c>
      <c r="GS19" s="251">
        <v>0.17910186756368068</v>
      </c>
      <c r="GT19" s="251">
        <v>0.18999183960522259</v>
      </c>
      <c r="GU19" s="18">
        <v>4.6427635217388463E-2</v>
      </c>
    </row>
    <row r="20" spans="2:203">
      <c r="H20" s="277"/>
      <c r="I20" s="17"/>
      <c r="J20" s="5" t="s">
        <v>599</v>
      </c>
      <c r="L20" s="548">
        <f>'US OTHER'!D48</f>
        <v>0.122956651873093</v>
      </c>
      <c r="M20" s="548">
        <f>'US OTHER'!E48</f>
        <v>0.11420338650121682</v>
      </c>
      <c r="N20" s="548">
        <f>'US OTHER'!F48</f>
        <v>0.10996826737203369</v>
      </c>
      <c r="O20" s="548">
        <f>'US OTHER'!G48</f>
        <v>9.9553686168744285E-2</v>
      </c>
      <c r="P20" s="18" t="str">
        <f>'US OTHER'!H48</f>
        <v>nm</v>
      </c>
      <c r="S20" s="88"/>
      <c r="T20" s="42"/>
      <c r="U20" s="42"/>
      <c r="V20" s="42"/>
      <c r="W20" s="42"/>
      <c r="X20" s="42"/>
      <c r="Y20" s="42"/>
      <c r="Z20" s="42"/>
      <c r="AA20" s="42"/>
      <c r="GM20" s="277" t="s">
        <v>460</v>
      </c>
      <c r="GN20" s="17"/>
      <c r="GO20" s="41" t="s">
        <v>599</v>
      </c>
      <c r="GQ20" s="278">
        <v>8.6507538909175646E-2</v>
      </c>
      <c r="GR20" s="278">
        <v>9.2427506818955535E-2</v>
      </c>
      <c r="GS20" s="278">
        <v>9.3644740053382206E-2</v>
      </c>
      <c r="GT20" s="278">
        <v>9.2168398441187391E-2</v>
      </c>
      <c r="GU20" s="18" t="s">
        <v>602</v>
      </c>
    </row>
    <row r="21" spans="2:203" ht="12.6" thickBot="1">
      <c r="B21" s="306" t="s">
        <v>919</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c r="GH21" s="265"/>
      <c r="GI21" s="265" t="s">
        <v>842</v>
      </c>
      <c r="GJ21" s="265" t="s">
        <v>865</v>
      </c>
      <c r="GK21" s="265" t="s">
        <v>976</v>
      </c>
      <c r="GL21" s="265" t="s">
        <v>1000</v>
      </c>
      <c r="GM21" s="265" t="s">
        <v>1001</v>
      </c>
      <c r="GN21" s="49"/>
      <c r="GO21" s="41"/>
      <c r="GQ21" s="251"/>
      <c r="GR21" s="251"/>
      <c r="GS21" s="251"/>
      <c r="GT21" s="251"/>
      <c r="GU21" s="18"/>
    </row>
    <row r="22" spans="2:203" ht="12.6" thickTop="1">
      <c r="B22" s="5"/>
      <c r="C22" s="257"/>
      <c r="D22" s="17"/>
      <c r="E22" s="17"/>
      <c r="F22" s="17"/>
      <c r="G22" s="17"/>
      <c r="H22" s="17"/>
      <c r="I22" s="17"/>
      <c r="P22" s="277"/>
      <c r="S22" s="88"/>
      <c r="T22" s="42"/>
      <c r="U22" s="42"/>
      <c r="V22" s="42"/>
      <c r="W22" s="42"/>
      <c r="X22" s="42"/>
      <c r="Y22" s="42"/>
      <c r="Z22" s="42"/>
      <c r="AA22" s="42"/>
      <c r="GH22" s="257"/>
      <c r="GI22" s="17"/>
      <c r="GJ22" s="17"/>
      <c r="GK22" s="17"/>
      <c r="GL22" s="17"/>
      <c r="GM22" s="17"/>
      <c r="GN22" s="17"/>
      <c r="GU22" s="277" t="s">
        <v>460</v>
      </c>
    </row>
    <row r="23" spans="2:203" ht="12.6" thickBot="1">
      <c r="B23" s="5" t="s">
        <v>579</v>
      </c>
      <c r="C23" s="544">
        <v>121430</v>
      </c>
      <c r="D23" s="529">
        <v>121572.19900000001</v>
      </c>
      <c r="E23" s="529">
        <v>124997.5843598652</v>
      </c>
      <c r="F23" s="529">
        <v>125289.24294127277</v>
      </c>
      <c r="G23" s="529">
        <v>127321.16739858154</v>
      </c>
      <c r="H23" s="279">
        <f>IF(D23=0,"nm",IF(G23=0,"nm",(G23/D23)^(1/3)-1))</f>
        <v>1.5520698985130199E-2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c r="GH23" s="247">
        <v>102972</v>
      </c>
      <c r="GI23" s="272">
        <v>109418.0905710356</v>
      </c>
      <c r="GJ23" s="272">
        <v>113134.90074303649</v>
      </c>
      <c r="GK23" s="272">
        <v>121174.73651722138</v>
      </c>
      <c r="GL23" s="272">
        <v>121174.73651722138</v>
      </c>
      <c r="GM23" s="279">
        <v>3.4604391383373123E-2</v>
      </c>
      <c r="GN23" s="247"/>
      <c r="GO23" s="306" t="s">
        <v>9</v>
      </c>
      <c r="GP23" s="306"/>
      <c r="GQ23" s="265" t="s">
        <v>842</v>
      </c>
      <c r="GR23" s="265" t="s">
        <v>865</v>
      </c>
      <c r="GS23" s="265" t="s">
        <v>976</v>
      </c>
      <c r="GT23" s="265" t="s">
        <v>1000</v>
      </c>
      <c r="GU23" s="265" t="s">
        <v>1001</v>
      </c>
    </row>
    <row r="24" spans="2:203" ht="12.6" thickTop="1">
      <c r="B24" s="5" t="s">
        <v>478</v>
      </c>
      <c r="C24" s="545">
        <v>36463</v>
      </c>
      <c r="D24" s="529">
        <v>37633.298999999999</v>
      </c>
      <c r="E24" s="529">
        <v>39098.9671749767</v>
      </c>
      <c r="F24" s="529">
        <v>40304.968632008378</v>
      </c>
      <c r="G24" s="529">
        <v>42151.010727584398</v>
      </c>
      <c r="H24" s="279">
        <f>IF(D24=0,"nm",IF(G24=0,"nm",(G24/D24)^(1/3)-1))</f>
        <v>3.851291219562536E-2</v>
      </c>
      <c r="I24" s="249"/>
      <c r="J24" s="17"/>
      <c r="K24" s="17"/>
      <c r="L24" s="17"/>
      <c r="M24" s="17"/>
      <c r="N24" s="17"/>
      <c r="O24" s="248"/>
      <c r="S24" s="88"/>
      <c r="T24" s="42"/>
      <c r="U24" s="42"/>
      <c r="V24" s="42"/>
      <c r="W24" s="42" t="s">
        <v>50</v>
      </c>
      <c r="X24" s="42" t="s">
        <v>259</v>
      </c>
      <c r="Y24" s="42"/>
      <c r="Z24" s="42"/>
      <c r="AA24" s="42"/>
      <c r="GH24" s="249">
        <v>30883</v>
      </c>
      <c r="GI24" s="272">
        <v>32466.132994046478</v>
      </c>
      <c r="GJ24" s="272">
        <v>34064.008309916928</v>
      </c>
      <c r="GK24" s="272">
        <v>36929.748832970632</v>
      </c>
      <c r="GL24" s="272">
        <v>36929.748832970632</v>
      </c>
      <c r="GM24" s="279">
        <v>4.3875240756632961E-2</v>
      </c>
      <c r="GN24" s="249"/>
      <c r="GO24" s="17"/>
      <c r="GP24" s="17"/>
      <c r="GQ24" s="17"/>
      <c r="GR24" s="17"/>
      <c r="GS24" s="17"/>
      <c r="GT24" s="248"/>
    </row>
    <row r="25" spans="2:203">
      <c r="B25" s="5" t="s">
        <v>179</v>
      </c>
      <c r="C25" s="544">
        <v>25838</v>
      </c>
      <c r="D25" s="529">
        <v>25392.999</v>
      </c>
      <c r="E25" s="529">
        <v>26978.609368558231</v>
      </c>
      <c r="F25" s="529">
        <v>29213.554554907161</v>
      </c>
      <c r="G25" s="529">
        <v>32418.176427589224</v>
      </c>
      <c r="H25" s="279">
        <f>IF(D25=0,"nm",IF(G25=0,"nm",(G25/D25)^(1/3)-1))</f>
        <v>8.4821278786819221E-2</v>
      </c>
      <c r="I25" s="248"/>
      <c r="J25" s="247" t="s">
        <v>10</v>
      </c>
      <c r="K25" s="247"/>
      <c r="L25" s="321">
        <v>0</v>
      </c>
      <c r="M25" s="321">
        <v>0</v>
      </c>
      <c r="N25" s="321">
        <v>0</v>
      </c>
      <c r="O25" s="321">
        <v>0</v>
      </c>
      <c r="P25" s="279" t="str">
        <f>IF(L25=0,"nm",IF(O25=0,"nm",(O25/L25)^(1/3)-1))</f>
        <v>nm</v>
      </c>
      <c r="S25" s="88"/>
      <c r="T25" s="42"/>
      <c r="U25" s="42"/>
      <c r="V25" s="147" t="s">
        <v>268</v>
      </c>
      <c r="W25" s="288">
        <f>D37/L9</f>
        <v>0.82111570123231226</v>
      </c>
      <c r="X25" s="288">
        <v>1</v>
      </c>
      <c r="Y25" s="42"/>
      <c r="Z25" s="42"/>
      <c r="AA25" s="42"/>
      <c r="GH25" s="247">
        <v>41912.926041626764</v>
      </c>
      <c r="GI25" s="272">
        <v>43516.251133383463</v>
      </c>
      <c r="GJ25" s="272">
        <v>45197.346059370386</v>
      </c>
      <c r="GK25" s="272">
        <v>48131.385235806287</v>
      </c>
      <c r="GL25" s="272">
        <v>48131.385235806287</v>
      </c>
      <c r="GM25" s="279">
        <v>3.4170857857915404E-2</v>
      </c>
      <c r="GN25" s="248"/>
      <c r="GO25" s="247" t="s">
        <v>10</v>
      </c>
      <c r="GP25" s="247"/>
      <c r="GQ25" s="280">
        <v>0</v>
      </c>
      <c r="GR25" s="280">
        <v>0</v>
      </c>
      <c r="GS25" s="280">
        <v>0</v>
      </c>
      <c r="GT25" s="280">
        <v>0</v>
      </c>
      <c r="GU25" s="279" t="s">
        <v>602</v>
      </c>
    </row>
    <row r="26" spans="2:203">
      <c r="B26" s="5" t="s">
        <v>581</v>
      </c>
      <c r="C26" s="544">
        <v>16794.7</v>
      </c>
      <c r="D26" s="529">
        <v>16505.449349999999</v>
      </c>
      <c r="E26" s="529">
        <v>17536.096089562852</v>
      </c>
      <c r="F26" s="529">
        <v>18988.810460689656</v>
      </c>
      <c r="G26" s="529">
        <v>21071.814677932995</v>
      </c>
      <c r="H26" s="279">
        <f>IF(D26=0,"nm",IF(G26=0,"nm",(G26/D26)^(1/3)-1))</f>
        <v>8.4821278786819221E-2</v>
      </c>
      <c r="I26" s="249"/>
      <c r="J26" s="249" t="s">
        <v>11</v>
      </c>
      <c r="K26" s="249"/>
      <c r="L26" s="281">
        <f>D11+L25</f>
        <v>165136.99810175403</v>
      </c>
      <c r="M26" s="281">
        <f>E11+M25</f>
        <v>155466.02012280663</v>
      </c>
      <c r="N26" s="281">
        <f>F11+N25</f>
        <v>146860.7126070536</v>
      </c>
      <c r="O26" s="281">
        <f>G11+O25</f>
        <v>136994.66134860116</v>
      </c>
      <c r="P26" s="279">
        <f>IF(L26=0,"nm",IF(O26=0,"nm",(O26/L26)^(1/3)-1))</f>
        <v>-6.0378196492654856E-2</v>
      </c>
      <c r="Q26" s="5"/>
      <c r="S26" s="88"/>
      <c r="T26" s="42"/>
      <c r="U26" s="42"/>
      <c r="V26" s="147" t="s">
        <v>180</v>
      </c>
      <c r="W26" s="288">
        <f t="shared" ref="W26:W33" si="4">D38/L10</f>
        <v>0.85191057577951512</v>
      </c>
      <c r="X26" s="288">
        <v>1</v>
      </c>
      <c r="Y26" s="42"/>
      <c r="Z26" s="42"/>
      <c r="AA26" s="42"/>
      <c r="GH26" s="247">
        <v>27243.401927057399</v>
      </c>
      <c r="GI26" s="272">
        <v>28285.56323669925</v>
      </c>
      <c r="GJ26" s="272">
        <v>29378.274938590752</v>
      </c>
      <c r="GK26" s="272">
        <v>31285.400403274089</v>
      </c>
      <c r="GL26" s="272">
        <v>31285.400403274089</v>
      </c>
      <c r="GM26" s="279">
        <v>3.4170857857915404E-2</v>
      </c>
      <c r="GN26" s="249"/>
      <c r="GO26" s="249" t="s">
        <v>11</v>
      </c>
      <c r="GP26" s="249"/>
      <c r="GQ26" s="281">
        <v>169585.32526005141</v>
      </c>
      <c r="GR26" s="281">
        <v>167732.73555495648</v>
      </c>
      <c r="GS26" s="281">
        <v>168635.89223806286</v>
      </c>
      <c r="GT26" s="281">
        <v>168635.89223806286</v>
      </c>
      <c r="GU26" s="279">
        <v>-1.8696790150106724E-3</v>
      </c>
    </row>
    <row r="27" spans="2:203">
      <c r="B27" s="5" t="s">
        <v>582</v>
      </c>
      <c r="C27" s="545">
        <v>168373.47700000001</v>
      </c>
      <c r="D27" s="529">
        <v>171723.65279434423</v>
      </c>
      <c r="E27" s="529">
        <v>176073.19656883652</v>
      </c>
      <c r="F27" s="529">
        <v>176903.15176925107</v>
      </c>
      <c r="G27" s="529">
        <v>175392.25624179863</v>
      </c>
      <c r="H27" s="279">
        <f>IF(ISERROR((G27/D27)^(1/3)-1),"na",(G27/D27)^(1/3)-1)</f>
        <v>7.0710207377844281E-3</v>
      </c>
      <c r="I27" s="249"/>
      <c r="J27" s="248"/>
      <c r="K27" s="248"/>
      <c r="L27" s="248"/>
      <c r="M27" s="248"/>
      <c r="N27" s="248"/>
      <c r="O27" s="248"/>
      <c r="Q27" s="41"/>
      <c r="S27" s="88"/>
      <c r="T27" s="42"/>
      <c r="U27" s="42"/>
      <c r="V27" s="147" t="s">
        <v>181</v>
      </c>
      <c r="W27" s="288">
        <f t="shared" si="4"/>
        <v>0.6734462354516989</v>
      </c>
      <c r="X27" s="288">
        <v>1</v>
      </c>
      <c r="Y27" s="42"/>
      <c r="Z27" s="42"/>
      <c r="AA27" s="42"/>
      <c r="GH27" s="249">
        <v>131312</v>
      </c>
      <c r="GI27" s="272">
        <v>178868.47546388605</v>
      </c>
      <c r="GJ27" s="272">
        <v>159502.12582498969</v>
      </c>
      <c r="GK27" s="272">
        <v>143103.06369519717</v>
      </c>
      <c r="GL27" s="272">
        <v>143103.06369519717</v>
      </c>
      <c r="GM27" s="279">
        <v>-7.1664321120367913E-2</v>
      </c>
      <c r="GN27" s="249"/>
      <c r="GO27" s="248"/>
      <c r="GP27" s="248"/>
      <c r="GQ27" s="248"/>
      <c r="GR27" s="248"/>
      <c r="GS27" s="248"/>
      <c r="GT27" s="248"/>
    </row>
    <row r="28" spans="2:203" ht="12.6" thickBot="1">
      <c r="B28" s="5" t="s">
        <v>587</v>
      </c>
      <c r="C28" s="544">
        <v>55485</v>
      </c>
      <c r="D28" s="529">
        <v>53869.506531775216</v>
      </c>
      <c r="E28" s="529">
        <v>52226.415122200706</v>
      </c>
      <c r="F28" s="529">
        <v>49685.36013048813</v>
      </c>
      <c r="G28" s="529">
        <v>46085.365938134208</v>
      </c>
      <c r="H28" s="279">
        <f>IF(ISERROR((G28/D28)^(1/3)-1),"na",(G28/D28)^(1/3)-1)</f>
        <v>-5.0693004929310614E-2</v>
      </c>
      <c r="I28" s="248"/>
      <c r="J28" s="306" t="s">
        <v>1352</v>
      </c>
      <c r="K28" s="306"/>
      <c r="L28" s="306"/>
      <c r="M28" s="306"/>
      <c r="N28" s="266"/>
      <c r="O28" s="266"/>
      <c r="P28" s="266"/>
      <c r="Q28" s="5"/>
      <c r="S28" s="88"/>
      <c r="T28" s="42"/>
      <c r="U28" s="42"/>
      <c r="V28" s="147" t="s">
        <v>461</v>
      </c>
      <c r="W28" s="288">
        <f t="shared" si="4"/>
        <v>0.64071431147210012</v>
      </c>
      <c r="X28" s="288">
        <v>1</v>
      </c>
      <c r="Y28" s="42"/>
      <c r="Z28" s="42"/>
      <c r="AA28" s="42"/>
      <c r="GH28" s="247">
        <v>38470</v>
      </c>
      <c r="GI28" s="272">
        <v>40018.188800011725</v>
      </c>
      <c r="GJ28" s="272">
        <v>39280.483895546502</v>
      </c>
      <c r="GK28" s="272">
        <v>38716.160007117942</v>
      </c>
      <c r="GL28" s="272">
        <v>38716.160007117942</v>
      </c>
      <c r="GM28" s="279">
        <v>-1.0965102374813962E-2</v>
      </c>
      <c r="GN28" s="248"/>
      <c r="GO28" s="306" t="s">
        <v>1002</v>
      </c>
      <c r="GP28" s="306"/>
      <c r="GQ28" s="306"/>
      <c r="GR28" s="306"/>
      <c r="GS28" s="266"/>
      <c r="GT28" s="266"/>
      <c r="GU28" s="266"/>
    </row>
    <row r="29" spans="2:203" ht="12.6" thickTop="1">
      <c r="B29" s="5" t="s">
        <v>583</v>
      </c>
      <c r="C29" s="544">
        <v>38396.321000000004</v>
      </c>
      <c r="D29" s="529">
        <v>40191.200115530584</v>
      </c>
      <c r="E29" s="529">
        <v>41402.254512666354</v>
      </c>
      <c r="F29" s="529">
        <v>41548.303769530568</v>
      </c>
      <c r="G29" s="529">
        <v>42260.043199847947</v>
      </c>
      <c r="H29" s="279">
        <f>IF(D29=0,"nm",IF(G29=0,"nm",(G29/D29)^(1/3)-1))</f>
        <v>1.687207424806525E-2</v>
      </c>
      <c r="I29" s="252"/>
      <c r="J29" s="249"/>
      <c r="K29" s="249"/>
      <c r="L29" s="249"/>
      <c r="M29" s="249"/>
      <c r="N29" s="249"/>
      <c r="O29" s="251"/>
      <c r="Q29" s="5"/>
      <c r="S29" s="88"/>
      <c r="T29" s="42"/>
      <c r="U29" s="42"/>
      <c r="V29" s="147" t="s">
        <v>525</v>
      </c>
      <c r="W29" s="288">
        <f t="shared" si="4"/>
        <v>0.99569020442601941</v>
      </c>
      <c r="X29" s="288">
        <v>1</v>
      </c>
      <c r="Y29" s="42"/>
      <c r="Z29" s="42"/>
      <c r="AA29" s="42"/>
      <c r="GH29" s="247">
        <v>32481.926041626764</v>
      </c>
      <c r="GI29" s="272">
        <v>34957.174803338981</v>
      </c>
      <c r="GJ29" s="272">
        <v>35718.770958301939</v>
      </c>
      <c r="GK29" s="272">
        <v>37496.560036280804</v>
      </c>
      <c r="GL29" s="272">
        <v>37496.560036280804</v>
      </c>
      <c r="GM29" s="279">
        <v>2.3650493806531614E-2</v>
      </c>
      <c r="GN29" s="252"/>
      <c r="GO29" s="249"/>
      <c r="GP29" s="249"/>
      <c r="GQ29" s="249"/>
      <c r="GR29" s="249"/>
      <c r="GS29" s="249"/>
      <c r="GT29" s="251"/>
    </row>
    <row r="30" spans="2:203">
      <c r="B30" s="5" t="s">
        <v>584</v>
      </c>
      <c r="C30" s="545">
        <v>16146.321000000004</v>
      </c>
      <c r="D30" s="529">
        <v>15875.900115530585</v>
      </c>
      <c r="E30" s="529">
        <v>17370.079810607142</v>
      </c>
      <c r="F30" s="529">
        <v>18627.113078642564</v>
      </c>
      <c r="G30" s="529">
        <v>20907.12651744514</v>
      </c>
      <c r="H30" s="279">
        <f>IF(D30=0,"nm",IF(G30=0,"nm",(G30/D30)^(1/3)-1))</f>
        <v>9.6104590280857494E-2</v>
      </c>
      <c r="I30" s="254"/>
      <c r="J30" s="248"/>
      <c r="K30" s="248"/>
      <c r="L30" s="248"/>
      <c r="M30" s="248"/>
      <c r="N30" s="248"/>
      <c r="O30" s="5"/>
      <c r="Q30" s="5"/>
      <c r="S30" s="88"/>
      <c r="T30" s="42"/>
      <c r="U30" s="42"/>
      <c r="V30" s="147" t="s">
        <v>588</v>
      </c>
      <c r="W30" s="288">
        <f t="shared" si="4"/>
        <v>1.0813581114743041</v>
      </c>
      <c r="X30" s="288">
        <v>1</v>
      </c>
      <c r="Y30" s="42"/>
      <c r="Z30" s="42"/>
      <c r="AA30" s="42"/>
      <c r="GH30" s="249">
        <v>9874</v>
      </c>
      <c r="GI30" s="272">
        <v>11698.014604012491</v>
      </c>
      <c r="GJ30" s="272">
        <v>12533.949528782377</v>
      </c>
      <c r="GK30" s="272">
        <v>14314.940699934117</v>
      </c>
      <c r="GL30" s="272">
        <v>14314.940699934117</v>
      </c>
      <c r="GM30" s="279">
        <v>6.9610845860523574E-2</v>
      </c>
      <c r="GN30" s="254"/>
      <c r="GO30" s="248"/>
      <c r="GP30" s="248"/>
      <c r="GQ30" s="248"/>
      <c r="GR30" s="248"/>
      <c r="GS30" s="248"/>
      <c r="GT30" s="5"/>
    </row>
    <row r="31" spans="2:203">
      <c r="B31" s="5" t="s">
        <v>585</v>
      </c>
      <c r="C31" s="545">
        <v>4741</v>
      </c>
      <c r="D31" s="529">
        <v>4790.2929887974715</v>
      </c>
      <c r="E31" s="529">
        <v>5029.4829424364088</v>
      </c>
      <c r="F31" s="529">
        <v>4988.3623036079834</v>
      </c>
      <c r="G31" s="529">
        <v>4887.4326575387213</v>
      </c>
      <c r="H31" s="279">
        <f>IF(D31=0,"nm",IF(G31=0,"nm",(G31/D31)^(1/3)-1))</f>
        <v>6.714297299340366E-3</v>
      </c>
      <c r="I31" s="254"/>
      <c r="J31" s="252"/>
      <c r="K31" s="252"/>
      <c r="L31" s="252"/>
      <c r="M31" s="252"/>
      <c r="N31" s="252"/>
      <c r="O31" s="5"/>
      <c r="Q31" s="5"/>
      <c r="S31" s="88"/>
      <c r="T31" s="42"/>
      <c r="U31" s="42"/>
      <c r="V31" s="147" t="s">
        <v>470</v>
      </c>
      <c r="W31" s="288">
        <f t="shared" si="4"/>
        <v>0.72788558621109256</v>
      </c>
      <c r="X31" s="288">
        <v>1</v>
      </c>
      <c r="Y31" s="42"/>
      <c r="Z31" s="42"/>
      <c r="AA31" s="42"/>
      <c r="GH31" s="249">
        <v>2883</v>
      </c>
      <c r="GI31" s="272">
        <v>3358.6446979492916</v>
      </c>
      <c r="GJ31" s="272">
        <v>3742.0687990685115</v>
      </c>
      <c r="GK31" s="272">
        <v>4100.3388595905371</v>
      </c>
      <c r="GL31" s="272">
        <v>4100.3388595905371</v>
      </c>
      <c r="GM31" s="279">
        <v>6.8772396344291664E-2</v>
      </c>
      <c r="GN31" s="254"/>
      <c r="GO31" s="252"/>
      <c r="GP31" s="252"/>
      <c r="GQ31" s="252"/>
      <c r="GR31" s="252"/>
      <c r="GS31" s="252"/>
      <c r="GT31" s="5"/>
    </row>
    <row r="32" spans="2:203">
      <c r="B32" s="5" t="s">
        <v>601</v>
      </c>
      <c r="C32" s="546">
        <v>13328</v>
      </c>
      <c r="D32" s="529">
        <v>6400</v>
      </c>
      <c r="E32" s="529">
        <v>12135.464411155886</v>
      </c>
      <c r="F32" s="529">
        <v>13731.528585987779</v>
      </c>
      <c r="G32" s="529">
        <v>20077.182688402438</v>
      </c>
      <c r="H32" s="279">
        <f>IF(D32=0,"nm",IF(G32=0,"nm",(G32/D32)^(1/3)-1))</f>
        <v>0.46388715124320856</v>
      </c>
      <c r="I32" s="254"/>
      <c r="J32" s="254"/>
      <c r="K32" s="254"/>
      <c r="L32" s="254"/>
      <c r="M32" s="254"/>
      <c r="N32" s="254"/>
      <c r="O32" s="251"/>
      <c r="Q32" s="5"/>
      <c r="S32" s="88"/>
      <c r="T32" s="42"/>
      <c r="U32" s="42"/>
      <c r="V32" s="147" t="s">
        <v>528</v>
      </c>
      <c r="W32" s="288">
        <f t="shared" si="4"/>
        <v>0.89750070979920249</v>
      </c>
      <c r="X32" s="288">
        <v>1</v>
      </c>
      <c r="Y32" s="42"/>
      <c r="Z32" s="42"/>
      <c r="AA32" s="42"/>
      <c r="GH32" s="270">
        <v>5435</v>
      </c>
      <c r="GI32" s="272">
        <v>5551</v>
      </c>
      <c r="GJ32" s="272">
        <v>17076.075097319681</v>
      </c>
      <c r="GK32" s="272">
        <v>14100.962719592939</v>
      </c>
      <c r="GL32" s="272">
        <v>14100.962719592939</v>
      </c>
      <c r="GM32" s="279">
        <v>0.36445488029316753</v>
      </c>
      <c r="GN32" s="254"/>
      <c r="GO32" s="254"/>
      <c r="GP32" s="254"/>
      <c r="GQ32" s="254"/>
      <c r="GR32" s="254"/>
      <c r="GS32" s="254"/>
      <c r="GT32" s="251"/>
    </row>
    <row r="33" spans="2:202">
      <c r="B33" s="5" t="s">
        <v>5</v>
      </c>
      <c r="C33" s="545">
        <v>-4214.8</v>
      </c>
      <c r="D33" s="529">
        <v>-3883.3662179794619</v>
      </c>
      <c r="E33" s="529">
        <v>-3869.4491849663391</v>
      </c>
      <c r="F33" s="529">
        <v>-4024.5193195921315</v>
      </c>
      <c r="G33" s="529">
        <v>-4152.6551319872024</v>
      </c>
      <c r="H33" s="279">
        <f>IF(ISERROR((G33/D33)^(1/3)-1),"na",(G33/D33)^(1/3)-1)</f>
        <v>2.2600119322341072E-2</v>
      </c>
      <c r="I33" s="5"/>
      <c r="J33" s="254"/>
      <c r="K33" s="254"/>
      <c r="L33" s="254"/>
      <c r="M33" s="254"/>
      <c r="N33" s="254"/>
      <c r="O33" s="251"/>
      <c r="Q33" s="5"/>
      <c r="S33" s="88"/>
      <c r="T33" s="42"/>
      <c r="U33" s="42"/>
      <c r="V33" s="147" t="s">
        <v>575</v>
      </c>
      <c r="W33" s="288">
        <f t="shared" si="4"/>
        <v>1.4263018403038987</v>
      </c>
      <c r="X33" s="288">
        <v>1</v>
      </c>
      <c r="Y33" s="42"/>
      <c r="Z33" s="42"/>
      <c r="AA33" s="42"/>
      <c r="GH33" s="249">
        <v>-2833</v>
      </c>
      <c r="GI33" s="272">
        <v>-3400.7633169955443</v>
      </c>
      <c r="GJ33" s="272">
        <v>-3432.7809934557358</v>
      </c>
      <c r="GK33" s="272">
        <v>-3507.6607421146809</v>
      </c>
      <c r="GL33" s="272">
        <v>-3507.6607421146809</v>
      </c>
      <c r="GM33" s="279">
        <v>1.036988125815852E-2</v>
      </c>
      <c r="GN33" s="5"/>
      <c r="GO33" s="254"/>
      <c r="GP33" s="254"/>
      <c r="GQ33" s="254"/>
      <c r="GR33" s="254"/>
      <c r="GS33" s="254"/>
      <c r="GT33" s="251"/>
    </row>
    <row r="34" spans="2:202">
      <c r="D34" s="5"/>
      <c r="E34" s="5"/>
      <c r="F34" s="5"/>
      <c r="G34" s="5"/>
      <c r="I34" s="49"/>
      <c r="J34" s="254"/>
      <c r="K34" s="254"/>
      <c r="L34" s="254"/>
      <c r="M34" s="254"/>
      <c r="N34" s="254"/>
      <c r="O34" s="251"/>
      <c r="Q34" s="5"/>
      <c r="S34" s="88"/>
      <c r="T34" s="42"/>
      <c r="U34" s="42"/>
      <c r="V34" s="147" t="s">
        <v>576</v>
      </c>
      <c r="W34" s="288">
        <f>D47/L19</f>
        <v>1.3738422891506359</v>
      </c>
      <c r="X34" s="288">
        <v>1</v>
      </c>
      <c r="Y34" s="288"/>
      <c r="Z34" s="288"/>
      <c r="AA34" s="42"/>
    </row>
    <row r="35" spans="2:202" ht="12.6" thickBot="1">
      <c r="B35" s="306" t="s">
        <v>637</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02"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02">
      <c r="B37" s="5" t="s">
        <v>268</v>
      </c>
      <c r="C37" s="247"/>
      <c r="D37" s="525">
        <f>D$18/D23</f>
        <v>1.6928115307427853</v>
      </c>
      <c r="E37" s="525">
        <f t="shared" ref="E37:G41" si="6">E$18/E23</f>
        <v>1.5786349914044819</v>
      </c>
      <c r="F37" s="525">
        <f t="shared" si="6"/>
        <v>1.4895635874861959</v>
      </c>
      <c r="G37" s="525">
        <f t="shared" si="6"/>
        <v>1.3847132798468771</v>
      </c>
      <c r="H37" s="17">
        <f>H23</f>
        <v>1.5520698985130199E-2</v>
      </c>
      <c r="I37" s="5"/>
      <c r="J37" s="259"/>
      <c r="K37" s="259"/>
      <c r="L37" s="259"/>
      <c r="M37" s="259"/>
      <c r="N37" s="259"/>
      <c r="O37" s="18"/>
      <c r="Q37" s="5"/>
      <c r="R37" s="5"/>
      <c r="S37" s="42"/>
      <c r="T37" s="42"/>
      <c r="U37" s="42"/>
      <c r="V37" s="42"/>
      <c r="W37" s="42"/>
      <c r="X37" s="42"/>
      <c r="Y37" s="42"/>
      <c r="Z37" s="42"/>
      <c r="AA37" s="42"/>
    </row>
    <row r="38" spans="2:202">
      <c r="B38" s="5" t="s">
        <v>180</v>
      </c>
      <c r="C38" s="247"/>
      <c r="D38" s="525">
        <f>D$18/D24</f>
        <v>5.4685298858587057</v>
      </c>
      <c r="E38" s="525">
        <f t="shared" si="6"/>
        <v>5.0468228387834495</v>
      </c>
      <c r="F38" s="525">
        <f>F$18/F24</f>
        <v>4.630354532538246</v>
      </c>
      <c r="G38" s="525">
        <f t="shared" si="6"/>
        <v>4.1826591642569317</v>
      </c>
      <c r="H38" s="17">
        <f t="shared" ref="H38:H45" si="7">H24</f>
        <v>3.851291219562536E-2</v>
      </c>
      <c r="I38" s="259"/>
      <c r="J38" s="17"/>
      <c r="K38" s="17"/>
      <c r="L38" s="17"/>
      <c r="M38" s="17"/>
      <c r="N38" s="17"/>
      <c r="O38" s="5"/>
      <c r="Q38" s="5"/>
      <c r="R38" s="5"/>
      <c r="S38" s="42"/>
      <c r="T38" s="42"/>
      <c r="U38" s="42"/>
      <c r="V38" s="42"/>
      <c r="W38" s="42"/>
      <c r="X38" s="42"/>
      <c r="Y38" s="42"/>
      <c r="Z38" s="42"/>
      <c r="AA38" s="42"/>
    </row>
    <row r="39" spans="2:202">
      <c r="B39" s="5" t="s">
        <v>181</v>
      </c>
      <c r="C39" s="247"/>
      <c r="D39" s="525">
        <f>D$18/D25</f>
        <v>8.1045496156226591</v>
      </c>
      <c r="E39" s="525">
        <f t="shared" si="6"/>
        <v>7.3141486952061578</v>
      </c>
      <c r="F39" s="525">
        <f t="shared" si="6"/>
        <v>6.38834599323632</v>
      </c>
      <c r="G39" s="525">
        <f t="shared" si="6"/>
        <v>5.438409273150282</v>
      </c>
      <c r="H39" s="17">
        <f t="shared" si="7"/>
        <v>8.4821278786819221E-2</v>
      </c>
      <c r="I39" s="17"/>
      <c r="J39" s="5"/>
      <c r="K39" s="5"/>
      <c r="L39" s="5"/>
      <c r="M39" s="5"/>
      <c r="N39" s="5"/>
      <c r="O39" s="5"/>
      <c r="Q39" s="5"/>
      <c r="R39" s="5"/>
      <c r="S39" s="42"/>
      <c r="T39" s="42"/>
      <c r="U39" s="42"/>
      <c r="V39" s="42"/>
      <c r="W39" s="42"/>
      <c r="X39" s="42"/>
      <c r="Y39" s="42"/>
      <c r="Z39" s="42"/>
      <c r="AA39" s="42"/>
    </row>
    <row r="40" spans="2:202">
      <c r="B40" s="5" t="s">
        <v>461</v>
      </c>
      <c r="C40" s="247"/>
      <c r="D40" s="525">
        <f>D$18/D26</f>
        <v>12.468537870188706</v>
      </c>
      <c r="E40" s="525">
        <f>E$18/E26</f>
        <v>11.252536454163318</v>
      </c>
      <c r="F40" s="525">
        <f t="shared" si="6"/>
        <v>9.8282246049789546</v>
      </c>
      <c r="G40" s="525">
        <f>G$18/G26</f>
        <v>8.3667834971542803</v>
      </c>
      <c r="H40" s="17">
        <f t="shared" si="7"/>
        <v>8.4821278786819221E-2</v>
      </c>
      <c r="I40" s="5"/>
      <c r="J40" s="259"/>
      <c r="K40" s="259"/>
      <c r="L40" s="259"/>
      <c r="M40" s="259"/>
      <c r="N40" s="259"/>
      <c r="O40" s="18"/>
      <c r="Q40" s="5"/>
      <c r="R40" s="5"/>
      <c r="S40" s="42"/>
      <c r="T40" s="42"/>
      <c r="U40" s="42"/>
      <c r="V40" s="42"/>
      <c r="W40" s="288"/>
      <c r="X40" s="288"/>
      <c r="Y40" s="42"/>
      <c r="Z40" s="42"/>
      <c r="AA40" s="42"/>
    </row>
    <row r="41" spans="2:202">
      <c r="B41" s="5" t="s">
        <v>525</v>
      </c>
      <c r="C41" s="247"/>
      <c r="D41" s="525">
        <f>D$18/D27</f>
        <v>1.1984302507903244</v>
      </c>
      <c r="E41" s="525">
        <f t="shared" si="6"/>
        <v>1.1207018692045589</v>
      </c>
      <c r="F41" s="525">
        <f t="shared" si="6"/>
        <v>1.0549630819040658</v>
      </c>
      <c r="G41" s="525">
        <f t="shared" si="6"/>
        <v>1.0051943858876442</v>
      </c>
      <c r="H41" s="17">
        <f t="shared" si="7"/>
        <v>7.0710207377844281E-3</v>
      </c>
      <c r="I41" s="247"/>
      <c r="J41" s="17"/>
      <c r="K41" s="17"/>
      <c r="L41" s="17"/>
      <c r="M41" s="17"/>
      <c r="N41" s="17"/>
      <c r="O41" s="5"/>
      <c r="Q41" s="5"/>
      <c r="R41" s="5"/>
      <c r="S41" s="42"/>
      <c r="T41" s="42"/>
      <c r="U41" s="42"/>
      <c r="V41" s="42"/>
      <c r="W41" s="288"/>
      <c r="X41" s="288"/>
      <c r="Y41" s="288"/>
      <c r="Z41" s="288"/>
      <c r="AA41" s="42"/>
    </row>
    <row r="42" spans="2:202">
      <c r="B42" s="5" t="s">
        <v>588</v>
      </c>
      <c r="C42" s="247"/>
      <c r="D42" s="525">
        <f>D18/D28</f>
        <v>3.8203212454445823</v>
      </c>
      <c r="E42" s="525">
        <f>E18/E28</f>
        <v>3.7782712072005977</v>
      </c>
      <c r="F42" s="525">
        <f>F18/F28</f>
        <v>3.7561626543291058</v>
      </c>
      <c r="G42" s="525">
        <f>G18/G28</f>
        <v>3.8255812385019516</v>
      </c>
      <c r="H42" s="17">
        <f t="shared" si="7"/>
        <v>-5.0693004929310614E-2</v>
      </c>
      <c r="I42" s="248"/>
      <c r="J42" s="5"/>
      <c r="K42" s="5"/>
      <c r="L42" s="5"/>
      <c r="M42" s="5"/>
      <c r="N42" s="5"/>
      <c r="O42" s="5"/>
      <c r="Q42" s="5"/>
      <c r="R42" s="5"/>
      <c r="S42" s="42"/>
      <c r="T42" s="42"/>
      <c r="U42" s="42"/>
      <c r="V42" s="42"/>
      <c r="W42" s="288"/>
      <c r="X42" s="288"/>
      <c r="Y42" s="288"/>
      <c r="Z42" s="288"/>
      <c r="AA42" s="42"/>
    </row>
    <row r="43" spans="2:202">
      <c r="B43" s="5" t="s">
        <v>470</v>
      </c>
      <c r="C43" s="247"/>
      <c r="D43" s="525">
        <f>L26/D29</f>
        <v>4.1087849486221781</v>
      </c>
      <c r="E43" s="525">
        <f>M26/E29</f>
        <v>3.7550133912452592</v>
      </c>
      <c r="F43" s="525">
        <f>N26/F29</f>
        <v>3.5346981533035255</v>
      </c>
      <c r="G43" s="525">
        <f>O26/G29</f>
        <v>3.241706609260969</v>
      </c>
      <c r="H43" s="17">
        <f t="shared" si="7"/>
        <v>1.687207424806525E-2</v>
      </c>
      <c r="I43" s="247"/>
      <c r="J43" s="247"/>
      <c r="K43" s="247"/>
      <c r="L43" s="247"/>
      <c r="M43" s="247"/>
      <c r="N43" s="247"/>
      <c r="O43" s="18"/>
      <c r="Q43" s="5"/>
      <c r="R43" s="5"/>
      <c r="S43" s="42"/>
      <c r="T43" s="42"/>
      <c r="U43" s="42"/>
      <c r="V43" s="42"/>
      <c r="W43" s="288"/>
      <c r="X43" s="288"/>
      <c r="Y43" s="288"/>
      <c r="Z43" s="288"/>
      <c r="AA43" s="42"/>
    </row>
    <row r="44" spans="2:202">
      <c r="B44" s="5" t="s">
        <v>528</v>
      </c>
      <c r="C44" s="69"/>
      <c r="D44" s="525">
        <f>D11/D30</f>
        <v>10.401740808397308</v>
      </c>
      <c r="E44" s="525">
        <f>E11/E30</f>
        <v>8.9502191019220518</v>
      </c>
      <c r="F44" s="525">
        <f>F11/F30</f>
        <v>7.8842444337464643</v>
      </c>
      <c r="G44" s="525">
        <f>G11/G30</f>
        <v>6.5525341913577311</v>
      </c>
      <c r="H44" s="17">
        <f t="shared" si="7"/>
        <v>9.6104590280857494E-2</v>
      </c>
      <c r="I44" s="247"/>
      <c r="J44" s="248"/>
      <c r="K44" s="248"/>
      <c r="L44" s="248"/>
      <c r="M44" s="248"/>
      <c r="N44" s="248"/>
      <c r="O44" s="248"/>
      <c r="Q44" s="5"/>
      <c r="R44" s="5"/>
      <c r="S44" s="42"/>
      <c r="T44" s="42"/>
      <c r="U44" s="42"/>
      <c r="V44" s="42"/>
      <c r="W44" s="325"/>
      <c r="X44" s="325"/>
      <c r="Y44" s="288"/>
      <c r="Z44" s="288"/>
      <c r="AA44" s="42"/>
    </row>
    <row r="45" spans="2:202">
      <c r="B45" s="5" t="s">
        <v>575</v>
      </c>
      <c r="C45" s="247"/>
      <c r="D45" s="248">
        <f>D31/D11</f>
        <v>2.9007993628694832E-2</v>
      </c>
      <c r="E45" s="248">
        <f>E31/E11</f>
        <v>3.2351011098524875E-2</v>
      </c>
      <c r="F45" s="248">
        <f>F31/F11</f>
        <v>3.3966621944393288E-2</v>
      </c>
      <c r="G45" s="248">
        <f>G31/G11</f>
        <v>3.5676081165688621E-2</v>
      </c>
      <c r="H45" s="17">
        <f t="shared" si="7"/>
        <v>6.714297299340366E-3</v>
      </c>
      <c r="I45" s="248"/>
      <c r="J45" s="247"/>
      <c r="K45" s="247"/>
      <c r="L45" s="247"/>
      <c r="M45" s="247"/>
      <c r="N45" s="247"/>
      <c r="O45" s="248"/>
      <c r="Q45" s="5"/>
      <c r="R45" s="5"/>
      <c r="S45" s="42"/>
      <c r="T45" s="42"/>
      <c r="U45" s="42"/>
      <c r="V45" s="42"/>
      <c r="W45" s="42"/>
      <c r="X45" s="42"/>
      <c r="Y45" s="325"/>
      <c r="Z45" s="325"/>
      <c r="AA45" s="42"/>
    </row>
    <row r="46" spans="2:202">
      <c r="B46" s="5" t="s">
        <v>600</v>
      </c>
      <c r="C46" s="247"/>
      <c r="D46" s="248">
        <f>(D31+D32)/D11</f>
        <v>6.7763693887073345E-2</v>
      </c>
      <c r="E46" s="248">
        <f>(E31+E32)/E11</f>
        <v>0.110409640254721</v>
      </c>
      <c r="F46" s="248">
        <f>(F31+F32)/F11</f>
        <v>0.12746697573014948</v>
      </c>
      <c r="G46" s="248">
        <f>(G31+G32)/G11</f>
        <v>0.18223057088637468</v>
      </c>
      <c r="H46" s="279">
        <f>((G31+G32)/(D31+D32))^(1/3)-1</f>
        <v>0.30665561911893535</v>
      </c>
      <c r="I46" s="247"/>
      <c r="J46" s="247"/>
      <c r="K46" s="247"/>
      <c r="L46" s="247"/>
      <c r="M46" s="247"/>
      <c r="N46" s="247"/>
      <c r="O46" s="18"/>
      <c r="Q46" s="5"/>
      <c r="R46" s="5"/>
      <c r="S46" s="42"/>
      <c r="T46" s="42"/>
      <c r="U46" s="42"/>
      <c r="V46" s="42"/>
      <c r="W46" s="42"/>
      <c r="X46" s="42"/>
      <c r="Y46" s="42"/>
      <c r="Z46" s="42"/>
      <c r="AA46" s="326"/>
    </row>
    <row r="47" spans="2:202">
      <c r="B47" s="5" t="s">
        <v>576</v>
      </c>
      <c r="C47" s="5"/>
      <c r="D47" s="248">
        <f>1/D43</f>
        <v>0.24338095385968925</v>
      </c>
      <c r="E47" s="248">
        <f>1/E43</f>
        <v>0.26631063482529266</v>
      </c>
      <c r="F47" s="248">
        <f>1/F43</f>
        <v>0.28290958849354675</v>
      </c>
      <c r="G47" s="248">
        <f>1/G43</f>
        <v>0.30847948952048315</v>
      </c>
      <c r="H47" s="17">
        <f>H29</f>
        <v>1.687207424806525E-2</v>
      </c>
      <c r="I47" s="17"/>
      <c r="J47" s="248"/>
      <c r="K47" s="248"/>
      <c r="L47" s="248"/>
      <c r="M47" s="248"/>
      <c r="N47" s="248"/>
      <c r="O47" s="248"/>
      <c r="Q47" s="5"/>
      <c r="R47" s="5"/>
      <c r="S47" s="42"/>
      <c r="T47" s="42"/>
      <c r="U47" s="42"/>
      <c r="V47" s="42"/>
      <c r="W47" s="42"/>
      <c r="X47" s="42"/>
      <c r="Y47" s="42"/>
      <c r="Z47" s="42"/>
      <c r="AA47" s="326"/>
    </row>
    <row r="48" spans="2:202">
      <c r="B48" s="5" t="s">
        <v>613</v>
      </c>
      <c r="C48" s="5"/>
      <c r="D48" s="305">
        <f>D31/D29</f>
        <v>0.11918760761130938</v>
      </c>
      <c r="E48" s="305">
        <f>E31/E29</f>
        <v>0.12147847989528492</v>
      </c>
      <c r="F48" s="305">
        <f>F31/F29</f>
        <v>0.12006175586080597</v>
      </c>
      <c r="G48" s="305">
        <f>G31/G29</f>
        <v>0.11565138810734359</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9">
    <pageSetUpPr fitToPage="1"/>
  </sheetPr>
  <dimension ref="A1:AA165"/>
  <sheetViews>
    <sheetView showGridLines="0" zoomScale="80" zoomScaleNormal="80" zoomScaleSheetLayoutView="80" workbookViewId="0"/>
  </sheetViews>
  <sheetFormatPr defaultColWidth="8.886718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8.886718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843</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854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900</v>
      </c>
      <c r="C9" s="267">
        <f>Prices!C35</f>
        <v>35.700000000000003</v>
      </c>
      <c r="D9" s="531">
        <v>0</v>
      </c>
      <c r="E9" s="532">
        <v>0</v>
      </c>
      <c r="F9" s="532">
        <v>0</v>
      </c>
      <c r="G9" s="532">
        <v>0</v>
      </c>
      <c r="H9" s="249"/>
      <c r="I9" s="249"/>
      <c r="J9" s="5" t="s">
        <v>268</v>
      </c>
      <c r="L9" s="525">
        <f>'W.EUR TOWER'!D37</f>
        <v>10.698660130397885</v>
      </c>
      <c r="M9" s="525">
        <f>'W.EUR TOWER'!E37</f>
        <v>10.519152796968434</v>
      </c>
      <c r="N9" s="525">
        <f>'W.EUR TOWER'!F37</f>
        <v>9.9401920953112164</v>
      </c>
      <c r="O9" s="525">
        <f>'W.EUR TOWER'!G37</f>
        <v>9.3728309808378025</v>
      </c>
      <c r="P9" s="286">
        <f>'W.EUR TOWER'!H37</f>
        <v>4.085109342861859E-2</v>
      </c>
      <c r="S9" s="88"/>
      <c r="T9" s="42"/>
      <c r="U9" s="42"/>
      <c r="V9" s="42"/>
      <c r="W9" s="42"/>
      <c r="X9" s="42"/>
      <c r="Y9" s="42"/>
      <c r="Z9" s="42"/>
      <c r="AA9" s="42"/>
    </row>
    <row r="10" spans="2:27">
      <c r="B10" s="5" t="s">
        <v>269</v>
      </c>
      <c r="C10" s="5"/>
      <c r="D10" s="527">
        <v>705.52437499999996</v>
      </c>
      <c r="E10" s="527">
        <v>705.52437499999996</v>
      </c>
      <c r="F10" s="527">
        <v>705.52437499999996</v>
      </c>
      <c r="G10" s="527">
        <v>705.52437499999996</v>
      </c>
      <c r="H10" s="247"/>
      <c r="I10" s="247"/>
      <c r="J10" s="5" t="s">
        <v>180</v>
      </c>
      <c r="L10" s="525">
        <f>'W.EUR TOWER'!D38</f>
        <v>21.129150097272184</v>
      </c>
      <c r="M10" s="525">
        <f>'W.EUR TOWER'!E38</f>
        <v>19.638962271825324</v>
      </c>
      <c r="N10" s="525">
        <f>'W.EUR TOWER'!F38</f>
        <v>18.198242716079569</v>
      </c>
      <c r="O10" s="525">
        <f>'W.EUR TOWER'!G38</f>
        <v>16.766414384119717</v>
      </c>
      <c r="P10" s="286">
        <f>'W.EUR TOWER'!H38</f>
        <v>7.5762361123245414E-2</v>
      </c>
      <c r="S10" s="88"/>
      <c r="T10" s="42"/>
      <c r="U10" s="42"/>
      <c r="V10" s="42"/>
      <c r="W10" s="288"/>
      <c r="X10" s="288"/>
      <c r="Y10" s="288"/>
      <c r="Z10" s="288"/>
      <c r="AA10" s="42"/>
    </row>
    <row r="11" spans="2:27">
      <c r="B11" s="41" t="s">
        <v>270</v>
      </c>
      <c r="C11" s="5"/>
      <c r="D11" s="528">
        <f>$C$9*D10</f>
        <v>25187.220187499999</v>
      </c>
      <c r="E11" s="528">
        <f>$C$9*E10</f>
        <v>25187.220187499999</v>
      </c>
      <c r="F11" s="528">
        <f>$C$9*F10</f>
        <v>25187.220187499999</v>
      </c>
      <c r="G11" s="528">
        <f>$C$9*G10</f>
        <v>25187.220187499999</v>
      </c>
      <c r="H11" s="249"/>
      <c r="I11" s="249"/>
      <c r="J11" s="5" t="s">
        <v>181</v>
      </c>
      <c r="L11" s="525">
        <f>'W.EUR TOWER'!D39</f>
        <v>62.630765465664439</v>
      </c>
      <c r="M11" s="525">
        <f>'W.EUR TOWER'!E39</f>
        <v>48.805700538126537</v>
      </c>
      <c r="N11" s="525">
        <f>'W.EUR TOWER'!F39</f>
        <v>43.665787685808837</v>
      </c>
      <c r="O11" s="525">
        <f>'W.EUR TOWER'!G39</f>
        <v>31.614170258947773</v>
      </c>
      <c r="P11" s="286">
        <f>'W.EUR TOWER'!H39</f>
        <v>0.25084753805941973</v>
      </c>
      <c r="S11" s="88"/>
      <c r="T11" s="42"/>
      <c r="U11" s="42"/>
      <c r="V11" s="42"/>
      <c r="W11" s="288"/>
      <c r="X11" s="288"/>
      <c r="Y11" s="288"/>
      <c r="Z11" s="288"/>
      <c r="AA11" s="42"/>
    </row>
    <row r="12" spans="2:27">
      <c r="B12" s="5" t="s">
        <v>24</v>
      </c>
      <c r="C12" s="249"/>
      <c r="D12" s="529">
        <v>17287.489000000001</v>
      </c>
      <c r="E12" s="529">
        <v>17293.486558413471</v>
      </c>
      <c r="F12" s="529">
        <v>17408.577785122103</v>
      </c>
      <c r="G12" s="529">
        <v>17635.312137845212</v>
      </c>
      <c r="H12" s="247"/>
      <c r="I12" s="247"/>
      <c r="J12" s="5" t="s">
        <v>461</v>
      </c>
      <c r="L12" s="525">
        <f>'W.EUR TOWER'!D40</f>
        <v>84.701699546230927</v>
      </c>
      <c r="M12" s="525">
        <f>'W.EUR TOWER'!E40</f>
        <v>65.838659639678482</v>
      </c>
      <c r="N12" s="525">
        <f>'W.EUR TOWER'!F40</f>
        <v>58.994919602209308</v>
      </c>
      <c r="O12" s="525">
        <f>'W.EUR TOWER'!G40</f>
        <v>42.525412289644201</v>
      </c>
      <c r="P12" s="286">
        <f>'W.EUR TOWER'!H40</f>
        <v>0.25309384872226159</v>
      </c>
      <c r="S12" s="88"/>
      <c r="T12" s="42"/>
      <c r="U12" s="42"/>
      <c r="V12" s="42"/>
      <c r="W12" s="288"/>
      <c r="X12" s="288"/>
      <c r="Y12" s="288"/>
      <c r="Z12" s="288"/>
      <c r="AA12" s="42"/>
    </row>
    <row r="13" spans="2:27">
      <c r="B13" s="5" t="s">
        <v>524</v>
      </c>
      <c r="C13" s="257"/>
      <c r="D13" s="529">
        <v>89.592031072631471</v>
      </c>
      <c r="E13" s="529">
        <v>477.86169087484404</v>
      </c>
      <c r="F13" s="529">
        <v>305.57766894558506</v>
      </c>
      <c r="G13" s="529">
        <v>123.30117374442887</v>
      </c>
      <c r="H13" s="247"/>
      <c r="I13" s="247"/>
      <c r="J13" s="5" t="s">
        <v>525</v>
      </c>
      <c r="L13" s="525">
        <f>'W.EUR TOWER'!D41</f>
        <v>1.4625746966527438</v>
      </c>
      <c r="M13" s="525">
        <f>'W.EUR TOWER'!E41</f>
        <v>1.4904356452380156</v>
      </c>
      <c r="N13" s="525">
        <f>'W.EUR TOWER'!F41</f>
        <v>1.478676035729914</v>
      </c>
      <c r="O13" s="525">
        <f>'W.EUR TOWER'!G41</f>
        <v>1.4661663431915106</v>
      </c>
      <c r="P13" s="286">
        <f>'W.EUR TOWER'!H41</f>
        <v>-4.8680482740720565E-3</v>
      </c>
      <c r="S13" s="88"/>
      <c r="T13" s="42"/>
      <c r="U13" s="42"/>
      <c r="V13" s="42"/>
      <c r="W13" s="42"/>
      <c r="X13" s="42"/>
      <c r="Y13" s="42"/>
      <c r="Z13" s="42"/>
      <c r="AA13" s="42"/>
    </row>
    <row r="14" spans="2:27">
      <c r="B14" s="5" t="s">
        <v>527</v>
      </c>
      <c r="C14" s="257"/>
      <c r="D14" s="529">
        <v>0</v>
      </c>
      <c r="E14" s="529">
        <v>0</v>
      </c>
      <c r="F14" s="529">
        <v>0</v>
      </c>
      <c r="G14" s="529">
        <v>0</v>
      </c>
      <c r="H14" s="247"/>
      <c r="I14" s="247"/>
      <c r="J14" s="5" t="s">
        <v>588</v>
      </c>
      <c r="L14" s="525">
        <f>'W.EUR TOWER'!D42</f>
        <v>51.445004127966492</v>
      </c>
      <c r="M14" s="525">
        <f>'W.EUR TOWER'!E42</f>
        <v>46.423515414443465</v>
      </c>
      <c r="N14" s="525">
        <f>'W.EUR TOWER'!F42</f>
        <v>42.858691796136242</v>
      </c>
      <c r="O14" s="525">
        <f>'W.EUR TOWER'!G42</f>
        <v>40.338652276825485</v>
      </c>
      <c r="P14" s="286">
        <f>'W.EUR TOWER'!H42</f>
        <v>8.0047878651871907E-2</v>
      </c>
      <c r="S14" s="88"/>
      <c r="T14" s="42"/>
      <c r="U14" s="42"/>
      <c r="V14" s="42"/>
      <c r="W14" s="42"/>
      <c r="X14" s="42"/>
      <c r="Y14" s="42"/>
      <c r="Z14" s="42"/>
      <c r="AA14" s="42"/>
    </row>
    <row r="15" spans="2:27">
      <c r="B15" s="5" t="s">
        <v>526</v>
      </c>
      <c r="C15" s="274"/>
      <c r="D15" s="529">
        <v>1241.7658536585366</v>
      </c>
      <c r="E15" s="529">
        <v>1241.7658536585366</v>
      </c>
      <c r="F15" s="529">
        <v>1241.7658536585366</v>
      </c>
      <c r="G15" s="529">
        <v>1241.7658536585366</v>
      </c>
      <c r="H15" s="249"/>
      <c r="I15" s="247"/>
      <c r="J15" s="5" t="s">
        <v>470</v>
      </c>
      <c r="L15" s="525">
        <f>'W.EUR TOWER'!D43</f>
        <v>96.112788277332498</v>
      </c>
      <c r="M15" s="525">
        <f>'W.EUR TOWER'!E43</f>
        <v>72.864803849204705</v>
      </c>
      <c r="N15" s="525">
        <f>'W.EUR TOWER'!F43</f>
        <v>60.020358252126776</v>
      </c>
      <c r="O15" s="525">
        <f>'W.EUR TOWER'!G43</f>
        <v>36.043538011795533</v>
      </c>
      <c r="P15" s="286">
        <f>'W.EUR TOWER'!H43</f>
        <v>0.38153486275944082</v>
      </c>
      <c r="S15" s="88"/>
      <c r="T15" s="42"/>
      <c r="U15" s="42"/>
      <c r="V15" s="42"/>
      <c r="W15" s="42"/>
      <c r="X15" s="42"/>
      <c r="Y15" s="42"/>
      <c r="Z15" s="42"/>
      <c r="AA15" s="42"/>
    </row>
    <row r="16" spans="2:27">
      <c r="B16" s="5" t="s">
        <v>529</v>
      </c>
      <c r="C16" s="257"/>
      <c r="D16" s="529">
        <v>0</v>
      </c>
      <c r="E16" s="529">
        <v>0</v>
      </c>
      <c r="F16" s="529">
        <v>53.16</v>
      </c>
      <c r="G16" s="529">
        <v>553.16</v>
      </c>
      <c r="H16" s="247"/>
      <c r="I16" s="247"/>
      <c r="J16" s="5" t="s">
        <v>528</v>
      </c>
      <c r="L16" s="525">
        <f>'W.EUR TOWER'!D44</f>
        <v>843.08364710449359</v>
      </c>
      <c r="M16" s="525">
        <f>'W.EUR TOWER'!E44</f>
        <v>209.68129961979699</v>
      </c>
      <c r="N16" s="525">
        <f>'W.EUR TOWER'!F44</f>
        <v>94.224868620814846</v>
      </c>
      <c r="O16" s="525">
        <f>'W.EUR TOWER'!G44</f>
        <v>66.151949232960817</v>
      </c>
      <c r="P16" s="286">
        <f>'W.EUR TOWER'!H44</f>
        <v>1.3271261945905319</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'W.EUR TOWER'!D45</f>
        <v>1.3881545486006877E-2</v>
      </c>
      <c r="M17" s="248">
        <f>'W.EUR TOWER'!E45</f>
        <v>1.4788458587614234E-2</v>
      </c>
      <c r="N17" s="248">
        <f>'W.EUR TOWER'!F45</f>
        <v>1.5844378798805132E-2</v>
      </c>
      <c r="O17" s="248">
        <f>'W.EUR TOWER'!G45</f>
        <v>2.9588970914268913E-2</v>
      </c>
      <c r="P17" s="286">
        <f>'W.EUR TOWER'!H45</f>
        <v>0.28215719811332707</v>
      </c>
      <c r="S17" s="88"/>
      <c r="T17" s="42"/>
      <c r="U17" s="42"/>
      <c r="V17" s="42"/>
      <c r="W17" s="42"/>
      <c r="X17" s="42"/>
      <c r="Y17" s="42"/>
      <c r="Z17" s="42"/>
      <c r="AA17" s="42"/>
    </row>
    <row r="18" spans="2:27" ht="12.6" thickBot="1">
      <c r="B18" s="41" t="s">
        <v>578</v>
      </c>
      <c r="C18" s="249"/>
      <c r="D18" s="530">
        <f>D11+D12+D13-D14+D15-D16-D17</f>
        <v>43806.06707223117</v>
      </c>
      <c r="E18" s="530">
        <f t="shared" ref="E18:G18" si="2">E11+E12+E13-E14+E15-E16-E17</f>
        <v>44200.334290446852</v>
      </c>
      <c r="F18" s="530">
        <f t="shared" si="2"/>
        <v>44089.981495226217</v>
      </c>
      <c r="G18" s="530">
        <f t="shared" si="2"/>
        <v>43634.439352748173</v>
      </c>
      <c r="H18" s="276">
        <f>IF(D18=0,"nm",IF(G18=0,"nm",(G18/D18)^(1/3)-1))</f>
        <v>-1.3076753982604883E-3</v>
      </c>
      <c r="I18" s="254"/>
      <c r="J18" s="5" t="s">
        <v>36</v>
      </c>
      <c r="L18" s="248">
        <f>'W.EUR TOWER'!D46</f>
        <v>1.3881545486006877E-2</v>
      </c>
      <c r="M18" s="248">
        <f>'W.EUR TOWER'!E46</f>
        <v>1.4788458587614234E-2</v>
      </c>
      <c r="N18" s="248">
        <f>'W.EUR TOWER'!F46</f>
        <v>1.5844378798805132E-2</v>
      </c>
      <c r="O18" s="248">
        <f>'W.EUR TOWER'!G46</f>
        <v>2.9588970914268913E-2</v>
      </c>
      <c r="P18" s="286">
        <f>'W.EUR TOWER'!H46</f>
        <v>0.28215719811332707</v>
      </c>
      <c r="S18" s="88"/>
      <c r="T18" s="42"/>
      <c r="U18" s="42"/>
      <c r="V18" s="42"/>
      <c r="W18" s="42"/>
      <c r="X18" s="42"/>
      <c r="Y18" s="42"/>
      <c r="Z18" s="42"/>
      <c r="AA18" s="42"/>
    </row>
    <row r="19" spans="2:27" ht="12.6" thickTop="1">
      <c r="B19" s="41"/>
      <c r="C19" s="249"/>
      <c r="D19" s="229"/>
      <c r="E19" s="229"/>
      <c r="F19" s="229"/>
      <c r="G19" s="229"/>
      <c r="H19" s="276"/>
      <c r="I19" s="254"/>
      <c r="J19" s="5" t="s">
        <v>576</v>
      </c>
      <c r="L19" s="248">
        <f>'W.EUR TOWER'!D47</f>
        <v>1.0404442716972375E-2</v>
      </c>
      <c r="M19" s="248">
        <f>'W.EUR TOWER'!E47</f>
        <v>1.3724047100566163E-2</v>
      </c>
      <c r="N19" s="248">
        <f>'W.EUR TOWER'!F47</f>
        <v>1.6661013514769646E-2</v>
      </c>
      <c r="O19" s="248">
        <f>'W.EUR TOWER'!G47</f>
        <v>2.7744224212194211E-2</v>
      </c>
      <c r="P19" s="286">
        <f>'W.EUR TOWER'!H47</f>
        <v>0.38153486275944082</v>
      </c>
      <c r="S19" s="88"/>
      <c r="T19" s="42"/>
      <c r="U19" s="42"/>
      <c r="V19" s="42"/>
      <c r="W19" s="42"/>
      <c r="X19" s="42"/>
      <c r="Y19" s="42"/>
      <c r="Z19" s="42"/>
      <c r="AA19" s="42"/>
    </row>
    <row r="20" spans="2:27">
      <c r="H20" s="277"/>
      <c r="I20" s="17"/>
      <c r="J20" s="5" t="s">
        <v>599</v>
      </c>
      <c r="L20" s="305">
        <f>'W.EUR TOWER'!D48</f>
        <v>1.3341940422587395</v>
      </c>
      <c r="M20" s="305">
        <f>'W.EUR TOWER'!E48</f>
        <v>1.077558134218598</v>
      </c>
      <c r="N20" s="305">
        <f>'W.EUR TOWER'!F48</f>
        <v>0.95098529178668623</v>
      </c>
      <c r="O20" s="305">
        <f>'W.EUR TOWER'!G48</f>
        <v>1.066491197878364</v>
      </c>
      <c r="P20" s="286" t="str">
        <f>'W.EUR TOWER'!H48</f>
        <v>nm</v>
      </c>
      <c r="S20" s="88"/>
      <c r="T20" s="42"/>
      <c r="U20" s="42"/>
      <c r="V20" s="42"/>
      <c r="W20" s="42"/>
      <c r="X20" s="42"/>
      <c r="Y20" s="42"/>
      <c r="Z20" s="42"/>
      <c r="AA20" s="42"/>
    </row>
    <row r="21" spans="2:27" ht="12.6" thickBot="1">
      <c r="B21" s="306" t="s">
        <v>923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4053.2067357809319</v>
      </c>
      <c r="D23" s="536">
        <v>4300.0605511178665</v>
      </c>
      <c r="E23" s="536">
        <v>4389.2245670022176</v>
      </c>
      <c r="F23" s="536">
        <v>4606.8620430273422</v>
      </c>
      <c r="G23" s="536">
        <v>4824.1745989963874</v>
      </c>
      <c r="H23" s="279">
        <f t="shared" ref="H23:H32" si="4">IF(D23=0,"nm",IF(G23=0,"nm",(G23/D23)^(1/3)-1))</f>
        <v>3.9081187855911192E-2</v>
      </c>
      <c r="I23" s="247"/>
      <c r="J23" s="306" t="s">
        <v>9</v>
      </c>
      <c r="K23" s="306"/>
      <c r="L23" s="265" t="str">
        <f>L$5</f>
        <v>2023E</v>
      </c>
      <c r="M23" s="265" t="str">
        <f t="shared" ref="M23:P23" si="5">M$5</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1684.6999999999998</v>
      </c>
      <c r="D24" s="536">
        <v>2015.9300884017689</v>
      </c>
      <c r="E24" s="536">
        <v>2182.8882054897285</v>
      </c>
      <c r="F24" s="536">
        <v>2336.3209324612408</v>
      </c>
      <c r="G24" s="536">
        <v>2499.5753924107412</v>
      </c>
      <c r="H24" s="279">
        <f t="shared" si="4"/>
        <v>7.4311582128955722E-2</v>
      </c>
      <c r="I24" s="249"/>
      <c r="J24" s="17"/>
      <c r="K24" s="17"/>
      <c r="L24" s="17"/>
      <c r="M24" s="17"/>
      <c r="N24" s="17"/>
      <c r="O24" s="248"/>
      <c r="S24" s="88"/>
      <c r="T24" s="42"/>
      <c r="U24" s="42"/>
      <c r="V24" s="42"/>
      <c r="W24" s="42" t="s">
        <v>843</v>
      </c>
      <c r="X24" s="42" t="s">
        <v>852</v>
      </c>
      <c r="Y24" s="42"/>
      <c r="Z24" s="42"/>
      <c r="AA24" s="42"/>
    </row>
    <row r="25" spans="2:27">
      <c r="B25" s="5" t="s">
        <v>179</v>
      </c>
      <c r="C25" s="544">
        <v>-832.41100000000006</v>
      </c>
      <c r="D25" s="536">
        <v>512.47608840176872</v>
      </c>
      <c r="E25" s="536">
        <v>701.76007585116008</v>
      </c>
      <c r="F25" s="536">
        <v>739.21589318941142</v>
      </c>
      <c r="G25" s="536">
        <v>1127.9459718543992</v>
      </c>
      <c r="H25" s="279">
        <f t="shared" si="4"/>
        <v>0.30078313351916508</v>
      </c>
      <c r="I25" s="248"/>
      <c r="J25" s="247" t="s">
        <v>10</v>
      </c>
      <c r="K25" s="247"/>
      <c r="L25" s="321">
        <v>0</v>
      </c>
      <c r="M25" s="321">
        <v>0</v>
      </c>
      <c r="N25" s="321">
        <v>0</v>
      </c>
      <c r="O25" s="321">
        <v>0</v>
      </c>
      <c r="P25" s="279" t="str">
        <f>IF(L25=0,"nm",IF(O25=0,"nm",(O25/L25)^(1/3)-1))</f>
        <v>nm</v>
      </c>
      <c r="S25" s="88"/>
      <c r="T25" s="42"/>
      <c r="U25" s="42"/>
      <c r="V25" s="147" t="s">
        <v>268</v>
      </c>
      <c r="W25" s="288">
        <f>D37/L9</f>
        <v>0.95220465742892235</v>
      </c>
      <c r="X25" s="288">
        <v>1</v>
      </c>
      <c r="Y25" s="42"/>
      <c r="Z25" s="42"/>
      <c r="AA25" s="42"/>
    </row>
    <row r="26" spans="2:27">
      <c r="B26" s="5" t="s">
        <v>581</v>
      </c>
      <c r="C26" s="544">
        <v>-636.49415131849992</v>
      </c>
      <c r="D26" s="536">
        <v>388.68334039072386</v>
      </c>
      <c r="E26" s="536">
        <v>532.82079664445666</v>
      </c>
      <c r="F26" s="536">
        <v>561.50815094128268</v>
      </c>
      <c r="G26" s="536">
        <v>857.17051472961089</v>
      </c>
      <c r="H26" s="279">
        <f t="shared" si="4"/>
        <v>0.30163863983815942</v>
      </c>
      <c r="I26" s="249"/>
      <c r="J26" s="249" t="s">
        <v>11</v>
      </c>
      <c r="K26" s="249"/>
      <c r="L26" s="281">
        <f>D11+L25</f>
        <v>25187.220187499999</v>
      </c>
      <c r="M26" s="281">
        <f>E11+M25</f>
        <v>25187.220187499999</v>
      </c>
      <c r="N26" s="281">
        <f>F11+N25</f>
        <v>25187.220187499999</v>
      </c>
      <c r="O26" s="281">
        <f>G11+O25</f>
        <v>25187.220187499999</v>
      </c>
      <c r="P26" s="279">
        <f>IF(L26=0,"nm",IF(O26=0,"nm",(O26/L26)^(1/3)-1))</f>
        <v>0</v>
      </c>
      <c r="Q26" s="5"/>
      <c r="S26" s="88"/>
      <c r="T26" s="42"/>
      <c r="U26" s="42"/>
      <c r="V26" s="147" t="s">
        <v>180</v>
      </c>
      <c r="W26" s="288">
        <f t="shared" ref="W26:W28" si="6">D38/L10</f>
        <v>1.0284348114334174</v>
      </c>
      <c r="X26" s="288">
        <v>1</v>
      </c>
      <c r="Y26" s="42"/>
      <c r="Z26" s="42"/>
      <c r="AA26" s="42"/>
    </row>
    <row r="27" spans="2:27">
      <c r="B27" s="5" t="s">
        <v>582</v>
      </c>
      <c r="C27" s="545">
        <v>31910.351999999999</v>
      </c>
      <c r="D27" s="536">
        <v>31466.128000000001</v>
      </c>
      <c r="E27" s="536">
        <v>31075.628838207645</v>
      </c>
      <c r="F27" s="536">
        <v>31084.351613563245</v>
      </c>
      <c r="G27" s="536">
        <v>30879.667299646782</v>
      </c>
      <c r="H27" s="279">
        <f t="shared" si="4"/>
        <v>-6.2516150175360163E-3</v>
      </c>
      <c r="I27" s="249"/>
      <c r="J27" s="248"/>
      <c r="K27" s="248"/>
      <c r="L27" s="248"/>
      <c r="M27" s="248"/>
      <c r="N27" s="248"/>
      <c r="O27" s="248"/>
      <c r="Q27" s="41"/>
      <c r="S27" s="88"/>
      <c r="T27" s="42"/>
      <c r="U27" s="42"/>
      <c r="V27" s="147" t="s">
        <v>181</v>
      </c>
      <c r="W27" s="288">
        <f t="shared" si="6"/>
        <v>1.3648123310358764</v>
      </c>
      <c r="X27" s="288">
        <v>1</v>
      </c>
      <c r="Y27" s="42"/>
      <c r="Z27" s="42"/>
      <c r="AA27" s="42"/>
    </row>
    <row r="28" spans="2:27">
      <c r="B28" s="5" t="s">
        <v>587</v>
      </c>
      <c r="C28" s="544">
        <v>0</v>
      </c>
      <c r="D28" s="536">
        <v>0</v>
      </c>
      <c r="E28" s="536">
        <v>0</v>
      </c>
      <c r="F28" s="536">
        <v>0</v>
      </c>
      <c r="G28" s="536">
        <v>0</v>
      </c>
      <c r="H28" s="279" t="str">
        <f t="shared" si="4"/>
        <v>nm</v>
      </c>
      <c r="I28" s="248"/>
      <c r="Q28" s="5"/>
      <c r="S28" s="88"/>
      <c r="T28" s="42"/>
      <c r="U28" s="42"/>
      <c r="V28" s="147" t="s">
        <v>461</v>
      </c>
      <c r="W28" s="288">
        <f t="shared" si="6"/>
        <v>1.3305959975781263</v>
      </c>
      <c r="X28" s="288">
        <v>1</v>
      </c>
      <c r="Y28" s="42"/>
      <c r="Z28" s="42"/>
      <c r="AA28" s="42"/>
    </row>
    <row r="29" spans="2:27" ht="12.6" thickBot="1">
      <c r="B29" s="5" t="s">
        <v>583</v>
      </c>
      <c r="C29" s="544">
        <v>-1174.1680000000003</v>
      </c>
      <c r="D29" s="536">
        <v>124.84008840176864</v>
      </c>
      <c r="E29" s="536">
        <v>201.30244158652681</v>
      </c>
      <c r="F29" s="536">
        <v>238.06877329137001</v>
      </c>
      <c r="G29" s="536">
        <v>573.26564727689083</v>
      </c>
      <c r="H29" s="279">
        <f t="shared" si="4"/>
        <v>0.66213878405304527</v>
      </c>
      <c r="I29" s="252"/>
      <c r="J29" s="306" t="s">
        <v>1353</v>
      </c>
      <c r="K29" s="306"/>
      <c r="L29" s="265" t="str">
        <f>L$5</f>
        <v>2023E</v>
      </c>
      <c r="M29" s="265" t="str">
        <f t="shared" ref="M29:P29" si="7">M$5</f>
        <v>2024E</v>
      </c>
      <c r="N29" s="265" t="str">
        <f t="shared" si="7"/>
        <v>2025E</v>
      </c>
      <c r="O29" s="265" t="str">
        <f t="shared" si="7"/>
        <v>2026E</v>
      </c>
      <c r="P29" s="265" t="str">
        <f t="shared" si="7"/>
        <v>23E-26E</v>
      </c>
      <c r="Q29" s="5"/>
      <c r="S29" s="88"/>
      <c r="T29" s="42"/>
      <c r="U29" s="42"/>
      <c r="V29" s="147" t="s">
        <v>470</v>
      </c>
      <c r="W29" s="288">
        <f>D43/L15</f>
        <v>2.0991573539842294</v>
      </c>
      <c r="X29" s="288">
        <v>1</v>
      </c>
      <c r="Y29" s="42"/>
      <c r="Z29" s="42"/>
      <c r="AA29" s="42"/>
    </row>
    <row r="30" spans="2:27" ht="12.6" thickTop="1">
      <c r="B30" s="5" t="s">
        <v>584</v>
      </c>
      <c r="C30" s="545">
        <v>-297.05800000000016</v>
      </c>
      <c r="D30" s="536">
        <v>-297.19091159823131</v>
      </c>
      <c r="E30" s="536">
        <v>-204.99672020582292</v>
      </c>
      <c r="F30" s="536">
        <v>-44.858451353032748</v>
      </c>
      <c r="G30" s="536">
        <v>83.138833360427398</v>
      </c>
      <c r="H30" s="279">
        <f t="shared" si="4"/>
        <v>-1.6540176477265538</v>
      </c>
      <c r="I30" s="254"/>
      <c r="J30" s="248"/>
      <c r="K30" s="248"/>
      <c r="L30" s="248"/>
      <c r="M30" s="248"/>
      <c r="N30" s="248"/>
      <c r="O30" s="5"/>
      <c r="Q30" s="5"/>
      <c r="S30" s="88"/>
      <c r="T30" s="42"/>
      <c r="U30" s="42"/>
      <c r="V30" s="147" t="s">
        <v>528</v>
      </c>
      <c r="W30" s="288">
        <f>D44/L16</f>
        <v>-0.10052499243718868</v>
      </c>
      <c r="X30" s="288">
        <v>1</v>
      </c>
      <c r="Y30" s="42"/>
      <c r="Z30" s="42"/>
      <c r="AA30" s="42"/>
    </row>
    <row r="31" spans="2:27">
      <c r="B31" s="5" t="s">
        <v>585</v>
      </c>
      <c r="C31" s="545">
        <v>36.636209753919999</v>
      </c>
      <c r="D31" s="536">
        <v>40.292497056249992</v>
      </c>
      <c r="E31" s="536">
        <v>44.3</v>
      </c>
      <c r="F31" s="536">
        <v>53.160000000000004</v>
      </c>
      <c r="G31" s="536">
        <v>500</v>
      </c>
      <c r="H31" s="279">
        <f t="shared" si="4"/>
        <v>1.3151649584643015</v>
      </c>
      <c r="I31" s="254"/>
      <c r="J31" s="5" t="s">
        <v>731</v>
      </c>
      <c r="K31" s="247"/>
      <c r="L31" s="322">
        <v>111917.625</v>
      </c>
      <c r="M31" s="322">
        <v>115161.92857142857</v>
      </c>
      <c r="N31" s="322">
        <v>118861.23214285716</v>
      </c>
      <c r="O31" s="322">
        <v>122343.10714285714</v>
      </c>
      <c r="Q31" s="5"/>
      <c r="S31" s="88"/>
      <c r="T31" s="42"/>
      <c r="U31" s="42"/>
      <c r="V31" s="147" t="s">
        <v>575</v>
      </c>
      <c r="W31" s="288">
        <f>D45/L17</f>
        <v>0.11524076260584673</v>
      </c>
      <c r="X31" s="288">
        <v>1</v>
      </c>
      <c r="Y31" s="42"/>
      <c r="Z31" s="42"/>
      <c r="AA31" s="42"/>
    </row>
    <row r="32" spans="2:27">
      <c r="B32" s="5" t="s">
        <v>601</v>
      </c>
      <c r="C32" s="546">
        <v>0</v>
      </c>
      <c r="D32" s="536">
        <v>0</v>
      </c>
      <c r="E32" s="536">
        <v>0</v>
      </c>
      <c r="F32" s="536">
        <v>0</v>
      </c>
      <c r="G32" s="536">
        <v>0</v>
      </c>
      <c r="H32" s="279" t="str">
        <f t="shared" si="4"/>
        <v>nm</v>
      </c>
      <c r="I32" s="254"/>
      <c r="J32" s="5" t="s">
        <v>1351</v>
      </c>
      <c r="K32" s="254"/>
      <c r="L32" s="322">
        <v>154873.67300000001</v>
      </c>
      <c r="M32" s="322">
        <v>162156.09714642854</v>
      </c>
      <c r="N32" s="322">
        <v>169868.98792751785</v>
      </c>
      <c r="O32" s="322">
        <v>177020.9377491482</v>
      </c>
      <c r="Q32" s="5"/>
      <c r="S32" s="88"/>
      <c r="T32" s="42"/>
      <c r="U32" s="42"/>
      <c r="V32" s="147" t="s">
        <v>576</v>
      </c>
      <c r="W32" s="288">
        <f>D47/L19</f>
        <v>0.47638162908654091</v>
      </c>
      <c r="X32" s="288">
        <v>1</v>
      </c>
      <c r="Y32" s="42"/>
      <c r="Z32" s="42"/>
      <c r="AA32" s="42"/>
    </row>
    <row r="33" spans="1:27">
      <c r="B33" s="5" t="s">
        <v>5</v>
      </c>
      <c r="C33" s="545">
        <v>-401.55399999999997</v>
      </c>
      <c r="D33" s="536">
        <v>-480.52500000000003</v>
      </c>
      <c r="E33" s="536">
        <v>-477.0559388333333</v>
      </c>
      <c r="F33" s="536">
        <v>-472.87728115598355</v>
      </c>
      <c r="G33" s="536">
        <v>-473.08265307155108</v>
      </c>
      <c r="H33" s="279">
        <f>IF(D33=0,"nm",IF(G33=0,"nm",(G33/D33)^(1/3)-1))</f>
        <v>-5.1895345113671665E-3</v>
      </c>
      <c r="I33" s="5"/>
      <c r="J33" s="254"/>
      <c r="K33" s="254"/>
      <c r="L33" s="254"/>
      <c r="M33" s="254"/>
      <c r="N33" s="254"/>
      <c r="O33" s="251"/>
      <c r="Q33" s="5"/>
      <c r="S33" s="88"/>
      <c r="T33" s="42"/>
      <c r="U33" s="42"/>
      <c r="V33" s="42"/>
      <c r="W33" s="288"/>
      <c r="X33" s="42"/>
      <c r="Y33" s="42"/>
      <c r="Z33" s="42"/>
      <c r="AA33" s="42"/>
    </row>
    <row r="34" spans="1:27">
      <c r="H34" s="277"/>
      <c r="I34" s="49"/>
      <c r="J34" s="254"/>
      <c r="K34" s="254"/>
      <c r="L34" s="254"/>
      <c r="M34" s="254"/>
      <c r="N34" s="254"/>
      <c r="O34" s="251"/>
      <c r="Q34" s="5"/>
      <c r="S34" s="88"/>
      <c r="T34" s="42"/>
      <c r="U34" s="42"/>
      <c r="V34" s="42"/>
      <c r="W34" s="288"/>
      <c r="X34" s="42"/>
      <c r="Y34" s="288"/>
      <c r="Z34" s="288"/>
      <c r="AA34" s="42"/>
    </row>
    <row r="35" spans="1:27" ht="12.6" thickBot="1">
      <c r="B35" s="306" t="s">
        <v>845</v>
      </c>
      <c r="C35" s="265"/>
      <c r="D35" s="265" t="str">
        <f>D5</f>
        <v>2023E</v>
      </c>
      <c r="E35" s="265" t="str">
        <f t="shared" ref="E35:H35" si="8">E5</f>
        <v>2024E</v>
      </c>
      <c r="F35" s="265" t="str">
        <f t="shared" si="8"/>
        <v>2025E</v>
      </c>
      <c r="G35" s="265" t="str">
        <f t="shared" si="8"/>
        <v>2026E</v>
      </c>
      <c r="H35" s="265" t="str">
        <f t="shared" si="8"/>
        <v>23E-26E</v>
      </c>
      <c r="I35" s="254"/>
      <c r="J35" s="306" t="s">
        <v>1352</v>
      </c>
      <c r="K35" s="306"/>
      <c r="L35" s="306"/>
      <c r="M35" s="306"/>
      <c r="N35" s="266"/>
      <c r="O35" s="266"/>
      <c r="P35" s="266"/>
      <c r="Q35" s="5"/>
      <c r="S35" s="88"/>
      <c r="T35" s="42"/>
      <c r="U35" s="42"/>
      <c r="V35" s="42"/>
      <c r="W35" s="288"/>
      <c r="X35" s="42"/>
      <c r="Y35" s="288"/>
      <c r="Z35" s="288"/>
      <c r="AA35" s="42"/>
    </row>
    <row r="36" spans="1: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1:27">
      <c r="A37" s="5"/>
      <c r="B37" s="5" t="s">
        <v>268</v>
      </c>
      <c r="C37" s="247"/>
      <c r="D37" s="525">
        <f>D$18/D23</f>
        <v>10.187314004413988</v>
      </c>
      <c r="E37" s="525">
        <f t="shared" ref="E37:G40" si="9">E$18/E23</f>
        <v>10.070192038644105</v>
      </c>
      <c r="F37" s="525">
        <f t="shared" si="9"/>
        <v>9.5705018043590098</v>
      </c>
      <c r="G37" s="525">
        <f t="shared" si="9"/>
        <v>9.0449544180730523</v>
      </c>
      <c r="H37" s="17">
        <f t="shared" ref="H37:H40" si="10">H23</f>
        <v>3.9081187855911192E-2</v>
      </c>
      <c r="I37" s="5"/>
      <c r="Q37" s="5"/>
      <c r="R37" s="5"/>
      <c r="S37" s="42"/>
      <c r="T37" s="42"/>
      <c r="U37" s="42"/>
      <c r="V37" s="42"/>
      <c r="W37" s="42"/>
      <c r="X37" s="42"/>
      <c r="Y37" s="42"/>
      <c r="Z37" s="42"/>
      <c r="AA37" s="42"/>
    </row>
    <row r="38" spans="1:27">
      <c r="A38" s="5"/>
      <c r="B38" s="5" t="s">
        <v>180</v>
      </c>
      <c r="C38" s="247"/>
      <c r="D38" s="525">
        <f>D$18/D24</f>
        <v>21.72995349603649</v>
      </c>
      <c r="E38" s="525">
        <f>E$18/E24</f>
        <v>20.248556100714538</v>
      </c>
      <c r="F38" s="525">
        <f t="shared" si="9"/>
        <v>18.871543238188089</v>
      </c>
      <c r="G38" s="525">
        <f t="shared" si="9"/>
        <v>17.456740646924231</v>
      </c>
      <c r="H38" s="17">
        <f t="shared" si="10"/>
        <v>7.4311582128955722E-2</v>
      </c>
      <c r="I38" s="259"/>
      <c r="J38" s="17"/>
      <c r="K38" s="17"/>
      <c r="L38" s="17"/>
      <c r="M38" s="17"/>
      <c r="N38" s="17"/>
      <c r="O38" s="5"/>
      <c r="Q38" s="5"/>
      <c r="R38" s="5"/>
      <c r="S38" s="42"/>
      <c r="T38" s="42"/>
      <c r="U38" s="42"/>
      <c r="V38" s="42"/>
      <c r="W38" s="42"/>
      <c r="X38" s="42"/>
      <c r="Y38" s="42"/>
      <c r="Z38" s="42"/>
      <c r="AA38" s="42"/>
    </row>
    <row r="39" spans="1:27">
      <c r="A39" s="5"/>
      <c r="B39" s="5" t="s">
        <v>181</v>
      </c>
      <c r="C39" s="247"/>
      <c r="D39" s="525">
        <f>D$18/D25</f>
        <v>85.479241009754745</v>
      </c>
      <c r="E39" s="525">
        <f t="shared" si="9"/>
        <v>62.984965676248486</v>
      </c>
      <c r="F39" s="525">
        <f t="shared" si="9"/>
        <v>59.644255354137677</v>
      </c>
      <c r="G39" s="525">
        <f t="shared" si="9"/>
        <v>38.684866510947316</v>
      </c>
      <c r="H39" s="17">
        <f t="shared" si="10"/>
        <v>0.30078313351916508</v>
      </c>
      <c r="I39" s="17"/>
      <c r="J39" s="5"/>
      <c r="K39" s="5"/>
      <c r="L39" s="5"/>
      <c r="M39" s="5"/>
      <c r="N39" s="5"/>
      <c r="O39" s="5"/>
      <c r="Q39" s="5"/>
      <c r="R39" s="5"/>
      <c r="S39" s="42"/>
      <c r="T39" s="42"/>
      <c r="U39" s="42"/>
      <c r="V39" s="42"/>
      <c r="W39" s="42"/>
      <c r="X39" s="42"/>
      <c r="Y39" s="42"/>
      <c r="Z39" s="42"/>
      <c r="AA39" s="42"/>
    </row>
    <row r="40" spans="1:27">
      <c r="A40" s="5"/>
      <c r="B40" s="5" t="s">
        <v>461</v>
      </c>
      <c r="C40" s="247"/>
      <c r="D40" s="525">
        <f>D$18/D26</f>
        <v>112.70374240427986</v>
      </c>
      <c r="E40" s="525">
        <f t="shared" si="9"/>
        <v>82.955347405369906</v>
      </c>
      <c r="F40" s="525">
        <f t="shared" si="9"/>
        <v>78.520643772162686</v>
      </c>
      <c r="G40" s="525">
        <f t="shared" si="9"/>
        <v>50.905203343948884</v>
      </c>
      <c r="H40" s="17">
        <f t="shared" si="10"/>
        <v>0.30163863983815942</v>
      </c>
      <c r="I40" s="5"/>
      <c r="J40" s="259"/>
      <c r="K40" s="259"/>
      <c r="L40" s="259"/>
      <c r="M40" s="259"/>
      <c r="N40" s="259"/>
      <c r="O40" s="18"/>
      <c r="Q40" s="5"/>
      <c r="R40" s="5"/>
      <c r="S40" s="42"/>
      <c r="T40" s="42"/>
      <c r="U40" s="42"/>
      <c r="V40" s="42"/>
      <c r="W40" s="288"/>
      <c r="X40" s="288"/>
      <c r="Y40" s="42"/>
      <c r="Z40" s="42"/>
      <c r="AA40" s="42"/>
    </row>
    <row r="41" spans="1:27">
      <c r="A41" s="5"/>
      <c r="B41" s="5" t="s">
        <v>863</v>
      </c>
      <c r="D41" s="525">
        <f>D18/D27</f>
        <v>1.3921657940319561</v>
      </c>
      <c r="E41" s="525">
        <f>E18/E27</f>
        <v>1.4223472200859315</v>
      </c>
      <c r="F41" s="525">
        <f>F18/F27</f>
        <v>1.4183979786146845</v>
      </c>
      <c r="G41" s="525">
        <f>G18/G27</f>
        <v>1.4130475865990721</v>
      </c>
      <c r="H41" s="17">
        <f>H27</f>
        <v>-6.2516150175360163E-3</v>
      </c>
      <c r="I41" s="247"/>
      <c r="J41" s="17"/>
      <c r="K41" s="17"/>
      <c r="L41" s="17"/>
      <c r="M41" s="17"/>
      <c r="N41" s="17"/>
      <c r="O41" s="5"/>
      <c r="Q41" s="5"/>
      <c r="R41" s="5"/>
      <c r="S41" s="42"/>
      <c r="T41" s="42"/>
      <c r="U41" s="42"/>
      <c r="V41" s="42"/>
      <c r="W41" s="288"/>
      <c r="X41" s="288"/>
      <c r="Y41" s="288"/>
      <c r="Z41" s="288"/>
      <c r="AA41" s="42"/>
    </row>
    <row r="42" spans="1:27">
      <c r="A42" s="5"/>
      <c r="B42" s="5" t="s">
        <v>588</v>
      </c>
      <c r="D42" s="525" t="str">
        <f>IFERROR(D18/D28,"na")</f>
        <v>na</v>
      </c>
      <c r="E42" s="525" t="str">
        <f>IFERROR(E18/E28,"na")</f>
        <v>na</v>
      </c>
      <c r="F42" s="525" t="str">
        <f>IFERROR(F18/F28,"na")</f>
        <v>na</v>
      </c>
      <c r="G42" s="525" t="str">
        <f>IFERROR(G18/G28,"na")</f>
        <v>na</v>
      </c>
      <c r="H42" s="17" t="str">
        <f>H28</f>
        <v>nm</v>
      </c>
      <c r="I42" s="248"/>
      <c r="J42" s="5"/>
      <c r="K42" s="5"/>
      <c r="L42" s="5"/>
      <c r="M42" s="5"/>
      <c r="N42" s="5"/>
      <c r="O42" s="5"/>
      <c r="Q42" s="5"/>
      <c r="R42" s="5"/>
      <c r="S42" s="42"/>
      <c r="T42" s="42"/>
      <c r="U42" s="42"/>
      <c r="V42" s="42"/>
      <c r="W42" s="288"/>
      <c r="X42" s="288"/>
      <c r="Y42" s="288"/>
      <c r="Z42" s="288"/>
      <c r="AA42" s="42"/>
    </row>
    <row r="43" spans="1:27">
      <c r="A43" s="5"/>
      <c r="B43" s="5" t="s">
        <v>470</v>
      </c>
      <c r="C43" s="247"/>
      <c r="D43" s="525">
        <f>L26/D29</f>
        <v>201.75586632429176</v>
      </c>
      <c r="E43" s="525">
        <f>M26/E29</f>
        <v>125.12128511205192</v>
      </c>
      <c r="F43" s="525">
        <f>N26/F29</f>
        <v>105.79808447483202</v>
      </c>
      <c r="G43" s="525">
        <f>O26/G29</f>
        <v>43.93638500256133</v>
      </c>
      <c r="H43" s="17">
        <f>H29</f>
        <v>0.66213878405304527</v>
      </c>
      <c r="I43" s="247"/>
      <c r="J43" s="247"/>
      <c r="K43" s="247"/>
      <c r="L43" s="247"/>
      <c r="M43" s="247"/>
      <c r="N43" s="247"/>
      <c r="O43" s="18"/>
      <c r="Q43" s="5"/>
      <c r="R43" s="5"/>
      <c r="S43" s="42"/>
      <c r="T43" s="42"/>
      <c r="U43" s="42"/>
      <c r="V43" s="42"/>
      <c r="W43" s="288"/>
      <c r="X43" s="288"/>
      <c r="Y43" s="288"/>
      <c r="Z43" s="288"/>
      <c r="AA43" s="42"/>
    </row>
    <row r="44" spans="1:27">
      <c r="A44" s="5"/>
      <c r="B44" s="5" t="s">
        <v>528</v>
      </c>
      <c r="C44" s="69"/>
      <c r="D44" s="525">
        <f>D11/D30</f>
        <v>-84.750977249096664</v>
      </c>
      <c r="E44" s="525">
        <f>E11/E30</f>
        <v>-122.86645445942386</v>
      </c>
      <c r="F44" s="525">
        <f>F11/F30</f>
        <v>-561.48216061402582</v>
      </c>
      <c r="G44" s="525">
        <f>G11/G30</f>
        <v>302.95373617172584</v>
      </c>
      <c r="H44" s="17">
        <f>H30</f>
        <v>-1.6540176477265538</v>
      </c>
      <c r="I44" s="247"/>
      <c r="J44" s="248"/>
      <c r="K44" s="248"/>
      <c r="L44" s="248"/>
      <c r="M44" s="248"/>
      <c r="N44" s="248"/>
      <c r="O44" s="248"/>
      <c r="Q44" s="5"/>
      <c r="R44" s="5"/>
      <c r="S44" s="42"/>
      <c r="T44" s="42"/>
      <c r="U44" s="42"/>
      <c r="V44" s="42"/>
      <c r="W44" s="325"/>
      <c r="X44" s="325"/>
      <c r="Y44" s="288"/>
      <c r="Z44" s="288"/>
      <c r="AA44" s="42"/>
    </row>
    <row r="45" spans="1:27">
      <c r="A45" s="5"/>
      <c r="B45" s="5" t="s">
        <v>575</v>
      </c>
      <c r="C45" s="247"/>
      <c r="D45" s="248">
        <f>D31/D11</f>
        <v>1.5997198879551819E-3</v>
      </c>
      <c r="E45" s="248">
        <f>E31/E11</f>
        <v>1.7588284721465751E-3</v>
      </c>
      <c r="F45" s="248">
        <f>F31/F11</f>
        <v>2.1105941665758906E-3</v>
      </c>
      <c r="G45" s="248">
        <f>G31/G11</f>
        <v>1.9851337157410557E-2</v>
      </c>
      <c r="H45" s="17">
        <f>H31</f>
        <v>1.3151649584643015</v>
      </c>
      <c r="I45" s="248"/>
      <c r="J45" s="247"/>
      <c r="K45" s="247"/>
      <c r="L45" s="247"/>
      <c r="M45" s="247"/>
      <c r="N45" s="247"/>
      <c r="O45" s="248"/>
      <c r="Q45" s="5"/>
      <c r="R45" s="5"/>
      <c r="S45" s="42"/>
      <c r="T45" s="42"/>
      <c r="U45" s="42"/>
      <c r="V45" s="42"/>
      <c r="W45" s="42"/>
      <c r="X45" s="42"/>
      <c r="Y45" s="325"/>
      <c r="Z45" s="325"/>
      <c r="AA45" s="42"/>
    </row>
    <row r="46" spans="1:27">
      <c r="A46" s="5"/>
      <c r="B46" s="5" t="s">
        <v>600</v>
      </c>
      <c r="C46" s="247"/>
      <c r="D46" s="248">
        <f>(D31+D32)/D11</f>
        <v>1.5997198879551819E-3</v>
      </c>
      <c r="E46" s="248">
        <f>(E31+E32)/E11</f>
        <v>1.7588284721465751E-3</v>
      </c>
      <c r="F46" s="248">
        <f>(F31+F32)/F11</f>
        <v>2.1105941665758906E-3</v>
      </c>
      <c r="G46" s="248">
        <f>(G31+G32)/G11</f>
        <v>1.9851337157410557E-2</v>
      </c>
      <c r="H46" s="279">
        <f>((G31+G32)/(D31+D32))^(1/3)-1</f>
        <v>1.3151649584643015</v>
      </c>
      <c r="I46" s="247"/>
      <c r="J46" s="247"/>
      <c r="K46" s="247"/>
      <c r="L46" s="247"/>
      <c r="M46" s="247"/>
      <c r="N46" s="247"/>
      <c r="O46" s="18"/>
      <c r="Q46" s="5"/>
      <c r="R46" s="5"/>
      <c r="S46" s="42"/>
      <c r="T46" s="42"/>
      <c r="U46" s="42"/>
      <c r="V46" s="42"/>
      <c r="W46" s="42"/>
      <c r="X46" s="42"/>
      <c r="Y46" s="42"/>
      <c r="Z46" s="42"/>
      <c r="AA46" s="326"/>
    </row>
    <row r="47" spans="1:27">
      <c r="A47" s="5"/>
      <c r="B47" s="5" t="s">
        <v>576</v>
      </c>
      <c r="C47" s="5"/>
      <c r="D47" s="248">
        <f>1/D43</f>
        <v>4.9564853712488963E-3</v>
      </c>
      <c r="E47" s="248">
        <f>1/E43</f>
        <v>7.9922452770881756E-3</v>
      </c>
      <c r="F47" s="248">
        <f>1/F43</f>
        <v>9.4519669705162464E-3</v>
      </c>
      <c r="G47" s="248">
        <f>1/G43</f>
        <v>2.2760179289709512E-2</v>
      </c>
      <c r="H47" s="17">
        <f>H29</f>
        <v>0.66213878405304527</v>
      </c>
      <c r="I47" s="17"/>
      <c r="J47" s="248"/>
      <c r="K47" s="248"/>
      <c r="L47" s="248"/>
      <c r="M47" s="248"/>
      <c r="N47" s="248"/>
      <c r="O47" s="248"/>
      <c r="Q47" s="5"/>
      <c r="R47" s="5"/>
      <c r="S47" s="42"/>
      <c r="T47" s="42"/>
      <c r="U47" s="42"/>
      <c r="V47" s="42"/>
      <c r="W47" s="42"/>
      <c r="X47" s="42"/>
      <c r="Y47" s="42"/>
      <c r="Z47" s="42"/>
      <c r="AA47" s="326"/>
    </row>
    <row r="48" spans="1:27">
      <c r="A48" s="5"/>
      <c r="B48" s="5" t="s">
        <v>613</v>
      </c>
      <c r="C48" s="5"/>
      <c r="D48" s="305">
        <f>D31/D29</f>
        <v>0.32275287187059665</v>
      </c>
      <c r="E48" s="305">
        <f>E31/E29</f>
        <v>0.22006687872664629</v>
      </c>
      <c r="F48" s="305">
        <f>F31/F29</f>
        <v>0.22329681992748376</v>
      </c>
      <c r="G48" s="305">
        <f>G31/G29</f>
        <v>0.87219599216364163</v>
      </c>
      <c r="H48" s="17" t="str">
        <f>H32</f>
        <v>nm</v>
      </c>
      <c r="I48" s="247"/>
      <c r="J48" s="247"/>
      <c r="K48" s="247"/>
      <c r="L48" s="247"/>
      <c r="M48" s="247"/>
      <c r="N48" s="247"/>
      <c r="O48" s="248"/>
      <c r="Q48" s="5"/>
      <c r="R48" s="5"/>
      <c r="S48" s="42"/>
      <c r="T48" s="42"/>
      <c r="U48" s="42"/>
      <c r="V48" s="42"/>
      <c r="W48" s="42"/>
      <c r="X48" s="42"/>
      <c r="Y48" s="42"/>
      <c r="Z48" s="42"/>
      <c r="AA48" s="326"/>
    </row>
    <row r="49" spans="2:27">
      <c r="I49" s="254"/>
      <c r="J49" s="17"/>
      <c r="K49" s="17"/>
      <c r="L49" s="17"/>
      <c r="M49" s="17"/>
      <c r="N49" s="17"/>
      <c r="O49" s="248"/>
      <c r="Q49" s="5"/>
      <c r="R49" s="5"/>
      <c r="S49" s="42"/>
      <c r="T49" s="42"/>
      <c r="U49" s="42"/>
      <c r="V49" s="42"/>
      <c r="W49" s="42"/>
      <c r="X49" s="42"/>
      <c r="Y49" s="42"/>
      <c r="Z49" s="42"/>
      <c r="AA49" s="326"/>
    </row>
    <row r="50" spans="2:27">
      <c r="I50" s="17"/>
      <c r="J50" s="249"/>
      <c r="K50" s="249"/>
      <c r="L50" s="249"/>
      <c r="M50" s="249"/>
      <c r="N50" s="249"/>
      <c r="O50" s="250"/>
      <c r="Q50" s="5"/>
      <c r="R50" s="5"/>
      <c r="S50" s="42"/>
      <c r="T50" s="42"/>
      <c r="U50" s="42"/>
      <c r="V50" s="42"/>
      <c r="W50" s="288"/>
      <c r="X50" s="288"/>
      <c r="Y50" s="42"/>
      <c r="Z50" s="42"/>
      <c r="AA50" s="326"/>
    </row>
    <row r="51" spans="2:27">
      <c r="B51" s="301"/>
      <c r="C51" s="301"/>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Q55" s="5"/>
      <c r="R55" s="5"/>
      <c r="S55" s="5"/>
    </row>
    <row r="56" spans="2:27">
      <c r="B56" s="5"/>
      <c r="C56" s="248"/>
      <c r="D56" s="248"/>
      <c r="E56" s="248"/>
      <c r="F56" s="5"/>
      <c r="G56" s="5"/>
      <c r="H56" s="259"/>
      <c r="I56" s="248"/>
      <c r="Q56" s="5"/>
      <c r="R56" s="5"/>
      <c r="S56" s="5"/>
    </row>
    <row r="57" spans="2:27">
      <c r="B57" s="41"/>
      <c r="C57" s="249"/>
      <c r="D57" s="249"/>
      <c r="E57" s="249"/>
      <c r="F57" s="249"/>
      <c r="G57" s="249"/>
      <c r="H57" s="249"/>
      <c r="I57" s="5"/>
      <c r="Q57" s="5"/>
      <c r="R57" s="5"/>
      <c r="S57" s="5"/>
    </row>
    <row r="58" spans="2:27">
      <c r="B58" s="5"/>
      <c r="C58" s="5"/>
      <c r="D58" s="248"/>
      <c r="E58" s="248"/>
      <c r="F58" s="248"/>
      <c r="G58" s="248"/>
      <c r="H58" s="248"/>
      <c r="I58" s="17"/>
      <c r="Q58" s="5"/>
      <c r="R58" s="5"/>
      <c r="S58" s="5"/>
    </row>
    <row r="59" spans="2:27">
      <c r="B59" s="5"/>
      <c r="C59" s="5"/>
      <c r="D59" s="5"/>
      <c r="E59" s="5"/>
      <c r="F59" s="5"/>
      <c r="G59" s="5"/>
      <c r="H59" s="5"/>
      <c r="I59" s="5"/>
      <c r="J59" s="5"/>
      <c r="K59" s="5"/>
      <c r="L59" s="5"/>
      <c r="M59" s="5"/>
      <c r="N59" s="5"/>
      <c r="O59" s="5"/>
      <c r="P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1">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886</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887</v>
      </c>
      <c r="C9" s="287">
        <f>Prices!C60</f>
        <v>8.81</v>
      </c>
      <c r="D9" s="532"/>
      <c r="E9" s="532"/>
      <c r="F9" s="532"/>
      <c r="G9" s="532"/>
      <c r="H9" s="249"/>
      <c r="I9" s="249"/>
      <c r="J9" s="5" t="s">
        <v>268</v>
      </c>
      <c r="L9" s="525">
        <f>'AGG ASIA INCUMB'!D37</f>
        <v>1.2719441813172812</v>
      </c>
      <c r="M9" s="525">
        <f>'AGG ASIA INCUMB'!E37</f>
        <v>1.2095974060822232</v>
      </c>
      <c r="N9" s="525">
        <f>'AGG ASIA INCUMB'!F37</f>
        <v>1.0996822317000925</v>
      </c>
      <c r="O9" s="525">
        <f>'AGG ASIA INCUMB'!G37</f>
        <v>0.99635076165065495</v>
      </c>
      <c r="P9" s="286">
        <f>'AGG ASIA CELLULAR'!H37</f>
        <v>4.8440860425680521E-2</v>
      </c>
      <c r="S9" s="88"/>
      <c r="T9" s="42"/>
      <c r="U9" s="42"/>
      <c r="V9" s="42"/>
      <c r="W9" s="42"/>
      <c r="X9" s="42"/>
      <c r="Y9" s="42"/>
      <c r="Z9" s="42"/>
      <c r="AA9" s="42"/>
    </row>
    <row r="10" spans="2:27">
      <c r="B10" s="5" t="s">
        <v>269</v>
      </c>
      <c r="C10" s="5"/>
      <c r="D10" s="527">
        <v>446.04504900000006</v>
      </c>
      <c r="E10" s="527">
        <v>448.24697500000008</v>
      </c>
      <c r="F10" s="527">
        <v>450.44890100000009</v>
      </c>
      <c r="G10" s="527">
        <v>452.65082700000011</v>
      </c>
      <c r="H10" s="247"/>
      <c r="I10" s="247"/>
      <c r="J10" s="5" t="s">
        <v>180</v>
      </c>
      <c r="L10" s="525">
        <f>'AGG ASIA INCUMB'!D38</f>
        <v>4.6234760036627636</v>
      </c>
      <c r="M10" s="525">
        <f>'AGG ASIA INCUMB'!E38</f>
        <v>4.4228353660546906</v>
      </c>
      <c r="N10" s="525">
        <f>'AGG ASIA INCUMB'!F38</f>
        <v>3.9347110260162674</v>
      </c>
      <c r="O10" s="525">
        <f>'AGG ASIA INCUMB'!G38</f>
        <v>3.5504425976257274</v>
      </c>
      <c r="P10" s="286">
        <f>'AGG ASIA CELLULAR'!H38</f>
        <v>5.7134314823267696E-2</v>
      </c>
      <c r="S10" s="88"/>
      <c r="T10" s="42"/>
      <c r="U10" s="42"/>
      <c r="V10" s="42"/>
      <c r="W10" s="288"/>
      <c r="X10" s="288"/>
      <c r="Y10" s="288"/>
      <c r="Z10" s="288"/>
      <c r="AA10" s="42"/>
    </row>
    <row r="11" spans="2:27">
      <c r="B11" s="41" t="s">
        <v>880</v>
      </c>
      <c r="C11" s="5"/>
      <c r="D11" s="528">
        <f>D10*C9</f>
        <v>3929.6568816900008</v>
      </c>
      <c r="E11" s="528">
        <f>E10*$C$9</f>
        <v>3949.055849750001</v>
      </c>
      <c r="F11" s="528">
        <f t="shared" ref="F11:G11" si="2">F10*$C$9</f>
        <v>3968.4548178100013</v>
      </c>
      <c r="G11" s="528">
        <f t="shared" si="2"/>
        <v>3987.853785870001</v>
      </c>
      <c r="H11" s="249"/>
      <c r="I11" s="249"/>
      <c r="J11" s="5" t="s">
        <v>181</v>
      </c>
      <c r="L11" s="525">
        <f>'AGG ASIA INCUMB'!D39</f>
        <v>11.794671519746432</v>
      </c>
      <c r="M11" s="525">
        <f>'AGG ASIA INCUMB'!E39</f>
        <v>10.669369371390847</v>
      </c>
      <c r="N11" s="525">
        <f>'AGG ASIA INCUMB'!F39</f>
        <v>8.6767991012662229</v>
      </c>
      <c r="O11" s="525">
        <f>'AGG ASIA INCUMB'!G39</f>
        <v>7.5891310442771198</v>
      </c>
      <c r="P11" s="286">
        <f>'AGG ASIA CELLULAR'!H39</f>
        <v>0.11168057272527809</v>
      </c>
      <c r="S11" s="88"/>
      <c r="T11" s="42"/>
      <c r="U11" s="42"/>
      <c r="V11" s="42"/>
      <c r="W11" s="288"/>
      <c r="X11" s="288"/>
      <c r="Y11" s="288"/>
      <c r="Z11" s="288"/>
      <c r="AA11" s="42"/>
    </row>
    <row r="12" spans="2:27">
      <c r="B12" s="5" t="s">
        <v>24</v>
      </c>
      <c r="C12" s="249"/>
      <c r="D12" s="529">
        <v>2548.8504173325477</v>
      </c>
      <c r="E12" s="529">
        <v>2433.6391203368676</v>
      </c>
      <c r="F12" s="529">
        <v>2370.373192016536</v>
      </c>
      <c r="G12" s="529">
        <v>2067.9797469698233</v>
      </c>
      <c r="H12" s="247"/>
      <c r="I12" s="247"/>
      <c r="J12" s="5" t="s">
        <v>461</v>
      </c>
      <c r="L12" s="525">
        <f>'AGG ASIA INCUMB'!D40</f>
        <v>15.854102984572272</v>
      </c>
      <c r="M12" s="525">
        <f>'AGG ASIA INCUMB'!E40</f>
        <v>14.308248533194654</v>
      </c>
      <c r="N12" s="525">
        <f>'AGG ASIA INCUMB'!F40</f>
        <v>11.663579867439855</v>
      </c>
      <c r="O12" s="525">
        <f>'AGG ASIA INCUMB'!G40</f>
        <v>10.196208292202796</v>
      </c>
      <c r="P12" s="286">
        <f>'AGG ASIA CELLULAR'!H40</f>
        <v>0.10463983008037903</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'AGG ASIA INCUMB'!D41</f>
        <v>1.1460518303805354</v>
      </c>
      <c r="M13" s="525">
        <f>'AGG ASIA INCUMB'!E41</f>
        <v>1.0866662606716921</v>
      </c>
      <c r="N13" s="525">
        <f>'AGG ASIA INCUMB'!F41</f>
        <v>0.99834975778923052</v>
      </c>
      <c r="O13" s="525">
        <f>'AGG ASIA INCUMB'!G41</f>
        <v>0.90898439887584492</v>
      </c>
      <c r="P13" s="286">
        <f>'AGG ASIA CELLULAR'!H41</f>
        <v>-1.8528761652592207E-2</v>
      </c>
      <c r="S13" s="88"/>
      <c r="T13" s="42"/>
      <c r="U13" s="42"/>
      <c r="V13" s="42"/>
      <c r="W13" s="42"/>
      <c r="X13" s="42"/>
      <c r="Y13" s="42"/>
      <c r="Z13" s="42"/>
      <c r="AA13" s="42"/>
    </row>
    <row r="14" spans="2:27">
      <c r="B14" s="5" t="s">
        <v>527</v>
      </c>
      <c r="C14" s="257"/>
      <c r="D14" s="529">
        <v>0</v>
      </c>
      <c r="E14" s="529">
        <v>0</v>
      </c>
      <c r="F14" s="529">
        <v>0</v>
      </c>
      <c r="G14" s="529">
        <v>0</v>
      </c>
      <c r="H14" s="247"/>
      <c r="I14" s="247"/>
      <c r="J14" s="5" t="s">
        <v>588</v>
      </c>
      <c r="L14" s="525">
        <f>'AGG ASIA INCUMB'!D42</f>
        <v>1.5276634915643974</v>
      </c>
      <c r="M14" s="525">
        <f>'AGG ASIA INCUMB'!E42</f>
        <v>1.4907282921032592</v>
      </c>
      <c r="N14" s="525">
        <f>'AGG ASIA INCUMB'!F42</f>
        <v>1.4247632256720226</v>
      </c>
      <c r="O14" s="525">
        <f>'AGG ASIA INCUMB'!G42</f>
        <v>1.3972444432688993</v>
      </c>
      <c r="P14" s="286">
        <f>'AGG ASIA CELLULAR'!H42</f>
        <v>6.4071344718414913E-3</v>
      </c>
      <c r="S14" s="88"/>
      <c r="T14" s="42"/>
      <c r="U14" s="42"/>
      <c r="V14" s="42"/>
      <c r="W14" s="42"/>
      <c r="X14" s="42"/>
      <c r="Y14" s="42"/>
      <c r="Z14" s="42"/>
      <c r="AA14" s="42"/>
    </row>
    <row r="15" spans="2:27">
      <c r="B15" s="5" t="s">
        <v>526</v>
      </c>
      <c r="C15" s="274"/>
      <c r="D15" s="529">
        <v>0</v>
      </c>
      <c r="E15" s="529">
        <v>0</v>
      </c>
      <c r="F15" s="529">
        <v>0</v>
      </c>
      <c r="G15" s="529">
        <v>0</v>
      </c>
      <c r="H15" s="247"/>
      <c r="I15" s="247"/>
      <c r="J15" s="5" t="s">
        <v>470</v>
      </c>
      <c r="L15" s="525">
        <f>'AGG ASIA INCUMB'!D43</f>
        <v>15.273312397129398</v>
      </c>
      <c r="M15" s="525">
        <f>'AGG ASIA INCUMB'!E43</f>
        <v>13.757505713732883</v>
      </c>
      <c r="N15" s="525">
        <f>'AGG ASIA INCUMB'!F43</f>
        <v>11.624732006664775</v>
      </c>
      <c r="O15" s="525">
        <f>'AGG ASIA INCUMB'!G43</f>
        <v>10.50556297379473</v>
      </c>
      <c r="P15" s="286">
        <f>'AGG ASIA CELLULAR'!H43</f>
        <v>0.18726558349580835</v>
      </c>
      <c r="S15" s="88"/>
      <c r="T15" s="42"/>
      <c r="U15" s="42"/>
      <c r="V15" s="42"/>
      <c r="W15" s="42"/>
      <c r="X15" s="42"/>
      <c r="Y15" s="42"/>
      <c r="Z15" s="42"/>
      <c r="AA15" s="42"/>
    </row>
    <row r="16" spans="2:27">
      <c r="B16" s="5" t="s">
        <v>529</v>
      </c>
      <c r="C16" s="257"/>
      <c r="D16" s="529">
        <v>1424.7707598173208</v>
      </c>
      <c r="E16" s="529">
        <v>1952.3217120888014</v>
      </c>
      <c r="F16" s="529">
        <v>2505.5321942850182</v>
      </c>
      <c r="G16" s="529">
        <v>3084.8270696377199</v>
      </c>
      <c r="H16" s="247"/>
      <c r="I16" s="247"/>
      <c r="J16" s="5" t="s">
        <v>528</v>
      </c>
      <c r="L16" s="525">
        <f>'AGG ASIA INCUMB'!D44</f>
        <v>13.678025117962957</v>
      </c>
      <c r="M16" s="525">
        <f>'AGG ASIA INCUMB'!E44</f>
        <v>12.517033973894927</v>
      </c>
      <c r="N16" s="525">
        <f>'AGG ASIA INCUMB'!F44</f>
        <v>11.122029574192924</v>
      </c>
      <c r="O16" s="525">
        <f>'AGG ASIA INCUMB'!G44</f>
        <v>10.11878172223563</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INCUMB'!D45</f>
        <v>4.5509267152536094E-2</v>
      </c>
      <c r="M17" s="248">
        <f>'AGG ASIA INCUMB'!E45</f>
        <v>5.1800129870851246E-2</v>
      </c>
      <c r="N17" s="248">
        <f>'AGG ASIA INCUMB'!F45</f>
        <v>5.7884939069478336E-2</v>
      </c>
      <c r="O17" s="248">
        <f>'AGG ASIA INCUMB'!G45</f>
        <v>6.5680371296715834E-2</v>
      </c>
      <c r="P17" s="286">
        <f>'AGG ASIA CELLULAR'!H45</f>
        <v>0.11688605650684725</v>
      </c>
      <c r="S17" s="88"/>
      <c r="T17" s="42"/>
      <c r="U17" s="42"/>
      <c r="V17" s="42"/>
      <c r="W17" s="42"/>
      <c r="X17" s="42"/>
      <c r="Y17" s="42"/>
      <c r="Z17" s="42"/>
      <c r="AA17" s="42"/>
    </row>
    <row r="18" spans="2:27" ht="12.6" thickBot="1">
      <c r="B18" s="41" t="s">
        <v>578</v>
      </c>
      <c r="C18" s="249"/>
      <c r="D18" s="530">
        <f>D11+D12+D13-D14+D15-D16-D17</f>
        <v>5053.7365392052279</v>
      </c>
      <c r="E18" s="530">
        <f>E11+E12+E13-E14+E15-E16-E17</f>
        <v>4430.3732579980669</v>
      </c>
      <c r="F18" s="530">
        <f>F11+F12+F13-F14+F15-F16-F17</f>
        <v>3833.2958155415186</v>
      </c>
      <c r="G18" s="530">
        <f>G11+G12+G13-G14+G15-G16-G17</f>
        <v>2971.0064632021044</v>
      </c>
      <c r="H18" s="276">
        <f>IF(D18=0,"nm",IF(G18=0,"nm",(G18/D18)^(1/3)-1))</f>
        <v>-0.16228363483121611</v>
      </c>
      <c r="I18" s="254"/>
      <c r="J18" s="5" t="s">
        <v>36</v>
      </c>
      <c r="L18" s="248">
        <f>'AGG ASIA INCUMB'!D46</f>
        <v>4.5540516507029512E-2</v>
      </c>
      <c r="M18" s="248">
        <f>'AGG ASIA INCUMB'!E46</f>
        <v>5.1831531492466568E-2</v>
      </c>
      <c r="N18" s="248">
        <f>'AGG ASIA INCUMB'!F46</f>
        <v>5.8199730113416448E-2</v>
      </c>
      <c r="O18" s="248">
        <f>'AGG ASIA INCUMB'!G46</f>
        <v>6.6192895380097247E-2</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INCUMB'!D47</f>
        <v>6.5473682067024891E-2</v>
      </c>
      <c r="M19" s="248">
        <f>'AGG ASIA INCUMB'!E47</f>
        <v>7.2687594743412673E-2</v>
      </c>
      <c r="N19" s="248">
        <f>'AGG ASIA INCUMB'!F47</f>
        <v>8.6023488492179667E-2</v>
      </c>
      <c r="O19" s="248">
        <f>'AGG ASIA INCUMB'!G47</f>
        <v>9.5187664144645884E-2</v>
      </c>
      <c r="P19" s="286">
        <f>'AGG ASIA CELLULAR'!H47</f>
        <v>0.18726558349580835</v>
      </c>
      <c r="S19" s="88"/>
      <c r="T19" s="42"/>
      <c r="U19" s="42"/>
      <c r="V19" s="42"/>
      <c r="W19" s="42"/>
      <c r="X19" s="42"/>
      <c r="Y19" s="42"/>
      <c r="Z19" s="42"/>
      <c r="AA19" s="42"/>
    </row>
    <row r="20" spans="2:27">
      <c r="H20" s="277"/>
      <c r="I20" s="17"/>
      <c r="J20" s="5" t="s">
        <v>599</v>
      </c>
      <c r="L20" s="305">
        <f>'AGG ASIA INCUMB'!D48</f>
        <v>0.59351892336330403</v>
      </c>
      <c r="M20" s="305">
        <f>'AGG ASIA INCUMB'!E48</f>
        <v>0.60592876311616806</v>
      </c>
      <c r="N20" s="305">
        <f>'AGG ASIA INCUMB'!F48</f>
        <v>0.57735687268970703</v>
      </c>
      <c r="O20" s="305">
        <f>'AGG ASIA INCUMB'!G48</f>
        <v>0.59846585949408893</v>
      </c>
      <c r="P20" s="286" t="str">
        <f>'AGG ASIA CELLULAR'!H48</f>
        <v>nm</v>
      </c>
      <c r="S20" s="88"/>
      <c r="T20" s="42"/>
      <c r="U20" s="42"/>
      <c r="V20" s="42"/>
      <c r="W20" s="42"/>
      <c r="X20" s="42"/>
      <c r="Y20" s="42"/>
      <c r="Z20" s="42"/>
      <c r="AA20" s="42"/>
    </row>
    <row r="21" spans="2:27" ht="12.6" thickBot="1">
      <c r="B21" s="306" t="s">
        <v>925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967.44462130437057</v>
      </c>
      <c r="D23" s="536">
        <v>959.71460008796487</v>
      </c>
      <c r="E23" s="536">
        <v>967.2341408143584</v>
      </c>
      <c r="F23" s="536">
        <v>985.73004540337047</v>
      </c>
      <c r="G23" s="536">
        <v>1009.7588538049158</v>
      </c>
      <c r="H23" s="279">
        <f>IF(D23=0,"nm",IF(G23=0,"nm",(G23/D23)^(1/3)-1))</f>
        <v>1.7087982045796535E-2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627.46741200204497</v>
      </c>
      <c r="D24" s="536">
        <v>612.09245518531475</v>
      </c>
      <c r="E24" s="536">
        <v>611.1152056753258</v>
      </c>
      <c r="F24" s="536">
        <v>621.33998121293155</v>
      </c>
      <c r="G24" s="536">
        <v>636.31495140465699</v>
      </c>
      <c r="H24" s="279">
        <f>IF(D24=0,"nm",IF(G24=0,"nm",(G24/D24)^(1/3)-1))</f>
        <v>1.3020810580268938E-2</v>
      </c>
      <c r="I24" s="249"/>
      <c r="J24" s="17"/>
      <c r="K24" s="17"/>
      <c r="L24" s="17"/>
      <c r="M24" s="17"/>
      <c r="N24" s="17"/>
      <c r="O24" s="248"/>
      <c r="S24" s="88"/>
      <c r="T24" s="42"/>
      <c r="U24" s="42"/>
      <c r="V24" s="42"/>
      <c r="W24" s="42" t="s">
        <v>301</v>
      </c>
      <c r="X24" s="42" t="s">
        <v>254</v>
      </c>
      <c r="Y24" s="42"/>
      <c r="Z24" s="42"/>
      <c r="AA24" s="42"/>
    </row>
    <row r="25" spans="2:27">
      <c r="B25" s="5" t="s">
        <v>179</v>
      </c>
      <c r="C25" s="544">
        <v>-226.4960161759127</v>
      </c>
      <c r="D25" s="536">
        <v>-47.216851337992125</v>
      </c>
      <c r="E25" s="536">
        <v>87.360166838961504</v>
      </c>
      <c r="F25" s="536">
        <v>121.38669265389996</v>
      </c>
      <c r="G25" s="536">
        <v>444.86614491204955</v>
      </c>
      <c r="H25" s="279">
        <f>IF(D25=0,"nm",IF(G25=0,"nm",(G25/D25)^(1/3)-1))</f>
        <v>-3.1120820124440676</v>
      </c>
      <c r="I25" s="248"/>
      <c r="J25" s="247" t="s">
        <v>10</v>
      </c>
      <c r="K25" s="247"/>
      <c r="L25" s="321">
        <v>-227.17643988095512</v>
      </c>
      <c r="M25" s="321">
        <v>-88.943602689679437</v>
      </c>
      <c r="N25" s="321">
        <v>-58.593629607073808</v>
      </c>
      <c r="O25" s="321">
        <v>262.38103909619542</v>
      </c>
      <c r="P25" s="279">
        <f>IF(L25=0,"nm",IF(O25=0,"nm",(O25/L25)^(1/3)-1))</f>
        <v>-2.0491954199450886</v>
      </c>
      <c r="S25" s="88"/>
      <c r="T25" s="42"/>
      <c r="U25" s="42"/>
      <c r="V25" s="147" t="s">
        <v>268</v>
      </c>
      <c r="W25" s="288">
        <f>D37/L9</f>
        <v>4.1400200358200774</v>
      </c>
      <c r="X25" s="288">
        <v>1</v>
      </c>
      <c r="Y25" s="42"/>
      <c r="Z25" s="42"/>
      <c r="AA25" s="42"/>
    </row>
    <row r="26" spans="2:27">
      <c r="B26" s="5" t="s">
        <v>581</v>
      </c>
      <c r="C26" s="544">
        <v>-158.54721132313887</v>
      </c>
      <c r="D26" s="536">
        <v>-33.051795936594488</v>
      </c>
      <c r="E26" s="536">
        <v>61.152116787273052</v>
      </c>
      <c r="F26" s="536">
        <v>84.970684857729964</v>
      </c>
      <c r="G26" s="536">
        <v>311.40630143843464</v>
      </c>
      <c r="H26" s="279">
        <f>IF(D26=0,"nm",IF(G26=0,"nm",(G26/D26)^(1/3)-1))</f>
        <v>-3.1120820124440676</v>
      </c>
      <c r="I26" s="249"/>
      <c r="J26" s="249" t="s">
        <v>11</v>
      </c>
      <c r="K26" s="249"/>
      <c r="L26" s="281">
        <f>D11+L25</f>
        <v>3702.4804418090457</v>
      </c>
      <c r="M26" s="281">
        <f>E11+M25</f>
        <v>3860.1122470603214</v>
      </c>
      <c r="N26" s="281">
        <f>F11+N25</f>
        <v>3909.8611882029272</v>
      </c>
      <c r="O26" s="281">
        <f>G11+O25</f>
        <v>4250.2348249661964</v>
      </c>
      <c r="P26" s="279">
        <f>IF(L26=0,"nm",IF(O26=0,"nm",(O26/L26)^(1/3)-1))</f>
        <v>4.7064376411255271E-2</v>
      </c>
      <c r="Q26" s="5"/>
      <c r="S26" s="88"/>
      <c r="T26" s="42"/>
      <c r="U26" s="42"/>
      <c r="V26" s="147" t="s">
        <v>180</v>
      </c>
      <c r="W26" s="288">
        <f t="shared" ref="W26:W33" si="5">D38/L10</f>
        <v>1.7857759235000177</v>
      </c>
      <c r="X26" s="288">
        <v>1</v>
      </c>
      <c r="Y26" s="42"/>
      <c r="Z26" s="42"/>
      <c r="AA26" s="42"/>
    </row>
    <row r="27" spans="2:27">
      <c r="B27" s="5" t="s">
        <v>582</v>
      </c>
      <c r="C27" s="545">
        <v>3626.1733889042825</v>
      </c>
      <c r="D27" s="536">
        <v>3530.4129985980512</v>
      </c>
      <c r="E27" s="536">
        <v>3358.0357362268505</v>
      </c>
      <c r="F27" s="536">
        <v>3242.6410907683653</v>
      </c>
      <c r="G27" s="536">
        <v>2905.9570841186428</v>
      </c>
      <c r="H27" s="279">
        <f>IF(ISERROR((G27/D27)^(1/3)-1),"na",(G27/D27)^(1/3)-1)</f>
        <v>-6.2823850440681506E-2</v>
      </c>
      <c r="I27" s="249"/>
      <c r="J27" s="248"/>
      <c r="K27" s="248"/>
      <c r="L27" s="248"/>
      <c r="M27" s="248"/>
      <c r="N27" s="248"/>
      <c r="O27" s="248"/>
      <c r="Q27" s="41"/>
      <c r="S27" s="88"/>
      <c r="T27" s="42"/>
      <c r="U27" s="42"/>
      <c r="V27" s="147" t="s">
        <v>181</v>
      </c>
      <c r="W27" s="288">
        <f t="shared" si="5"/>
        <v>-9.0746466732501023</v>
      </c>
      <c r="X27" s="288">
        <v>1</v>
      </c>
      <c r="Y27" s="42"/>
      <c r="Z27" s="42"/>
      <c r="AA27" s="42"/>
    </row>
    <row r="28" spans="2:27" ht="12.6" thickBot="1">
      <c r="B28" s="5" t="s">
        <v>587</v>
      </c>
      <c r="C28" s="544">
        <v>4860.9634281779581</v>
      </c>
      <c r="D28" s="536">
        <v>5092.2612140202045</v>
      </c>
      <c r="E28" s="536">
        <v>5184.4521094835463</v>
      </c>
      <c r="F28" s="536">
        <v>5253.9153441906656</v>
      </c>
      <c r="G28" s="536">
        <v>5024.8361239128235</v>
      </c>
      <c r="H28" s="279">
        <f>IF(ISERROR((G28/D28)^(1/3)-1),"na",(G28/D28)^(1/3)-1)</f>
        <v>-4.4331899500845706E-3</v>
      </c>
      <c r="I28" s="248"/>
      <c r="J28" s="306" t="s">
        <v>1352</v>
      </c>
      <c r="K28" s="306"/>
      <c r="L28" s="306"/>
      <c r="M28" s="306"/>
      <c r="N28" s="266"/>
      <c r="O28" s="266"/>
      <c r="P28" s="266"/>
      <c r="Q28" s="5"/>
      <c r="S28" s="88"/>
      <c r="T28" s="42"/>
      <c r="U28" s="42"/>
      <c r="V28" s="147" t="s">
        <v>461</v>
      </c>
      <c r="W28" s="288">
        <f t="shared" si="5"/>
        <v>-9.6444143353299818</v>
      </c>
      <c r="X28" s="288">
        <v>1</v>
      </c>
      <c r="Y28" s="42"/>
      <c r="Z28" s="42"/>
      <c r="AA28" s="42"/>
    </row>
    <row r="29" spans="2:27" ht="12.6" thickTop="1">
      <c r="B29" s="5" t="s">
        <v>583</v>
      </c>
      <c r="C29" s="544">
        <v>-407.24395506723488</v>
      </c>
      <c r="D29" s="536">
        <v>-227.17643988095512</v>
      </c>
      <c r="E29" s="536">
        <v>-88.943602689679437</v>
      </c>
      <c r="F29" s="536">
        <v>-58.593629607073808</v>
      </c>
      <c r="G29" s="536">
        <v>262.38103909619542</v>
      </c>
      <c r="H29" s="279">
        <f>IF(D29=0,"nm",IF(G29=0,"nm",(G29/D29)^(1/3)-1))</f>
        <v>-2.0491954199450886</v>
      </c>
      <c r="I29" s="252"/>
      <c r="J29" s="249"/>
      <c r="K29" s="249"/>
      <c r="L29" s="249"/>
      <c r="M29" s="249"/>
      <c r="N29" s="249"/>
      <c r="O29" s="251"/>
      <c r="Q29" s="5"/>
      <c r="S29" s="88"/>
      <c r="T29" s="42"/>
      <c r="U29" s="42"/>
      <c r="V29" s="147" t="s">
        <v>525</v>
      </c>
      <c r="W29" s="288">
        <f t="shared" si="5"/>
        <v>1.2490586318719719</v>
      </c>
      <c r="X29" s="288">
        <v>1</v>
      </c>
      <c r="Y29" s="42"/>
      <c r="Z29" s="42"/>
      <c r="AA29" s="42"/>
    </row>
    <row r="30" spans="2:27">
      <c r="B30" s="5" t="s">
        <v>584</v>
      </c>
      <c r="C30" s="545">
        <v>56.076622731755506</v>
      </c>
      <c r="D30" s="536">
        <v>38.943638132687724</v>
      </c>
      <c r="E30" s="536">
        <v>41.383000535653714</v>
      </c>
      <c r="F30" s="536">
        <v>51.695411883020867</v>
      </c>
      <c r="G30" s="536">
        <v>74.852769048164589</v>
      </c>
      <c r="H30" s="279">
        <f>IF(D30=0,"nm",IF(G30=0,"nm",(G30/D30)^(1/3)-1))</f>
        <v>0.24334155804344371</v>
      </c>
      <c r="I30" s="254"/>
      <c r="J30" s="248"/>
      <c r="K30" s="248"/>
      <c r="L30" s="248"/>
      <c r="M30" s="248"/>
      <c r="N30" s="248"/>
      <c r="O30" s="5"/>
      <c r="Q30" s="5"/>
      <c r="S30" s="88"/>
      <c r="T30" s="42"/>
      <c r="U30" s="42"/>
      <c r="V30" s="147" t="s">
        <v>588</v>
      </c>
      <c r="W30" s="288">
        <f t="shared" si="5"/>
        <v>0.64964219408391222</v>
      </c>
      <c r="X30" s="288">
        <v>1</v>
      </c>
      <c r="Y30" s="42"/>
      <c r="Z30" s="42"/>
      <c r="AA30" s="42"/>
    </row>
    <row r="31" spans="2:27">
      <c r="B31" s="5" t="s">
        <v>585</v>
      </c>
      <c r="C31" s="545">
        <v>101.16391829000003</v>
      </c>
      <c r="D31" s="536">
        <v>107.05081176000002</v>
      </c>
      <c r="E31" s="536">
        <v>112.06174375000002</v>
      </c>
      <c r="F31" s="536">
        <v>117.11671426000002</v>
      </c>
      <c r="G31" s="536">
        <v>122.21572329000003</v>
      </c>
      <c r="H31" s="279">
        <f>IF(D31=0,"nm",IF(G31=0,"nm",(G31/D31)^(1/3)-1))</f>
        <v>4.515099693149871E-2</v>
      </c>
      <c r="I31" s="254"/>
      <c r="J31" s="252"/>
      <c r="K31" s="252"/>
      <c r="L31" s="252"/>
      <c r="M31" s="252"/>
      <c r="N31" s="252"/>
      <c r="O31" s="5"/>
      <c r="Q31" s="5"/>
      <c r="S31" s="88"/>
      <c r="T31" s="42"/>
      <c r="U31" s="42"/>
      <c r="V31" s="147" t="s">
        <v>470</v>
      </c>
      <c r="W31" s="288">
        <f t="shared" si="5"/>
        <v>-1.0670782033269537</v>
      </c>
      <c r="X31" s="288">
        <v>1</v>
      </c>
      <c r="Y31" s="42"/>
      <c r="Z31" s="42"/>
      <c r="AA31" s="42"/>
    </row>
    <row r="32" spans="2:27">
      <c r="B32" s="5" t="s">
        <v>601</v>
      </c>
      <c r="C32" s="546">
        <v>61.076882987765089</v>
      </c>
      <c r="D32" s="536">
        <v>38.680167463295334</v>
      </c>
      <c r="E32" s="536">
        <v>13.512777838825627</v>
      </c>
      <c r="F32" s="536">
        <v>13.292585238825609</v>
      </c>
      <c r="G32" s="536">
        <v>13.07239263882559</v>
      </c>
      <c r="H32" s="279">
        <f>IF(D32=0,"nm",IF(G32=0,"nm",(G32/D32)^(1/3)-1))</f>
        <v>-0.30344473481529599</v>
      </c>
      <c r="I32" s="254"/>
      <c r="J32" s="254"/>
      <c r="K32" s="254"/>
      <c r="L32" s="254"/>
      <c r="M32" s="254"/>
      <c r="N32" s="254"/>
      <c r="O32" s="251"/>
      <c r="Q32" s="5"/>
      <c r="S32" s="88"/>
      <c r="T32" s="42"/>
      <c r="U32" s="42"/>
      <c r="V32" s="147" t="s">
        <v>528</v>
      </c>
      <c r="W32" s="288">
        <f t="shared" si="5"/>
        <v>7.377253609905841</v>
      </c>
      <c r="X32" s="288">
        <v>1</v>
      </c>
      <c r="Y32" s="42"/>
      <c r="Z32" s="42"/>
      <c r="AA32" s="42"/>
    </row>
    <row r="33" spans="2:27">
      <c r="B33" s="5" t="s">
        <v>5</v>
      </c>
      <c r="C33" s="545">
        <v>-157.36313753877837</v>
      </c>
      <c r="D33" s="536">
        <v>-169.94793394587055</v>
      </c>
      <c r="E33" s="536">
        <v>-167.4522921574455</v>
      </c>
      <c r="F33" s="536">
        <v>-167.48546509071872</v>
      </c>
      <c r="G33" s="536">
        <v>-161.75727121408292</v>
      </c>
      <c r="H33" s="279">
        <f>IF(ISERROR((G33/D33)^(1/3)-1),"na",(G33/D33)^(1/3)-1)</f>
        <v>-1.6330269315246282E-2</v>
      </c>
      <c r="I33" s="5"/>
      <c r="J33" s="254"/>
      <c r="K33" s="254"/>
      <c r="L33" s="254"/>
      <c r="M33" s="254"/>
      <c r="N33" s="254"/>
      <c r="O33" s="251"/>
      <c r="Q33" s="5"/>
      <c r="S33" s="88"/>
      <c r="T33" s="42"/>
      <c r="U33" s="42"/>
      <c r="V33" s="147" t="s">
        <v>575</v>
      </c>
      <c r="W33" s="288">
        <f t="shared" si="5"/>
        <v>0.59859831677334274</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-0.93713843735368574</v>
      </c>
      <c r="X34" s="288">
        <v>1</v>
      </c>
      <c r="Y34" s="288"/>
      <c r="Z34" s="288"/>
      <c r="AA34" s="42"/>
    </row>
    <row r="35" spans="2:27" ht="12.6" thickBot="1">
      <c r="B35" s="306" t="s">
        <v>911</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5.2658743950983098</v>
      </c>
      <c r="E37" s="525">
        <f t="shared" ref="E37:G40" si="7">E$18/E23</f>
        <v>4.5804558286868726</v>
      </c>
      <c r="F37" s="525">
        <f t="shared" si="7"/>
        <v>3.8887886530565234</v>
      </c>
      <c r="G37" s="525">
        <f t="shared" si="7"/>
        <v>2.9422930554230122</v>
      </c>
      <c r="H37" s="17">
        <f t="shared" ref="H37:H45" si="8">H23</f>
        <v>1.7087982045796535E-2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8.2564921302210426</v>
      </c>
      <c r="E38" s="525">
        <f t="shared" si="7"/>
        <v>7.2496531208091755</v>
      </c>
      <c r="F38" s="525">
        <f t="shared" si="7"/>
        <v>6.1694015055307672</v>
      </c>
      <c r="G38" s="525">
        <f t="shared" si="7"/>
        <v>4.6690816499653929</v>
      </c>
      <c r="H38" s="17">
        <f t="shared" si="8"/>
        <v>1.3020810580268938E-2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-107.03247666874468</v>
      </c>
      <c r="E39" s="525">
        <f t="shared" si="7"/>
        <v>50.713882748930118</v>
      </c>
      <c r="F39" s="525">
        <f t="shared" si="7"/>
        <v>31.579209645913036</v>
      </c>
      <c r="G39" s="525">
        <f t="shared" si="7"/>
        <v>6.6784278758489819</v>
      </c>
      <c r="H39" s="17">
        <f t="shared" si="8"/>
        <v>-3.1120820124440676</v>
      </c>
      <c r="I39" s="17"/>
      <c r="J39" s="5"/>
      <c r="K39" s="5"/>
      <c r="L39" s="5"/>
      <c r="M39" s="5"/>
      <c r="N39" s="5"/>
      <c r="O39" s="5"/>
      <c r="Q39" s="5"/>
      <c r="R39" s="5"/>
      <c r="S39" s="42"/>
      <c r="T39" s="42"/>
      <c r="U39" s="42"/>
      <c r="V39" s="42"/>
      <c r="W39" s="42"/>
      <c r="X39" s="42"/>
      <c r="Y39" s="42"/>
      <c r="Z39" s="42"/>
      <c r="AA39" s="42"/>
    </row>
    <row r="40" spans="2:27">
      <c r="B40" s="5" t="s">
        <v>461</v>
      </c>
      <c r="C40" s="247"/>
      <c r="D40" s="525">
        <f>D$18/D26</f>
        <v>-152.90353809820667</v>
      </c>
      <c r="E40" s="525">
        <f t="shared" si="7"/>
        <v>72.448403927043032</v>
      </c>
      <c r="F40" s="525">
        <f t="shared" si="7"/>
        <v>45.113156637018626</v>
      </c>
      <c r="G40" s="525">
        <f t="shared" si="7"/>
        <v>9.540611251212832</v>
      </c>
      <c r="H40" s="17">
        <f t="shared" si="8"/>
        <v>-3.1120820124440676</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1.4314859313094808</v>
      </c>
      <c r="E41" s="525">
        <f t="shared" ref="E41:G41" si="9">E18/E27</f>
        <v>1.3193347557927166</v>
      </c>
      <c r="F41" s="525">
        <f t="shared" si="9"/>
        <v>1.1821523592156769</v>
      </c>
      <c r="G41" s="525">
        <f t="shared" si="9"/>
        <v>1.0223848381791194</v>
      </c>
      <c r="H41" s="17">
        <f t="shared" si="8"/>
        <v>-6.2823850440681506E-2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0.99243466248178525</v>
      </c>
      <c r="E42" s="525">
        <f t="shared" ref="E42:G42" si="10">E18/E28</f>
        <v>0.85454994364667825</v>
      </c>
      <c r="F42" s="525">
        <f t="shared" si="10"/>
        <v>0.72960745737558419</v>
      </c>
      <c r="G42" s="525">
        <f t="shared" si="10"/>
        <v>0.59126434970949693</v>
      </c>
      <c r="H42" s="17">
        <f t="shared" si="8"/>
        <v>-4.4331899500845706E-3</v>
      </c>
      <c r="I42" s="248"/>
      <c r="J42" s="5"/>
      <c r="K42" s="5"/>
      <c r="L42" s="5"/>
      <c r="M42" s="5"/>
      <c r="N42" s="5"/>
      <c r="O42" s="5"/>
      <c r="Q42" s="5"/>
      <c r="R42" s="5"/>
      <c r="S42" s="42"/>
      <c r="T42" s="42"/>
      <c r="U42" s="42"/>
      <c r="V42" s="42"/>
      <c r="W42" s="288"/>
      <c r="X42" s="288"/>
      <c r="Y42" s="288"/>
      <c r="Z42" s="288"/>
      <c r="AA42" s="42"/>
    </row>
    <row r="43" spans="2:27">
      <c r="B43" s="5" t="s">
        <v>470</v>
      </c>
      <c r="C43" s="247"/>
      <c r="D43" s="525">
        <f>L26/D29</f>
        <v>-16.297818751580127</v>
      </c>
      <c r="E43" s="525">
        <f>M26/E29</f>
        <v>-43.399549043769838</v>
      </c>
      <c r="F43" s="525">
        <f>N26/F29</f>
        <v>-66.728434719307828</v>
      </c>
      <c r="G43" s="525">
        <f>O26/G29</f>
        <v>16.198711765174291</v>
      </c>
      <c r="H43" s="17">
        <f t="shared" si="8"/>
        <v>-2.0491954199450886</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100.90626017787498</v>
      </c>
      <c r="E44" s="525">
        <f>E11/E30</f>
        <v>95.427006225604003</v>
      </c>
      <c r="F44" s="525">
        <f>F11/F30</f>
        <v>76.766093416375753</v>
      </c>
      <c r="G44" s="525">
        <f>G11/G30</f>
        <v>53.275968766151934</v>
      </c>
      <c r="H44" s="17">
        <f t="shared" si="8"/>
        <v>0.24334155804344371</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2.7241770715096481E-2</v>
      </c>
      <c r="E45" s="248">
        <f>E31/E11</f>
        <v>2.8376844494892167E-2</v>
      </c>
      <c r="F45" s="248">
        <f>F31/F11</f>
        <v>2.951191827468785E-2</v>
      </c>
      <c r="G45" s="248">
        <f>G31/G11</f>
        <v>3.0646992054483541E-2</v>
      </c>
      <c r="H45" s="17">
        <f t="shared" si="8"/>
        <v>4.515099693149871E-2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3.7084911892007688E-2</v>
      </c>
      <c r="E46" s="248">
        <f>(E31+E32)/E11</f>
        <v>3.1798618800687579E-2</v>
      </c>
      <c r="F46" s="248">
        <f>(F31+F32)/F11</f>
        <v>3.286148021984845E-2</v>
      </c>
      <c r="G46" s="248">
        <f>(G31+G32)/G11</f>
        <v>3.392504419499693E-2</v>
      </c>
      <c r="H46" s="279">
        <f>((G31+G32)/(D31+D32))^(1/3)-1</f>
        <v>-2.4480574626428719E-2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-6.1357904100083745E-2</v>
      </c>
      <c r="E47" s="248">
        <f>1/E43</f>
        <v>-2.3041714073836757E-2</v>
      </c>
      <c r="F47" s="248">
        <f>1/F43</f>
        <v>-1.4986115052847937E-2</v>
      </c>
      <c r="G47" s="248">
        <f>1/G43</f>
        <v>6.1733304135326739E-2</v>
      </c>
      <c r="H47" s="17">
        <f>H29</f>
        <v>-2.0491954199450886</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-0.47122321230184228</v>
      </c>
      <c r="E48" s="305">
        <f>E31/E29</f>
        <v>-1.2599190988583948</v>
      </c>
      <c r="F48" s="305">
        <f>F31/F29</f>
        <v>-1.998796030308744</v>
      </c>
      <c r="G48" s="305">
        <f>G31/G29</f>
        <v>0.46579479870568202</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0">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104</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543</v>
      </c>
      <c r="C9" s="287">
        <f>Prices!C83</f>
        <v>72</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27">
      <c r="B10" s="5" t="s">
        <v>269</v>
      </c>
      <c r="C10" s="5"/>
      <c r="D10" s="527">
        <v>21.408818754999999</v>
      </c>
      <c r="E10" s="527">
        <v>21.408818754999999</v>
      </c>
      <c r="F10" s="527">
        <v>21.408818754999999</v>
      </c>
      <c r="G10" s="527">
        <v>21.408818754999999</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27">
      <c r="B11" s="41" t="s">
        <v>472</v>
      </c>
      <c r="C11" s="5"/>
      <c r="D11" s="528">
        <f>($C$9/(Prices!$C$167/Prices!$C$175))*D10</f>
        <v>1402.096303507308</v>
      </c>
      <c r="E11" s="528">
        <f>($C$9/(Prices!$C$167/Prices!$C$175))*E10</f>
        <v>1402.096303507308</v>
      </c>
      <c r="F11" s="528">
        <f>($C$9/(Prices!$C$167/Prices!$C$175))*F10</f>
        <v>1402.096303507308</v>
      </c>
      <c r="G11" s="528">
        <f>($C$9/(Prices!$C$167/Prices!$C$175))*G10</f>
        <v>1402.096303507308</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27">
      <c r="B12" s="5" t="s">
        <v>24</v>
      </c>
      <c r="C12" s="249"/>
      <c r="D12" s="529">
        <v>-75.837999999999994</v>
      </c>
      <c r="E12" s="529">
        <v>-112.0379792863924</v>
      </c>
      <c r="F12" s="529">
        <v>-152.69861044840289</v>
      </c>
      <c r="G12" s="529">
        <v>-194.68940318240075</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27">
      <c r="B14" s="5" t="s">
        <v>527</v>
      </c>
      <c r="C14" s="257"/>
      <c r="D14" s="529">
        <v>104.23767216706402</v>
      </c>
      <c r="E14" s="529">
        <v>104.23767216706402</v>
      </c>
      <c r="F14" s="529">
        <v>104.23767216706402</v>
      </c>
      <c r="G14" s="529">
        <v>104.23767216706402</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27">
      <c r="B15" s="5" t="s">
        <v>526</v>
      </c>
      <c r="C15" s="274"/>
      <c r="D15" s="529">
        <v>0</v>
      </c>
      <c r="E15" s="529">
        <f>D15</f>
        <v>0</v>
      </c>
      <c r="F15" s="529">
        <f>E15</f>
        <v>0</v>
      </c>
      <c r="G15" s="529">
        <f>F15</f>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27">
      <c r="B16" s="5" t="s">
        <v>529</v>
      </c>
      <c r="C16" s="257"/>
      <c r="D16" s="529">
        <v>0</v>
      </c>
      <c r="E16" s="529">
        <v>0</v>
      </c>
      <c r="F16" s="529">
        <v>104.7225364220311</v>
      </c>
      <c r="G16" s="529">
        <v>215.12501222858606</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1222.0206313402441</v>
      </c>
      <c r="E18" s="530">
        <f>E11+E12+E13-E14+E15-E16-E17</f>
        <v>1185.8206520538517</v>
      </c>
      <c r="F18" s="530">
        <f>F11+F12+F13-F14+F15-F16-F17</f>
        <v>1040.4374844698102</v>
      </c>
      <c r="G18" s="530">
        <f>G11+G12+G13-G14+G15-G16-G17</f>
        <v>888.04421592925723</v>
      </c>
      <c r="H18" s="276">
        <f>IF(D18=0,"nm",IF(G18=0,"nm",(G18/D18)^(1/3)-1))</f>
        <v>-0.10094688396732232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926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937.25900000000001</v>
      </c>
      <c r="D23" s="536">
        <v>1009.309</v>
      </c>
      <c r="E23" s="536">
        <v>1042.6137530686517</v>
      </c>
      <c r="F23" s="536">
        <v>1082.0866182830243</v>
      </c>
      <c r="G23" s="536">
        <v>1124.1551515455833</v>
      </c>
      <c r="H23" s="279">
        <f t="shared" ref="H23:H32" si="3">IF(D23=0,"nm",IF(G23=0,"nm",(G23/D23)^(1/3)-1))</f>
        <v>3.6574934801534287E-2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329.17599999999999</v>
      </c>
      <c r="D24" s="536">
        <v>341.47800000000001</v>
      </c>
      <c r="E24" s="536">
        <v>346.24591905284348</v>
      </c>
      <c r="F24" s="536">
        <v>356.22324646015619</v>
      </c>
      <c r="G24" s="536">
        <v>368.87050169068061</v>
      </c>
      <c r="H24" s="279">
        <f t="shared" si="3"/>
        <v>2.6054428351446557E-2</v>
      </c>
      <c r="I24" s="249"/>
      <c r="J24" s="17"/>
      <c r="K24" s="17"/>
      <c r="L24" s="17"/>
      <c r="M24" s="17"/>
      <c r="N24" s="17"/>
      <c r="O24" s="248"/>
      <c r="S24" s="88"/>
      <c r="T24" s="42"/>
      <c r="U24" s="42"/>
      <c r="V24" s="42"/>
      <c r="W24" s="42" t="s">
        <v>474</v>
      </c>
      <c r="X24" s="42" t="s">
        <v>252</v>
      </c>
      <c r="Y24" s="42"/>
      <c r="Z24" s="42"/>
      <c r="AA24" s="42"/>
    </row>
    <row r="25" spans="2:27">
      <c r="B25" s="5" t="s">
        <v>179</v>
      </c>
      <c r="C25" s="544">
        <v>153.364</v>
      </c>
      <c r="D25" s="536">
        <v>171.001</v>
      </c>
      <c r="E25" s="536">
        <v>181.48557343496907</v>
      </c>
      <c r="F25" s="536">
        <v>196.252534476031</v>
      </c>
      <c r="G25" s="536">
        <v>206.34984555550213</v>
      </c>
      <c r="H25" s="279">
        <f t="shared" si="3"/>
        <v>6.4637679710742635E-2</v>
      </c>
      <c r="I25" s="248"/>
      <c r="J25" s="247" t="s">
        <v>10</v>
      </c>
      <c r="K25" s="247"/>
      <c r="L25" s="321">
        <v>0</v>
      </c>
      <c r="M25" s="321">
        <v>0</v>
      </c>
      <c r="N25" s="321">
        <v>0</v>
      </c>
      <c r="O25" s="321">
        <v>0</v>
      </c>
      <c r="P25" s="279" t="str">
        <f>IF(L25=0,"nm",IF(O25=0,"nm",(O25/L25)^(1/3)-1))</f>
        <v>nm</v>
      </c>
      <c r="S25" s="88"/>
      <c r="T25" s="42"/>
      <c r="U25" s="42"/>
      <c r="V25" s="147" t="s">
        <v>268</v>
      </c>
      <c r="W25" s="288">
        <f>D37/L9</f>
        <v>0.56240092529814489</v>
      </c>
      <c r="X25" s="288">
        <v>1</v>
      </c>
      <c r="Y25" s="42"/>
      <c r="Z25" s="42"/>
      <c r="AA25" s="42"/>
    </row>
    <row r="26" spans="2:27">
      <c r="B26" s="5" t="s">
        <v>581</v>
      </c>
      <c r="C26" s="544">
        <v>118.26218267105457</v>
      </c>
      <c r="D26" s="536">
        <v>132.29862567509718</v>
      </c>
      <c r="E26" s="536">
        <v>140.41024289509031</v>
      </c>
      <c r="F26" s="536">
        <v>151.83502199655868</v>
      </c>
      <c r="G26" s="536">
        <v>159.64702531132269</v>
      </c>
      <c r="H26" s="279">
        <f t="shared" si="3"/>
        <v>6.4637679710742635E-2</v>
      </c>
      <c r="I26" s="249"/>
      <c r="J26" s="249" t="s">
        <v>11</v>
      </c>
      <c r="K26" s="249"/>
      <c r="L26" s="281">
        <f>D11+L25</f>
        <v>1402.096303507308</v>
      </c>
      <c r="M26" s="281">
        <f>E11+M25</f>
        <v>1402.096303507308</v>
      </c>
      <c r="N26" s="281">
        <f>F11+N25</f>
        <v>1402.096303507308</v>
      </c>
      <c r="O26" s="281">
        <f>G11+O25</f>
        <v>1402.096303507308</v>
      </c>
      <c r="P26" s="279">
        <f>IF(L26=0,"nm",IF(O26=0,"nm",(O26/L26)^(1/3)-1))</f>
        <v>0</v>
      </c>
      <c r="Q26" s="5"/>
      <c r="S26" s="88"/>
      <c r="T26" s="42"/>
      <c r="U26" s="42"/>
      <c r="V26" s="147" t="s">
        <v>180</v>
      </c>
      <c r="W26" s="288">
        <f t="shared" ref="W26:W33" si="5">D38/L10</f>
        <v>0.54244859004225598</v>
      </c>
      <c r="X26" s="288">
        <v>1</v>
      </c>
      <c r="Y26" s="42"/>
      <c r="Z26" s="42"/>
      <c r="AA26" s="42"/>
    </row>
    <row r="27" spans="2:27">
      <c r="B27" s="5" t="s">
        <v>582</v>
      </c>
      <c r="C27" s="545">
        <v>1194.675</v>
      </c>
      <c r="D27" s="536">
        <v>1689.3619999999999</v>
      </c>
      <c r="E27" s="536">
        <v>1665.6428783468673</v>
      </c>
      <c r="F27" s="536">
        <v>1640.9622938028881</v>
      </c>
      <c r="G27" s="536">
        <v>1616.5079198773565</v>
      </c>
      <c r="H27" s="279">
        <f t="shared" si="3"/>
        <v>-1.4586808256449424E-2</v>
      </c>
      <c r="I27" s="249"/>
      <c r="J27" s="248"/>
      <c r="K27" s="248"/>
      <c r="L27" s="248"/>
      <c r="M27" s="248"/>
      <c r="N27" s="248"/>
      <c r="O27" s="248"/>
      <c r="Q27" s="41"/>
      <c r="S27" s="88"/>
      <c r="T27" s="42"/>
      <c r="U27" s="42"/>
      <c r="V27" s="147" t="s">
        <v>181</v>
      </c>
      <c r="W27" s="288">
        <f t="shared" si="5"/>
        <v>0.56205860715022216</v>
      </c>
      <c r="X27" s="288">
        <v>1</v>
      </c>
      <c r="Y27" s="42"/>
      <c r="Z27" s="42"/>
      <c r="AA27" s="42"/>
    </row>
    <row r="28" spans="2:27" ht="12.6" thickBot="1">
      <c r="B28" s="5" t="s">
        <v>587</v>
      </c>
      <c r="C28" s="544">
        <v>741.029</v>
      </c>
      <c r="D28" s="536">
        <v>714.66300000000001</v>
      </c>
      <c r="E28" s="536">
        <v>767.60791389332667</v>
      </c>
      <c r="F28" s="536">
        <v>816.9479288116861</v>
      </c>
      <c r="G28" s="536">
        <v>864.10684635391851</v>
      </c>
      <c r="H28" s="279">
        <f t="shared" si="3"/>
        <v>6.5341183199726816E-2</v>
      </c>
      <c r="I28" s="248"/>
      <c r="J28" s="306" t="s">
        <v>1352</v>
      </c>
      <c r="K28" s="306"/>
      <c r="L28" s="306"/>
      <c r="M28" s="306"/>
      <c r="N28" s="266"/>
      <c r="O28" s="266"/>
      <c r="P28" s="266"/>
      <c r="Q28" s="5"/>
      <c r="S28" s="88"/>
      <c r="T28" s="42"/>
      <c r="U28" s="42"/>
      <c r="V28" s="147" t="s">
        <v>461</v>
      </c>
      <c r="W28" s="288">
        <f t="shared" si="5"/>
        <v>0.55796722179502578</v>
      </c>
      <c r="X28" s="288">
        <v>1</v>
      </c>
      <c r="Y28" s="42"/>
      <c r="Z28" s="42"/>
      <c r="AA28" s="42"/>
    </row>
    <row r="29" spans="2:27" ht="12.6" thickTop="1">
      <c r="B29" s="5" t="s">
        <v>583</v>
      </c>
      <c r="C29" s="544">
        <v>59.382480000000015</v>
      </c>
      <c r="D29" s="536">
        <v>76.83494479999996</v>
      </c>
      <c r="E29" s="536">
        <v>82.253768205043997</v>
      </c>
      <c r="F29" s="536">
        <v>96.399875345170955</v>
      </c>
      <c r="G29" s="536">
        <v>106.04288356917596</v>
      </c>
      <c r="H29" s="279">
        <f t="shared" si="3"/>
        <v>0.11337358930955155</v>
      </c>
      <c r="I29" s="252"/>
      <c r="J29" s="249"/>
      <c r="K29" s="249"/>
      <c r="L29" s="249"/>
      <c r="M29" s="249"/>
      <c r="N29" s="249"/>
      <c r="O29" s="251"/>
      <c r="Q29" s="5"/>
      <c r="S29" s="88"/>
      <c r="T29" s="42"/>
      <c r="U29" s="42"/>
      <c r="V29" s="147" t="s">
        <v>525</v>
      </c>
      <c r="W29" s="288">
        <f t="shared" si="5"/>
        <v>0.48781117481057024</v>
      </c>
      <c r="X29" s="288">
        <v>1</v>
      </c>
      <c r="Y29" s="42"/>
      <c r="Z29" s="42"/>
      <c r="AA29" s="42"/>
    </row>
    <row r="30" spans="2:27">
      <c r="B30" s="5" t="s">
        <v>584</v>
      </c>
      <c r="C30" s="545">
        <v>125.459</v>
      </c>
      <c r="D30" s="536">
        <v>131.76599999999999</v>
      </c>
      <c r="E30" s="536">
        <v>138.83814363376209</v>
      </c>
      <c r="F30" s="536">
        <v>146.29554800855763</v>
      </c>
      <c r="G30" s="536">
        <v>157.69233227022752</v>
      </c>
      <c r="H30" s="279">
        <f t="shared" si="3"/>
        <v>6.1701435860154197E-2</v>
      </c>
      <c r="I30" s="254"/>
      <c r="J30" s="248"/>
      <c r="K30" s="248"/>
      <c r="L30" s="248"/>
      <c r="M30" s="248"/>
      <c r="N30" s="248"/>
      <c r="O30" s="5"/>
      <c r="Q30" s="5"/>
      <c r="S30" s="88"/>
      <c r="T30" s="42"/>
      <c r="U30" s="42"/>
      <c r="V30" s="147" t="s">
        <v>588</v>
      </c>
      <c r="W30" s="288">
        <f t="shared" si="5"/>
        <v>0.56200292654187678</v>
      </c>
      <c r="X30" s="288">
        <v>1</v>
      </c>
      <c r="Y30" s="42"/>
      <c r="Z30" s="42"/>
      <c r="AA30" s="42"/>
    </row>
    <row r="31" spans="2:27">
      <c r="B31" s="5" t="s">
        <v>585</v>
      </c>
      <c r="C31" s="545">
        <v>81.792725559808403</v>
      </c>
      <c r="D31" s="536">
        <v>93.83091602854023</v>
      </c>
      <c r="E31" s="536">
        <v>100.7362345305154</v>
      </c>
      <c r="F31" s="536">
        <v>106.14707348605452</v>
      </c>
      <c r="G31" s="536">
        <v>117.55088269729828</v>
      </c>
      <c r="H31" s="279">
        <f t="shared" si="3"/>
        <v>7.8019572965508432E-2</v>
      </c>
      <c r="I31" s="254"/>
      <c r="J31" s="252"/>
      <c r="K31" s="252"/>
      <c r="L31" s="252"/>
      <c r="M31" s="252"/>
      <c r="N31" s="252"/>
      <c r="O31" s="5"/>
      <c r="Q31" s="5"/>
      <c r="S31" s="88"/>
      <c r="T31" s="42"/>
      <c r="U31" s="42"/>
      <c r="V31" s="147" t="s">
        <v>470</v>
      </c>
      <c r="W31" s="288">
        <f t="shared" si="5"/>
        <v>0.92695082731651735</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0.49729367228464111</v>
      </c>
      <c r="X32" s="288">
        <v>1</v>
      </c>
      <c r="Y32" s="42"/>
      <c r="Z32" s="42"/>
      <c r="AA32" s="42"/>
    </row>
    <row r="33" spans="2:27">
      <c r="B33" s="5" t="s">
        <v>5</v>
      </c>
      <c r="C33" s="545">
        <v>13.398999999999999</v>
      </c>
      <c r="D33" s="536">
        <v>17.404</v>
      </c>
      <c r="E33" s="536">
        <v>11.428473065094087</v>
      </c>
      <c r="F33" s="536">
        <v>10.147477089714959</v>
      </c>
      <c r="G33" s="536">
        <v>10.239621511223524</v>
      </c>
      <c r="H33" s="279">
        <f>IF(D33=0,"nm",IF(G33=0,"nm",(G33/D33)^(1/3)-1))</f>
        <v>-0.16206253264148662</v>
      </c>
      <c r="I33" s="5"/>
      <c r="J33" s="254"/>
      <c r="K33" s="254"/>
      <c r="L33" s="254"/>
      <c r="M33" s="254"/>
      <c r="N33" s="254"/>
      <c r="O33" s="251"/>
      <c r="Q33" s="5"/>
      <c r="S33" s="88"/>
      <c r="T33" s="42"/>
      <c r="U33" s="42"/>
      <c r="V33" s="147" t="s">
        <v>575</v>
      </c>
      <c r="W33" s="288">
        <f t="shared" si="5"/>
        <v>1.6969741862051466</v>
      </c>
      <c r="X33" s="288">
        <v>1</v>
      </c>
      <c r="Y33" s="42"/>
      <c r="Z33" s="42"/>
      <c r="AA33" s="42"/>
    </row>
    <row r="34" spans="2:27">
      <c r="B34" s="5" t="s">
        <v>260</v>
      </c>
      <c r="C34" s="249">
        <v>0</v>
      </c>
      <c r="D34" s="322">
        <v>0</v>
      </c>
      <c r="E34" s="322">
        <v>0</v>
      </c>
      <c r="F34" s="322">
        <v>0</v>
      </c>
      <c r="G34" s="322">
        <v>0</v>
      </c>
      <c r="H34" s="279"/>
      <c r="I34" s="49"/>
      <c r="J34" s="254"/>
      <c r="K34" s="254"/>
      <c r="L34" s="254"/>
      <c r="M34" s="254"/>
      <c r="N34" s="254"/>
      <c r="O34" s="251"/>
      <c r="Q34" s="5"/>
      <c r="S34" s="88"/>
      <c r="T34" s="42"/>
      <c r="U34" s="42"/>
      <c r="V34" s="147" t="s">
        <v>576</v>
      </c>
      <c r="W34" s="288">
        <f>D47/L19</f>
        <v>1.0788058767852411</v>
      </c>
      <c r="X34" s="288">
        <v>1</v>
      </c>
      <c r="Y34" s="288"/>
      <c r="Z34" s="288"/>
      <c r="AA34" s="42"/>
    </row>
    <row r="35" spans="2:27" ht="12.6" thickBot="1">
      <c r="B35" s="306" t="s">
        <v>294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1.2107497618075773</v>
      </c>
      <c r="E37" s="525">
        <f t="shared" ref="E37:G41" si="7">E$18/E23</f>
        <v>1.1373537406002072</v>
      </c>
      <c r="F37" s="525">
        <f t="shared" si="7"/>
        <v>0.96151035128842099</v>
      </c>
      <c r="G37" s="525">
        <f t="shared" si="7"/>
        <v>0.78996588211893992</v>
      </c>
      <c r="H37" s="17">
        <f t="shared" ref="H37:H45" si="8">H23</f>
        <v>3.6574934801534287E-2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3.5786218477917875</v>
      </c>
      <c r="E38" s="525">
        <f t="shared" si="7"/>
        <v>3.4247931507688723</v>
      </c>
      <c r="F38" s="525">
        <f t="shared" si="7"/>
        <v>2.9207456133444225</v>
      </c>
      <c r="G38" s="525">
        <f t="shared" si="7"/>
        <v>2.4074687779559398</v>
      </c>
      <c r="H38" s="17">
        <f t="shared" si="8"/>
        <v>2.6054428351446557E-2</v>
      </c>
      <c r="I38" s="259"/>
      <c r="J38" s="17"/>
      <c r="K38" s="17"/>
      <c r="L38" s="17"/>
      <c r="M38" s="17"/>
      <c r="N38" s="17"/>
      <c r="O38" s="5"/>
      <c r="Q38" s="5"/>
      <c r="R38" s="5"/>
      <c r="S38" s="42"/>
      <c r="T38" s="42"/>
      <c r="U38" s="42"/>
      <c r="V38" s="42"/>
      <c r="W38" s="42"/>
      <c r="X38" s="42"/>
      <c r="Y38" s="42"/>
      <c r="Z38" s="42"/>
      <c r="AA38" s="42"/>
    </row>
    <row r="39" spans="2:27">
      <c r="B39" s="5" t="s">
        <v>181</v>
      </c>
      <c r="C39" s="247"/>
      <c r="D39" s="525">
        <f>D$18/D25</f>
        <v>7.1462776904242906</v>
      </c>
      <c r="E39" s="525">
        <f t="shared" si="7"/>
        <v>6.5339664724301718</v>
      </c>
      <c r="F39" s="525">
        <f t="shared" si="7"/>
        <v>5.3015238108778791</v>
      </c>
      <c r="G39" s="525">
        <f t="shared" si="7"/>
        <v>4.3035855613974716</v>
      </c>
      <c r="H39" s="17">
        <f t="shared" si="8"/>
        <v>6.4637679710742635E-2</v>
      </c>
      <c r="I39" s="17"/>
      <c r="J39" s="5"/>
      <c r="K39" s="5"/>
      <c r="L39" s="5"/>
      <c r="M39" s="5"/>
      <c r="N39" s="5"/>
      <c r="O39" s="5"/>
      <c r="Q39" s="5"/>
      <c r="R39" s="5"/>
      <c r="S39" s="42"/>
      <c r="T39" s="42"/>
      <c r="U39" s="42"/>
      <c r="V39" s="42"/>
      <c r="W39" s="42"/>
      <c r="X39" s="42"/>
      <c r="Y39" s="42"/>
      <c r="Z39" s="42"/>
      <c r="AA39" s="42"/>
    </row>
    <row r="40" spans="2:27">
      <c r="B40" s="5" t="s">
        <v>461</v>
      </c>
      <c r="C40" s="247"/>
      <c r="D40" s="525">
        <f>D$18/D26</f>
        <v>9.2368354176355378</v>
      </c>
      <c r="E40" s="525">
        <f t="shared" si="7"/>
        <v>8.4453999053320921</v>
      </c>
      <c r="F40" s="525">
        <f t="shared" si="7"/>
        <v>6.8524209420761411</v>
      </c>
      <c r="G40" s="525">
        <f t="shared" si="7"/>
        <v>5.5625478407600131</v>
      </c>
      <c r="H40" s="17">
        <f t="shared" si="8"/>
        <v>6.4637679710742635E-2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0.72336221090580011</v>
      </c>
      <c r="E41" s="525">
        <f t="shared" si="7"/>
        <v>0.71192971042554209</v>
      </c>
      <c r="F41" s="525">
        <f t="shared" si="7"/>
        <v>0.63404106748767697</v>
      </c>
      <c r="G41" s="525">
        <f t="shared" si="7"/>
        <v>0.5493596443354466</v>
      </c>
      <c r="H41" s="17">
        <f t="shared" si="8"/>
        <v>-1.4586808256449424E-2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1.7099257011210096</v>
      </c>
      <c r="E42" s="525">
        <f>E18/E28</f>
        <v>1.5448259854947815</v>
      </c>
      <c r="F42" s="525">
        <f>F18/F28</f>
        <v>1.2735664633891746</v>
      </c>
      <c r="G42" s="525">
        <f>G18/G28</f>
        <v>1.0277018631160511</v>
      </c>
      <c r="H42" s="17">
        <f t="shared" si="8"/>
        <v>6.5341183199726816E-2</v>
      </c>
      <c r="I42" s="248"/>
      <c r="J42" s="5"/>
      <c r="K42" s="5"/>
      <c r="L42" s="5"/>
      <c r="M42" s="5"/>
      <c r="N42" s="5"/>
      <c r="O42" s="5"/>
      <c r="Q42" s="5"/>
      <c r="R42" s="5"/>
      <c r="S42" s="42"/>
      <c r="T42" s="42"/>
      <c r="U42" s="42"/>
      <c r="V42" s="42"/>
      <c r="W42" s="288"/>
      <c r="X42" s="288"/>
      <c r="Y42" s="288"/>
      <c r="Z42" s="288"/>
      <c r="AA42" s="42"/>
    </row>
    <row r="43" spans="2:27">
      <c r="B43" s="5" t="s">
        <v>470</v>
      </c>
      <c r="C43" s="247"/>
      <c r="D43" s="525">
        <f>L26/D29</f>
        <v>18.248159182738277</v>
      </c>
      <c r="E43" s="525">
        <f>M26/E29</f>
        <v>17.045982623095536</v>
      </c>
      <c r="F43" s="525">
        <f>N26/F29</f>
        <v>14.54458627137161</v>
      </c>
      <c r="G43" s="525">
        <f>O26/G29</f>
        <v>13.221974509894059</v>
      </c>
      <c r="H43" s="17">
        <f t="shared" si="8"/>
        <v>0.11337358930955155</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10.640804938355176</v>
      </c>
      <c r="E44" s="525">
        <f>E11/E30</f>
        <v>10.09878313560476</v>
      </c>
      <c r="F44" s="525">
        <f>F11/F30</f>
        <v>9.5839984373638742</v>
      </c>
      <c r="G44" s="525">
        <f>G11/G30</f>
        <v>8.8913410266811379</v>
      </c>
      <c r="H44" s="17">
        <f t="shared" si="8"/>
        <v>6.1701435860154197E-2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6.6921876759695173E-2</v>
      </c>
      <c r="E45" s="248">
        <f>E31/E11</f>
        <v>7.1846872628168468E-2</v>
      </c>
      <c r="F45" s="248">
        <f>F31/F11</f>
        <v>7.5705979126063125E-2</v>
      </c>
      <c r="G45" s="248">
        <f>G31/G11</f>
        <v>8.3839378510055088E-2</v>
      </c>
      <c r="H45" s="17">
        <f t="shared" si="8"/>
        <v>7.8019572965508432E-2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6.6921876759695173E-2</v>
      </c>
      <c r="E46" s="248">
        <f>(E31+E32)/E11</f>
        <v>7.1846872628168468E-2</v>
      </c>
      <c r="F46" s="248">
        <f>(F31+F32)/F11</f>
        <v>7.5705979126063125E-2</v>
      </c>
      <c r="G46" s="248">
        <f>(G31+G32)/G11</f>
        <v>8.3839378510055088E-2</v>
      </c>
      <c r="H46" s="279">
        <f>((G31+G32)/(D31+D32))^(1/3)-1</f>
        <v>7.8019572965508432E-2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5.4800048047911769E-2</v>
      </c>
      <c r="E47" s="248">
        <f>1/E43</f>
        <v>5.8664849197083181E-2</v>
      </c>
      <c r="F47" s="248">
        <f>1/F43</f>
        <v>6.8754104196715404E-2</v>
      </c>
      <c r="G47" s="248">
        <f>1/G43</f>
        <v>7.5631669025809714E-2</v>
      </c>
      <c r="H47" s="17">
        <f>H29</f>
        <v>0.11337358930955155</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1.221201059918511</v>
      </c>
      <c r="E48" s="305">
        <f>E31/E29</f>
        <v>1.224700542343518</v>
      </c>
      <c r="F48" s="305">
        <f>F31/F29</f>
        <v>1.1011121446576833</v>
      </c>
      <c r="G48" s="305">
        <f>G31/G29</f>
        <v>1.1085221255853082</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4">
    <pageSetUpPr fitToPage="1"/>
  </sheetPr>
  <dimension ref="B1:AC165"/>
  <sheetViews>
    <sheetView showGridLines="0" zoomScale="80" zoomScaleNormal="80" zoomScaleSheetLayoutView="80" workbookViewId="0">
      <selection activeCell="D16" sqref="D16:G17"/>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29" width="9.109375" style="5"/>
    <col min="30" max="16384" width="9.109375" style="39"/>
  </cols>
  <sheetData>
    <row r="1" spans="2:29" s="312" customFormat="1">
      <c r="T1" s="149"/>
      <c r="U1" s="149"/>
      <c r="V1" s="149"/>
      <c r="W1" s="149"/>
      <c r="X1" s="149"/>
      <c r="Y1" s="149"/>
      <c r="Z1" s="149"/>
      <c r="AA1" s="149"/>
      <c r="AB1" s="149"/>
      <c r="AC1" s="149"/>
    </row>
    <row r="2" spans="2:29" s="149" customFormat="1"/>
    <row r="3" spans="2:29" s="149" customFormat="1">
      <c r="H3" s="153"/>
      <c r="P3" s="153"/>
    </row>
    <row r="4" spans="2:29" s="156" customFormat="1" ht="21">
      <c r="B4" s="129" t="s">
        <v>160</v>
      </c>
      <c r="H4" s="222"/>
      <c r="P4" s="222"/>
    </row>
    <row r="5" spans="2:29"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9">
      <c r="I6" s="5"/>
      <c r="J6" s="5"/>
      <c r="K6" s="5"/>
      <c r="L6" s="5"/>
      <c r="M6" s="5"/>
      <c r="N6" s="5"/>
      <c r="O6" s="49"/>
      <c r="R6" s="5"/>
      <c r="S6" s="5"/>
    </row>
    <row r="7" spans="2:29" ht="12.6" thickBot="1">
      <c r="B7" s="306" t="s">
        <v>266</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c r="R7" s="5"/>
      <c r="S7" s="5"/>
    </row>
    <row r="8" spans="2:29" ht="12.6" thickTop="1">
      <c r="B8" s="5"/>
      <c r="C8" s="5"/>
      <c r="D8" s="5"/>
      <c r="E8" s="5"/>
      <c r="F8" s="5"/>
      <c r="G8" s="5"/>
      <c r="H8" s="5"/>
      <c r="I8" s="5"/>
      <c r="J8" s="5"/>
      <c r="K8" s="5"/>
      <c r="L8" s="5"/>
      <c r="M8" s="5"/>
      <c r="N8" s="5"/>
      <c r="R8" s="5"/>
      <c r="S8" s="42"/>
      <c r="T8" s="42"/>
      <c r="U8" s="42"/>
      <c r="V8" s="42"/>
      <c r="W8" s="42"/>
      <c r="X8" s="42"/>
      <c r="Y8" s="42"/>
      <c r="Z8" s="42"/>
      <c r="AA8" s="42"/>
    </row>
    <row r="9" spans="2:29">
      <c r="B9" s="41" t="s">
        <v>543</v>
      </c>
      <c r="C9" s="287">
        <f>Prices!C74</f>
        <v>4.4800000000000004</v>
      </c>
      <c r="D9" s="531">
        <v>0</v>
      </c>
      <c r="E9" s="532">
        <v>0</v>
      </c>
      <c r="F9" s="532">
        <v>0</v>
      </c>
      <c r="G9" s="532">
        <v>0</v>
      </c>
      <c r="H9" s="249"/>
      <c r="I9" s="249"/>
      <c r="J9" s="5" t="s">
        <v>268</v>
      </c>
      <c r="L9" s="525">
        <f>'AGG ASIA INCUMB'!D37</f>
        <v>1.2719441813172812</v>
      </c>
      <c r="M9" s="525">
        <f>'AGG ASIA INCUMB'!E37</f>
        <v>1.2095974060822232</v>
      </c>
      <c r="N9" s="525">
        <f>'AGG ASIA INCUMB'!F37</f>
        <v>1.0996822317000925</v>
      </c>
      <c r="O9" s="525">
        <f>'AGG ASIA INCUMB'!G37</f>
        <v>0.99635076165065495</v>
      </c>
      <c r="P9" s="286">
        <f>'AGG ASIA INCUMB'!H37</f>
        <v>3.2483076143146272E-2</v>
      </c>
      <c r="R9" s="5"/>
      <c r="S9" s="42"/>
      <c r="T9" s="42"/>
      <c r="U9" s="42"/>
      <c r="V9" s="42"/>
      <c r="W9" s="42"/>
      <c r="X9" s="42"/>
      <c r="Y9" s="42"/>
      <c r="Z9" s="42"/>
      <c r="AA9" s="42"/>
    </row>
    <row r="10" spans="2:29">
      <c r="B10" s="5" t="s">
        <v>269</v>
      </c>
      <c r="C10" s="5"/>
      <c r="D10" s="527">
        <v>91507</v>
      </c>
      <c r="E10" s="527">
        <v>91507</v>
      </c>
      <c r="F10" s="527">
        <v>91507</v>
      </c>
      <c r="G10" s="527">
        <v>91507</v>
      </c>
      <c r="H10" s="247"/>
      <c r="I10" s="247"/>
      <c r="J10" s="5" t="s">
        <v>180</v>
      </c>
      <c r="L10" s="525">
        <f>'AGG ASIA INCUMB'!D38</f>
        <v>4.6234760036627636</v>
      </c>
      <c r="M10" s="525">
        <f>'AGG ASIA INCUMB'!E38</f>
        <v>4.4228353660546906</v>
      </c>
      <c r="N10" s="525">
        <f>'AGG ASIA INCUMB'!F38</f>
        <v>3.9347110260162674</v>
      </c>
      <c r="O10" s="525">
        <f>'AGG ASIA INCUMB'!G38</f>
        <v>3.5504425976257274</v>
      </c>
      <c r="P10" s="286">
        <f>'AGG ASIA INCUMB'!H38</f>
        <v>3.9344958775427097E-2</v>
      </c>
      <c r="R10" s="5"/>
      <c r="S10" s="42"/>
      <c r="T10" s="42"/>
      <c r="U10" s="42"/>
      <c r="V10" s="42"/>
      <c r="W10" s="288"/>
      <c r="X10" s="288"/>
      <c r="Y10" s="288"/>
      <c r="Z10" s="288"/>
      <c r="AA10" s="42"/>
    </row>
    <row r="11" spans="2:29">
      <c r="B11" s="41" t="s">
        <v>430</v>
      </c>
      <c r="C11" s="5"/>
      <c r="D11" s="528">
        <f>($C$9/(Prices!$C$167/Prices!$C$175))*D10</f>
        <v>372893.6380607902</v>
      </c>
      <c r="E11" s="528">
        <f>($C$9/(Prices!$C$167/Prices!$C$175))*E10</f>
        <v>372893.6380607902</v>
      </c>
      <c r="F11" s="528">
        <f>($C$9/(Prices!$C$167/Prices!$C$175))*F10</f>
        <v>372893.6380607902</v>
      </c>
      <c r="G11" s="528">
        <f>($C$9/(Prices!$C$167/Prices!$C$175))*G10</f>
        <v>372893.6380607902</v>
      </c>
      <c r="H11" s="249"/>
      <c r="I11" s="249"/>
      <c r="J11" s="5" t="s">
        <v>181</v>
      </c>
      <c r="L11" s="525">
        <f>'AGG ASIA INCUMB'!D39</f>
        <v>11.794671519746432</v>
      </c>
      <c r="M11" s="525">
        <f>'AGG ASIA INCUMB'!E39</f>
        <v>10.669369371390847</v>
      </c>
      <c r="N11" s="525">
        <f>'AGG ASIA INCUMB'!F39</f>
        <v>8.6767991012662229</v>
      </c>
      <c r="O11" s="525">
        <f>'AGG ASIA INCUMB'!G39</f>
        <v>7.5891310442771198</v>
      </c>
      <c r="P11" s="286">
        <f>'AGG ASIA INCUMB'!H39</f>
        <v>0.10245856505371931</v>
      </c>
      <c r="R11" s="5"/>
      <c r="S11" s="42"/>
      <c r="T11" s="42"/>
      <c r="U11" s="42"/>
      <c r="V11" s="42"/>
      <c r="W11" s="288"/>
      <c r="X11" s="288"/>
      <c r="Y11" s="288"/>
      <c r="Z11" s="288"/>
      <c r="AA11" s="42"/>
    </row>
    <row r="12" spans="2:29">
      <c r="B12" s="5" t="s">
        <v>24</v>
      </c>
      <c r="C12" s="249"/>
      <c r="D12" s="529">
        <v>-40059</v>
      </c>
      <c r="E12" s="529">
        <v>-53498.187452679223</v>
      </c>
      <c r="F12" s="529">
        <v>-69660.097253941291</v>
      </c>
      <c r="G12" s="529">
        <v>-88178.107784702035</v>
      </c>
      <c r="H12" s="247"/>
      <c r="I12" s="247"/>
      <c r="J12" s="5" t="s">
        <v>461</v>
      </c>
      <c r="L12" s="525">
        <f>'AGG ASIA INCUMB'!D40</f>
        <v>15.854102984572272</v>
      </c>
      <c r="M12" s="525">
        <f>'AGG ASIA INCUMB'!E40</f>
        <v>14.308248533194654</v>
      </c>
      <c r="N12" s="525">
        <f>'AGG ASIA INCUMB'!F40</f>
        <v>11.663579867439855</v>
      </c>
      <c r="O12" s="525">
        <f>'AGG ASIA INCUMB'!G40</f>
        <v>10.196208292202796</v>
      </c>
      <c r="P12" s="286">
        <f>'AGG ASIA INCUMB'!H40</f>
        <v>0.10263557885889418</v>
      </c>
      <c r="R12" s="5"/>
      <c r="S12" s="42"/>
      <c r="T12" s="42"/>
      <c r="U12" s="42"/>
      <c r="V12" s="42"/>
      <c r="W12" s="288"/>
      <c r="X12" s="288"/>
      <c r="Y12" s="288"/>
      <c r="Z12" s="288"/>
      <c r="AA12" s="42"/>
    </row>
    <row r="13" spans="2:29">
      <c r="B13" s="5" t="s">
        <v>524</v>
      </c>
      <c r="C13" s="257"/>
      <c r="D13" s="529">
        <v>0</v>
      </c>
      <c r="E13" s="529">
        <v>0</v>
      </c>
      <c r="F13" s="529">
        <v>0</v>
      </c>
      <c r="G13" s="529">
        <v>0</v>
      </c>
      <c r="H13" s="247"/>
      <c r="I13" s="247"/>
      <c r="J13" s="5" t="s">
        <v>525</v>
      </c>
      <c r="L13" s="525">
        <f>'AGG ASIA INCUMB'!D41</f>
        <v>1.1460518303805354</v>
      </c>
      <c r="M13" s="525">
        <f>'AGG ASIA INCUMB'!E41</f>
        <v>1.0866662606716921</v>
      </c>
      <c r="N13" s="525">
        <f>'AGG ASIA INCUMB'!F41</f>
        <v>0.99834975778923052</v>
      </c>
      <c r="O13" s="525">
        <f>'AGG ASIA INCUMB'!G41</f>
        <v>0.90898439887584492</v>
      </c>
      <c r="P13" s="286">
        <f>'AGG ASIA INCUMB'!H41</f>
        <v>2.8206361075399977E-2</v>
      </c>
      <c r="R13" s="5"/>
      <c r="S13" s="42"/>
      <c r="T13" s="42"/>
      <c r="U13" s="42"/>
      <c r="V13" s="42"/>
      <c r="W13" s="42"/>
      <c r="X13" s="42"/>
      <c r="Y13" s="42"/>
      <c r="Z13" s="42"/>
      <c r="AA13" s="42"/>
    </row>
    <row r="14" spans="2:29">
      <c r="B14" s="5" t="s">
        <v>527</v>
      </c>
      <c r="C14" s="257"/>
      <c r="D14" s="529">
        <v>87455.595153194343</v>
      </c>
      <c r="E14" s="529">
        <v>87455.595153194343</v>
      </c>
      <c r="F14" s="529">
        <v>87455.595153194343</v>
      </c>
      <c r="G14" s="529">
        <v>87455.595153194343</v>
      </c>
      <c r="H14" s="247"/>
      <c r="I14" s="247"/>
      <c r="J14" s="5" t="s">
        <v>588</v>
      </c>
      <c r="L14" s="525">
        <f>'AGG ASIA INCUMB'!D42</f>
        <v>1.5276634915643974</v>
      </c>
      <c r="M14" s="525">
        <f>'AGG ASIA INCUMB'!E42</f>
        <v>1.4907282921032592</v>
      </c>
      <c r="N14" s="525">
        <f>'AGG ASIA INCUMB'!F42</f>
        <v>1.4247632256720226</v>
      </c>
      <c r="O14" s="525">
        <f>'AGG ASIA INCUMB'!G42</f>
        <v>1.3972444432688993</v>
      </c>
      <c r="P14" s="286">
        <f>'AGG ASIA INCUMB'!H42</f>
        <v>-1.9495827781895958E-2</v>
      </c>
      <c r="R14" s="5"/>
      <c r="S14" s="42"/>
      <c r="T14" s="42"/>
      <c r="U14" s="42"/>
      <c r="V14" s="42"/>
      <c r="W14" s="42"/>
      <c r="X14" s="42"/>
      <c r="Y14" s="42"/>
      <c r="Z14" s="42"/>
      <c r="AA14" s="42"/>
    </row>
    <row r="15" spans="2:29">
      <c r="B15" s="5" t="s">
        <v>526</v>
      </c>
      <c r="C15" s="274"/>
      <c r="D15" s="529">
        <v>0</v>
      </c>
      <c r="E15" s="529">
        <v>0</v>
      </c>
      <c r="F15" s="529">
        <v>0</v>
      </c>
      <c r="G15" s="529">
        <v>0</v>
      </c>
      <c r="H15" s="247"/>
      <c r="I15" s="247"/>
      <c r="J15" s="5" t="s">
        <v>470</v>
      </c>
      <c r="L15" s="525">
        <f>'AGG ASIA INCUMB'!D43</f>
        <v>15.273312397129398</v>
      </c>
      <c r="M15" s="525">
        <f>'AGG ASIA INCUMB'!E43</f>
        <v>13.757505713732883</v>
      </c>
      <c r="N15" s="525">
        <f>'AGG ASIA INCUMB'!F43</f>
        <v>11.624732006664775</v>
      </c>
      <c r="O15" s="525">
        <f>'AGG ASIA INCUMB'!G43</f>
        <v>10.50556297379473</v>
      </c>
      <c r="P15" s="286">
        <f>'AGG ASIA INCUMB'!H43</f>
        <v>0.12108281340051441</v>
      </c>
      <c r="R15" s="5"/>
      <c r="S15" s="42"/>
      <c r="T15" s="42"/>
      <c r="U15" s="42"/>
      <c r="V15" s="42"/>
      <c r="W15" s="42"/>
      <c r="X15" s="42"/>
      <c r="Y15" s="42"/>
      <c r="Z15" s="42"/>
      <c r="AA15" s="42"/>
    </row>
    <row r="16" spans="2:29">
      <c r="B16" s="5" t="s">
        <v>529</v>
      </c>
      <c r="C16" s="257"/>
      <c r="D16" s="529">
        <v>28863.778023487866</v>
      </c>
      <c r="E16" s="529">
        <v>28863.778023487866</v>
      </c>
      <c r="F16" s="529">
        <v>28863.778023487866</v>
      </c>
      <c r="G16" s="529">
        <v>28863.778023487866</v>
      </c>
      <c r="H16" s="247"/>
      <c r="I16" s="247"/>
      <c r="J16" s="5" t="s">
        <v>528</v>
      </c>
      <c r="L16" s="525">
        <f>'AGG ASIA INCUMB'!D44</f>
        <v>13.678025117962957</v>
      </c>
      <c r="M16" s="525">
        <f>'AGG ASIA INCUMB'!E44</f>
        <v>12.517033973894927</v>
      </c>
      <c r="N16" s="525">
        <f>'AGG ASIA INCUMB'!F44</f>
        <v>11.122029574192924</v>
      </c>
      <c r="O16" s="525">
        <f>'AGG ASIA INCUMB'!G44</f>
        <v>10.11878172223563</v>
      </c>
      <c r="P16" s="286">
        <f>'AGG ASIA INCUMB'!H44</f>
        <v>9.9914942744836699E-2</v>
      </c>
      <c r="R16" s="5"/>
      <c r="S16" s="42"/>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INCUMB'!D45</f>
        <v>4.5509267152536094E-2</v>
      </c>
      <c r="M17" s="248">
        <f>'AGG ASIA INCUMB'!E45</f>
        <v>5.1800129870851246E-2</v>
      </c>
      <c r="N17" s="248">
        <f>'AGG ASIA INCUMB'!F45</f>
        <v>5.7884939069478336E-2</v>
      </c>
      <c r="O17" s="248">
        <f>'AGG ASIA INCUMB'!G45</f>
        <v>6.5680371296715834E-2</v>
      </c>
      <c r="P17" s="286">
        <f>'AGG ASIA INCUMB'!H45</f>
        <v>0.12418891359974715</v>
      </c>
      <c r="R17" s="5"/>
      <c r="S17" s="42"/>
      <c r="T17" s="42"/>
      <c r="U17" s="42"/>
      <c r="V17" s="42"/>
      <c r="W17" s="42"/>
      <c r="X17" s="42"/>
      <c r="Y17" s="42"/>
      <c r="Z17" s="42"/>
      <c r="AA17" s="42"/>
    </row>
    <row r="18" spans="2:27" ht="12.6" thickBot="1">
      <c r="B18" s="41" t="s">
        <v>578</v>
      </c>
      <c r="C18" s="249"/>
      <c r="D18" s="530">
        <f>D11+D12+D13-D14+D15-D16-D17</f>
        <v>216515.26488410801</v>
      </c>
      <c r="E18" s="530">
        <f>E11+E12+E13-E14+E15-E16-E17</f>
        <v>203076.0774314288</v>
      </c>
      <c r="F18" s="530">
        <f>F11+F12+F13-F14+F15-F16-F17</f>
        <v>186914.16763016672</v>
      </c>
      <c r="G18" s="530">
        <f>G11+G12+G13-G14+G15-G16-G17</f>
        <v>168396.15709940597</v>
      </c>
      <c r="H18" s="276">
        <f>IF(D18=0,"nm",IF(G18=0,"nm",(G18/D18)^(1/3)-1))</f>
        <v>-8.0366989676591727E-2</v>
      </c>
      <c r="I18" s="254"/>
      <c r="J18" s="5" t="s">
        <v>36</v>
      </c>
      <c r="L18" s="248">
        <f>'AGG ASIA INCUMB'!D46</f>
        <v>4.5540516507029512E-2</v>
      </c>
      <c r="M18" s="248">
        <f>'AGG ASIA INCUMB'!E46</f>
        <v>5.1831531492466568E-2</v>
      </c>
      <c r="N18" s="248">
        <f>'AGG ASIA INCUMB'!F46</f>
        <v>5.8199730113416448E-2</v>
      </c>
      <c r="O18" s="248">
        <f>'AGG ASIA INCUMB'!G46</f>
        <v>6.6192895380097247E-2</v>
      </c>
      <c r="P18" s="286">
        <f>'AGG ASIA INCUMB'!H46</f>
        <v>0.12684760968524134</v>
      </c>
      <c r="R18" s="5"/>
      <c r="S18" s="42"/>
      <c r="T18" s="42"/>
      <c r="U18" s="42"/>
      <c r="V18" s="42"/>
      <c r="W18" s="42"/>
      <c r="X18" s="42"/>
      <c r="Y18" s="42"/>
      <c r="Z18" s="42"/>
      <c r="AA18" s="42"/>
    </row>
    <row r="19" spans="2:27" ht="12.6" thickTop="1">
      <c r="B19" s="41"/>
      <c r="C19" s="249"/>
      <c r="D19" s="229"/>
      <c r="E19" s="229"/>
      <c r="F19" s="229"/>
      <c r="G19" s="229"/>
      <c r="H19" s="276"/>
      <c r="I19" s="254"/>
      <c r="J19" s="5" t="s">
        <v>576</v>
      </c>
      <c r="L19" s="248">
        <f>'AGG ASIA INCUMB'!D47</f>
        <v>6.5473682067024891E-2</v>
      </c>
      <c r="M19" s="248">
        <f>'AGG ASIA INCUMB'!E47</f>
        <v>7.2687594743412673E-2</v>
      </c>
      <c r="N19" s="248">
        <f>'AGG ASIA INCUMB'!F47</f>
        <v>8.6023488492179667E-2</v>
      </c>
      <c r="O19" s="248">
        <f>'AGG ASIA INCUMB'!G47</f>
        <v>9.5187664144645884E-2</v>
      </c>
      <c r="P19" s="286">
        <f>'AGG ASIA INCUMB'!H47</f>
        <v>0.12108281340051441</v>
      </c>
      <c r="R19" s="5"/>
      <c r="S19" s="42"/>
      <c r="T19" s="42"/>
      <c r="U19" s="42"/>
      <c r="V19" s="42"/>
      <c r="W19" s="42"/>
      <c r="X19" s="42"/>
      <c r="Y19" s="42"/>
      <c r="Z19" s="42"/>
      <c r="AA19" s="42"/>
    </row>
    <row r="20" spans="2:27">
      <c r="H20" s="277"/>
      <c r="I20" s="17"/>
      <c r="J20" s="5" t="s">
        <v>599</v>
      </c>
      <c r="L20" s="305">
        <f>'AGG ASIA INCUMB'!D48</f>
        <v>0.59351892336330403</v>
      </c>
      <c r="M20" s="305">
        <f>'AGG ASIA INCUMB'!E48</f>
        <v>0.60592876311616806</v>
      </c>
      <c r="N20" s="305">
        <f>'AGG ASIA INCUMB'!F48</f>
        <v>0.57735687268970703</v>
      </c>
      <c r="O20" s="305">
        <f>'AGG ASIA INCUMB'!G48</f>
        <v>0.59846585949408893</v>
      </c>
      <c r="P20" s="286" t="str">
        <f>'AGG ASIA INCUMB'!H48</f>
        <v>nm</v>
      </c>
      <c r="R20" s="5"/>
      <c r="S20" s="42"/>
      <c r="T20" s="42"/>
      <c r="U20" s="42"/>
      <c r="V20" s="42"/>
      <c r="W20" s="42"/>
      <c r="X20" s="42"/>
      <c r="Y20" s="42"/>
      <c r="Z20" s="42"/>
      <c r="AA20" s="42"/>
    </row>
    <row r="21" spans="2:27" ht="12.6" thickBot="1">
      <c r="B21" s="306" t="s">
        <v>927</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R21" s="5"/>
      <c r="S21" s="42"/>
      <c r="T21" s="42"/>
      <c r="U21" s="42"/>
      <c r="V21" s="42"/>
      <c r="W21" s="42"/>
      <c r="X21" s="42"/>
      <c r="Y21" s="42"/>
      <c r="Z21" s="42"/>
      <c r="AA21" s="42"/>
    </row>
    <row r="22" spans="2:27" ht="12.6" thickTop="1">
      <c r="B22" s="5"/>
      <c r="C22" s="257"/>
      <c r="D22" s="17"/>
      <c r="E22" s="17"/>
      <c r="F22" s="17"/>
      <c r="G22" s="17"/>
      <c r="H22" s="17"/>
      <c r="I22" s="17"/>
      <c r="P22" s="277"/>
      <c r="R22" s="5"/>
      <c r="S22" s="42"/>
      <c r="T22" s="42"/>
      <c r="U22" s="42"/>
      <c r="V22" s="42"/>
      <c r="W22" s="42"/>
      <c r="X22" s="42"/>
      <c r="Y22" s="42"/>
      <c r="Z22" s="42"/>
      <c r="AA22" s="42"/>
    </row>
    <row r="23" spans="2:27" ht="12.6" thickBot="1">
      <c r="B23" s="5" t="s">
        <v>579</v>
      </c>
      <c r="C23" s="544">
        <v>481448</v>
      </c>
      <c r="D23" s="536">
        <v>513551</v>
      </c>
      <c r="E23" s="536">
        <v>533518.75996533525</v>
      </c>
      <c r="F23" s="536">
        <v>559041.81736113015</v>
      </c>
      <c r="G23" s="536">
        <v>584801.50481917372</v>
      </c>
      <c r="H23" s="279">
        <f t="shared" ref="H23:H32" si="3">IF(D23=0,"nm",IF(G23=0,"nm",(G23/D23)^(1/3)-1))</f>
        <v>4.4259177475671541E-2</v>
      </c>
      <c r="I23" s="247"/>
      <c r="J23" s="306" t="s">
        <v>9</v>
      </c>
      <c r="K23" s="306"/>
      <c r="L23" s="265" t="str">
        <f>D21</f>
        <v>2023E</v>
      </c>
      <c r="M23" s="265" t="str">
        <f t="shared" ref="M23:P23" si="4">E21</f>
        <v>2024E</v>
      </c>
      <c r="N23" s="265" t="str">
        <f t="shared" si="4"/>
        <v>2025E</v>
      </c>
      <c r="O23" s="265" t="str">
        <f t="shared" si="4"/>
        <v>2026E</v>
      </c>
      <c r="P23" s="265" t="str">
        <f t="shared" si="4"/>
        <v>23E-26E</v>
      </c>
      <c r="R23" s="5"/>
      <c r="S23" s="42"/>
      <c r="T23" s="42"/>
      <c r="U23" s="42"/>
      <c r="V23" s="42"/>
      <c r="W23" s="42"/>
      <c r="X23" s="42"/>
      <c r="Y23" s="42"/>
      <c r="Z23" s="42"/>
      <c r="AA23" s="42"/>
    </row>
    <row r="24" spans="2:27" ht="12.6" thickTop="1">
      <c r="B24" s="5" t="s">
        <v>478</v>
      </c>
      <c r="C24" s="544">
        <v>130359</v>
      </c>
      <c r="D24" s="536">
        <v>136830</v>
      </c>
      <c r="E24" s="536">
        <v>142993.68328729155</v>
      </c>
      <c r="F24" s="536">
        <v>148870.40788830584</v>
      </c>
      <c r="G24" s="536">
        <v>156721.16676220007</v>
      </c>
      <c r="H24" s="279">
        <f t="shared" si="3"/>
        <v>4.6282054325352373E-2</v>
      </c>
      <c r="I24" s="249"/>
      <c r="J24" s="17"/>
      <c r="K24" s="17"/>
      <c r="L24" s="17"/>
      <c r="M24" s="17"/>
      <c r="N24" s="17"/>
      <c r="O24" s="248"/>
      <c r="R24" s="5"/>
      <c r="S24" s="42"/>
      <c r="T24" s="42"/>
      <c r="U24" s="42"/>
      <c r="V24" s="42"/>
      <c r="W24" s="42" t="s">
        <v>289</v>
      </c>
      <c r="X24" s="42" t="s">
        <v>254</v>
      </c>
      <c r="Y24" s="42"/>
      <c r="Z24" s="42"/>
      <c r="AA24" s="42"/>
    </row>
    <row r="25" spans="2:27">
      <c r="B25" s="5" t="s">
        <v>179</v>
      </c>
      <c r="C25" s="544">
        <v>37831</v>
      </c>
      <c r="D25" s="536">
        <v>37992</v>
      </c>
      <c r="E25" s="536">
        <v>46533.526652671717</v>
      </c>
      <c r="F25" s="536">
        <v>50621.547183658375</v>
      </c>
      <c r="G25" s="536">
        <v>57449.220043965848</v>
      </c>
      <c r="H25" s="279">
        <f t="shared" si="3"/>
        <v>0.14779411433436151</v>
      </c>
      <c r="I25" s="248"/>
      <c r="J25" s="247" t="s">
        <v>10</v>
      </c>
      <c r="K25" s="247"/>
      <c r="L25" s="321">
        <v>0</v>
      </c>
      <c r="M25" s="321">
        <v>0</v>
      </c>
      <c r="N25" s="321">
        <v>0</v>
      </c>
      <c r="O25" s="321">
        <v>0</v>
      </c>
      <c r="P25" s="279" t="str">
        <f>IF(L25=0,"nm",IF(O25=0,"nm",(O25/L25)^(1/3)-1))</f>
        <v>nm</v>
      </c>
      <c r="R25" s="5"/>
      <c r="S25" s="42"/>
      <c r="T25" s="42"/>
      <c r="U25" s="42"/>
      <c r="V25" s="147" t="s">
        <v>268</v>
      </c>
      <c r="W25" s="288">
        <f>D37/L9</f>
        <v>0.33146439804223204</v>
      </c>
      <c r="X25" s="288">
        <v>1</v>
      </c>
      <c r="Y25" s="42"/>
      <c r="Z25" s="42"/>
      <c r="AA25" s="42"/>
    </row>
    <row r="26" spans="2:27">
      <c r="B26" s="5" t="s">
        <v>581</v>
      </c>
      <c r="C26" s="544">
        <v>29316.535700285607</v>
      </c>
      <c r="D26" s="536">
        <v>29487.311906948271</v>
      </c>
      <c r="E26" s="536">
        <v>36116.777598905595</v>
      </c>
      <c r="F26" s="536">
        <v>39289.675484755557</v>
      </c>
      <c r="G26" s="536">
        <v>44588.941625798201</v>
      </c>
      <c r="H26" s="279">
        <f t="shared" si="3"/>
        <v>0.14779411433436151</v>
      </c>
      <c r="I26" s="249"/>
      <c r="J26" s="249" t="s">
        <v>11</v>
      </c>
      <c r="K26" s="249"/>
      <c r="L26" s="281">
        <f>D11+L25</f>
        <v>372893.6380607902</v>
      </c>
      <c r="M26" s="281">
        <f>E11+M25</f>
        <v>372893.6380607902</v>
      </c>
      <c r="N26" s="281">
        <f>F11+N25</f>
        <v>372893.6380607902</v>
      </c>
      <c r="O26" s="281">
        <f>G11+O25</f>
        <v>372893.6380607902</v>
      </c>
      <c r="P26" s="279">
        <f>IF(L26=0,"nm",IF(O26=0,"nm",(O26/L26)^(1/3)-1))</f>
        <v>0</v>
      </c>
      <c r="Q26" s="5"/>
      <c r="R26" s="5"/>
      <c r="S26" s="42"/>
      <c r="T26" s="42"/>
      <c r="U26" s="42"/>
      <c r="V26" s="147" t="s">
        <v>180</v>
      </c>
      <c r="W26" s="288">
        <f t="shared" ref="W26:W33" si="5">D38/L10</f>
        <v>0.34224616134043773</v>
      </c>
      <c r="X26" s="288">
        <v>1</v>
      </c>
      <c r="Y26" s="42"/>
      <c r="Z26" s="42"/>
      <c r="AA26" s="42"/>
    </row>
    <row r="27" spans="2:27">
      <c r="B27" s="5" t="s">
        <v>582</v>
      </c>
      <c r="C27" s="544">
        <v>423019</v>
      </c>
      <c r="D27" s="536">
        <v>407108</v>
      </c>
      <c r="E27" s="536">
        <v>405005.31307966844</v>
      </c>
      <c r="F27" s="536">
        <v>401423.64713570214</v>
      </c>
      <c r="G27" s="536">
        <v>397959.26260643778</v>
      </c>
      <c r="H27" s="279">
        <f t="shared" si="3"/>
        <v>-7.5476595192700557E-3</v>
      </c>
      <c r="I27" s="249"/>
      <c r="J27" s="248"/>
      <c r="K27" s="248"/>
      <c r="L27" s="248"/>
      <c r="M27" s="248"/>
      <c r="N27" s="248"/>
      <c r="O27" s="248"/>
      <c r="Q27" s="41"/>
      <c r="R27" s="5"/>
      <c r="S27" s="42"/>
      <c r="T27" s="42"/>
      <c r="U27" s="42"/>
      <c r="V27" s="147" t="s">
        <v>181</v>
      </c>
      <c r="W27" s="288">
        <f t="shared" si="5"/>
        <v>0.48318174034158917</v>
      </c>
      <c r="X27" s="288">
        <v>1</v>
      </c>
      <c r="Y27" s="42"/>
      <c r="Z27" s="42"/>
      <c r="AA27" s="42"/>
    </row>
    <row r="28" spans="2:27" ht="12.6" thickBot="1">
      <c r="B28" s="5" t="s">
        <v>587</v>
      </c>
      <c r="C28" s="544">
        <v>413963</v>
      </c>
      <c r="D28" s="536">
        <v>409943</v>
      </c>
      <c r="E28" s="536">
        <v>405536.5131165951</v>
      </c>
      <c r="F28" s="536">
        <v>400916.89381034439</v>
      </c>
      <c r="G28" s="536">
        <v>395346.91643150058</v>
      </c>
      <c r="H28" s="279">
        <f t="shared" si="3"/>
        <v>-1.2012097342254613E-2</v>
      </c>
      <c r="I28" s="248"/>
      <c r="J28" s="306" t="s">
        <v>1352</v>
      </c>
      <c r="K28" s="306"/>
      <c r="L28" s="306"/>
      <c r="M28" s="306"/>
      <c r="N28" s="266"/>
      <c r="O28" s="266"/>
      <c r="P28" s="266"/>
      <c r="Q28" s="5"/>
      <c r="R28" s="5"/>
      <c r="S28" s="42"/>
      <c r="T28" s="42"/>
      <c r="U28" s="42"/>
      <c r="V28" s="147" t="s">
        <v>461</v>
      </c>
      <c r="W28" s="288">
        <f t="shared" si="5"/>
        <v>0.46313932896542709</v>
      </c>
      <c r="X28" s="288">
        <v>1</v>
      </c>
      <c r="Y28" s="42"/>
      <c r="Z28" s="42"/>
      <c r="AA28" s="42"/>
    </row>
    <row r="29" spans="2:27" ht="12.6" thickTop="1">
      <c r="B29" s="5" t="s">
        <v>583</v>
      </c>
      <c r="C29" s="544">
        <v>31705.000000000015</v>
      </c>
      <c r="D29" s="536">
        <v>31310</v>
      </c>
      <c r="E29" s="536">
        <v>39294.485916741534</v>
      </c>
      <c r="F29" s="536">
        <v>42918.056281608471</v>
      </c>
      <c r="G29" s="536">
        <v>48783.16277900034</v>
      </c>
      <c r="H29" s="279">
        <f t="shared" si="3"/>
        <v>0.15929944696874943</v>
      </c>
      <c r="I29" s="252"/>
      <c r="J29" s="249"/>
      <c r="K29" s="249"/>
      <c r="L29" s="249"/>
      <c r="M29" s="249"/>
      <c r="N29" s="249"/>
      <c r="O29" s="251"/>
      <c r="Q29" s="5"/>
      <c r="R29" s="5"/>
      <c r="S29" s="42"/>
      <c r="T29" s="42"/>
      <c r="U29" s="42"/>
      <c r="V29" s="147" t="s">
        <v>525</v>
      </c>
      <c r="W29" s="288">
        <f t="shared" si="5"/>
        <v>0.46406052266670289</v>
      </c>
      <c r="X29" s="288">
        <v>1</v>
      </c>
      <c r="Y29" s="42"/>
      <c r="Z29" s="42"/>
      <c r="AA29" s="42"/>
    </row>
    <row r="30" spans="2:27">
      <c r="B30" s="5" t="s">
        <v>584</v>
      </c>
      <c r="C30" s="544">
        <v>27218.000000000007</v>
      </c>
      <c r="D30" s="536">
        <v>30464</v>
      </c>
      <c r="E30" s="536">
        <v>33005.639200432364</v>
      </c>
      <c r="F30" s="536">
        <v>36436.034740782605</v>
      </c>
      <c r="G30" s="536">
        <v>41370.59788792723</v>
      </c>
      <c r="H30" s="279">
        <f t="shared" si="3"/>
        <v>0.10739261652729892</v>
      </c>
      <c r="I30" s="254"/>
      <c r="J30" s="248"/>
      <c r="K30" s="248"/>
      <c r="L30" s="248"/>
      <c r="M30" s="248"/>
      <c r="N30" s="248"/>
      <c r="O30" s="5"/>
      <c r="Q30" s="5"/>
      <c r="R30" s="5"/>
      <c r="S30" s="42"/>
      <c r="T30" s="42"/>
      <c r="U30" s="42"/>
      <c r="V30" s="147" t="s">
        <v>588</v>
      </c>
      <c r="W30" s="288">
        <f t="shared" si="5"/>
        <v>0.34573022257378921</v>
      </c>
      <c r="X30" s="288">
        <v>1</v>
      </c>
      <c r="Y30" s="42"/>
      <c r="Z30" s="42"/>
      <c r="AA30" s="42"/>
    </row>
    <row r="31" spans="2:27">
      <c r="B31" s="5" t="s">
        <v>585</v>
      </c>
      <c r="C31" s="544">
        <v>17935.371999999999</v>
      </c>
      <c r="D31" s="536">
        <v>21339.432399999998</v>
      </c>
      <c r="E31" s="536">
        <v>23540.279711290328</v>
      </c>
      <c r="F31" s="536">
        <v>26021.065369381951</v>
      </c>
      <c r="G31" s="536">
        <v>30821.646465658785</v>
      </c>
      <c r="H31" s="279">
        <f t="shared" si="3"/>
        <v>0.13037963252567253</v>
      </c>
      <c r="I31" s="254"/>
      <c r="J31" s="252"/>
      <c r="K31" s="252"/>
      <c r="L31" s="252"/>
      <c r="M31" s="252"/>
      <c r="N31" s="252"/>
      <c r="O31" s="5"/>
      <c r="Q31" s="5"/>
      <c r="R31" s="5"/>
      <c r="S31" s="42"/>
      <c r="T31" s="42"/>
      <c r="U31" s="42"/>
      <c r="V31" s="147" t="s">
        <v>470</v>
      </c>
      <c r="W31" s="288">
        <f t="shared" si="5"/>
        <v>0.77977385829474377</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R32" s="5"/>
      <c r="S32" s="42"/>
      <c r="T32" s="42"/>
      <c r="U32" s="42"/>
      <c r="V32" s="147" t="s">
        <v>528</v>
      </c>
      <c r="W32" s="288">
        <f t="shared" si="5"/>
        <v>0.89490029304516772</v>
      </c>
      <c r="X32" s="288">
        <v>1</v>
      </c>
      <c r="Y32" s="42"/>
      <c r="Z32" s="42"/>
      <c r="AA32" s="42"/>
    </row>
    <row r="33" spans="2:27">
      <c r="B33" s="5" t="s">
        <v>5</v>
      </c>
      <c r="C33" s="544">
        <v>-7</v>
      </c>
      <c r="D33" s="536">
        <v>-332</v>
      </c>
      <c r="E33" s="536">
        <v>-346.495152445126</v>
      </c>
      <c r="F33" s="536">
        <v>71.448558904182619</v>
      </c>
      <c r="G33" s="536">
        <v>421.11164869389654</v>
      </c>
      <c r="H33" s="279">
        <f>IF(D33=0,"nm",IF(G33=0,"nm",(G33/D33)^(1/3)-1))</f>
        <v>-2.0824796079564876</v>
      </c>
      <c r="I33" s="5"/>
      <c r="J33" s="254"/>
      <c r="K33" s="254"/>
      <c r="L33" s="254"/>
      <c r="M33" s="254"/>
      <c r="N33" s="254"/>
      <c r="O33" s="251"/>
      <c r="Q33" s="5"/>
      <c r="R33" s="5"/>
      <c r="S33" s="42"/>
      <c r="T33" s="42"/>
      <c r="U33" s="42"/>
      <c r="V33" s="147" t="s">
        <v>575</v>
      </c>
      <c r="W33" s="288">
        <f t="shared" si="5"/>
        <v>1.2574712014970115</v>
      </c>
      <c r="X33" s="288">
        <v>1</v>
      </c>
      <c r="Y33" s="42"/>
      <c r="Z33" s="42"/>
      <c r="AA33" s="42"/>
    </row>
    <row r="34" spans="2:27">
      <c r="B34" s="5"/>
      <c r="C34" s="247"/>
      <c r="D34" s="17"/>
      <c r="E34" s="17"/>
      <c r="F34" s="17"/>
      <c r="G34" s="17"/>
      <c r="H34" s="277"/>
      <c r="I34" s="49"/>
      <c r="J34" s="254"/>
      <c r="K34" s="254"/>
      <c r="L34" s="254"/>
      <c r="M34" s="254"/>
      <c r="N34" s="254"/>
      <c r="O34" s="251"/>
      <c r="Q34" s="5"/>
      <c r="R34" s="5"/>
      <c r="S34" s="42"/>
      <c r="T34" s="42"/>
      <c r="U34" s="42"/>
      <c r="V34" s="147" t="s">
        <v>576</v>
      </c>
      <c r="W34" s="288">
        <f>D47/L19</f>
        <v>1.2824230889028005</v>
      </c>
      <c r="X34" s="288">
        <v>1</v>
      </c>
      <c r="Y34" s="288"/>
      <c r="Z34" s="288"/>
      <c r="AA34" s="42"/>
    </row>
    <row r="35" spans="2:27" ht="12.6" thickBot="1">
      <c r="B35" s="306" t="s">
        <v>288</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R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0.42160421240365226</v>
      </c>
      <c r="E37" s="525">
        <f>E$18/E23</f>
        <v>0.3806353078280198</v>
      </c>
      <c r="F37" s="525">
        <f t="shared" ref="E37:G41" si="7">F$18/F23</f>
        <v>0.33434738122537228</v>
      </c>
      <c r="G37" s="525">
        <f t="shared" si="7"/>
        <v>0.28795438402894619</v>
      </c>
      <c r="H37" s="17">
        <f t="shared" ref="H37:H45" si="8">H23</f>
        <v>4.4259177475671541E-2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1.5823669143032084</v>
      </c>
      <c r="E38" s="525">
        <f>E$18/E24</f>
        <v>1.4201751627267651</v>
      </c>
      <c r="F38" s="525">
        <f t="shared" si="7"/>
        <v>1.2555495096809586</v>
      </c>
      <c r="G38" s="525">
        <f t="shared" si="7"/>
        <v>1.0744953000185411</v>
      </c>
      <c r="H38" s="17">
        <f t="shared" si="8"/>
        <v>4.6282054325352373E-2</v>
      </c>
      <c r="I38" s="259"/>
      <c r="J38" s="17"/>
      <c r="K38" s="17"/>
      <c r="L38" s="17"/>
      <c r="M38" s="17"/>
      <c r="N38" s="17"/>
      <c r="O38" s="5"/>
      <c r="Q38" s="5"/>
      <c r="R38" s="5"/>
      <c r="S38" s="42"/>
      <c r="T38" s="42"/>
      <c r="U38" s="42"/>
      <c r="V38" s="42"/>
      <c r="W38" s="42"/>
      <c r="X38" s="42"/>
      <c r="Y38" s="42"/>
      <c r="Z38" s="42"/>
      <c r="AA38" s="42"/>
    </row>
    <row r="39" spans="2:27">
      <c r="B39" s="5" t="s">
        <v>181</v>
      </c>
      <c r="C39" s="247"/>
      <c r="D39" s="525">
        <f>D$18/D25</f>
        <v>5.6989699116684571</v>
      </c>
      <c r="E39" s="525">
        <f t="shared" si="7"/>
        <v>4.3640809549466892</v>
      </c>
      <c r="F39" s="525">
        <f t="shared" si="7"/>
        <v>3.6923835407880672</v>
      </c>
      <c r="G39" s="525">
        <f t="shared" si="7"/>
        <v>2.9312174642324562</v>
      </c>
      <c r="H39" s="17">
        <f t="shared" si="8"/>
        <v>0.14779411433436151</v>
      </c>
      <c r="I39" s="17"/>
      <c r="J39" s="5"/>
      <c r="K39" s="5"/>
      <c r="L39" s="5"/>
      <c r="M39" s="5"/>
      <c r="N39" s="5"/>
      <c r="O39" s="5"/>
      <c r="Q39" s="5"/>
      <c r="R39" s="5"/>
      <c r="S39" s="42"/>
      <c r="T39" s="42"/>
      <c r="U39" s="42"/>
      <c r="V39" s="42"/>
      <c r="W39" s="42"/>
      <c r="X39" s="42"/>
      <c r="Y39" s="42"/>
      <c r="Z39" s="42"/>
      <c r="AA39" s="42"/>
    </row>
    <row r="40" spans="2:27">
      <c r="B40" s="5" t="s">
        <v>461</v>
      </c>
      <c r="C40" s="247"/>
      <c r="D40" s="525">
        <f>D$18/D26</f>
        <v>7.3426586176235764</v>
      </c>
      <c r="E40" s="525">
        <f t="shared" si="7"/>
        <v>5.6227629077734322</v>
      </c>
      <c r="F40" s="525">
        <f t="shared" si="7"/>
        <v>4.757335491424195</v>
      </c>
      <c r="G40" s="525">
        <f t="shared" si="7"/>
        <v>3.7766349897387022</v>
      </c>
      <c r="H40" s="17">
        <f t="shared" si="8"/>
        <v>0.14779411433436151</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0.53183741140952279</v>
      </c>
      <c r="E41" s="525">
        <f t="shared" si="7"/>
        <v>0.50141583547937751</v>
      </c>
      <c r="F41" s="525">
        <f t="shared" si="7"/>
        <v>0.46562819346559314</v>
      </c>
      <c r="G41" s="525">
        <f t="shared" si="7"/>
        <v>0.4231492339102596</v>
      </c>
      <c r="H41" s="17">
        <f t="shared" si="8"/>
        <v>-7.5476595192700557E-3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0.52815943895641104</v>
      </c>
      <c r="E42" s="525">
        <f>E18/E28</f>
        <v>0.5007590460123198</v>
      </c>
      <c r="F42" s="525">
        <f>F18/F28</f>
        <v>0.4662167409652419</v>
      </c>
      <c r="G42" s="525">
        <f>G18/G28</f>
        <v>0.42594529032726874</v>
      </c>
      <c r="H42" s="17">
        <f t="shared" si="8"/>
        <v>-1.2012097342254613E-2</v>
      </c>
      <c r="I42" s="248"/>
      <c r="J42" s="5"/>
      <c r="K42" s="5"/>
      <c r="L42" s="5"/>
      <c r="M42" s="5"/>
      <c r="N42" s="5"/>
      <c r="O42" s="5"/>
      <c r="Q42" s="5"/>
      <c r="R42" s="5"/>
      <c r="S42" s="42"/>
      <c r="T42" s="42"/>
      <c r="U42" s="42"/>
      <c r="V42" s="42"/>
      <c r="W42" s="288"/>
      <c r="X42" s="288"/>
      <c r="Y42" s="288"/>
      <c r="Z42" s="288"/>
      <c r="AA42" s="42"/>
    </row>
    <row r="43" spans="2:27">
      <c r="B43" s="5" t="s">
        <v>470</v>
      </c>
      <c r="C43" s="247"/>
      <c r="D43" s="525">
        <f>L26/D29</f>
        <v>11.909729736850533</v>
      </c>
      <c r="E43" s="525">
        <f>M26/E29</f>
        <v>9.4897192153344285</v>
      </c>
      <c r="F43" s="525">
        <f>N26/F29</f>
        <v>8.6885024711751697</v>
      </c>
      <c r="G43" s="525">
        <f>O26/G29</f>
        <v>7.643900411912397</v>
      </c>
      <c r="H43" s="17">
        <f t="shared" si="8"/>
        <v>0.15929944696874943</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12.240468686344215</v>
      </c>
      <c r="E44" s="525">
        <f>E11/E30</f>
        <v>11.297876577888102</v>
      </c>
      <c r="F44" s="525">
        <f>F11/F30</f>
        <v>10.234199212775831</v>
      </c>
      <c r="G44" s="525">
        <f>G11/G30</f>
        <v>9.0134940536986541</v>
      </c>
      <c r="H44" s="17">
        <f t="shared" si="8"/>
        <v>0.10739261652729892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5.7226592845548041E-2</v>
      </c>
      <c r="E45" s="248">
        <f>E31/E11</f>
        <v>6.3128670775157408E-2</v>
      </c>
      <c r="F45" s="248">
        <f>F31/F11</f>
        <v>6.9781467725496357E-2</v>
      </c>
      <c r="G45" s="248">
        <f>G31/G11</f>
        <v>8.2655329347920248E-2</v>
      </c>
      <c r="H45" s="17">
        <f t="shared" si="8"/>
        <v>0.13037963252567253</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5.7226592845548041E-2</v>
      </c>
      <c r="E46" s="248">
        <f>(E31+E32)/E11</f>
        <v>6.3128670775157408E-2</v>
      </c>
      <c r="F46" s="248">
        <f>(F31+F32)/F11</f>
        <v>6.9781467725496357E-2</v>
      </c>
      <c r="G46" s="248">
        <f>(G31+G32)/G11</f>
        <v>8.2655329347920248E-2</v>
      </c>
      <c r="H46" s="279">
        <f>((G31+G32)/(D31+D32))^(1/3)-1</f>
        <v>0.13037963252567253</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8.3964961598233953E-2</v>
      </c>
      <c r="E47" s="248">
        <f>1/E43</f>
        <v>0.10537719581672142</v>
      </c>
      <c r="F47" s="248">
        <f>1/F43</f>
        <v>0.11509463262715103</v>
      </c>
      <c r="G47" s="248">
        <f>1/G43</f>
        <v>0.13082326379364928</v>
      </c>
      <c r="H47" s="17">
        <f>H29</f>
        <v>0.15929944696874943</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0.68155325455126148</v>
      </c>
      <c r="E48" s="305">
        <f>E31/E29</f>
        <v>0.59907336009353218</v>
      </c>
      <c r="F48" s="305">
        <f>F31/F29</f>
        <v>0.60629645477520544</v>
      </c>
      <c r="G48" s="305">
        <f>G31/G29</f>
        <v>0.63180910604932239</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9">
    <pageSetUpPr fitToPage="1"/>
  </sheetPr>
  <dimension ref="B1:AA165"/>
  <sheetViews>
    <sheetView showGridLines="0" zoomScale="80" zoomScaleNormal="80" zoomScaleSheetLayoutView="80" workbookViewId="0">
      <selection activeCell="D16" sqref="D16:G16"/>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290</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543</v>
      </c>
      <c r="C9" s="287">
        <f>Prices!C75</f>
        <v>6.32</v>
      </c>
      <c r="D9" s="531">
        <v>0</v>
      </c>
      <c r="E9" s="532">
        <v>0</v>
      </c>
      <c r="F9" s="532">
        <v>0</v>
      </c>
      <c r="G9" s="532">
        <v>0</v>
      </c>
      <c r="H9" s="249"/>
      <c r="I9" s="249"/>
      <c r="J9" s="5" t="s">
        <v>268</v>
      </c>
      <c r="L9" s="525">
        <f>'AGG ASIA INCUMB'!D37</f>
        <v>1.2719441813172812</v>
      </c>
      <c r="M9" s="525">
        <f>'AGG ASIA INCUMB'!E37</f>
        <v>1.2095974060822232</v>
      </c>
      <c r="N9" s="525">
        <f>'AGG ASIA INCUMB'!F37</f>
        <v>1.0996822317000925</v>
      </c>
      <c r="O9" s="525">
        <f>'AGG ASIA INCUMB'!G37</f>
        <v>0.99635076165065495</v>
      </c>
      <c r="P9" s="286">
        <f>'AGG ASIA INCUMB'!H37</f>
        <v>3.2483076143146272E-2</v>
      </c>
      <c r="S9" s="88"/>
      <c r="T9" s="42"/>
      <c r="U9" s="42"/>
      <c r="V9" s="42"/>
      <c r="W9" s="42"/>
      <c r="X9" s="42"/>
      <c r="Y9" s="42"/>
      <c r="Z9" s="42"/>
      <c r="AA9" s="42"/>
    </row>
    <row r="10" spans="2:27">
      <c r="B10" s="5" t="s">
        <v>269</v>
      </c>
      <c r="C10" s="5"/>
      <c r="D10" s="527">
        <v>30598</v>
      </c>
      <c r="E10" s="527">
        <v>30598</v>
      </c>
      <c r="F10" s="527">
        <v>30598</v>
      </c>
      <c r="G10" s="527">
        <v>30598</v>
      </c>
      <c r="H10" s="247"/>
      <c r="I10" s="247"/>
      <c r="J10" s="5" t="s">
        <v>180</v>
      </c>
      <c r="L10" s="525">
        <f>'AGG ASIA INCUMB'!D38</f>
        <v>4.6234760036627636</v>
      </c>
      <c r="M10" s="525">
        <f>'AGG ASIA INCUMB'!E38</f>
        <v>4.4228353660546906</v>
      </c>
      <c r="N10" s="525">
        <f>'AGG ASIA INCUMB'!F38</f>
        <v>3.9347110260162674</v>
      </c>
      <c r="O10" s="525">
        <f>'AGG ASIA INCUMB'!G38</f>
        <v>3.5504425976257274</v>
      </c>
      <c r="P10" s="286">
        <f>'AGG ASIA INCUMB'!H38</f>
        <v>3.9344958775427097E-2</v>
      </c>
      <c r="S10" s="88"/>
      <c r="T10" s="42"/>
      <c r="U10" s="42"/>
      <c r="V10" s="42"/>
      <c r="W10" s="288"/>
      <c r="X10" s="288"/>
      <c r="Y10" s="288"/>
      <c r="Z10" s="288"/>
      <c r="AA10" s="42"/>
    </row>
    <row r="11" spans="2:27">
      <c r="B11" s="41" t="s">
        <v>430</v>
      </c>
      <c r="C11" s="5"/>
      <c r="D11" s="528">
        <f>($C$9/(Prices!$C$167/Prices!$C$175))*D10</f>
        <v>175898.75315029381</v>
      </c>
      <c r="E11" s="528">
        <f>($C$9/(Prices!$C$167/Prices!$C$175))*E10</f>
        <v>175898.75315029381</v>
      </c>
      <c r="F11" s="528">
        <f>($C$9/(Prices!$C$167/Prices!$C$175))*F10</f>
        <v>175898.75315029381</v>
      </c>
      <c r="G11" s="528">
        <f>($C$9/(Prices!$C$167/Prices!$C$175))*G10</f>
        <v>175898.75315029381</v>
      </c>
      <c r="H11" s="249"/>
      <c r="I11" s="249"/>
      <c r="J11" s="5" t="s">
        <v>181</v>
      </c>
      <c r="L11" s="525">
        <f>'AGG ASIA INCUMB'!D39</f>
        <v>11.794671519746432</v>
      </c>
      <c r="M11" s="525">
        <f>'AGG ASIA INCUMB'!E39</f>
        <v>10.669369371390847</v>
      </c>
      <c r="N11" s="525">
        <f>'AGG ASIA INCUMB'!F39</f>
        <v>8.6767991012662229</v>
      </c>
      <c r="O11" s="525">
        <f>'AGG ASIA INCUMB'!G39</f>
        <v>7.5891310442771198</v>
      </c>
      <c r="P11" s="286">
        <f>'AGG ASIA INCUMB'!H39</f>
        <v>0.10245856505371931</v>
      </c>
      <c r="S11" s="88"/>
      <c r="T11" s="42"/>
      <c r="U11" s="42"/>
      <c r="V11" s="42"/>
      <c r="W11" s="288"/>
      <c r="X11" s="288"/>
      <c r="Y11" s="288"/>
      <c r="Z11" s="288"/>
      <c r="AA11" s="42"/>
    </row>
    <row r="12" spans="2:27">
      <c r="B12" s="5" t="s">
        <v>24</v>
      </c>
      <c r="C12" s="249"/>
      <c r="D12" s="529">
        <v>-2189</v>
      </c>
      <c r="E12" s="529">
        <v>-17478.010331080412</v>
      </c>
      <c r="F12" s="529">
        <v>-32688.501142337671</v>
      </c>
      <c r="G12" s="529">
        <v>-45373.511288920912</v>
      </c>
      <c r="H12" s="247"/>
      <c r="I12" s="247"/>
      <c r="J12" s="5" t="s">
        <v>461</v>
      </c>
      <c r="L12" s="525">
        <f>'AGG ASIA INCUMB'!D40</f>
        <v>15.854102984572272</v>
      </c>
      <c r="M12" s="525">
        <f>'AGG ASIA INCUMB'!E40</f>
        <v>14.308248533194654</v>
      </c>
      <c r="N12" s="525">
        <f>'AGG ASIA INCUMB'!F40</f>
        <v>11.663579867439855</v>
      </c>
      <c r="O12" s="525">
        <f>'AGG ASIA INCUMB'!G40</f>
        <v>10.196208292202796</v>
      </c>
      <c r="P12" s="286">
        <f>'AGG ASIA INCUMB'!H40</f>
        <v>0.10263557885889418</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'AGG ASIA INCUMB'!D41</f>
        <v>1.1460518303805354</v>
      </c>
      <c r="M13" s="525">
        <f>'AGG ASIA INCUMB'!E41</f>
        <v>1.0866662606716921</v>
      </c>
      <c r="N13" s="525">
        <f>'AGG ASIA INCUMB'!F41</f>
        <v>0.99834975778923052</v>
      </c>
      <c r="O13" s="525">
        <f>'AGG ASIA INCUMB'!G41</f>
        <v>0.90898439887584492</v>
      </c>
      <c r="P13" s="286">
        <f>'AGG ASIA INCUMB'!H41</f>
        <v>2.8206361075399977E-2</v>
      </c>
      <c r="S13" s="88"/>
      <c r="T13" s="42"/>
      <c r="U13" s="42"/>
      <c r="V13" s="42"/>
      <c r="W13" s="42"/>
      <c r="X13" s="42"/>
      <c r="Y13" s="42"/>
      <c r="Z13" s="42"/>
      <c r="AA13" s="42"/>
    </row>
    <row r="14" spans="2:27">
      <c r="B14" s="5" t="s">
        <v>527</v>
      </c>
      <c r="C14" s="257"/>
      <c r="D14" s="529">
        <v>57574.224605313582</v>
      </c>
      <c r="E14" s="529">
        <v>57574.224605313582</v>
      </c>
      <c r="F14" s="529">
        <v>57574.224605313582</v>
      </c>
      <c r="G14" s="529">
        <v>57574.224605313582</v>
      </c>
      <c r="H14" s="247"/>
      <c r="I14" s="247"/>
      <c r="J14" s="5" t="s">
        <v>588</v>
      </c>
      <c r="L14" s="525">
        <f>'AGG ASIA INCUMB'!D42</f>
        <v>1.5276634915643974</v>
      </c>
      <c r="M14" s="525">
        <f>'AGG ASIA INCUMB'!E42</f>
        <v>1.4907282921032592</v>
      </c>
      <c r="N14" s="525">
        <f>'AGG ASIA INCUMB'!F42</f>
        <v>1.4247632256720226</v>
      </c>
      <c r="O14" s="525">
        <f>'AGG ASIA INCUMB'!G42</f>
        <v>1.3972444432688993</v>
      </c>
      <c r="P14" s="286">
        <f>'AGG ASIA INCUMB'!H42</f>
        <v>-1.9495827781895958E-2</v>
      </c>
      <c r="S14" s="88"/>
      <c r="T14" s="42"/>
      <c r="U14" s="42"/>
      <c r="V14" s="42"/>
      <c r="W14" s="42"/>
      <c r="X14" s="42"/>
      <c r="Y14" s="42"/>
      <c r="Z14" s="42"/>
      <c r="AA14" s="42"/>
    </row>
    <row r="15" spans="2:27">
      <c r="B15" s="5" t="s">
        <v>526</v>
      </c>
      <c r="C15" s="274"/>
      <c r="D15" s="529">
        <v>0</v>
      </c>
      <c r="E15" s="529">
        <f t="shared" ref="E15:G15" si="2">D15</f>
        <v>0</v>
      </c>
      <c r="F15" s="529">
        <f t="shared" si="2"/>
        <v>0</v>
      </c>
      <c r="G15" s="529">
        <f t="shared" si="2"/>
        <v>0</v>
      </c>
      <c r="H15" s="247"/>
      <c r="I15" s="247"/>
      <c r="J15" s="5" t="s">
        <v>470</v>
      </c>
      <c r="L15" s="525">
        <f>'AGG ASIA INCUMB'!D43</f>
        <v>15.273312397129398</v>
      </c>
      <c r="M15" s="525">
        <f>'AGG ASIA INCUMB'!E43</f>
        <v>13.757505713732883</v>
      </c>
      <c r="N15" s="525">
        <f>'AGG ASIA INCUMB'!F43</f>
        <v>11.624732006664775</v>
      </c>
      <c r="O15" s="525">
        <f>'AGG ASIA INCUMB'!G43</f>
        <v>10.50556297379473</v>
      </c>
      <c r="P15" s="286">
        <f>'AGG ASIA INCUMB'!H43</f>
        <v>0.12108281340051441</v>
      </c>
      <c r="S15" s="88"/>
      <c r="T15" s="42"/>
      <c r="U15" s="42"/>
      <c r="V15" s="42"/>
      <c r="W15" s="42"/>
      <c r="X15" s="42"/>
      <c r="Y15" s="42"/>
      <c r="Z15" s="42"/>
      <c r="AA15" s="42"/>
    </row>
    <row r="16" spans="2:27">
      <c r="B16" s="5" t="s">
        <v>529</v>
      </c>
      <c r="C16" s="257"/>
      <c r="D16" s="529">
        <v>29070.686826483481</v>
      </c>
      <c r="E16" s="529">
        <v>29070.686826483481</v>
      </c>
      <c r="F16" s="529">
        <v>29070.686826483481</v>
      </c>
      <c r="G16" s="529">
        <v>29070.686826483481</v>
      </c>
      <c r="H16" s="247"/>
      <c r="I16" s="247"/>
      <c r="J16" s="5" t="s">
        <v>528</v>
      </c>
      <c r="L16" s="525">
        <f>'AGG ASIA INCUMB'!D44</f>
        <v>13.678025117962957</v>
      </c>
      <c r="M16" s="525">
        <f>'AGG ASIA INCUMB'!E44</f>
        <v>12.517033973894927</v>
      </c>
      <c r="N16" s="525">
        <f>'AGG ASIA INCUMB'!F44</f>
        <v>11.122029574192924</v>
      </c>
      <c r="O16" s="525">
        <f>'AGG ASIA INCUMB'!G44</f>
        <v>10.11878172223563</v>
      </c>
      <c r="P16" s="286">
        <f>'AGG ASIA INCUMB'!H44</f>
        <v>9.9914942744836699E-2</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INCUMB'!D45</f>
        <v>4.5509267152536094E-2</v>
      </c>
      <c r="M17" s="248">
        <f>'AGG ASIA INCUMB'!E45</f>
        <v>5.1800129870851246E-2</v>
      </c>
      <c r="N17" s="248">
        <f>'AGG ASIA INCUMB'!F45</f>
        <v>5.7884939069478336E-2</v>
      </c>
      <c r="O17" s="248">
        <f>'AGG ASIA INCUMB'!G45</f>
        <v>6.5680371296715834E-2</v>
      </c>
      <c r="P17" s="286">
        <f>'AGG ASIA INCUMB'!H45</f>
        <v>0.12418891359974715</v>
      </c>
      <c r="S17" s="88"/>
      <c r="T17" s="42"/>
      <c r="U17" s="42"/>
      <c r="V17" s="42"/>
      <c r="W17" s="42"/>
      <c r="X17" s="42"/>
      <c r="Y17" s="42"/>
      <c r="Z17" s="42"/>
      <c r="AA17" s="42"/>
    </row>
    <row r="18" spans="2:27" ht="12.6" thickBot="1">
      <c r="B18" s="41" t="s">
        <v>578</v>
      </c>
      <c r="C18" s="249"/>
      <c r="D18" s="530">
        <f>D11+D12+D13-D14+D15-D16-D17</f>
        <v>87064.84171849674</v>
      </c>
      <c r="E18" s="530">
        <f>E11+E12+E13-E14+E15-E16-E17</f>
        <v>71775.831387416329</v>
      </c>
      <c r="F18" s="530">
        <f>F11+F12+F13-F14+F15-F16-F17</f>
        <v>56565.340576159084</v>
      </c>
      <c r="G18" s="530">
        <f>G11+G12+G13-G14+G15-G16-G17</f>
        <v>43880.330429575828</v>
      </c>
      <c r="H18" s="276">
        <f>IF(D18=0,"nm",IF(G18=0,"nm",(G18/D18)^(1/3)-1))</f>
        <v>-0.20419067304027794</v>
      </c>
      <c r="I18" s="254"/>
      <c r="J18" s="5" t="s">
        <v>36</v>
      </c>
      <c r="L18" s="248">
        <f>'AGG ASIA INCUMB'!D46</f>
        <v>4.5540516507029512E-2</v>
      </c>
      <c r="M18" s="248">
        <f>'AGG ASIA INCUMB'!E46</f>
        <v>5.1831531492466568E-2</v>
      </c>
      <c r="N18" s="248">
        <f>'AGG ASIA INCUMB'!F46</f>
        <v>5.8199730113416448E-2</v>
      </c>
      <c r="O18" s="248">
        <f>'AGG ASIA INCUMB'!G46</f>
        <v>6.6192895380097247E-2</v>
      </c>
      <c r="P18" s="286">
        <f>'AGG ASIA INCUMB'!H46</f>
        <v>0.12684760968524134</v>
      </c>
      <c r="S18" s="88"/>
      <c r="T18" s="42"/>
      <c r="U18" s="42"/>
      <c r="V18" s="42"/>
      <c r="W18" s="42"/>
      <c r="X18" s="42"/>
      <c r="Y18" s="42"/>
      <c r="Z18" s="42"/>
      <c r="AA18" s="42"/>
    </row>
    <row r="19" spans="2:27" ht="12.6" thickTop="1">
      <c r="B19" s="41"/>
      <c r="C19" s="249"/>
      <c r="D19" s="229"/>
      <c r="E19" s="229"/>
      <c r="F19" s="229"/>
      <c r="G19" s="229"/>
      <c r="H19" s="276"/>
      <c r="I19" s="254"/>
      <c r="J19" s="5" t="s">
        <v>576</v>
      </c>
      <c r="L19" s="248">
        <f>'AGG ASIA INCUMB'!D47</f>
        <v>6.5473682067024891E-2</v>
      </c>
      <c r="M19" s="248">
        <f>'AGG ASIA INCUMB'!E47</f>
        <v>7.2687594743412673E-2</v>
      </c>
      <c r="N19" s="248">
        <f>'AGG ASIA INCUMB'!F47</f>
        <v>8.6023488492179667E-2</v>
      </c>
      <c r="O19" s="248">
        <f>'AGG ASIA INCUMB'!G47</f>
        <v>9.5187664144645884E-2</v>
      </c>
      <c r="P19" s="286">
        <f>'AGG ASIA INCUMB'!H47</f>
        <v>0.12108281340051441</v>
      </c>
      <c r="S19" s="88"/>
      <c r="T19" s="42"/>
      <c r="U19" s="42"/>
      <c r="V19" s="42"/>
      <c r="W19" s="42"/>
      <c r="X19" s="42"/>
      <c r="Y19" s="42"/>
      <c r="Z19" s="42"/>
      <c r="AA19" s="42"/>
    </row>
    <row r="20" spans="2:27">
      <c r="H20" s="277"/>
      <c r="I20" s="17"/>
      <c r="J20" s="5" t="s">
        <v>599</v>
      </c>
      <c r="L20" s="305">
        <f>'AGG ASIA INCUMB'!D48</f>
        <v>0.59351892336330403</v>
      </c>
      <c r="M20" s="305">
        <f>'AGG ASIA INCUMB'!E48</f>
        <v>0.60592876311616806</v>
      </c>
      <c r="N20" s="305">
        <f>'AGG ASIA INCUMB'!F48</f>
        <v>0.57735687268970703</v>
      </c>
      <c r="O20" s="305">
        <f>'AGG ASIA INCUMB'!G48</f>
        <v>0.59846585949408893</v>
      </c>
      <c r="P20" s="286" t="str">
        <f>'AGG ASIA INCUMB'!H48</f>
        <v>nm</v>
      </c>
      <c r="S20" s="88"/>
      <c r="T20" s="42"/>
      <c r="U20" s="42"/>
      <c r="V20" s="42"/>
      <c r="W20" s="42"/>
      <c r="X20" s="42"/>
      <c r="Y20" s="42"/>
      <c r="Z20" s="42"/>
      <c r="AA20" s="42"/>
    </row>
    <row r="21" spans="2:27" ht="12.6" thickBot="1">
      <c r="B21" s="306" t="s">
        <v>927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354944</v>
      </c>
      <c r="D23" s="536">
        <v>372597</v>
      </c>
      <c r="E23" s="536">
        <v>385245.85024337884</v>
      </c>
      <c r="F23" s="536">
        <v>402214.67742541432</v>
      </c>
      <c r="G23" s="536">
        <v>418442.26014492207</v>
      </c>
      <c r="H23" s="279">
        <f t="shared" ref="H23:H32" si="4">IF(D23=0,"nm",IF(G23=0,"nm",(G23/D23)^(1/3)-1))</f>
        <v>3.9438331851995301E-2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4">
        <v>99169</v>
      </c>
      <c r="D24" s="536">
        <v>99812</v>
      </c>
      <c r="E24" s="536">
        <v>102146.38013279199</v>
      </c>
      <c r="F24" s="536">
        <v>105538.74323845946</v>
      </c>
      <c r="G24" s="536">
        <v>109077.82833561633</v>
      </c>
      <c r="H24" s="279">
        <f t="shared" si="4"/>
        <v>3.0033243982205304E-2</v>
      </c>
      <c r="I24" s="249"/>
      <c r="J24" s="17"/>
      <c r="K24" s="17"/>
      <c r="L24" s="17"/>
      <c r="M24" s="17"/>
      <c r="N24" s="17"/>
      <c r="O24" s="248"/>
      <c r="S24" s="88"/>
      <c r="T24" s="42"/>
      <c r="U24" s="42"/>
      <c r="V24" s="42"/>
      <c r="W24" s="42" t="s">
        <v>291</v>
      </c>
      <c r="X24" s="42" t="s">
        <v>254</v>
      </c>
      <c r="Y24" s="42"/>
      <c r="Z24" s="42"/>
      <c r="AA24" s="42"/>
    </row>
    <row r="25" spans="2:27">
      <c r="B25" s="5" t="s">
        <v>179</v>
      </c>
      <c r="C25" s="544">
        <v>24969</v>
      </c>
      <c r="D25" s="536">
        <v>25912</v>
      </c>
      <c r="E25" s="536">
        <v>36007.536593377255</v>
      </c>
      <c r="F25" s="536">
        <v>38267.116022069633</v>
      </c>
      <c r="G25" s="536">
        <v>40983.032739089438</v>
      </c>
      <c r="H25" s="279">
        <f t="shared" si="4"/>
        <v>0.1651121181976094</v>
      </c>
      <c r="I25" s="248"/>
      <c r="J25" s="247" t="s">
        <v>10</v>
      </c>
      <c r="K25" s="247"/>
      <c r="L25" s="321">
        <v>0</v>
      </c>
      <c r="M25" s="321">
        <v>0</v>
      </c>
      <c r="N25" s="321">
        <v>0</v>
      </c>
      <c r="O25" s="321">
        <v>0</v>
      </c>
      <c r="P25" s="279" t="str">
        <f>IF(L25=0,"nm",IF(O25=0,"nm",(O25/L25)^(1/3)-1))</f>
        <v>nm</v>
      </c>
      <c r="S25" s="88"/>
      <c r="T25" s="42"/>
      <c r="U25" s="42"/>
      <c r="V25" s="147" t="s">
        <v>268</v>
      </c>
      <c r="W25" s="288">
        <f>D37/L9</f>
        <v>0.18371110444459512</v>
      </c>
      <c r="X25" s="288">
        <v>1</v>
      </c>
      <c r="Y25" s="42"/>
      <c r="Z25" s="42"/>
      <c r="AA25" s="42"/>
    </row>
    <row r="26" spans="2:27">
      <c r="B26" s="5" t="s">
        <v>581</v>
      </c>
      <c r="C26" s="544">
        <v>20419.810229259761</v>
      </c>
      <c r="D26" s="536">
        <v>21368.78901721508</v>
      </c>
      <c r="E26" s="536">
        <v>29694.251794285658</v>
      </c>
      <c r="F26" s="536">
        <v>31557.653927635722</v>
      </c>
      <c r="G26" s="536">
        <v>33797.382675487053</v>
      </c>
      <c r="H26" s="279">
        <f t="shared" si="4"/>
        <v>0.1651121181976094</v>
      </c>
      <c r="I26" s="249"/>
      <c r="J26" s="249" t="s">
        <v>11</v>
      </c>
      <c r="K26" s="249"/>
      <c r="L26" s="281">
        <f>D11+L25</f>
        <v>175898.75315029381</v>
      </c>
      <c r="M26" s="281">
        <f>E11+M25</f>
        <v>175898.75315029381</v>
      </c>
      <c r="N26" s="281">
        <f>F11+N25</f>
        <v>175898.75315029381</v>
      </c>
      <c r="O26" s="281">
        <f>G11+O25</f>
        <v>175898.75315029381</v>
      </c>
      <c r="P26" s="279">
        <f>IF(L26=0,"nm",IF(O26=0,"nm",(O26/L26)^(1/3)-1))</f>
        <v>0</v>
      </c>
      <c r="Q26" s="5"/>
      <c r="S26" s="88"/>
      <c r="T26" s="42"/>
      <c r="U26" s="42"/>
      <c r="V26" s="147" t="s">
        <v>180</v>
      </c>
      <c r="W26" s="288">
        <f t="shared" ref="W26:W33" si="6">D38/L10</f>
        <v>0.18866504736567793</v>
      </c>
      <c r="X26" s="288">
        <v>1</v>
      </c>
      <c r="Y26" s="42"/>
      <c r="Z26" s="42"/>
      <c r="AA26" s="42"/>
    </row>
    <row r="27" spans="2:27">
      <c r="B27" s="5" t="s">
        <v>582</v>
      </c>
      <c r="C27" s="544">
        <v>339390</v>
      </c>
      <c r="D27" s="536">
        <v>351709</v>
      </c>
      <c r="E27" s="536">
        <v>345046.39732841786</v>
      </c>
      <c r="F27" s="536">
        <v>338782.84652352356</v>
      </c>
      <c r="G27" s="536">
        <v>335118.94021012424</v>
      </c>
      <c r="H27" s="279">
        <f t="shared" si="4"/>
        <v>-1.5977193613505025E-2</v>
      </c>
      <c r="I27" s="249"/>
      <c r="J27" s="248"/>
      <c r="K27" s="248"/>
      <c r="L27" s="248"/>
      <c r="M27" s="248"/>
      <c r="N27" s="248"/>
      <c r="O27" s="248"/>
      <c r="Q27" s="41"/>
      <c r="S27" s="88"/>
      <c r="T27" s="42"/>
      <c r="U27" s="42"/>
      <c r="V27" s="147" t="s">
        <v>181</v>
      </c>
      <c r="W27" s="288">
        <f t="shared" si="6"/>
        <v>0.28487610940392949</v>
      </c>
      <c r="X27" s="288">
        <v>1</v>
      </c>
      <c r="Y27" s="42"/>
      <c r="Z27" s="42"/>
      <c r="AA27" s="42"/>
    </row>
    <row r="28" spans="2:27" ht="12.6" thickBot="1">
      <c r="B28" s="5" t="s">
        <v>587</v>
      </c>
      <c r="C28" s="544">
        <v>352433</v>
      </c>
      <c r="D28" s="536">
        <v>355995</v>
      </c>
      <c r="E28" s="536">
        <v>338119.02353941463</v>
      </c>
      <c r="F28" s="536">
        <v>321604.75672273757</v>
      </c>
      <c r="G28" s="536">
        <v>306021.21066757548</v>
      </c>
      <c r="H28" s="279">
        <f t="shared" si="4"/>
        <v>-4.9170727543641157E-2</v>
      </c>
      <c r="I28" s="248"/>
      <c r="J28" s="306" t="s">
        <v>1352</v>
      </c>
      <c r="K28" s="306"/>
      <c r="L28" s="306"/>
      <c r="M28" s="306"/>
      <c r="N28" s="266"/>
      <c r="O28" s="266"/>
      <c r="P28" s="266"/>
      <c r="Q28" s="5"/>
      <c r="S28" s="88"/>
      <c r="T28" s="42"/>
      <c r="U28" s="42"/>
      <c r="V28" s="147" t="s">
        <v>461</v>
      </c>
      <c r="W28" s="288">
        <f t="shared" si="6"/>
        <v>0.2569929613132752</v>
      </c>
      <c r="X28" s="288">
        <v>1</v>
      </c>
      <c r="Y28" s="42"/>
      <c r="Z28" s="42"/>
      <c r="AA28" s="42"/>
    </row>
    <row r="29" spans="2:27" ht="12.6" thickTop="1">
      <c r="B29" s="5" t="s">
        <v>583</v>
      </c>
      <c r="C29" s="544">
        <v>28163.234262677288</v>
      </c>
      <c r="D29" s="536">
        <v>28382.124166485068</v>
      </c>
      <c r="E29" s="536">
        <v>38246.893191625451</v>
      </c>
      <c r="F29" s="536">
        <v>41835.475011220871</v>
      </c>
      <c r="G29" s="536">
        <v>45356.990617682372</v>
      </c>
      <c r="H29" s="279">
        <f t="shared" si="4"/>
        <v>0.16913980092726955</v>
      </c>
      <c r="I29" s="252"/>
      <c r="J29" s="249"/>
      <c r="K29" s="249"/>
      <c r="L29" s="249"/>
      <c r="M29" s="249"/>
      <c r="N29" s="249"/>
      <c r="O29" s="251"/>
      <c r="Q29" s="5"/>
      <c r="S29" s="88"/>
      <c r="T29" s="42"/>
      <c r="U29" s="42"/>
      <c r="V29" s="147" t="s">
        <v>525</v>
      </c>
      <c r="W29" s="288">
        <f t="shared" si="6"/>
        <v>0.2160006579016496</v>
      </c>
      <c r="X29" s="288">
        <v>1</v>
      </c>
      <c r="Y29" s="42"/>
      <c r="Z29" s="42"/>
      <c r="AA29" s="42"/>
    </row>
    <row r="30" spans="2:27">
      <c r="B30" s="5" t="s">
        <v>584</v>
      </c>
      <c r="C30" s="544">
        <v>15442.234262677284</v>
      </c>
      <c r="D30" s="536">
        <v>17239.124166485068</v>
      </c>
      <c r="E30" s="536">
        <v>20160.567875541718</v>
      </c>
      <c r="F30" s="536">
        <v>19272.660764191714</v>
      </c>
      <c r="G30" s="536">
        <v>23508.683008391024</v>
      </c>
      <c r="H30" s="279">
        <f t="shared" si="4"/>
        <v>0.10893059946653949</v>
      </c>
      <c r="I30" s="254"/>
      <c r="J30" s="248"/>
      <c r="K30" s="248"/>
      <c r="L30" s="248"/>
      <c r="M30" s="248"/>
      <c r="N30" s="248"/>
      <c r="O30" s="5"/>
      <c r="Q30" s="5"/>
      <c r="S30" s="88"/>
      <c r="T30" s="42"/>
      <c r="U30" s="42"/>
      <c r="V30" s="147" t="s">
        <v>588</v>
      </c>
      <c r="W30" s="288">
        <f t="shared" si="6"/>
        <v>0.16009258479975946</v>
      </c>
      <c r="X30" s="288">
        <v>1</v>
      </c>
      <c r="Y30" s="42"/>
      <c r="Z30" s="42"/>
      <c r="AA30" s="42"/>
    </row>
    <row r="31" spans="2:27">
      <c r="B31" s="5" t="s">
        <v>585</v>
      </c>
      <c r="C31" s="544">
        <v>8383.8520000000008</v>
      </c>
      <c r="D31" s="536">
        <v>10299.2868</v>
      </c>
      <c r="E31" s="536">
        <v>12645.611489247412</v>
      </c>
      <c r="F31" s="536">
        <v>16251.745726102634</v>
      </c>
      <c r="G31" s="536">
        <v>20591.908944095914</v>
      </c>
      <c r="H31" s="279">
        <f t="shared" si="4"/>
        <v>0.25978515300870919</v>
      </c>
      <c r="I31" s="254"/>
      <c r="J31" s="252"/>
      <c r="K31" s="252"/>
      <c r="L31" s="252"/>
      <c r="M31" s="252"/>
      <c r="N31" s="252"/>
      <c r="O31" s="5"/>
      <c r="Q31" s="5"/>
      <c r="S31" s="88"/>
      <c r="T31" s="42"/>
      <c r="U31" s="42"/>
      <c r="V31" s="147" t="s">
        <v>470</v>
      </c>
      <c r="W31" s="288">
        <f t="shared" si="6"/>
        <v>0.40577438715273922</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0.74597481658992415</v>
      </c>
      <c r="X32" s="288">
        <v>1</v>
      </c>
      <c r="Y32" s="42"/>
      <c r="Z32" s="42"/>
      <c r="AA32" s="42"/>
    </row>
    <row r="33" spans="2:27">
      <c r="B33" s="5" t="s">
        <v>5</v>
      </c>
      <c r="C33" s="544">
        <v>-124</v>
      </c>
      <c r="D33" s="536">
        <v>-575.98978787157898</v>
      </c>
      <c r="E33" s="536">
        <v>-1248.4957052099069</v>
      </c>
      <c r="F33" s="536">
        <v>-1863.5841085813083</v>
      </c>
      <c r="G33" s="536">
        <v>-2420.7212119845417</v>
      </c>
      <c r="H33" s="279">
        <f>IF(D33=0,"nm",IF(G33=0,"nm",(G33/D33)^(1/3)-1))</f>
        <v>0.61377629118555244</v>
      </c>
      <c r="I33" s="5"/>
      <c r="J33" s="254"/>
      <c r="K33" s="254"/>
      <c r="L33" s="254"/>
      <c r="M33" s="254"/>
      <c r="N33" s="254"/>
      <c r="O33" s="251"/>
      <c r="Q33" s="5"/>
      <c r="S33" s="88"/>
      <c r="T33" s="42"/>
      <c r="U33" s="42"/>
      <c r="V33" s="147" t="s">
        <v>575</v>
      </c>
      <c r="W33" s="288">
        <f t="shared" si="6"/>
        <v>1.2866029680470981</v>
      </c>
      <c r="X33" s="288">
        <v>1</v>
      </c>
      <c r="Y33" s="42"/>
      <c r="Z33" s="42"/>
      <c r="AA33" s="42"/>
    </row>
    <row r="34" spans="2:27">
      <c r="B34" s="5"/>
      <c r="C34" s="247"/>
      <c r="D34" s="17"/>
      <c r="E34" s="17"/>
      <c r="F34" s="17"/>
      <c r="G34" s="17"/>
      <c r="H34" s="277"/>
      <c r="I34" s="49"/>
      <c r="J34" s="254"/>
      <c r="K34" s="254"/>
      <c r="L34" s="254"/>
      <c r="M34" s="254"/>
      <c r="N34" s="254"/>
      <c r="O34" s="251"/>
      <c r="Q34" s="5"/>
      <c r="S34" s="88"/>
      <c r="T34" s="42"/>
      <c r="U34" s="42"/>
      <c r="V34" s="147" t="s">
        <v>576</v>
      </c>
      <c r="W34" s="288">
        <f>D47/L19</f>
        <v>2.4644236592084008</v>
      </c>
      <c r="X34" s="288">
        <v>1</v>
      </c>
      <c r="Y34" s="288"/>
      <c r="Z34" s="288"/>
      <c r="AA34" s="42"/>
    </row>
    <row r="35" spans="2:27" ht="12.6" thickBot="1">
      <c r="B35" s="306" t="s">
        <v>520</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0.23367027034167409</v>
      </c>
      <c r="E37" s="525">
        <f t="shared" ref="E37:G41" si="8">E$18/E23</f>
        <v>0.1863117573935501</v>
      </c>
      <c r="F37" s="525">
        <f t="shared" si="8"/>
        <v>0.14063470020098512</v>
      </c>
      <c r="G37" s="525">
        <f t="shared" si="8"/>
        <v>0.10486591486810735</v>
      </c>
      <c r="H37" s="17">
        <f t="shared" ref="H37:H45" si="9">H23</f>
        <v>3.9438331851995301E-2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0.87228831922511063</v>
      </c>
      <c r="E38" s="525">
        <f t="shared" si="8"/>
        <v>0.70267621127744861</v>
      </c>
      <c r="F38" s="525">
        <f t="shared" si="8"/>
        <v>0.53596753988582713</v>
      </c>
      <c r="G38" s="525">
        <f t="shared" si="8"/>
        <v>0.40228459897975366</v>
      </c>
      <c r="H38" s="17">
        <f t="shared" si="9"/>
        <v>3.0033243982205304E-2</v>
      </c>
      <c r="I38" s="259"/>
      <c r="J38" s="17"/>
      <c r="K38" s="17"/>
      <c r="L38" s="17"/>
      <c r="M38" s="17"/>
      <c r="N38" s="17"/>
      <c r="O38" s="5"/>
      <c r="Q38" s="5"/>
      <c r="R38" s="5"/>
      <c r="S38" s="42"/>
      <c r="T38" s="42"/>
      <c r="U38" s="42"/>
      <c r="V38" s="42"/>
      <c r="W38" s="42"/>
      <c r="X38" s="42"/>
      <c r="Y38" s="42"/>
      <c r="Z38" s="42"/>
      <c r="AA38" s="42"/>
    </row>
    <row r="39" spans="2:27">
      <c r="B39" s="5" t="s">
        <v>181</v>
      </c>
      <c r="C39" s="247"/>
      <c r="D39" s="525">
        <f>D$18/D25</f>
        <v>3.3600201342426961</v>
      </c>
      <c r="E39" s="525">
        <f t="shared" si="8"/>
        <v>1.9933557854279267</v>
      </c>
      <c r="F39" s="525">
        <f t="shared" si="8"/>
        <v>1.478170984809422</v>
      </c>
      <c r="G39" s="525">
        <f t="shared" si="8"/>
        <v>1.0706950534610622</v>
      </c>
      <c r="H39" s="17">
        <f t="shared" si="9"/>
        <v>0.1651121181976094</v>
      </c>
      <c r="I39" s="17"/>
      <c r="J39" s="5"/>
      <c r="K39" s="5"/>
      <c r="L39" s="5"/>
      <c r="M39" s="5"/>
      <c r="N39" s="5"/>
      <c r="O39" s="5"/>
      <c r="Q39" s="5"/>
      <c r="R39" s="5"/>
      <c r="S39" s="42"/>
      <c r="T39" s="42"/>
      <c r="U39" s="42"/>
      <c r="V39" s="42"/>
      <c r="W39" s="42"/>
      <c r="X39" s="42"/>
      <c r="Y39" s="42"/>
      <c r="Z39" s="42"/>
      <c r="AA39" s="42"/>
    </row>
    <row r="40" spans="2:27">
      <c r="B40" s="5" t="s">
        <v>461</v>
      </c>
      <c r="C40" s="247"/>
      <c r="D40" s="525">
        <f>D$18/D26</f>
        <v>4.0743928749708624</v>
      </c>
      <c r="E40" s="525">
        <f t="shared" si="8"/>
        <v>2.4171624826468543</v>
      </c>
      <c r="F40" s="525">
        <f t="shared" si="8"/>
        <v>1.7924444163646649</v>
      </c>
      <c r="G40" s="525">
        <f t="shared" si="8"/>
        <v>1.2983351655038615</v>
      </c>
      <c r="H40" s="17">
        <f t="shared" si="9"/>
        <v>0.1651121181976094</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0.24754794935158536</v>
      </c>
      <c r="E41" s="525">
        <f t="shared" si="8"/>
        <v>0.20801791278840548</v>
      </c>
      <c r="F41" s="525">
        <f t="shared" si="8"/>
        <v>0.1669663654952242</v>
      </c>
      <c r="G41" s="525">
        <f t="shared" si="8"/>
        <v>0.13093957149083321</v>
      </c>
      <c r="H41" s="17">
        <f t="shared" si="9"/>
        <v>-1.5977193613505025E-2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0.2445675970687699</v>
      </c>
      <c r="E42" s="525">
        <f>E18/E28</f>
        <v>0.21227977839303502</v>
      </c>
      <c r="F42" s="525">
        <f>F18/F28</f>
        <v>0.17588465155981908</v>
      </c>
      <c r="G42" s="525">
        <f>G18/G28</f>
        <v>0.14338983344929684</v>
      </c>
      <c r="H42" s="17">
        <f t="shared" si="9"/>
        <v>-4.9170727543641157E-2</v>
      </c>
      <c r="I42" s="248"/>
      <c r="J42" s="5"/>
      <c r="K42" s="5"/>
      <c r="L42" s="5"/>
      <c r="M42" s="5"/>
      <c r="N42" s="5"/>
      <c r="O42" s="5"/>
      <c r="Q42" s="5"/>
      <c r="R42" s="5"/>
      <c r="S42" s="42"/>
      <c r="T42" s="42"/>
      <c r="U42" s="42"/>
      <c r="V42" s="42"/>
      <c r="W42" s="288"/>
      <c r="X42" s="288"/>
      <c r="Y42" s="288"/>
      <c r="Z42" s="288"/>
      <c r="AA42" s="42"/>
    </row>
    <row r="43" spans="2:27">
      <c r="B43" s="5" t="s">
        <v>470</v>
      </c>
      <c r="C43" s="247"/>
      <c r="D43" s="525">
        <f>L26/D29</f>
        <v>6.1975189777375164</v>
      </c>
      <c r="E43" s="525">
        <f>M26/E29</f>
        <v>4.5990337638406835</v>
      </c>
      <c r="F43" s="525">
        <f>N26/F29</f>
        <v>4.2045358180614718</v>
      </c>
      <c r="G43" s="525">
        <f>O26/G29</f>
        <v>3.8780957632960744</v>
      </c>
      <c r="H43" s="17">
        <f t="shared" si="9"/>
        <v>0.16913980092726955</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10.203462278684793</v>
      </c>
      <c r="E44" s="525">
        <f>E11/E30</f>
        <v>8.7248907985220825</v>
      </c>
      <c r="F44" s="525">
        <f>F11/F30</f>
        <v>9.1268535934130472</v>
      </c>
      <c r="G44" s="525">
        <f>G11/G30</f>
        <v>7.4822886967981042</v>
      </c>
      <c r="H44" s="17">
        <f t="shared" si="9"/>
        <v>0.10893059946653949</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5.8552358192101243E-2</v>
      </c>
      <c r="E45" s="248">
        <f>E31/E11</f>
        <v>7.1891421984342188E-2</v>
      </c>
      <c r="F45" s="248">
        <f>F31/F11</f>
        <v>9.2392614700438469E-2</v>
      </c>
      <c r="G45" s="248">
        <f>G31/G11</f>
        <v>0.11706682722475864</v>
      </c>
      <c r="H45" s="17">
        <f t="shared" si="9"/>
        <v>0.25978515300870919</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5.8552358192101243E-2</v>
      </c>
      <c r="E46" s="248">
        <f>(E31+E32)/E11</f>
        <v>7.1891421984342188E-2</v>
      </c>
      <c r="F46" s="248">
        <f>(F31+F32)/F11</f>
        <v>9.2392614700438469E-2</v>
      </c>
      <c r="G46" s="248">
        <f>(G31+G32)/G11</f>
        <v>0.11706682722475864</v>
      </c>
      <c r="H46" s="279">
        <f>((G31+G32)/(D31+D32))^(1/3)-1</f>
        <v>0.25978515300870919</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0.16135489114146492</v>
      </c>
      <c r="E47" s="248">
        <f>1/E43</f>
        <v>0.21743697727604708</v>
      </c>
      <c r="F47" s="248">
        <f>1/F43</f>
        <v>0.23783838294450693</v>
      </c>
      <c r="G47" s="248">
        <f>1/G43</f>
        <v>0.257858511247819</v>
      </c>
      <c r="H47" s="17">
        <f>H29</f>
        <v>0.16913980092726955</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0.36287935108683222</v>
      </c>
      <c r="E48" s="305">
        <f>E31/E29</f>
        <v>0.33063107703650813</v>
      </c>
      <c r="F48" s="305">
        <f>F31/F29</f>
        <v>0.38846805783234645</v>
      </c>
      <c r="G48" s="305">
        <f>G31/G29</f>
        <v>0.45399636668285004</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3" tint="0.79998168889431442"/>
    <pageSetUpPr autoPageBreaks="0" fitToPage="1"/>
  </sheetPr>
  <dimension ref="A1:BG190"/>
  <sheetViews>
    <sheetView showGridLines="0" zoomScale="80" zoomScaleNormal="80" zoomScaleSheetLayoutView="70" workbookViewId="0"/>
  </sheetViews>
  <sheetFormatPr defaultColWidth="9.109375" defaultRowHeight="12"/>
  <cols>
    <col min="1" max="1" width="2.33203125" style="39" customWidth="1"/>
    <col min="2" max="2" width="33.33203125" style="39" customWidth="1"/>
    <col min="3" max="5" width="11.109375" style="40" customWidth="1"/>
    <col min="6" max="6" width="11.109375" style="39" customWidth="1"/>
    <col min="7" max="8" width="11" style="5" customWidth="1"/>
    <col min="9" max="10" width="11" style="39" customWidth="1"/>
    <col min="11" max="11" width="11" style="5" customWidth="1"/>
    <col min="12" max="17" width="11" style="39" customWidth="1"/>
    <col min="18" max="18" width="6" style="39" customWidth="1"/>
    <col min="19" max="59" width="9.109375" style="5"/>
    <col min="60" max="16384" width="9.109375" style="39"/>
  </cols>
  <sheetData>
    <row r="1" spans="1:22" s="80" customFormat="1">
      <c r="A1" s="621"/>
      <c r="C1" s="81"/>
      <c r="D1" s="81"/>
      <c r="E1" s="81"/>
    </row>
    <row r="2" spans="1:22" s="80" customFormat="1">
      <c r="C2" s="81"/>
      <c r="D2" s="81"/>
      <c r="E2" s="81"/>
    </row>
    <row r="3" spans="1:22" s="80" customFormat="1">
      <c r="C3" s="81"/>
      <c r="D3" s="81"/>
      <c r="E3" s="81"/>
    </row>
    <row r="4" spans="1:22" s="128" customFormat="1" ht="21">
      <c r="B4" s="129" t="s">
        <v>586</v>
      </c>
      <c r="C4" s="130"/>
      <c r="D4" s="130"/>
      <c r="E4" s="130"/>
    </row>
    <row r="5" spans="1:22" s="131" customFormat="1">
      <c r="B5" s="132"/>
      <c r="C5" s="133"/>
      <c r="D5" s="133"/>
      <c r="E5" s="133"/>
    </row>
    <row r="6" spans="1:22" s="1" customFormat="1">
      <c r="C6" s="2"/>
      <c r="D6" s="2"/>
      <c r="E6" s="2"/>
      <c r="I6" s="3"/>
      <c r="L6" s="3"/>
    </row>
    <row r="7" spans="1:22" s="1" customFormat="1">
      <c r="B7" s="113" t="s">
        <v>352</v>
      </c>
      <c r="C7" s="114" t="s">
        <v>459</v>
      </c>
      <c r="D7" s="114" t="s">
        <v>55</v>
      </c>
      <c r="E7" s="608" t="s">
        <v>56</v>
      </c>
      <c r="F7" s="115" t="s">
        <v>58</v>
      </c>
      <c r="H7" s="86"/>
      <c r="I7" s="87" t="s">
        <v>459</v>
      </c>
      <c r="J7" s="86"/>
      <c r="K7" s="86"/>
      <c r="L7" s="87" t="s">
        <v>459</v>
      </c>
      <c r="P7" s="4"/>
      <c r="S7" s="5"/>
      <c r="T7" s="5"/>
    </row>
    <row r="8" spans="1:22" s="1" customFormat="1">
      <c r="B8" s="39" t="s">
        <v>182</v>
      </c>
      <c r="C8" s="109">
        <v>143.94999999999999</v>
      </c>
      <c r="D8" s="110" t="s">
        <v>57</v>
      </c>
      <c r="E8" s="109">
        <v>230</v>
      </c>
      <c r="F8" s="6">
        <f t="shared" ref="F8:F13" si="0">IFERROR(E8/C8-1,"-")</f>
        <v>0.59777700590482818</v>
      </c>
      <c r="H8" s="86" t="s">
        <v>218</v>
      </c>
      <c r="I8" s="86" t="e">
        <f ca="1">BDP($H8,"PX_LAST")</f>
        <v>#NAME?</v>
      </c>
      <c r="J8" s="86"/>
      <c r="K8" s="88" t="s">
        <v>1219</v>
      </c>
      <c r="L8" s="89" cm="1">
        <f t="array" ref="L8">_xll.FDS($K8,"FG_PRICE")*100</f>
        <v>143.94999999999999</v>
      </c>
      <c r="M8" s="7"/>
      <c r="S8" s="5"/>
      <c r="T8" s="5"/>
    </row>
    <row r="9" spans="1:22" s="1" customFormat="1">
      <c r="B9" s="39" t="s">
        <v>183</v>
      </c>
      <c r="C9" s="110">
        <v>26.13</v>
      </c>
      <c r="D9" s="110" t="s">
        <v>57</v>
      </c>
      <c r="E9" s="110">
        <v>33</v>
      </c>
      <c r="F9" s="6">
        <f t="shared" si="0"/>
        <v>0.26291618828932273</v>
      </c>
      <c r="H9" s="86" t="s">
        <v>219</v>
      </c>
      <c r="I9" s="86" t="e">
        <f t="shared" ref="I9:I17" ca="1" si="1">BDP($H9,"PX_LAST")</f>
        <v>#NAME?</v>
      </c>
      <c r="J9" s="86"/>
      <c r="K9" s="86" t="s">
        <v>1220</v>
      </c>
      <c r="L9" s="90" cm="1">
        <f t="array" ref="L9">_xll.FDS($K9,"FG_PRICE")</f>
        <v>26.13</v>
      </c>
      <c r="M9" s="7"/>
      <c r="S9" s="5"/>
      <c r="T9" s="5"/>
    </row>
    <row r="10" spans="1:22" s="1" customFormat="1">
      <c r="B10" s="39" t="s">
        <v>453</v>
      </c>
      <c r="C10" s="110">
        <v>3.746</v>
      </c>
      <c r="D10" s="110" t="s">
        <v>60</v>
      </c>
      <c r="E10" s="110">
        <v>3.8</v>
      </c>
      <c r="F10" s="6">
        <f t="shared" si="0"/>
        <v>1.4415376401494928E-2</v>
      </c>
      <c r="H10" s="86" t="s">
        <v>497</v>
      </c>
      <c r="I10" s="86" t="e">
        <f t="shared" ca="1" si="1"/>
        <v>#NAME?</v>
      </c>
      <c r="J10" s="86"/>
      <c r="K10" s="86" t="s">
        <v>1221</v>
      </c>
      <c r="L10" s="90" cm="1">
        <f t="array" ref="L10">_xll.FDS($K10,"FG_PRICE")</f>
        <v>3.746</v>
      </c>
      <c r="M10" s="7"/>
      <c r="R10" s="8"/>
      <c r="S10" s="5"/>
      <c r="T10" s="5"/>
    </row>
    <row r="11" spans="1:22" s="1" customFormat="1">
      <c r="B11" s="39" t="s">
        <v>722</v>
      </c>
      <c r="C11" s="110">
        <v>10.72</v>
      </c>
      <c r="D11" s="110" t="s">
        <v>57</v>
      </c>
      <c r="E11" s="110">
        <v>14</v>
      </c>
      <c r="F11" s="6">
        <f t="shared" si="0"/>
        <v>0.30597014925373123</v>
      </c>
      <c r="H11" s="86" t="s">
        <v>905</v>
      </c>
      <c r="I11" s="86" t="e">
        <f t="shared" ca="1" si="1"/>
        <v>#NAME?</v>
      </c>
      <c r="J11" s="86"/>
      <c r="K11" s="86" t="s">
        <v>1222</v>
      </c>
      <c r="L11" s="90" cm="1">
        <f t="array" ref="L11">_xll.FDS($K11,"FG_PRICE")</f>
        <v>10.72</v>
      </c>
      <c r="M11" s="7"/>
      <c r="R11" s="8"/>
      <c r="S11" s="5"/>
      <c r="T11" s="5"/>
    </row>
    <row r="12" spans="1:22" s="1" customFormat="1">
      <c r="B12" s="39" t="s">
        <v>454</v>
      </c>
      <c r="C12" s="110">
        <v>15.08</v>
      </c>
      <c r="D12" s="110" t="s">
        <v>57</v>
      </c>
      <c r="E12" s="110">
        <v>18.5</v>
      </c>
      <c r="F12" s="6">
        <f t="shared" si="0"/>
        <v>0.22679045092838201</v>
      </c>
      <c r="H12" s="86" t="s">
        <v>498</v>
      </c>
      <c r="I12" s="86" t="e">
        <f t="shared" ca="1" si="1"/>
        <v>#NAME?</v>
      </c>
      <c r="J12" s="86"/>
      <c r="K12" s="86" t="s">
        <v>1229</v>
      </c>
      <c r="L12" s="90" cm="1">
        <f t="array" ref="L12">_xll.FDS($K12,"FG_PRICE")</f>
        <v>15.08</v>
      </c>
      <c r="M12" s="7"/>
      <c r="N12" s="9"/>
      <c r="S12" s="5"/>
      <c r="T12" s="5"/>
    </row>
    <row r="13" spans="1:22" s="1" customFormat="1">
      <c r="B13" s="39" t="s">
        <v>809</v>
      </c>
      <c r="C13" s="110">
        <v>6.82</v>
      </c>
      <c r="D13" s="110" t="s">
        <v>60</v>
      </c>
      <c r="E13" s="110">
        <v>9.5</v>
      </c>
      <c r="F13" s="6">
        <f t="shared" si="0"/>
        <v>0.39296187683284445</v>
      </c>
      <c r="H13" s="86" t="s">
        <v>808</v>
      </c>
      <c r="I13" s="86" t="e">
        <f t="shared" ca="1" si="1"/>
        <v>#NAME?</v>
      </c>
      <c r="J13" s="86" t="s">
        <v>688</v>
      </c>
      <c r="K13" s="88" t="s">
        <v>1401</v>
      </c>
      <c r="L13" s="90" cm="1">
        <f t="array" ref="L13">_xll.FDS($K13,"FG_PRICE")</f>
        <v>6.82</v>
      </c>
      <c r="M13" s="7"/>
      <c r="S13" s="10"/>
      <c r="T13" s="5"/>
      <c r="U13" s="11"/>
      <c r="V13" s="11"/>
    </row>
    <row r="14" spans="1:22" s="1" customFormat="1">
      <c r="B14" s="39" t="s">
        <v>458</v>
      </c>
      <c r="C14" s="109">
        <v>549</v>
      </c>
      <c r="D14" s="110" t="s">
        <v>60</v>
      </c>
      <c r="E14" s="109">
        <v>600</v>
      </c>
      <c r="F14" s="6">
        <f t="shared" ref="F14" si="2">IFERROR(E14/C14-1,"-")</f>
        <v>9.2896174863388081E-2</v>
      </c>
      <c r="H14" s="86" t="s">
        <v>990</v>
      </c>
      <c r="I14" s="86" t="e">
        <f t="shared" ca="1" si="1"/>
        <v>#NAME?</v>
      </c>
      <c r="J14" s="86"/>
      <c r="K14" s="86" t="s">
        <v>1223</v>
      </c>
      <c r="L14" s="90" cm="1">
        <f t="array" ref="L14">_xll.FDS($K14,"FG_PRICE")</f>
        <v>549</v>
      </c>
      <c r="M14" s="7"/>
      <c r="S14" s="10"/>
      <c r="T14" s="5"/>
      <c r="U14" s="11"/>
      <c r="V14" s="11"/>
    </row>
    <row r="15" spans="1:22" s="1" customFormat="1">
      <c r="B15" s="39" t="s">
        <v>281</v>
      </c>
      <c r="C15" s="111">
        <v>0.2361</v>
      </c>
      <c r="D15" s="110" t="s">
        <v>57</v>
      </c>
      <c r="E15" s="111">
        <v>0.34</v>
      </c>
      <c r="F15" s="6">
        <f t="shared" ref="F15:F19" si="3">IFERROR(E15/C15-1,"-")</f>
        <v>0.44006776789495983</v>
      </c>
      <c r="H15" s="86" t="s">
        <v>500</v>
      </c>
      <c r="I15" s="86" t="e">
        <f t="shared" ca="1" si="1"/>
        <v>#NAME?</v>
      </c>
      <c r="J15" s="86"/>
      <c r="K15" s="86" t="s">
        <v>1224</v>
      </c>
      <c r="L15" s="90" cm="1">
        <f t="array" ref="L15">_xll.FDS($K15,"FG_PRICE")</f>
        <v>0.2361</v>
      </c>
      <c r="M15" s="7"/>
      <c r="S15" s="10"/>
      <c r="T15" s="5"/>
      <c r="U15" s="11"/>
      <c r="V15" s="11"/>
    </row>
    <row r="16" spans="1:22" s="1" customFormat="1">
      <c r="B16" s="39" t="s">
        <v>282</v>
      </c>
      <c r="C16" s="111">
        <v>0.26250000000000001</v>
      </c>
      <c r="D16" s="110" t="s">
        <v>57</v>
      </c>
      <c r="E16" s="111">
        <v>0.34</v>
      </c>
      <c r="F16" s="6">
        <f t="shared" si="3"/>
        <v>0.2952380952380953</v>
      </c>
      <c r="H16" s="86" t="s">
        <v>672</v>
      </c>
      <c r="I16" s="86" t="e">
        <f t="shared" ca="1" si="1"/>
        <v>#NAME?</v>
      </c>
      <c r="J16" s="86"/>
      <c r="K16" s="86" t="s">
        <v>1225</v>
      </c>
      <c r="L16" s="90" cm="1">
        <f t="array" ref="L16">_xll.FDS($K16,"FG_PRICE")</f>
        <v>0.26250000000000001</v>
      </c>
      <c r="M16" s="7"/>
      <c r="S16" s="5"/>
      <c r="T16" s="5"/>
    </row>
    <row r="17" spans="2:38" s="1" customFormat="1">
      <c r="B17" s="39" t="s">
        <v>456</v>
      </c>
      <c r="C17" s="110">
        <v>4.2130000000000001</v>
      </c>
      <c r="D17" s="110" t="s">
        <v>60</v>
      </c>
      <c r="E17" s="110">
        <v>4.3</v>
      </c>
      <c r="F17" s="6">
        <f t="shared" si="3"/>
        <v>2.065036790885344E-2</v>
      </c>
      <c r="H17" s="86" t="s">
        <v>381</v>
      </c>
      <c r="I17" s="86" t="e">
        <f t="shared" ca="1" si="1"/>
        <v>#NAME?</v>
      </c>
      <c r="J17" s="86"/>
      <c r="K17" s="86" t="s">
        <v>1226</v>
      </c>
      <c r="L17" s="90" cm="1">
        <f t="array" ref="L17">_xll.FDS($K17,"FG_PRICE")</f>
        <v>4.2130000000000001</v>
      </c>
      <c r="M17" s="7"/>
      <c r="S17" s="5"/>
      <c r="T17" s="5"/>
    </row>
    <row r="18" spans="2:38" s="1" customFormat="1">
      <c r="B18" s="39" t="s">
        <v>457</v>
      </c>
      <c r="C18" s="109">
        <v>134.80000000000001</v>
      </c>
      <c r="D18" s="110" t="s">
        <v>57</v>
      </c>
      <c r="E18" s="109">
        <v>138</v>
      </c>
      <c r="F18" s="6">
        <f t="shared" si="3"/>
        <v>2.3738872403560762E-2</v>
      </c>
      <c r="H18" s="86" t="s">
        <v>382</v>
      </c>
      <c r="I18" s="86" t="e">
        <f t="shared" ref="I18:I19" ca="1" si="4">BDP($H18,"PX_LAST")</f>
        <v>#NAME?</v>
      </c>
      <c r="J18" s="86"/>
      <c r="K18" s="86" t="s">
        <v>1227</v>
      </c>
      <c r="L18" s="90" cm="1">
        <f t="array" ref="L18">_xll.FDS($K18,"FG_PRICE")</f>
        <v>134.80000000000001</v>
      </c>
      <c r="M18" s="7"/>
      <c r="S18" s="5"/>
      <c r="T18" s="5"/>
    </row>
    <row r="19" spans="2:38" s="1" customFormat="1">
      <c r="B19" s="39" t="s">
        <v>1030</v>
      </c>
      <c r="C19" s="110">
        <v>33.42</v>
      </c>
      <c r="D19" s="110" t="s">
        <v>57</v>
      </c>
      <c r="E19" s="110">
        <v>33</v>
      </c>
      <c r="F19" s="6">
        <f t="shared" si="3"/>
        <v>-1.2567324955116699E-2</v>
      </c>
      <c r="H19" s="86" t="s">
        <v>994</v>
      </c>
      <c r="I19" s="86" t="e">
        <f t="shared" ca="1" si="4"/>
        <v>#NAME?</v>
      </c>
      <c r="J19" s="86"/>
      <c r="K19" s="86" t="s">
        <v>1228</v>
      </c>
      <c r="L19" s="90" cm="1">
        <f t="array" ref="L19">_xll.FDS($K19,"FG_PRICE")</f>
        <v>33.42</v>
      </c>
      <c r="M19" s="7"/>
      <c r="S19" s="5"/>
      <c r="T19" s="5"/>
    </row>
    <row r="20" spans="2:38" s="1" customFormat="1">
      <c r="C20" s="2"/>
      <c r="H20" s="86"/>
      <c r="I20" s="86"/>
      <c r="J20" s="91"/>
      <c r="K20" s="86"/>
      <c r="L20" s="86"/>
      <c r="M20" s="7"/>
      <c r="S20" s="5"/>
      <c r="T20" s="5"/>
    </row>
    <row r="21" spans="2:38" s="1" customFormat="1">
      <c r="B21" s="113" t="s">
        <v>1383</v>
      </c>
      <c r="C21" s="114" t="s">
        <v>459</v>
      </c>
      <c r="D21" s="114" t="s">
        <v>55</v>
      </c>
      <c r="E21" s="608" t="s">
        <v>56</v>
      </c>
      <c r="F21" s="115" t="s">
        <v>58</v>
      </c>
      <c r="H21" s="86"/>
      <c r="I21" s="87" t="s">
        <v>459</v>
      </c>
      <c r="J21" s="91"/>
      <c r="K21" s="92"/>
      <c r="L21" s="93" t="s">
        <v>459</v>
      </c>
      <c r="M21" s="7"/>
      <c r="S21" s="5"/>
      <c r="T21" s="5"/>
    </row>
    <row r="22" spans="2:38" s="1" customFormat="1">
      <c r="B22" s="39" t="s">
        <v>1369</v>
      </c>
      <c r="C22" s="110">
        <v>14.02</v>
      </c>
      <c r="D22" s="110" t="s">
        <v>57</v>
      </c>
      <c r="E22" s="110">
        <v>26</v>
      </c>
      <c r="F22" s="6">
        <f>IFERROR(E22/C22-1,"-")</f>
        <v>0.85449358059914404</v>
      </c>
      <c r="H22" s="86" t="s">
        <v>893</v>
      </c>
      <c r="I22" s="86" t="e">
        <f ca="1">BDP($H22,"PX_LAST")</f>
        <v>#NAME?</v>
      </c>
      <c r="J22" s="86"/>
      <c r="K22" s="92" t="s">
        <v>1370</v>
      </c>
      <c r="L22" s="90" cm="1">
        <f t="array" ref="L22">_xll.FDS($K22,"FG_PRICE")</f>
        <v>14.02</v>
      </c>
      <c r="M22" s="7"/>
      <c r="N22" s="9"/>
      <c r="S22" s="5"/>
      <c r="T22" s="5"/>
    </row>
    <row r="23" spans="2:38" s="1" customFormat="1">
      <c r="B23" s="39" t="s">
        <v>349</v>
      </c>
      <c r="C23" s="109">
        <v>46.56</v>
      </c>
      <c r="D23" s="110" t="s">
        <v>60</v>
      </c>
      <c r="E23" s="110">
        <v>53</v>
      </c>
      <c r="F23" s="6">
        <f t="shared" ref="F23:F32" si="5">IFERROR(E23/C23-1,"-")</f>
        <v>0.13831615120274909</v>
      </c>
      <c r="H23" s="86" t="s">
        <v>906</v>
      </c>
      <c r="I23" s="86" t="e">
        <f t="shared" ref="I23:I32" ca="1" si="6">BDP($H23,"PX_LAST")</f>
        <v>#NAME?</v>
      </c>
      <c r="J23" s="42"/>
      <c r="K23" s="86" t="s">
        <v>1230</v>
      </c>
      <c r="L23" s="90" cm="1">
        <f t="array" ref="L23">_xll.FDS($K23,"FG_PRICE")</f>
        <v>46.56</v>
      </c>
      <c r="M23" s="7"/>
      <c r="S23" s="5"/>
      <c r="T23" s="5"/>
    </row>
    <row r="24" spans="2:38" s="1" customFormat="1">
      <c r="B24" s="39" t="s">
        <v>396</v>
      </c>
      <c r="C24" s="110">
        <v>20.29</v>
      </c>
      <c r="D24" s="110" t="s">
        <v>60</v>
      </c>
      <c r="E24" s="112">
        <v>23</v>
      </c>
      <c r="F24" s="6">
        <f t="shared" ref="F24:F26" si="7">IFERROR(E24/C24-1,"-")</f>
        <v>0.13356333169048806</v>
      </c>
      <c r="H24" s="86" t="s">
        <v>161</v>
      </c>
      <c r="I24" s="86" t="e">
        <f ca="1">BDP($H24,"PX_LAST")</f>
        <v>#NAME?</v>
      </c>
      <c r="J24" s="86"/>
      <c r="K24" s="86" t="s">
        <v>1236</v>
      </c>
      <c r="L24" s="90" cm="1">
        <f t="array" ref="L24">_xll.FDS($K24,"FG_PRICE")</f>
        <v>20.29</v>
      </c>
      <c r="M24" s="7"/>
      <c r="S24" s="5"/>
      <c r="T24" s="5"/>
    </row>
    <row r="25" spans="2:38" s="1" customFormat="1">
      <c r="B25" s="39" t="s">
        <v>397</v>
      </c>
      <c r="C25" s="110">
        <v>20.695</v>
      </c>
      <c r="D25" s="110" t="s">
        <v>60</v>
      </c>
      <c r="E25" s="112">
        <v>23</v>
      </c>
      <c r="F25" s="6">
        <f t="shared" si="7"/>
        <v>0.11137956028026097</v>
      </c>
      <c r="H25" s="86" t="s">
        <v>674</v>
      </c>
      <c r="I25" s="86" t="e">
        <f ca="1">BDP($H25,"PX_LAST")</f>
        <v>#NAME?</v>
      </c>
      <c r="J25" s="86"/>
      <c r="K25" s="86" t="s">
        <v>1237</v>
      </c>
      <c r="L25" s="90" cm="1">
        <f t="array" ref="L25">_xll.FDS($K25,"FG_PRICE")</f>
        <v>20.695</v>
      </c>
      <c r="M25" s="7"/>
      <c r="N25" s="9"/>
      <c r="O25" s="9"/>
      <c r="P25" s="9"/>
      <c r="S25" s="10"/>
      <c r="T25" s="10"/>
      <c r="U25" s="11"/>
      <c r="V25" s="11"/>
    </row>
    <row r="26" spans="2:38" s="1" customFormat="1">
      <c r="B26" s="39" t="s">
        <v>423</v>
      </c>
      <c r="C26" s="110">
        <v>20.66</v>
      </c>
      <c r="D26" s="110" t="s">
        <v>60</v>
      </c>
      <c r="E26" s="112">
        <v>23</v>
      </c>
      <c r="F26" s="6">
        <f t="shared" si="7"/>
        <v>0.11326234269119073</v>
      </c>
      <c r="H26" s="86" t="s">
        <v>953</v>
      </c>
      <c r="I26" s="86" t="e">
        <f ca="1">BDP($H26,"PX_LAST")</f>
        <v>#NAME?</v>
      </c>
      <c r="J26" s="86"/>
      <c r="K26" s="86" t="s">
        <v>1238</v>
      </c>
      <c r="L26" s="90" cm="1">
        <f t="array" ref="L26">_xll.FDS($K26,"FG_PRICE")</f>
        <v>20.66</v>
      </c>
      <c r="M26" s="7"/>
      <c r="S26" s="10"/>
      <c r="T26" s="10"/>
      <c r="U26" s="11"/>
      <c r="V26" s="11"/>
    </row>
    <row r="27" spans="2:38" s="1" customFormat="1">
      <c r="B27" s="39" t="s">
        <v>762</v>
      </c>
      <c r="C27" s="110">
        <v>3.5750000000000002</v>
      </c>
      <c r="D27" s="110" t="s">
        <v>60</v>
      </c>
      <c r="E27" s="110">
        <v>3.7</v>
      </c>
      <c r="F27" s="6">
        <f>IFERROR(E27/C27-1,"-")</f>
        <v>3.4965034965035002E-2</v>
      </c>
      <c r="H27" s="86" t="s">
        <v>759</v>
      </c>
      <c r="I27" s="86" t="e">
        <f ca="1">BDP($H27,"PX_LAST")</f>
        <v>#NAME?</v>
      </c>
      <c r="J27" s="86"/>
      <c r="K27" s="86" t="s">
        <v>1239</v>
      </c>
      <c r="L27" s="90" cm="1">
        <f t="array" ref="L27">_xll.FDS($K27,"FG_PRICE")</f>
        <v>3.5750000000000002</v>
      </c>
      <c r="M27" s="7"/>
      <c r="P27" s="9"/>
      <c r="Q27" s="9"/>
      <c r="R27" s="9"/>
      <c r="S27" s="10"/>
      <c r="T27" s="10"/>
      <c r="U27" s="11"/>
      <c r="V27" s="11"/>
    </row>
    <row r="28" spans="2:38" s="1" customFormat="1">
      <c r="B28" s="39" t="s">
        <v>908</v>
      </c>
      <c r="C28" s="110">
        <v>14.8</v>
      </c>
      <c r="D28" s="110" t="s">
        <v>60</v>
      </c>
      <c r="E28" s="110">
        <v>15</v>
      </c>
      <c r="F28" s="6">
        <f>IFERROR(E28/C28-1,"-")</f>
        <v>1.3513513513513375E-2</v>
      </c>
      <c r="H28" s="86" t="s">
        <v>904</v>
      </c>
      <c r="I28" s="86" t="e">
        <f ca="1">BDP($H28,"PX_LAST")</f>
        <v>#NAME?</v>
      </c>
      <c r="J28" s="42"/>
      <c r="K28" s="92" t="s">
        <v>1233</v>
      </c>
      <c r="L28" s="90" cm="1">
        <f t="array" ref="L28">_xll.FDS($K28,"FG_PRICE")</f>
        <v>14.8</v>
      </c>
      <c r="M28" s="7"/>
      <c r="S28" s="5"/>
      <c r="T28" s="5"/>
    </row>
    <row r="29" spans="2:38" s="1" customFormat="1">
      <c r="B29" s="39" t="s">
        <v>117</v>
      </c>
      <c r="C29" s="109">
        <v>118</v>
      </c>
      <c r="D29" s="110" t="s">
        <v>60</v>
      </c>
      <c r="E29" s="109">
        <v>109</v>
      </c>
      <c r="F29" s="6">
        <f t="shared" si="5"/>
        <v>-7.6271186440677985E-2</v>
      </c>
      <c r="H29" s="86" t="s">
        <v>191</v>
      </c>
      <c r="I29" s="86" t="e">
        <f t="shared" ca="1" si="6"/>
        <v>#NAME?</v>
      </c>
      <c r="J29" s="42"/>
      <c r="K29" s="92" t="s">
        <v>1232</v>
      </c>
      <c r="L29" s="90" cm="1">
        <f t="array" ref="L29">_xll.FDS($K29,"FG_PRICE")</f>
        <v>118</v>
      </c>
      <c r="M29" s="7"/>
      <c r="S29" s="5"/>
      <c r="T29" s="5"/>
    </row>
    <row r="30" spans="2:38" s="1" customFormat="1">
      <c r="B30" s="39" t="s">
        <v>118</v>
      </c>
      <c r="C30" s="109">
        <v>117.65</v>
      </c>
      <c r="D30" s="110" t="s">
        <v>60</v>
      </c>
      <c r="E30" s="109">
        <v>109</v>
      </c>
      <c r="F30" s="6">
        <f t="shared" si="5"/>
        <v>-7.3523161920951985E-2</v>
      </c>
      <c r="H30" s="86" t="s">
        <v>673</v>
      </c>
      <c r="I30" s="86" t="e">
        <f t="shared" ca="1" si="6"/>
        <v>#NAME?</v>
      </c>
      <c r="J30" s="42"/>
      <c r="K30" s="92" t="s">
        <v>1231</v>
      </c>
      <c r="L30" s="90" cm="1">
        <f t="array" ref="L30">_xll.FDS($K30,"FG_PRICE")</f>
        <v>117.65</v>
      </c>
      <c r="M30" s="7"/>
      <c r="S30" s="5"/>
      <c r="T30" s="5"/>
    </row>
    <row r="31" spans="2:38" s="1" customFormat="1">
      <c r="B31" s="39" t="s">
        <v>890</v>
      </c>
      <c r="C31" s="110">
        <v>19.059999999999999</v>
      </c>
      <c r="D31" s="110" t="s">
        <v>57</v>
      </c>
      <c r="E31" s="110">
        <v>28</v>
      </c>
      <c r="F31" s="6">
        <f t="shared" ref="F31" si="8">IFERROR(E31/C31-1,"-")</f>
        <v>0.46904512067156356</v>
      </c>
      <c r="H31" s="86" t="s">
        <v>891</v>
      </c>
      <c r="I31" s="86" t="e">
        <f ca="1">BDP($H31,"PX_LAST")</f>
        <v>#NAME?</v>
      </c>
      <c r="J31" s="86"/>
      <c r="K31" s="92" t="s">
        <v>1235</v>
      </c>
      <c r="L31" s="90" cm="1">
        <f t="array" ref="L31">_xll.FDS($K31,"FG_PRICE")</f>
        <v>19.059999999999999</v>
      </c>
      <c r="M31" s="7"/>
      <c r="S31" s="10"/>
      <c r="T31" s="10"/>
      <c r="U31" s="11"/>
      <c r="V31" s="11"/>
      <c r="Y31" s="11"/>
      <c r="Z31" s="11"/>
      <c r="AA31" s="11"/>
      <c r="AB31" s="11"/>
      <c r="AD31" s="11"/>
      <c r="AE31" s="11"/>
      <c r="AF31" s="11"/>
      <c r="AG31" s="11"/>
      <c r="AI31" s="11"/>
      <c r="AJ31" s="11"/>
      <c r="AK31" s="11"/>
      <c r="AL31" s="11"/>
    </row>
    <row r="32" spans="2:38" s="1" customFormat="1">
      <c r="B32" s="39" t="s">
        <v>276</v>
      </c>
      <c r="C32" s="109">
        <v>77.44</v>
      </c>
      <c r="D32" s="110" t="s">
        <v>57</v>
      </c>
      <c r="E32" s="109">
        <v>140</v>
      </c>
      <c r="F32" s="6">
        <f t="shared" si="5"/>
        <v>0.80785123966942152</v>
      </c>
      <c r="H32" s="86" t="s">
        <v>190</v>
      </c>
      <c r="I32" s="86" t="e">
        <f t="shared" ca="1" si="6"/>
        <v>#NAME?</v>
      </c>
      <c r="J32" s="94"/>
      <c r="K32" s="86" t="s">
        <v>1234</v>
      </c>
      <c r="L32" s="89" cm="1">
        <f t="array" ref="L32">_xll.FDS($K32,"FG_PRICE")*100</f>
        <v>77.44</v>
      </c>
      <c r="M32" s="7"/>
      <c r="S32" s="5"/>
      <c r="T32" s="5"/>
    </row>
    <row r="33" spans="2:24" s="1" customFormat="1">
      <c r="H33" s="86"/>
      <c r="I33" s="87"/>
      <c r="J33" s="86"/>
      <c r="K33" s="92"/>
      <c r="L33" s="93"/>
      <c r="M33" s="7"/>
      <c r="S33" s="5"/>
      <c r="T33" s="5"/>
    </row>
    <row r="34" spans="2:24" s="1" customFormat="1">
      <c r="B34" s="113" t="s">
        <v>848</v>
      </c>
      <c r="C34" s="114" t="s">
        <v>459</v>
      </c>
      <c r="D34" s="114" t="s">
        <v>55</v>
      </c>
      <c r="E34" s="608" t="s">
        <v>56</v>
      </c>
      <c r="F34" s="115" t="s">
        <v>58</v>
      </c>
      <c r="H34" s="86"/>
      <c r="I34" s="87" t="s">
        <v>459</v>
      </c>
      <c r="J34" s="86"/>
      <c r="K34" s="86"/>
      <c r="L34" s="87" t="s">
        <v>459</v>
      </c>
      <c r="M34" s="7"/>
      <c r="S34" s="5"/>
      <c r="T34" s="5"/>
      <c r="W34" s="7"/>
      <c r="X34" s="7"/>
    </row>
    <row r="35" spans="2:24" s="1" customFormat="1">
      <c r="B35" s="39" t="s">
        <v>843</v>
      </c>
      <c r="C35" s="110">
        <v>35.700000000000003</v>
      </c>
      <c r="D35" s="110" t="s">
        <v>60</v>
      </c>
      <c r="E35" s="110">
        <v>31</v>
      </c>
      <c r="F35" s="6">
        <f t="shared" ref="F35" si="9">IFERROR(E35/C35-1,"-")</f>
        <v>-0.13165266106442586</v>
      </c>
      <c r="H35" s="86" t="s">
        <v>849</v>
      </c>
      <c r="I35" s="86" t="e">
        <f t="shared" ref="I35:I36" ca="1" si="10">BDP($H35,"PX_LAST")</f>
        <v>#NAME?</v>
      </c>
      <c r="J35" s="86"/>
      <c r="K35" s="86" t="s">
        <v>1240</v>
      </c>
      <c r="L35" s="90" cm="1">
        <f t="array" ref="L35">_xll.FDS($K35,"FG_PRICE")</f>
        <v>35.700000000000003</v>
      </c>
      <c r="M35" s="7"/>
      <c r="S35" s="5"/>
      <c r="T35" s="5"/>
      <c r="W35" s="7"/>
      <c r="X35" s="7"/>
    </row>
    <row r="36" spans="2:24" s="1" customFormat="1">
      <c r="B36" s="39" t="s">
        <v>841</v>
      </c>
      <c r="C36" s="110">
        <v>11.06</v>
      </c>
      <c r="D36" s="110" t="s">
        <v>60</v>
      </c>
      <c r="E36" s="110">
        <v>12</v>
      </c>
      <c r="F36" s="6">
        <f>IFERROR(E36/C36-1,"-")</f>
        <v>8.4990958408679873E-2</v>
      </c>
      <c r="H36" s="86" t="s">
        <v>850</v>
      </c>
      <c r="I36" s="86" t="e">
        <f t="shared" ca="1" si="10"/>
        <v>#NAME?</v>
      </c>
      <c r="J36" s="86"/>
      <c r="K36" s="86" t="s">
        <v>1241</v>
      </c>
      <c r="L36" s="90" cm="1">
        <f t="array" ref="L36">_xll.FDS($K36,"FG_PRICE")</f>
        <v>11.06</v>
      </c>
      <c r="M36" s="7"/>
      <c r="S36" s="5"/>
      <c r="T36" s="5"/>
      <c r="W36" s="7"/>
      <c r="X36" s="7"/>
    </row>
    <row r="37" spans="2:24" s="1" customFormat="1">
      <c r="C37" s="2"/>
      <c r="D37" s="2"/>
      <c r="E37" s="2"/>
      <c r="H37" s="86"/>
      <c r="I37" s="86"/>
      <c r="J37" s="86"/>
      <c r="K37" s="86"/>
      <c r="L37" s="86"/>
      <c r="M37" s="7"/>
      <c r="S37" s="10"/>
      <c r="T37" s="10"/>
      <c r="U37" s="11"/>
      <c r="V37" s="11"/>
    </row>
    <row r="38" spans="2:24" s="1" customFormat="1">
      <c r="B38" s="113" t="s">
        <v>67</v>
      </c>
      <c r="C38" s="114" t="s">
        <v>459</v>
      </c>
      <c r="D38" s="114" t="s">
        <v>55</v>
      </c>
      <c r="E38" s="608" t="s">
        <v>56</v>
      </c>
      <c r="F38" s="115" t="s">
        <v>58</v>
      </c>
      <c r="H38" s="86"/>
      <c r="I38" s="87" t="s">
        <v>459</v>
      </c>
      <c r="J38" s="86"/>
      <c r="K38" s="86"/>
      <c r="L38" s="87" t="s">
        <v>459</v>
      </c>
      <c r="M38" s="7"/>
      <c r="Q38" s="13"/>
      <c r="S38" s="5"/>
      <c r="T38" s="5"/>
    </row>
    <row r="39" spans="2:24" s="1" customFormat="1">
      <c r="B39" s="39" t="s">
        <v>33</v>
      </c>
      <c r="C39" s="112">
        <v>41.31</v>
      </c>
      <c r="D39" s="110" t="s">
        <v>60</v>
      </c>
      <c r="E39" s="112">
        <v>45</v>
      </c>
      <c r="F39" s="14">
        <f>IFERROR(E39/C39-1,"-")</f>
        <v>8.9324618736383421E-2</v>
      </c>
      <c r="H39" s="86" t="s">
        <v>404</v>
      </c>
      <c r="I39" s="86" t="e">
        <f ca="1">BDP($H39,"PX_LAST")</f>
        <v>#NAME?</v>
      </c>
      <c r="J39" s="86"/>
      <c r="K39" s="86" t="s">
        <v>1338</v>
      </c>
      <c r="L39" s="90" cm="1">
        <f t="array" ref="L39">_xll.FDS($K39,"FG_PRICE")</f>
        <v>41.31</v>
      </c>
      <c r="M39" s="7"/>
      <c r="O39" s="13"/>
      <c r="P39" s="13"/>
      <c r="Q39" s="13"/>
      <c r="S39" s="5"/>
      <c r="T39" s="5"/>
    </row>
    <row r="40" spans="2:24" s="1" customFormat="1">
      <c r="B40" s="39" t="s">
        <v>405</v>
      </c>
      <c r="C40" s="112">
        <v>20.65</v>
      </c>
      <c r="D40" s="110" t="s">
        <v>60</v>
      </c>
      <c r="E40" s="110">
        <v>21</v>
      </c>
      <c r="F40" s="14">
        <f>IFERROR(E40/C40-1,"-")</f>
        <v>1.6949152542373058E-2</v>
      </c>
      <c r="H40" s="86" t="s">
        <v>298</v>
      </c>
      <c r="I40" s="86" t="e">
        <f t="shared" ref="I40:I41" ca="1" si="11">BDP($H40,"PX_LAST")</f>
        <v>#NAME?</v>
      </c>
      <c r="J40" s="86"/>
      <c r="K40" s="86" t="s">
        <v>1337</v>
      </c>
      <c r="L40" s="90" cm="1">
        <f t="array" ref="L40">_xll.FDS($K40,"FG_PRICE")</f>
        <v>20.65</v>
      </c>
      <c r="M40" s="7"/>
      <c r="Q40" s="13"/>
      <c r="S40" s="5"/>
      <c r="T40" s="5"/>
    </row>
    <row r="41" spans="2:24" s="1" customFormat="1">
      <c r="B41" s="39" t="s">
        <v>687</v>
      </c>
      <c r="C41" s="112">
        <v>197.18</v>
      </c>
      <c r="D41" s="110" t="s">
        <v>57</v>
      </c>
      <c r="E41" s="112">
        <v>205</v>
      </c>
      <c r="F41" s="14">
        <f>IFERROR(E41/C41-1,"-")</f>
        <v>3.9659194644487306E-2</v>
      </c>
      <c r="H41" s="86" t="s">
        <v>716</v>
      </c>
      <c r="I41" s="86" t="e">
        <f t="shared" ca="1" si="11"/>
        <v>#NAME?</v>
      </c>
      <c r="J41" s="86"/>
      <c r="K41" s="86" t="s">
        <v>1242</v>
      </c>
      <c r="L41" s="90" cm="1">
        <f t="array" ref="L41">_xll.FDS($K41,"FG_PRICE")</f>
        <v>197.18</v>
      </c>
      <c r="M41" s="7"/>
      <c r="S41" s="5"/>
      <c r="T41" s="5"/>
    </row>
    <row r="42" spans="2:24" s="1" customFormat="1">
      <c r="H42" s="86"/>
      <c r="I42" s="86"/>
      <c r="J42" s="86"/>
      <c r="K42" s="86"/>
      <c r="L42" s="86"/>
      <c r="M42" s="7"/>
      <c r="S42" s="5"/>
      <c r="T42" s="5"/>
    </row>
    <row r="43" spans="2:24" s="1" customFormat="1">
      <c r="B43" s="113" t="s">
        <v>1607</v>
      </c>
      <c r="C43" s="114" t="s">
        <v>459</v>
      </c>
      <c r="D43" s="114" t="s">
        <v>55</v>
      </c>
      <c r="E43" s="608" t="s">
        <v>56</v>
      </c>
      <c r="F43" s="115" t="s">
        <v>58</v>
      </c>
      <c r="H43" s="86"/>
      <c r="I43" s="87" t="s">
        <v>459</v>
      </c>
      <c r="J43" s="86"/>
      <c r="K43" s="86"/>
      <c r="L43" s="87" t="s">
        <v>459</v>
      </c>
      <c r="M43" s="7"/>
      <c r="P43" s="12"/>
      <c r="Q43" s="13"/>
      <c r="S43" s="5"/>
      <c r="T43" s="5"/>
    </row>
    <row r="44" spans="2:24" s="5" customFormat="1">
      <c r="B44" s="39" t="s">
        <v>982</v>
      </c>
      <c r="C44" s="112">
        <v>2.14</v>
      </c>
      <c r="D44" s="116" t="s">
        <v>60</v>
      </c>
      <c r="E44" s="116">
        <v>4</v>
      </c>
      <c r="F44" s="14">
        <f>IFERROR(E44/C44-1,"-")</f>
        <v>0.86915887850467288</v>
      </c>
      <c r="H44" s="86" t="s">
        <v>983</v>
      </c>
      <c r="I44" s="86" t="e">
        <f ca="1">BDP($H44,"PX_LAST")</f>
        <v>#NAME?</v>
      </c>
      <c r="J44" s="42"/>
      <c r="K44" s="92" t="s">
        <v>1245</v>
      </c>
      <c r="L44" s="90" cm="1">
        <f t="array" ref="L44">_xll.FDS($K44,"FG_PRICE")</f>
        <v>2.14</v>
      </c>
      <c r="M44" s="7"/>
      <c r="P44" s="17"/>
      <c r="U44" s="1"/>
      <c r="V44" s="1"/>
    </row>
    <row r="45" spans="2:24" s="5" customFormat="1">
      <c r="B45" s="39" t="s">
        <v>306</v>
      </c>
      <c r="C45" s="117">
        <v>330.78</v>
      </c>
      <c r="D45" s="110" t="s">
        <v>57</v>
      </c>
      <c r="E45" s="117">
        <v>581</v>
      </c>
      <c r="F45" s="14">
        <f>IFERROR(E45/C45-1,"-")</f>
        <v>0.75645444101819947</v>
      </c>
      <c r="H45" s="86" t="s">
        <v>307</v>
      </c>
      <c r="I45" s="86" t="e">
        <f t="shared" ref="I45:I46" ca="1" si="12">BDP($H45,"PX_LAST")</f>
        <v>#NAME?</v>
      </c>
      <c r="J45" s="95"/>
      <c r="K45" s="92" t="s">
        <v>1243</v>
      </c>
      <c r="L45" s="90" cm="1">
        <f t="array" ref="L45">_xll.FDS($K45,"FG_PRICE")</f>
        <v>330.78</v>
      </c>
      <c r="M45" s="7"/>
      <c r="P45" s="17"/>
      <c r="Q45" s="18"/>
    </row>
    <row r="46" spans="2:24" s="5" customFormat="1">
      <c r="B46" s="39" t="s">
        <v>1604</v>
      </c>
      <c r="C46" s="112">
        <v>39.799999999999997</v>
      </c>
      <c r="D46" s="110" t="s">
        <v>57</v>
      </c>
      <c r="E46" s="112">
        <v>50</v>
      </c>
      <c r="F46" s="14">
        <f>IFERROR(E46/C46-1,"-")</f>
        <v>0.25628140703517599</v>
      </c>
      <c r="H46" s="86" t="s">
        <v>305</v>
      </c>
      <c r="I46" s="86" t="e">
        <f t="shared" ca="1" si="12"/>
        <v>#NAME?</v>
      </c>
      <c r="J46" s="96"/>
      <c r="K46" s="92" t="s">
        <v>1244</v>
      </c>
      <c r="L46" s="90" cm="1">
        <f t="array" ref="L46">_xll.FDS($K46,"FG_PRICE")</f>
        <v>39.799999999999997</v>
      </c>
      <c r="M46" s="7"/>
      <c r="P46" s="17"/>
      <c r="Q46" s="18"/>
    </row>
    <row r="47" spans="2:24" s="1" customFormat="1">
      <c r="B47" s="1" t="s">
        <v>1602</v>
      </c>
      <c r="C47" s="112">
        <v>35</v>
      </c>
      <c r="D47" s="110" t="s">
        <v>57</v>
      </c>
      <c r="E47" s="112">
        <v>54</v>
      </c>
      <c r="F47" s="14">
        <f>IFERROR(E47/C47-1,"-")</f>
        <v>0.54285714285714293</v>
      </c>
      <c r="H47" s="86"/>
      <c r="I47" s="86"/>
      <c r="J47" s="86"/>
      <c r="K47" s="92" t="s">
        <v>1606</v>
      </c>
      <c r="L47" s="90" cm="1">
        <f t="array" ref="L47">_xll.FDS($K47,"FG_PRICE")</f>
        <v>35</v>
      </c>
      <c r="M47" s="7"/>
      <c r="S47" s="5"/>
      <c r="T47" s="5"/>
    </row>
    <row r="48" spans="2:24" s="5" customFormat="1">
      <c r="B48" s="39" t="s">
        <v>1603</v>
      </c>
      <c r="C48" s="112">
        <v>22.28</v>
      </c>
      <c r="D48" s="110" t="s">
        <v>57</v>
      </c>
      <c r="E48" s="112">
        <v>100</v>
      </c>
      <c r="F48" s="14">
        <f>IFERROR(E48/C48-1,"-")</f>
        <v>3.4883303411131061</v>
      </c>
      <c r="H48" s="86"/>
      <c r="I48" s="86"/>
      <c r="J48" s="42"/>
      <c r="K48" s="92" t="s">
        <v>1605</v>
      </c>
      <c r="L48" s="90" cm="1">
        <f t="array" ref="L48">_xll.FDS($K48,"FG_PRICE")</f>
        <v>22.28</v>
      </c>
      <c r="M48" s="7"/>
      <c r="P48" s="17"/>
      <c r="Q48" s="18"/>
    </row>
    <row r="49" spans="2:21" s="5" customFormat="1">
      <c r="B49" s="1"/>
      <c r="C49" s="1"/>
      <c r="D49" s="1"/>
      <c r="E49" s="1"/>
      <c r="F49" s="1"/>
      <c r="H49" s="86"/>
      <c r="I49" s="86"/>
      <c r="J49" s="42"/>
      <c r="K49" s="86"/>
      <c r="L49" s="86"/>
      <c r="M49" s="7"/>
      <c r="P49" s="17"/>
      <c r="Q49" s="18"/>
    </row>
    <row r="50" spans="2:21" s="5" customFormat="1">
      <c r="B50" s="113" t="s">
        <v>680</v>
      </c>
      <c r="C50" s="114" t="s">
        <v>459</v>
      </c>
      <c r="D50" s="114" t="s">
        <v>55</v>
      </c>
      <c r="E50" s="608" t="s">
        <v>56</v>
      </c>
      <c r="F50" s="115" t="s">
        <v>58</v>
      </c>
      <c r="H50" s="86"/>
      <c r="I50" s="87" t="s">
        <v>459</v>
      </c>
      <c r="J50" s="42"/>
      <c r="K50" s="86"/>
      <c r="L50" s="87" t="s">
        <v>459</v>
      </c>
      <c r="M50" s="7"/>
      <c r="P50" s="17"/>
      <c r="Q50" s="18"/>
    </row>
    <row r="51" spans="2:21" s="5" customFormat="1">
      <c r="B51" s="39" t="s">
        <v>684</v>
      </c>
      <c r="C51" s="109">
        <v>233.64</v>
      </c>
      <c r="D51" s="110" t="s">
        <v>60</v>
      </c>
      <c r="E51" s="109">
        <v>239</v>
      </c>
      <c r="F51" s="14">
        <f>IFERROR(E51/C51-1,"-")</f>
        <v>2.2941277178565311E-2</v>
      </c>
      <c r="H51" s="86" t="s">
        <v>681</v>
      </c>
      <c r="I51" s="86" t="e">
        <f t="shared" ref="I51:I53" ca="1" si="13">BDP($H51,"PX_LAST")</f>
        <v>#NAME?</v>
      </c>
      <c r="J51" s="42"/>
      <c r="K51" s="92" t="s">
        <v>1246</v>
      </c>
      <c r="L51" s="90" cm="1">
        <f t="array" ref="L51">_xll.FDS($K51,"FG_PRICE")</f>
        <v>233.64</v>
      </c>
      <c r="M51" s="7"/>
      <c r="P51" s="17"/>
      <c r="Q51" s="18"/>
    </row>
    <row r="52" spans="2:21" s="1" customFormat="1">
      <c r="B52" s="39" t="s">
        <v>679</v>
      </c>
      <c r="C52" s="109">
        <v>113.87</v>
      </c>
      <c r="D52" s="110" t="s">
        <v>60</v>
      </c>
      <c r="E52" s="109">
        <v>123</v>
      </c>
      <c r="F52" s="14">
        <f>IFERROR(E52/C52-1,"-")</f>
        <v>8.0179151664178328E-2</v>
      </c>
      <c r="H52" s="86" t="s">
        <v>682</v>
      </c>
      <c r="I52" s="86" t="e">
        <f t="shared" ca="1" si="13"/>
        <v>#NAME?</v>
      </c>
      <c r="J52" s="42"/>
      <c r="K52" s="86" t="s">
        <v>1247</v>
      </c>
      <c r="L52" s="90" cm="1">
        <f t="array" ref="L52">_xll.FDS($K52,"FG_PRICE")</f>
        <v>113.87</v>
      </c>
      <c r="M52" s="7"/>
      <c r="O52" s="16"/>
      <c r="P52" s="16"/>
      <c r="S52" s="5"/>
      <c r="T52" s="5"/>
    </row>
    <row r="53" spans="2:21" s="5" customFormat="1">
      <c r="B53" s="39" t="s">
        <v>705</v>
      </c>
      <c r="C53" s="109">
        <v>233.37</v>
      </c>
      <c r="D53" s="110" t="s">
        <v>60</v>
      </c>
      <c r="E53" s="109">
        <v>244</v>
      </c>
      <c r="F53" s="14">
        <f>IFERROR(E53/C53-1,"-")</f>
        <v>4.5549985002356852E-2</v>
      </c>
      <c r="H53" s="86" t="s">
        <v>683</v>
      </c>
      <c r="I53" s="86" t="e">
        <f t="shared" ca="1" si="13"/>
        <v>#NAME?</v>
      </c>
      <c r="J53" s="42"/>
      <c r="K53" s="86" t="s">
        <v>1259</v>
      </c>
      <c r="L53" s="90" cm="1">
        <f t="array" ref="L53">_xll.FDS($K53,"FG_PRICE")</f>
        <v>233.37</v>
      </c>
      <c r="M53" s="7"/>
      <c r="P53" s="17"/>
      <c r="Q53" s="18"/>
    </row>
    <row r="54" spans="2:21" s="5" customFormat="1">
      <c r="H54" s="86"/>
      <c r="I54" s="42"/>
      <c r="J54" s="42"/>
      <c r="K54" s="86"/>
      <c r="L54" s="42"/>
      <c r="M54" s="7"/>
      <c r="P54" s="17"/>
      <c r="Q54" s="18"/>
    </row>
    <row r="55" spans="2:21" s="1" customFormat="1">
      <c r="B55" s="113" t="s">
        <v>1040</v>
      </c>
      <c r="C55" s="114" t="s">
        <v>459</v>
      </c>
      <c r="D55" s="114" t="s">
        <v>55</v>
      </c>
      <c r="E55" s="608" t="s">
        <v>56</v>
      </c>
      <c r="F55" s="115" t="s">
        <v>58</v>
      </c>
      <c r="H55" s="86"/>
      <c r="I55" s="87" t="s">
        <v>459</v>
      </c>
      <c r="J55" s="42"/>
      <c r="K55" s="86"/>
      <c r="L55" s="87" t="s">
        <v>459</v>
      </c>
      <c r="M55" s="7"/>
      <c r="N55" s="9"/>
      <c r="O55" s="20"/>
      <c r="P55" s="19"/>
      <c r="Q55" s="13"/>
      <c r="S55" s="5"/>
      <c r="T55" s="5"/>
    </row>
    <row r="56" spans="2:21" s="1" customFormat="1">
      <c r="B56" s="39" t="s">
        <v>407</v>
      </c>
      <c r="C56" s="117">
        <v>155.5</v>
      </c>
      <c r="D56" s="110" t="s">
        <v>57</v>
      </c>
      <c r="E56" s="117">
        <v>240</v>
      </c>
      <c r="F56" s="6">
        <f t="shared" ref="F56:F59" si="14">IFERROR(E56/C56-1,"-")</f>
        <v>0.54340836012861726</v>
      </c>
      <c r="H56" s="86" t="s">
        <v>677</v>
      </c>
      <c r="I56" s="86" t="e">
        <f t="shared" ref="I56:I60" ca="1" si="15">BDP($H56,"PX_LAST")</f>
        <v>#NAME?</v>
      </c>
      <c r="J56" s="86"/>
      <c r="K56" s="86" t="s">
        <v>1248</v>
      </c>
      <c r="L56" s="90" cm="1">
        <f t="array" ref="L56">_xll.FDS($K56,"FG_PRICE")</f>
        <v>155.5</v>
      </c>
      <c r="M56" s="7"/>
      <c r="S56" s="5"/>
      <c r="T56" s="5"/>
    </row>
    <row r="57" spans="2:21" s="1" customFormat="1">
      <c r="B57" s="39" t="s">
        <v>884</v>
      </c>
      <c r="C57" s="110">
        <v>3.52</v>
      </c>
      <c r="D57" s="110" t="s">
        <v>60</v>
      </c>
      <c r="E57" s="110">
        <v>5</v>
      </c>
      <c r="F57" s="6">
        <f t="shared" si="14"/>
        <v>0.42045454545454541</v>
      </c>
      <c r="H57" s="86" t="s">
        <v>885</v>
      </c>
      <c r="I57" s="86" t="e">
        <f t="shared" ca="1" si="15"/>
        <v>#NAME?</v>
      </c>
      <c r="J57" s="42"/>
      <c r="K57" s="92" t="s">
        <v>1257</v>
      </c>
      <c r="L57" s="90" cm="1">
        <f t="array" ref="L57">_xll.FDS($K57,"FG_PRICE")</f>
        <v>3.52</v>
      </c>
      <c r="M57" s="7"/>
      <c r="N57" s="23"/>
      <c r="O57" s="23"/>
      <c r="P57" s="23"/>
      <c r="Q57" s="9"/>
      <c r="S57" s="21"/>
      <c r="T57" s="21"/>
      <c r="U57" s="22"/>
    </row>
    <row r="58" spans="2:21" s="5" customFormat="1">
      <c r="B58" s="39" t="s">
        <v>211</v>
      </c>
      <c r="C58" s="112">
        <v>3.13</v>
      </c>
      <c r="D58" s="110" t="s">
        <v>57</v>
      </c>
      <c r="E58" s="112">
        <v>4.5999999999999996</v>
      </c>
      <c r="F58" s="6">
        <f t="shared" si="14"/>
        <v>0.46964856230031948</v>
      </c>
      <c r="H58" s="86" t="s">
        <v>366</v>
      </c>
      <c r="I58" s="86" t="e">
        <f t="shared" ca="1" si="15"/>
        <v>#NAME?</v>
      </c>
      <c r="J58" s="42"/>
      <c r="K58" s="92" t="s">
        <v>1258</v>
      </c>
      <c r="L58" s="90" cm="1">
        <f t="array" ref="L58">_xll.FDS($K58,"FG_PRICE")</f>
        <v>3.13</v>
      </c>
      <c r="M58" s="7"/>
      <c r="P58" s="17"/>
      <c r="Q58" s="18"/>
    </row>
    <row r="59" spans="2:21" s="5" customFormat="1">
      <c r="B59" s="39" t="s">
        <v>301</v>
      </c>
      <c r="C59" s="112">
        <v>3.93</v>
      </c>
      <c r="D59" s="110" t="s">
        <v>57</v>
      </c>
      <c r="E59" s="118">
        <v>3.5</v>
      </c>
      <c r="F59" s="6">
        <f t="shared" si="14"/>
        <v>-0.10941475826972014</v>
      </c>
      <c r="H59" s="86" t="s">
        <v>302</v>
      </c>
      <c r="I59" s="86" t="e">
        <f t="shared" ca="1" si="15"/>
        <v>#NAME?</v>
      </c>
      <c r="J59" s="42"/>
      <c r="K59" s="86" t="s">
        <v>1249</v>
      </c>
      <c r="L59" s="90" cm="1">
        <f t="array" ref="L59">_xll.FDS($K59,"FG_PRICE")</f>
        <v>3.93</v>
      </c>
      <c r="M59" s="7"/>
      <c r="P59" s="17"/>
      <c r="Q59" s="18"/>
    </row>
    <row r="60" spans="2:21" s="5" customFormat="1">
      <c r="B60" s="39" t="s">
        <v>886</v>
      </c>
      <c r="C60" s="112">
        <v>8.81</v>
      </c>
      <c r="D60" s="110" t="s">
        <v>57</v>
      </c>
      <c r="E60" s="112">
        <v>8.3000000000000007</v>
      </c>
      <c r="F60" s="6">
        <f t="shared" ref="F60" si="16">IFERROR(E60/C60-1,"-")</f>
        <v>-5.7888762769579993E-2</v>
      </c>
      <c r="H60" s="86" t="s">
        <v>1052</v>
      </c>
      <c r="I60" s="86" t="e">
        <f t="shared" ca="1" si="15"/>
        <v>#NAME?</v>
      </c>
      <c r="J60" s="42"/>
      <c r="K60" s="86" t="s">
        <v>1250</v>
      </c>
      <c r="L60" s="90" cm="1">
        <f t="array" ref="L60">_xll.FDS($K60,"FG_PRICE")</f>
        <v>8.81</v>
      </c>
      <c r="M60" s="7"/>
      <c r="P60" s="17"/>
      <c r="Q60" s="18"/>
    </row>
    <row r="61" spans="2:21" s="5" customFormat="1">
      <c r="B61" s="1"/>
      <c r="C61" s="82"/>
      <c r="D61" s="25"/>
      <c r="E61" s="82"/>
      <c r="F61" s="26"/>
      <c r="H61" s="86"/>
      <c r="I61" s="97"/>
      <c r="J61" s="42"/>
      <c r="K61" s="86"/>
      <c r="L61" s="97"/>
      <c r="M61" s="7"/>
      <c r="P61" s="17"/>
      <c r="Q61" s="18"/>
    </row>
    <row r="62" spans="2:21" s="5" customFormat="1">
      <c r="B62" s="113" t="s">
        <v>1041</v>
      </c>
      <c r="C62" s="114" t="s">
        <v>459</v>
      </c>
      <c r="D62" s="114" t="s">
        <v>55</v>
      </c>
      <c r="E62" s="608" t="s">
        <v>56</v>
      </c>
      <c r="F62" s="115" t="s">
        <v>58</v>
      </c>
      <c r="H62" s="86"/>
      <c r="I62" s="87" t="s">
        <v>459</v>
      </c>
      <c r="J62" s="98"/>
      <c r="K62" s="86"/>
      <c r="L62" s="87" t="s">
        <v>459</v>
      </c>
      <c r="M62" s="7"/>
      <c r="P62" s="17"/>
      <c r="Q62" s="18"/>
    </row>
    <row r="63" spans="2:21" s="1" customFormat="1">
      <c r="B63" s="39" t="s">
        <v>297</v>
      </c>
      <c r="C63" s="117">
        <v>4851</v>
      </c>
      <c r="D63" s="110" t="s">
        <v>57</v>
      </c>
      <c r="E63" s="117">
        <v>6600</v>
      </c>
      <c r="F63" s="6">
        <f t="shared" ref="F63:F65" si="17">IFERROR(E63/C63-1,"-")</f>
        <v>0.36054421768707479</v>
      </c>
      <c r="H63" s="86" t="s">
        <v>678</v>
      </c>
      <c r="I63" s="86" t="e">
        <f t="shared" ref="I63:I65" ca="1" si="18">BDP($H63,"PX_LAST")</f>
        <v>#NAME?</v>
      </c>
      <c r="J63" s="86"/>
      <c r="K63" s="86" t="s">
        <v>1251</v>
      </c>
      <c r="L63" s="90" cm="1">
        <f t="array" ref="L63">_xll.FDS($K63,"FG_PRICE")</f>
        <v>4851</v>
      </c>
      <c r="M63" s="7"/>
      <c r="N63" s="9"/>
      <c r="O63" s="9"/>
      <c r="P63" s="9"/>
      <c r="Q63" s="9"/>
      <c r="R63" s="9"/>
      <c r="S63" s="5"/>
      <c r="T63" s="5"/>
    </row>
    <row r="64" spans="2:21" s="1" customFormat="1">
      <c r="B64" s="39" t="s">
        <v>1043</v>
      </c>
      <c r="C64" s="117">
        <v>946.4</v>
      </c>
      <c r="D64" s="110" t="s">
        <v>59</v>
      </c>
      <c r="E64" s="117">
        <v>400</v>
      </c>
      <c r="F64" s="6">
        <f t="shared" si="17"/>
        <v>-0.57734573119188504</v>
      </c>
      <c r="H64" s="86" t="s">
        <v>1045</v>
      </c>
      <c r="I64" s="86" t="e">
        <f t="shared" ca="1" si="18"/>
        <v>#NAME?</v>
      </c>
      <c r="J64" s="86"/>
      <c r="K64" s="86" t="s">
        <v>1252</v>
      </c>
      <c r="L64" s="90" cm="1">
        <f t="array" ref="L64">_xll.FDS($K64,"FG_PRICE")</f>
        <v>946.4</v>
      </c>
      <c r="M64" s="7"/>
      <c r="S64" s="5"/>
      <c r="T64" s="5"/>
    </row>
    <row r="65" spans="2:21" s="1" customFormat="1">
      <c r="B65" s="39" t="s">
        <v>1036</v>
      </c>
      <c r="C65" s="117">
        <v>1996</v>
      </c>
      <c r="D65" s="110" t="s">
        <v>57</v>
      </c>
      <c r="E65" s="117">
        <v>2700</v>
      </c>
      <c r="F65" s="6">
        <f t="shared" si="17"/>
        <v>0.35270541082164319</v>
      </c>
      <c r="H65" s="86" t="s">
        <v>1037</v>
      </c>
      <c r="I65" s="86" t="e">
        <f t="shared" ca="1" si="18"/>
        <v>#NAME?</v>
      </c>
      <c r="J65" s="96"/>
      <c r="K65" s="86" t="s">
        <v>1253</v>
      </c>
      <c r="L65" s="90" cm="1">
        <f t="array" ref="L65">_xll.FDS($K65,"FG_PRICE")</f>
        <v>1996</v>
      </c>
      <c r="M65" s="7"/>
      <c r="S65" s="5"/>
      <c r="T65" s="5"/>
    </row>
    <row r="66" spans="2:21" s="1" customFormat="1">
      <c r="H66" s="86"/>
      <c r="I66" s="86"/>
      <c r="J66" s="86"/>
      <c r="K66" s="86"/>
      <c r="L66" s="86"/>
      <c r="M66" s="7"/>
      <c r="S66" s="5"/>
      <c r="T66" s="5"/>
    </row>
    <row r="67" spans="2:21" s="1" customFormat="1">
      <c r="B67" s="113" t="s">
        <v>1042</v>
      </c>
      <c r="C67" s="114" t="s">
        <v>459</v>
      </c>
      <c r="D67" s="114" t="s">
        <v>55</v>
      </c>
      <c r="E67" s="608" t="s">
        <v>56</v>
      </c>
      <c r="F67" s="115" t="s">
        <v>58</v>
      </c>
      <c r="H67" s="86"/>
      <c r="I67" s="87" t="s">
        <v>459</v>
      </c>
      <c r="J67" s="86"/>
      <c r="K67" s="86"/>
      <c r="L67" s="87" t="s">
        <v>459</v>
      </c>
      <c r="M67" s="7"/>
      <c r="S67" s="5"/>
      <c r="T67" s="5"/>
    </row>
    <row r="68" spans="2:21" s="5" customFormat="1">
      <c r="B68" s="39" t="s">
        <v>828</v>
      </c>
      <c r="C68" s="112">
        <v>2.67</v>
      </c>
      <c r="D68" s="110" t="s">
        <v>57</v>
      </c>
      <c r="E68" s="112">
        <v>16</v>
      </c>
      <c r="F68" s="6">
        <f>IFERROR(E68/C68-1,"-")</f>
        <v>4.9925093632958806</v>
      </c>
      <c r="H68" s="86" t="s">
        <v>833</v>
      </c>
      <c r="I68" s="86" t="e">
        <f t="shared" ref="I68:I71" ca="1" si="19">BDP($H68,"PX_LAST")</f>
        <v>#NAME?</v>
      </c>
      <c r="J68" s="42"/>
      <c r="K68" s="86" t="s">
        <v>1254</v>
      </c>
      <c r="L68" s="90" cm="1">
        <f t="array" ref="L68">_xll.FDS($K68,"FG_PRICE")</f>
        <v>2.67</v>
      </c>
      <c r="M68" s="7"/>
      <c r="P68" s="17"/>
      <c r="Q68" s="18"/>
    </row>
    <row r="69" spans="2:21" s="1" customFormat="1">
      <c r="B69" s="39" t="s">
        <v>970</v>
      </c>
      <c r="C69" s="111">
        <v>0.06</v>
      </c>
      <c r="D69" s="110" t="s">
        <v>984</v>
      </c>
      <c r="E69" s="119" t="s">
        <v>984</v>
      </c>
      <c r="F69" s="6" t="str">
        <f>IFERROR(E69/C69-1,"-")</f>
        <v>-</v>
      </c>
      <c r="H69" s="42" t="s">
        <v>974</v>
      </c>
      <c r="I69" s="86" t="e">
        <f t="shared" ca="1" si="19"/>
        <v>#NAME?</v>
      </c>
      <c r="J69" s="86"/>
      <c r="K69" s="42" t="s">
        <v>1255</v>
      </c>
      <c r="L69" s="90" cm="1">
        <f t="array" ref="L69">_xll.FDS($K69,"FG_PRICE")</f>
        <v>0.06</v>
      </c>
      <c r="M69" s="7"/>
      <c r="O69" s="19"/>
      <c r="P69" s="19"/>
      <c r="Q69" s="13"/>
      <c r="S69" s="5"/>
      <c r="T69" s="5"/>
    </row>
    <row r="70" spans="2:21" s="1" customFormat="1">
      <c r="B70" s="39" t="s">
        <v>962</v>
      </c>
      <c r="C70" s="112">
        <v>4.99</v>
      </c>
      <c r="D70" s="110" t="s">
        <v>60</v>
      </c>
      <c r="E70" s="112">
        <v>7.5</v>
      </c>
      <c r="F70" s="6">
        <f>IFERROR(E70/C70-1,"-")</f>
        <v>0.50300601202404804</v>
      </c>
      <c r="H70" s="86" t="s">
        <v>1124</v>
      </c>
      <c r="I70" s="86" t="e">
        <f t="shared" ca="1" si="19"/>
        <v>#NAME?</v>
      </c>
      <c r="J70" s="86"/>
      <c r="K70" s="86" t="s">
        <v>1256</v>
      </c>
      <c r="L70" s="90" cm="1">
        <f t="array" ref="L70">_xll.FDS($K70,"FG_PRICE")</f>
        <v>4.99</v>
      </c>
      <c r="M70" s="7"/>
      <c r="O70" s="9"/>
      <c r="P70" s="9"/>
      <c r="Q70" s="9"/>
      <c r="R70" s="9"/>
      <c r="S70" s="5"/>
      <c r="T70" s="5"/>
    </row>
    <row r="71" spans="2:21" s="1" customFormat="1">
      <c r="B71" s="39" t="s">
        <v>1054</v>
      </c>
      <c r="C71" s="112">
        <v>76.510000000000005</v>
      </c>
      <c r="D71" s="110" t="s">
        <v>60</v>
      </c>
      <c r="E71" s="112">
        <v>28</v>
      </c>
      <c r="F71" s="6">
        <f>IFERROR(E71/C71-1,"-")</f>
        <v>-0.63403476669716374</v>
      </c>
      <c r="H71" s="86" t="s">
        <v>1053</v>
      </c>
      <c r="I71" s="86" t="e">
        <f t="shared" ca="1" si="19"/>
        <v>#NAME?</v>
      </c>
      <c r="J71" s="86"/>
      <c r="K71" s="86" t="s">
        <v>1339</v>
      </c>
      <c r="L71" s="90" cm="1">
        <f t="array" ref="L71">_xll.FDS($K71,"FG_PRICE")</f>
        <v>76.510000000000005</v>
      </c>
      <c r="M71" s="7"/>
      <c r="S71" s="5"/>
      <c r="T71" s="5"/>
    </row>
    <row r="72" spans="2:21" s="1" customFormat="1">
      <c r="H72" s="86"/>
      <c r="I72" s="86"/>
      <c r="J72" s="86"/>
      <c r="K72" s="86"/>
      <c r="L72" s="86"/>
      <c r="M72" s="7"/>
      <c r="S72" s="5"/>
      <c r="T72" s="5"/>
    </row>
    <row r="73" spans="2:21" s="1" customFormat="1">
      <c r="B73" s="113" t="s">
        <v>363</v>
      </c>
      <c r="C73" s="114" t="s">
        <v>459</v>
      </c>
      <c r="D73" s="114" t="s">
        <v>55</v>
      </c>
      <c r="E73" s="608" t="s">
        <v>56</v>
      </c>
      <c r="F73" s="115" t="s">
        <v>58</v>
      </c>
      <c r="H73" s="86"/>
      <c r="I73" s="87" t="s">
        <v>459</v>
      </c>
      <c r="J73" s="99"/>
      <c r="K73" s="86"/>
      <c r="L73" s="87" t="s">
        <v>459</v>
      </c>
      <c r="M73" s="7"/>
      <c r="O73" s="19"/>
      <c r="P73" s="19"/>
      <c r="Q73" s="13"/>
      <c r="S73" s="5"/>
      <c r="T73" s="5"/>
    </row>
    <row r="74" spans="2:21" s="1" customFormat="1">
      <c r="B74" s="39" t="s">
        <v>292</v>
      </c>
      <c r="C74" s="110">
        <v>4.4800000000000004</v>
      </c>
      <c r="D74" s="110" t="s">
        <v>57</v>
      </c>
      <c r="E74" s="111">
        <v>8.75</v>
      </c>
      <c r="F74" s="6">
        <f t="shared" ref="F74:F77" si="20">IFERROR(E74/C74-1,"-")</f>
        <v>0.95312499999999978</v>
      </c>
      <c r="H74" s="86" t="s">
        <v>367</v>
      </c>
      <c r="I74" s="86" t="e">
        <f t="shared" ref="I74:I77" ca="1" si="21">BDP($H74,"PX_LAST")</f>
        <v>#NAME?</v>
      </c>
      <c r="J74" s="86"/>
      <c r="K74" s="92" t="s">
        <v>1260</v>
      </c>
      <c r="L74" s="90" cm="1">
        <f t="array" ref="L74">_xll.FDS($K74,"FG_PRICE")</f>
        <v>4.4800000000000004</v>
      </c>
      <c r="M74" s="7"/>
      <c r="N74" s="9"/>
      <c r="O74" s="20"/>
      <c r="P74" s="20"/>
      <c r="Q74" s="28"/>
      <c r="R74" s="9"/>
      <c r="S74" s="5"/>
      <c r="T74" s="5"/>
    </row>
    <row r="75" spans="2:21" s="1" customFormat="1">
      <c r="B75" s="39" t="s">
        <v>235</v>
      </c>
      <c r="C75" s="110">
        <v>6.32</v>
      </c>
      <c r="D75" s="110" t="s">
        <v>57</v>
      </c>
      <c r="E75" s="110">
        <v>13.2</v>
      </c>
      <c r="F75" s="6">
        <f t="shared" si="20"/>
        <v>1.0886075949367084</v>
      </c>
      <c r="H75" s="86" t="s">
        <v>368</v>
      </c>
      <c r="I75" s="86" t="e">
        <f t="shared" ca="1" si="21"/>
        <v>#NAME?</v>
      </c>
      <c r="J75" s="42"/>
      <c r="K75" s="92" t="s">
        <v>1261</v>
      </c>
      <c r="L75" s="90" cm="1">
        <f t="array" ref="L75">_xll.FDS($K75,"FG_PRICE")</f>
        <v>6.32</v>
      </c>
      <c r="M75" s="7"/>
      <c r="N75" s="9"/>
      <c r="O75" s="20"/>
      <c r="P75" s="20"/>
      <c r="Q75" s="28"/>
      <c r="R75" s="9"/>
      <c r="S75" s="5"/>
      <c r="T75" s="5"/>
    </row>
    <row r="76" spans="2:21" s="1" customFormat="1">
      <c r="B76" s="39" t="s">
        <v>415</v>
      </c>
      <c r="C76" s="109">
        <v>124</v>
      </c>
      <c r="D76" s="110" t="s">
        <v>1512</v>
      </c>
      <c r="E76" s="110" t="s">
        <v>1512</v>
      </c>
      <c r="F76" s="6" t="str">
        <f t="shared" si="20"/>
        <v>-</v>
      </c>
      <c r="H76" s="86" t="s">
        <v>369</v>
      </c>
      <c r="I76" s="86" t="e">
        <f t="shared" ca="1" si="21"/>
        <v>#NAME?</v>
      </c>
      <c r="J76" s="100"/>
      <c r="K76" s="92" t="s">
        <v>1262</v>
      </c>
      <c r="L76" s="90" cm="1">
        <f t="array" ref="L76">_xll.FDS($K76,"FG_PRICE")</f>
        <v>124</v>
      </c>
      <c r="M76" s="7"/>
      <c r="N76" s="9"/>
      <c r="O76" s="9"/>
      <c r="P76" s="9"/>
      <c r="Q76" s="9"/>
      <c r="R76" s="9"/>
      <c r="S76" s="5"/>
      <c r="T76" s="5"/>
    </row>
    <row r="77" spans="2:21" s="1" customFormat="1">
      <c r="B77" s="39" t="s">
        <v>439</v>
      </c>
      <c r="C77" s="117">
        <v>3040</v>
      </c>
      <c r="D77" s="110" t="s">
        <v>57</v>
      </c>
      <c r="E77" s="117">
        <v>4500</v>
      </c>
      <c r="F77" s="6">
        <f t="shared" si="20"/>
        <v>0.48026315789473695</v>
      </c>
      <c r="H77" s="86" t="s">
        <v>63</v>
      </c>
      <c r="I77" s="86" t="e">
        <f t="shared" ca="1" si="21"/>
        <v>#NAME?</v>
      </c>
      <c r="J77" s="98"/>
      <c r="K77" s="92" t="s">
        <v>1263</v>
      </c>
      <c r="L77" s="90" cm="1">
        <f t="array" ref="L77">_xll.FDS($K77,"FG_PRICE")</f>
        <v>3040</v>
      </c>
      <c r="M77" s="7"/>
      <c r="N77" s="9"/>
      <c r="O77" s="9"/>
      <c r="P77" s="27"/>
      <c r="Q77" s="28"/>
      <c r="R77" s="9"/>
      <c r="S77" s="5"/>
      <c r="T77" s="5"/>
    </row>
    <row r="78" spans="2:21" s="1" customFormat="1">
      <c r="B78" s="5"/>
      <c r="C78" s="29"/>
      <c r="D78" s="30"/>
      <c r="E78" s="29"/>
      <c r="F78" s="31"/>
      <c r="H78" s="86"/>
      <c r="I78" s="42"/>
      <c r="J78" s="98"/>
      <c r="K78" s="86"/>
      <c r="L78" s="42"/>
      <c r="M78" s="7"/>
      <c r="O78" s="32"/>
      <c r="P78" s="32"/>
      <c r="Q78" s="28"/>
      <c r="R78" s="9"/>
      <c r="S78" s="5"/>
      <c r="T78" s="5"/>
      <c r="U78" s="9"/>
    </row>
    <row r="79" spans="2:21" s="1" customFormat="1">
      <c r="B79" s="113" t="s">
        <v>364</v>
      </c>
      <c r="C79" s="114" t="s">
        <v>459</v>
      </c>
      <c r="D79" s="114" t="s">
        <v>55</v>
      </c>
      <c r="E79" s="608" t="s">
        <v>56</v>
      </c>
      <c r="F79" s="115" t="s">
        <v>58</v>
      </c>
      <c r="H79" s="86"/>
      <c r="I79" s="87" t="s">
        <v>459</v>
      </c>
      <c r="J79" s="86"/>
      <c r="K79" s="86"/>
      <c r="L79" s="93" t="s">
        <v>459</v>
      </c>
      <c r="M79" s="7"/>
      <c r="N79" s="9"/>
      <c r="O79" s="27"/>
      <c r="P79" s="27"/>
      <c r="Q79" s="28"/>
      <c r="R79" s="9"/>
      <c r="S79" s="5"/>
      <c r="T79" s="5"/>
    </row>
    <row r="80" spans="2:21" s="1" customFormat="1">
      <c r="B80" s="39" t="s">
        <v>555</v>
      </c>
      <c r="C80" s="117">
        <v>269</v>
      </c>
      <c r="D80" s="110" t="s">
        <v>57</v>
      </c>
      <c r="E80" s="117">
        <v>300</v>
      </c>
      <c r="F80" s="6">
        <f t="shared" ref="F80:F94" si="22">IFERROR(E80/C80-1,"-")</f>
        <v>0.11524163568773238</v>
      </c>
      <c r="H80" s="86" t="s">
        <v>44</v>
      </c>
      <c r="I80" s="86" t="e">
        <f t="shared" ref="I80:I94" ca="1" si="23">BDP($H80,"PX_LAST")</f>
        <v>#NAME?</v>
      </c>
      <c r="J80" s="86"/>
      <c r="K80" s="92" t="s">
        <v>1265</v>
      </c>
      <c r="L80" s="90" cm="1">
        <f t="array" ref="L80">_xll.FDS($K80,"FG_PRICE")</f>
        <v>269</v>
      </c>
      <c r="M80" s="7"/>
      <c r="N80" s="9"/>
      <c r="O80" s="9"/>
      <c r="P80" s="9"/>
      <c r="Q80" s="9"/>
      <c r="R80" s="9"/>
      <c r="S80" s="5"/>
      <c r="T80" s="5"/>
      <c r="U80" s="9"/>
    </row>
    <row r="81" spans="2:21" s="1" customFormat="1">
      <c r="B81" s="39" t="s">
        <v>324</v>
      </c>
      <c r="C81" s="112">
        <v>2.44</v>
      </c>
      <c r="D81" s="110" t="s">
        <v>57</v>
      </c>
      <c r="E81" s="112">
        <v>4.5</v>
      </c>
      <c r="F81" s="6">
        <f t="shared" si="22"/>
        <v>0.84426229508196715</v>
      </c>
      <c r="H81" s="86" t="s">
        <v>217</v>
      </c>
      <c r="I81" s="86" t="e">
        <f t="shared" ca="1" si="23"/>
        <v>#NAME?</v>
      </c>
      <c r="J81" s="86"/>
      <c r="K81" s="86" t="s">
        <v>1267</v>
      </c>
      <c r="L81" s="90" cm="1">
        <f t="array" ref="L81">_xll.FDS($K81,"FG_PRICE")</f>
        <v>2.44</v>
      </c>
      <c r="M81" s="7"/>
      <c r="N81" s="33"/>
      <c r="O81" s="33"/>
      <c r="P81" s="4"/>
      <c r="S81" s="5"/>
      <c r="T81" s="5"/>
    </row>
    <row r="82" spans="2:21" s="1" customFormat="1">
      <c r="B82" s="39" t="s">
        <v>338</v>
      </c>
      <c r="C82" s="109">
        <v>1539.1</v>
      </c>
      <c r="D82" s="110" t="s">
        <v>60</v>
      </c>
      <c r="E82" s="109">
        <v>1500</v>
      </c>
      <c r="F82" s="6">
        <f t="shared" si="22"/>
        <v>-2.5404457150282611E-2</v>
      </c>
      <c r="H82" s="86" t="s">
        <v>65</v>
      </c>
      <c r="I82" s="86" t="e">
        <f t="shared" ca="1" si="23"/>
        <v>#NAME?</v>
      </c>
      <c r="J82" s="96"/>
      <c r="K82" s="92" t="s">
        <v>1268</v>
      </c>
      <c r="L82" s="90" cm="1">
        <f t="array" ref="L82">_xll.FDS($K82,"FG_PRICE")</f>
        <v>1539.1</v>
      </c>
      <c r="M82" s="7"/>
      <c r="N82" s="23"/>
      <c r="O82" s="15"/>
      <c r="P82" s="15"/>
      <c r="S82" s="21"/>
      <c r="T82" s="21"/>
      <c r="U82" s="22"/>
    </row>
    <row r="83" spans="2:21" s="1" customFormat="1">
      <c r="B83" s="39" t="s">
        <v>473</v>
      </c>
      <c r="C83" s="110">
        <v>72</v>
      </c>
      <c r="D83" s="110" t="s">
        <v>57</v>
      </c>
      <c r="E83" s="110">
        <v>115</v>
      </c>
      <c r="F83" s="6">
        <f t="shared" si="22"/>
        <v>0.59722222222222232</v>
      </c>
      <c r="H83" s="86" t="s">
        <v>105</v>
      </c>
      <c r="I83" s="86" t="e">
        <f t="shared" ca="1" si="23"/>
        <v>#NAME?</v>
      </c>
      <c r="J83" s="96"/>
      <c r="K83" s="86" t="s">
        <v>1266</v>
      </c>
      <c r="L83" s="90" cm="1">
        <f t="array" ref="L83">_xll.FDS($K83,"FG_PRICE")</f>
        <v>72</v>
      </c>
      <c r="M83" s="7"/>
      <c r="N83" s="23"/>
      <c r="O83" s="23"/>
      <c r="P83" s="15"/>
      <c r="S83" s="5"/>
      <c r="T83" s="5"/>
    </row>
    <row r="84" spans="2:21" s="1" customFormat="1">
      <c r="B84" s="39" t="s">
        <v>358</v>
      </c>
      <c r="C84" s="112">
        <v>3.66</v>
      </c>
      <c r="D84" s="110" t="s">
        <v>57</v>
      </c>
      <c r="E84" s="112">
        <v>6</v>
      </c>
      <c r="F84" s="6">
        <f t="shared" si="22"/>
        <v>0.63934426229508201</v>
      </c>
      <c r="H84" s="86" t="s">
        <v>1556</v>
      </c>
      <c r="I84" s="86" t="e">
        <f t="shared" ca="1" si="23"/>
        <v>#NAME?</v>
      </c>
      <c r="J84" s="99"/>
      <c r="K84" s="92" t="s">
        <v>1269</v>
      </c>
      <c r="L84" s="90" cm="1">
        <f t="array" ref="L84">_xll.FDS($K84,"FG_PRICE")</f>
        <v>3.66</v>
      </c>
      <c r="M84" s="7"/>
      <c r="N84" s="23"/>
      <c r="O84" s="23"/>
      <c r="P84" s="23"/>
      <c r="S84" s="5"/>
      <c r="T84" s="5"/>
    </row>
    <row r="85" spans="2:21" s="1" customFormat="1">
      <c r="B85" s="39" t="s">
        <v>416</v>
      </c>
      <c r="C85" s="112">
        <v>91.9</v>
      </c>
      <c r="D85" s="110" t="s">
        <v>1512</v>
      </c>
      <c r="E85" s="112" t="s">
        <v>1512</v>
      </c>
      <c r="F85" s="6" t="str">
        <f t="shared" si="22"/>
        <v>-</v>
      </c>
      <c r="H85" s="86" t="s">
        <v>101</v>
      </c>
      <c r="I85" s="86" t="e">
        <f t="shared" ca="1" si="23"/>
        <v>#NAME?</v>
      </c>
      <c r="J85" s="86"/>
      <c r="K85" s="92" t="s">
        <v>1270</v>
      </c>
      <c r="L85" s="90" cm="1">
        <f t="array" ref="L85">_xll.FDS($K85,"FG_PRICE")</f>
        <v>91.9</v>
      </c>
      <c r="M85" s="7"/>
      <c r="N85" s="27"/>
      <c r="O85" s="27"/>
      <c r="P85" s="27"/>
      <c r="S85" s="5"/>
      <c r="T85" s="5"/>
    </row>
    <row r="86" spans="2:21" s="1" customFormat="1">
      <c r="B86" s="39" t="s">
        <v>1271</v>
      </c>
      <c r="C86" s="110">
        <v>13.36</v>
      </c>
      <c r="D86" s="110" t="s">
        <v>59</v>
      </c>
      <c r="E86" s="112">
        <v>5</v>
      </c>
      <c r="F86" s="34">
        <f t="shared" si="22"/>
        <v>-0.62574850299401197</v>
      </c>
      <c r="G86" s="9"/>
      <c r="H86" s="92" t="s">
        <v>66</v>
      </c>
      <c r="I86" s="92" t="e">
        <f t="shared" ca="1" si="23"/>
        <v>#NAME?</v>
      </c>
      <c r="J86" s="101"/>
      <c r="K86" s="92" t="s">
        <v>1272</v>
      </c>
      <c r="L86" s="90" cm="1">
        <f t="array" ref="L86">_xll.FDS($K86,"FG_PRICE")</f>
        <v>13.36</v>
      </c>
      <c r="M86" s="7"/>
      <c r="P86" s="15"/>
      <c r="Q86" s="13"/>
      <c r="S86" s="5"/>
      <c r="T86" s="5"/>
    </row>
    <row r="87" spans="2:21" s="1" customFormat="1">
      <c r="B87" s="39" t="s">
        <v>553</v>
      </c>
      <c r="C87" s="117">
        <v>10900</v>
      </c>
      <c r="D87" s="110" t="s">
        <v>57</v>
      </c>
      <c r="E87" s="117">
        <v>12500</v>
      </c>
      <c r="F87" s="6">
        <f t="shared" si="22"/>
        <v>0.14678899082568808</v>
      </c>
      <c r="H87" s="86" t="s">
        <v>112</v>
      </c>
      <c r="I87" s="86" t="e">
        <f t="shared" ca="1" si="23"/>
        <v>#NAME?</v>
      </c>
      <c r="J87" s="98"/>
      <c r="K87" s="92" t="s">
        <v>1273</v>
      </c>
      <c r="L87" s="90" cm="1">
        <f t="array" ref="L87">_xll.FDS($K87,"FG_PRICE")</f>
        <v>10900</v>
      </c>
      <c r="M87" s="7"/>
      <c r="N87" s="9"/>
      <c r="O87" s="9"/>
      <c r="P87" s="27"/>
      <c r="Q87" s="28"/>
      <c r="R87" s="9"/>
      <c r="S87" s="5"/>
      <c r="T87" s="5"/>
    </row>
    <row r="88" spans="2:21" s="1" customFormat="1">
      <c r="B88" s="39" t="s">
        <v>359</v>
      </c>
      <c r="C88" s="112">
        <v>41200</v>
      </c>
      <c r="D88" s="110" t="s">
        <v>57</v>
      </c>
      <c r="E88" s="112">
        <v>70000</v>
      </c>
      <c r="F88" s="6">
        <f t="shared" si="22"/>
        <v>0.69902912621359214</v>
      </c>
      <c r="H88" s="86" t="s">
        <v>986</v>
      </c>
      <c r="I88" s="86" t="e">
        <f t="shared" ca="1" si="23"/>
        <v>#NAME?</v>
      </c>
      <c r="J88" s="96"/>
      <c r="K88" s="86" t="s">
        <v>1555</v>
      </c>
      <c r="L88" s="90" cm="1">
        <f t="array" ref="L88">_xll.FDS($K88,"FG_PRICE")</f>
        <v>41200</v>
      </c>
      <c r="M88" s="7"/>
      <c r="P88" s="32"/>
      <c r="Q88" s="13"/>
      <c r="S88" s="5"/>
      <c r="T88" s="5"/>
    </row>
    <row r="89" spans="2:21" s="1" customFormat="1">
      <c r="B89" s="39" t="s">
        <v>220</v>
      </c>
      <c r="C89" s="117">
        <v>9890</v>
      </c>
      <c r="D89" s="110" t="s">
        <v>57</v>
      </c>
      <c r="E89" s="117">
        <v>21000</v>
      </c>
      <c r="F89" s="6">
        <f t="shared" si="22"/>
        <v>1.1233569261880687</v>
      </c>
      <c r="H89" s="86" t="s">
        <v>108</v>
      </c>
      <c r="I89" s="86" t="e">
        <f t="shared" ca="1" si="23"/>
        <v>#NAME?</v>
      </c>
      <c r="J89" s="96"/>
      <c r="K89" s="92" t="s">
        <v>1274</v>
      </c>
      <c r="L89" s="90" cm="1">
        <f t="array" ref="L89">_xll.FDS($K89,"FG_PRICE")</f>
        <v>9890</v>
      </c>
      <c r="M89" s="7"/>
      <c r="N89" s="9"/>
      <c r="O89" s="9"/>
      <c r="P89" s="27"/>
      <c r="Q89" s="28"/>
      <c r="R89" s="9"/>
      <c r="S89" s="5"/>
      <c r="T89" s="5"/>
    </row>
    <row r="90" spans="2:21" s="1" customFormat="1">
      <c r="B90" s="39" t="s">
        <v>357</v>
      </c>
      <c r="C90" s="110">
        <v>3.82</v>
      </c>
      <c r="D90" s="110" t="s">
        <v>57</v>
      </c>
      <c r="E90" s="110">
        <v>5.6</v>
      </c>
      <c r="F90" s="6">
        <f t="shared" si="22"/>
        <v>0.46596858638743455</v>
      </c>
      <c r="H90" s="86" t="s">
        <v>482</v>
      </c>
      <c r="I90" s="86" t="e">
        <f t="shared" ca="1" si="23"/>
        <v>#NAME?</v>
      </c>
      <c r="J90" s="96"/>
      <c r="K90" s="92" t="s">
        <v>1275</v>
      </c>
      <c r="L90" s="90" cm="1">
        <f t="array" ref="L90">_xll.FDS($K90,"FG_PRICE")</f>
        <v>3.82</v>
      </c>
      <c r="M90" s="7"/>
      <c r="O90" s="13"/>
      <c r="P90" s="13"/>
      <c r="Q90" s="13"/>
      <c r="S90" s="5"/>
      <c r="T90" s="5"/>
    </row>
    <row r="91" spans="2:21" s="1" customFormat="1">
      <c r="B91" s="39" t="s">
        <v>436</v>
      </c>
      <c r="C91" s="117">
        <v>57800</v>
      </c>
      <c r="D91" s="110" t="s">
        <v>57</v>
      </c>
      <c r="E91" s="117">
        <v>116000</v>
      </c>
      <c r="F91" s="6">
        <f t="shared" si="22"/>
        <v>1.0069204152249136</v>
      </c>
      <c r="H91" s="86" t="s">
        <v>206</v>
      </c>
      <c r="I91" s="86" t="e">
        <f t="shared" ca="1" si="23"/>
        <v>#NAME?</v>
      </c>
      <c r="J91" s="86"/>
      <c r="K91" s="92" t="s">
        <v>1276</v>
      </c>
      <c r="L91" s="90" cm="1">
        <f t="array" ref="L91">_xll.FDS($K91,"FG_PRICE")</f>
        <v>57800</v>
      </c>
      <c r="M91" s="7"/>
      <c r="N91" s="9"/>
      <c r="S91" s="5"/>
      <c r="T91" s="5"/>
    </row>
    <row r="92" spans="2:21" s="1" customFormat="1">
      <c r="B92" s="39" t="s">
        <v>242</v>
      </c>
      <c r="C92" s="117">
        <v>115</v>
      </c>
      <c r="D92" s="110" t="s">
        <v>1512</v>
      </c>
      <c r="E92" s="117" t="s">
        <v>1512</v>
      </c>
      <c r="F92" s="6" t="str">
        <f t="shared" si="22"/>
        <v>-</v>
      </c>
      <c r="H92" s="86" t="s">
        <v>433</v>
      </c>
      <c r="I92" s="86" t="e">
        <f t="shared" ca="1" si="23"/>
        <v>#NAME?</v>
      </c>
      <c r="J92" s="96"/>
      <c r="K92" s="92" t="s">
        <v>1277</v>
      </c>
      <c r="L92" s="90" cm="1">
        <f t="array" ref="L92">_xll.FDS($K92,"FG_PRICE")</f>
        <v>115</v>
      </c>
      <c r="M92" s="7"/>
      <c r="N92" s="9"/>
      <c r="O92" s="9"/>
      <c r="S92" s="5"/>
      <c r="T92" s="5"/>
    </row>
    <row r="93" spans="2:21" s="1" customFormat="1">
      <c r="B93" s="39" t="s">
        <v>37</v>
      </c>
      <c r="C93" s="110">
        <v>10.7</v>
      </c>
      <c r="D93" s="110" t="s">
        <v>57</v>
      </c>
      <c r="E93" s="110">
        <v>15</v>
      </c>
      <c r="F93" s="6">
        <f t="shared" si="22"/>
        <v>0.40186915887850483</v>
      </c>
      <c r="H93" s="86" t="s">
        <v>43</v>
      </c>
      <c r="I93" s="86" t="e">
        <f t="shared" ca="1" si="23"/>
        <v>#NAME?</v>
      </c>
      <c r="J93" s="42"/>
      <c r="K93" s="92" t="s">
        <v>1278</v>
      </c>
      <c r="L93" s="90" cm="1">
        <f t="array" ref="L93">_xll.FDS($K93,"FG_PRICE")</f>
        <v>10.7</v>
      </c>
      <c r="M93" s="7"/>
      <c r="N93" s="9"/>
      <c r="O93" s="9"/>
      <c r="P93" s="9"/>
      <c r="S93" s="5"/>
      <c r="T93" s="5"/>
    </row>
    <row r="94" spans="2:21" s="1" customFormat="1">
      <c r="B94" s="39" t="s">
        <v>353</v>
      </c>
      <c r="C94" s="117">
        <v>2330</v>
      </c>
      <c r="D94" s="110" t="s">
        <v>57</v>
      </c>
      <c r="E94" s="117">
        <v>5000</v>
      </c>
      <c r="F94" s="6">
        <f t="shared" si="22"/>
        <v>1.1459227467811157</v>
      </c>
      <c r="H94" s="86" t="s">
        <v>205</v>
      </c>
      <c r="I94" s="86" t="e">
        <f t="shared" ca="1" si="23"/>
        <v>#NAME?</v>
      </c>
      <c r="J94" s="42"/>
      <c r="K94" s="92" t="s">
        <v>1279</v>
      </c>
      <c r="L94" s="90" cm="1">
        <f t="array" ref="L94">_xll.FDS($K94,"FG_PRICE")</f>
        <v>2330</v>
      </c>
      <c r="M94" s="7"/>
      <c r="N94" s="9"/>
      <c r="O94" s="9"/>
      <c r="P94" s="9"/>
      <c r="Q94" s="9"/>
      <c r="S94" s="5"/>
      <c r="T94" s="5"/>
    </row>
    <row r="95" spans="2:21" s="1" customFormat="1">
      <c r="F95" s="6"/>
      <c r="H95" s="86"/>
      <c r="I95" s="86"/>
      <c r="J95" s="42"/>
      <c r="K95" s="86"/>
      <c r="L95" s="86"/>
      <c r="M95" s="7"/>
      <c r="S95" s="5"/>
      <c r="T95" s="5"/>
    </row>
    <row r="96" spans="2:21" s="1" customFormat="1">
      <c r="B96" s="113" t="s">
        <v>766</v>
      </c>
      <c r="C96" s="114" t="s">
        <v>459</v>
      </c>
      <c r="D96" s="114" t="s">
        <v>55</v>
      </c>
      <c r="E96" s="608" t="s">
        <v>56</v>
      </c>
      <c r="F96" s="115" t="s">
        <v>58</v>
      </c>
      <c r="H96" s="86"/>
      <c r="I96" s="87" t="s">
        <v>459</v>
      </c>
      <c r="J96" s="86"/>
      <c r="K96" s="86"/>
      <c r="L96" s="87" t="s">
        <v>459</v>
      </c>
      <c r="M96" s="7"/>
      <c r="S96" s="5"/>
      <c r="T96" s="5"/>
    </row>
    <row r="97" spans="2:20" s="1" customFormat="1">
      <c r="B97" s="39" t="s">
        <v>750</v>
      </c>
      <c r="C97" s="120">
        <v>423.15</v>
      </c>
      <c r="D97" s="119" t="s">
        <v>59</v>
      </c>
      <c r="E97" s="120">
        <v>265</v>
      </c>
      <c r="F97" s="6">
        <f t="shared" ref="F97:F101" si="24">IFERROR(E97/C97-1,"-")</f>
        <v>-0.37374453503485761</v>
      </c>
      <c r="H97" s="86" t="s">
        <v>1143</v>
      </c>
      <c r="I97" s="86" t="e">
        <f t="shared" ref="I97:I101" ca="1" si="25">BDP($H97,"PX_LAST")</f>
        <v>#NAME?</v>
      </c>
      <c r="J97" s="86"/>
      <c r="K97" s="92" t="s">
        <v>1280</v>
      </c>
      <c r="L97" s="90" cm="1">
        <f t="array" ref="L97">_xll.FDS($K97,"FG_PRICE")</f>
        <v>423.15</v>
      </c>
      <c r="M97" s="7"/>
      <c r="N97" s="9"/>
      <c r="O97" s="9"/>
      <c r="P97" s="9"/>
      <c r="Q97" s="9"/>
      <c r="R97" s="9"/>
      <c r="S97" s="5"/>
      <c r="T97" s="5"/>
    </row>
    <row r="98" spans="2:20" s="1" customFormat="1">
      <c r="B98" s="39" t="s">
        <v>1019</v>
      </c>
      <c r="C98" s="119">
        <v>0.99</v>
      </c>
      <c r="D98" s="119" t="s">
        <v>57</v>
      </c>
      <c r="E98" s="119">
        <v>1.4</v>
      </c>
      <c r="F98" s="6">
        <f t="shared" si="24"/>
        <v>0.41414141414141414</v>
      </c>
      <c r="H98" s="86" t="s">
        <v>1020</v>
      </c>
      <c r="I98" s="86" t="e">
        <f t="shared" ca="1" si="25"/>
        <v>#NAME?</v>
      </c>
      <c r="J98" s="86"/>
      <c r="K98" s="92" t="s">
        <v>1281</v>
      </c>
      <c r="L98" s="90" cm="1">
        <f t="array" ref="L98">_xll.FDS($K98,"FG_PRICE")</f>
        <v>0.99</v>
      </c>
      <c r="M98" s="7"/>
      <c r="N98" s="9"/>
      <c r="O98" s="9"/>
      <c r="P98" s="9"/>
      <c r="Q98" s="9"/>
      <c r="R98" s="9"/>
      <c r="S98" s="5"/>
      <c r="T98" s="5"/>
    </row>
    <row r="99" spans="2:20" s="1" customFormat="1">
      <c r="B99" s="39" t="s">
        <v>765</v>
      </c>
      <c r="C99" s="117">
        <v>840</v>
      </c>
      <c r="D99" s="119" t="s">
        <v>57</v>
      </c>
      <c r="E99" s="117">
        <v>1500</v>
      </c>
      <c r="F99" s="6">
        <f t="shared" si="24"/>
        <v>0.78571428571428581</v>
      </c>
      <c r="H99" s="86" t="s">
        <v>789</v>
      </c>
      <c r="I99" s="86" t="e">
        <f t="shared" ca="1" si="25"/>
        <v>#NAME?</v>
      </c>
      <c r="J99" s="86"/>
      <c r="K99" s="92" t="s">
        <v>1282</v>
      </c>
      <c r="L99" s="90" cm="1">
        <f t="array" ref="L99">_xll.FDS($K99,"FG_PRICE")</f>
        <v>840</v>
      </c>
      <c r="M99" s="7"/>
      <c r="N99" s="9"/>
      <c r="O99" s="9"/>
      <c r="P99" s="9"/>
      <c r="Q99" s="9"/>
      <c r="R99" s="9"/>
      <c r="S99" s="5"/>
      <c r="T99" s="5"/>
    </row>
    <row r="100" spans="2:20" s="1" customFormat="1">
      <c r="B100" s="39" t="s">
        <v>764</v>
      </c>
      <c r="C100" s="117">
        <v>1920</v>
      </c>
      <c r="D100" s="119" t="s">
        <v>60</v>
      </c>
      <c r="E100" s="117">
        <v>1700</v>
      </c>
      <c r="F100" s="6">
        <f t="shared" si="24"/>
        <v>-0.11458333333333337</v>
      </c>
      <c r="H100" s="86" t="s">
        <v>790</v>
      </c>
      <c r="I100" s="86" t="e">
        <f t="shared" ca="1" si="25"/>
        <v>#NAME?</v>
      </c>
      <c r="J100" s="99"/>
      <c r="K100" s="92" t="s">
        <v>1283</v>
      </c>
      <c r="L100" s="90" cm="1">
        <f t="array" ref="L100">_xll.FDS($K100,"FG_PRICE")</f>
        <v>1920</v>
      </c>
      <c r="M100" s="7"/>
      <c r="N100" s="16"/>
      <c r="O100" s="16"/>
      <c r="P100" s="16"/>
      <c r="S100" s="5"/>
      <c r="T100" s="5"/>
    </row>
    <row r="101" spans="2:20" s="1" customFormat="1">
      <c r="B101" s="39" t="s">
        <v>1397</v>
      </c>
      <c r="C101" s="117">
        <v>660</v>
      </c>
      <c r="D101" s="110" t="s">
        <v>57</v>
      </c>
      <c r="E101" s="119">
        <v>1135</v>
      </c>
      <c r="F101" s="6">
        <f t="shared" si="24"/>
        <v>0.71969696969696972</v>
      </c>
      <c r="H101" s="86" t="s">
        <v>1399</v>
      </c>
      <c r="I101" s="86" t="e">
        <f t="shared" ca="1" si="25"/>
        <v>#NAME?</v>
      </c>
      <c r="J101" s="99"/>
      <c r="K101" s="92" t="s">
        <v>1400</v>
      </c>
      <c r="L101" s="90" cm="1">
        <f t="array" ref="L101">_xll.FDS($K101,"FG_PRICE")</f>
        <v>660</v>
      </c>
      <c r="M101" s="7"/>
      <c r="N101" s="16"/>
      <c r="O101" s="16"/>
      <c r="P101" s="16"/>
      <c r="S101" s="5"/>
      <c r="T101" s="5"/>
    </row>
    <row r="102" spans="2:20" s="1" customFormat="1">
      <c r="B102" s="83"/>
      <c r="C102" s="84"/>
      <c r="D102" s="35"/>
      <c r="E102" s="84"/>
      <c r="F102" s="31"/>
      <c r="H102" s="86"/>
      <c r="I102" s="42"/>
      <c r="J102" s="99"/>
      <c r="K102" s="86"/>
      <c r="L102" s="42"/>
      <c r="M102" s="7"/>
      <c r="N102" s="16"/>
      <c r="O102" s="24"/>
      <c r="P102" s="24"/>
      <c r="Q102" s="9"/>
      <c r="S102" s="5"/>
      <c r="T102" s="5"/>
    </row>
    <row r="103" spans="2:20" s="1" customFormat="1">
      <c r="B103" s="113" t="s">
        <v>113</v>
      </c>
      <c r="C103" s="114" t="s">
        <v>459</v>
      </c>
      <c r="D103" s="114" t="s">
        <v>55</v>
      </c>
      <c r="E103" s="608" t="s">
        <v>56</v>
      </c>
      <c r="F103" s="115" t="s">
        <v>58</v>
      </c>
      <c r="H103" s="86"/>
      <c r="I103" s="87" t="s">
        <v>459</v>
      </c>
      <c r="J103" s="86"/>
      <c r="K103" s="86"/>
      <c r="L103" s="87" t="s">
        <v>459</v>
      </c>
      <c r="M103" s="7"/>
      <c r="P103" s="15"/>
      <c r="Q103" s="13"/>
      <c r="S103" s="5"/>
      <c r="T103" s="5"/>
    </row>
    <row r="104" spans="2:20" s="1" customFormat="1">
      <c r="B104" s="39" t="s">
        <v>400</v>
      </c>
      <c r="C104" s="117">
        <v>2755</v>
      </c>
      <c r="D104" s="110" t="s">
        <v>60</v>
      </c>
      <c r="E104" s="117">
        <v>5600</v>
      </c>
      <c r="F104" s="6">
        <f t="shared" ref="F104:F105" si="26">IFERROR(E104/C104-1,"-")</f>
        <v>1.0326678765880217</v>
      </c>
      <c r="H104" s="86" t="s">
        <v>64</v>
      </c>
      <c r="I104" s="86" t="e">
        <f t="shared" ref="I104:I105" ca="1" si="27">BDP($H104,"PX_LAST")</f>
        <v>#NAME?</v>
      </c>
      <c r="J104" s="100"/>
      <c r="K104" s="86" t="s">
        <v>1284</v>
      </c>
      <c r="L104" s="90" cm="1">
        <f t="array" ref="L104">_xll.FDS($K104,"FG_PRICE")*100</f>
        <v>2755</v>
      </c>
      <c r="M104" s="7"/>
      <c r="N104" s="9"/>
      <c r="P104" s="15"/>
      <c r="Q104" s="13"/>
      <c r="S104" s="5"/>
      <c r="T104" s="5"/>
    </row>
    <row r="105" spans="2:20" s="1" customFormat="1">
      <c r="B105" s="39" t="s">
        <v>322</v>
      </c>
      <c r="C105" s="110">
        <v>52.35</v>
      </c>
      <c r="D105" s="110" t="s">
        <v>57</v>
      </c>
      <c r="E105" s="110">
        <v>9.1</v>
      </c>
      <c r="F105" s="6">
        <f t="shared" si="26"/>
        <v>-0.82617000955109843</v>
      </c>
      <c r="H105" s="86" t="s">
        <v>515</v>
      </c>
      <c r="I105" s="86" t="e">
        <f t="shared" ca="1" si="27"/>
        <v>#NAME?</v>
      </c>
      <c r="J105" s="100"/>
      <c r="K105" s="92" t="s">
        <v>1371</v>
      </c>
      <c r="L105" s="90" cm="1">
        <f t="array" ref="L105">_xll.FDS($K105,"FG_PRICE")</f>
        <v>52.35</v>
      </c>
      <c r="M105" s="7"/>
      <c r="N105" s="16"/>
      <c r="O105" s="16"/>
      <c r="P105" s="16"/>
      <c r="S105" s="5"/>
      <c r="T105" s="5"/>
    </row>
    <row r="106" spans="2:20" s="1" customFormat="1">
      <c r="H106" s="86"/>
      <c r="I106" s="86"/>
      <c r="J106" s="86"/>
      <c r="K106" s="86"/>
      <c r="L106" s="86"/>
      <c r="M106" s="7"/>
      <c r="N106" s="9"/>
      <c r="O106" s="9"/>
      <c r="P106" s="9"/>
      <c r="Q106" s="9"/>
      <c r="R106" s="9"/>
      <c r="S106" s="5"/>
      <c r="T106" s="5"/>
    </row>
    <row r="107" spans="2:20" s="1" customFormat="1">
      <c r="B107" s="113" t="s">
        <v>361</v>
      </c>
      <c r="C107" s="114" t="s">
        <v>459</v>
      </c>
      <c r="D107" s="114" t="s">
        <v>55</v>
      </c>
      <c r="E107" s="608" t="s">
        <v>56</v>
      </c>
      <c r="F107" s="115" t="s">
        <v>58</v>
      </c>
      <c r="H107" s="86"/>
      <c r="I107" s="87" t="s">
        <v>459</v>
      </c>
      <c r="J107" s="86"/>
      <c r="K107" s="86"/>
      <c r="L107" s="87" t="s">
        <v>459</v>
      </c>
      <c r="M107" s="7"/>
      <c r="N107" s="36"/>
      <c r="S107" s="5"/>
      <c r="T107" s="5"/>
    </row>
    <row r="108" spans="2:20" s="1" customFormat="1">
      <c r="B108" s="39" t="s">
        <v>1075</v>
      </c>
      <c r="C108" s="112">
        <v>1.1259999999999999</v>
      </c>
      <c r="D108" s="110" t="s">
        <v>57</v>
      </c>
      <c r="E108" s="112">
        <v>2</v>
      </c>
      <c r="F108" s="6">
        <f t="shared" ref="F108" si="28">IFERROR(E108/C108-1,"-")</f>
        <v>0.77619893428063969</v>
      </c>
      <c r="H108" s="86" t="s">
        <v>1362</v>
      </c>
      <c r="I108" s="86" t="e">
        <f ca="1">BDP($H108,"PX_LAST")</f>
        <v>#NAME?</v>
      </c>
      <c r="J108" s="86"/>
      <c r="K108" s="86" t="s">
        <v>1363</v>
      </c>
      <c r="L108" s="90" cm="1">
        <f t="array" ref="L108">_xll.FDS($K108,"FG_PRICE")</f>
        <v>1.1259999999999999</v>
      </c>
      <c r="M108" s="7"/>
      <c r="O108" s="27"/>
      <c r="P108" s="27"/>
      <c r="Q108" s="13"/>
      <c r="S108" s="5"/>
      <c r="T108" s="5"/>
    </row>
    <row r="109" spans="2:20" s="1" customFormat="1">
      <c r="B109" s="39" t="s">
        <v>79</v>
      </c>
      <c r="C109" s="112">
        <v>10</v>
      </c>
      <c r="D109" s="110" t="s">
        <v>57</v>
      </c>
      <c r="E109" s="112">
        <v>10.1</v>
      </c>
      <c r="F109" s="6">
        <f t="shared" ref="F109:F114" si="29">IFERROR(E109/C109-1,"-")</f>
        <v>1.0000000000000009E-2</v>
      </c>
      <c r="H109" s="86" t="s">
        <v>675</v>
      </c>
      <c r="I109" s="86" t="e">
        <f t="shared" ref="I109:I114" ca="1" si="30">BDP($H109,"PX_LAST")</f>
        <v>#NAME?</v>
      </c>
      <c r="J109" s="86"/>
      <c r="K109" s="86" t="s">
        <v>1340</v>
      </c>
      <c r="L109" s="90">
        <v>10</v>
      </c>
      <c r="M109" s="7"/>
      <c r="O109" s="27"/>
      <c r="P109" s="27"/>
      <c r="Q109" s="13"/>
      <c r="S109" s="5"/>
      <c r="T109" s="5"/>
    </row>
    <row r="110" spans="2:20" s="1" customFormat="1">
      <c r="B110" s="39" t="s">
        <v>399</v>
      </c>
      <c r="C110" s="117">
        <v>9200</v>
      </c>
      <c r="D110" s="110" t="s">
        <v>57</v>
      </c>
      <c r="E110" s="117">
        <v>13000</v>
      </c>
      <c r="F110" s="6">
        <f t="shared" si="29"/>
        <v>0.41304347826086962</v>
      </c>
      <c r="H110" s="86" t="s">
        <v>197</v>
      </c>
      <c r="I110" s="86" t="e">
        <f t="shared" ca="1" si="30"/>
        <v>#NAME?</v>
      </c>
      <c r="J110" s="99"/>
      <c r="K110" s="92" t="s">
        <v>1285</v>
      </c>
      <c r="L110" s="90" cm="1">
        <f t="array" ref="L110">_xll.FDS($K110,"FG_PRICE")*100</f>
        <v>9200</v>
      </c>
      <c r="M110" s="7"/>
      <c r="S110" s="5"/>
      <c r="T110" s="5"/>
    </row>
    <row r="111" spans="2:20" s="1" customFormat="1">
      <c r="B111" s="39" t="s">
        <v>409</v>
      </c>
      <c r="C111" s="112">
        <v>14.8</v>
      </c>
      <c r="D111" s="110" t="s">
        <v>60</v>
      </c>
      <c r="E111" s="112">
        <v>17</v>
      </c>
      <c r="F111" s="6">
        <f t="shared" si="29"/>
        <v>0.14864864864864868</v>
      </c>
      <c r="H111" s="86" t="s">
        <v>619</v>
      </c>
      <c r="I111" s="86" t="e">
        <f t="shared" ca="1" si="30"/>
        <v>#NAME?</v>
      </c>
      <c r="J111" s="86"/>
      <c r="K111" s="92" t="s">
        <v>1286</v>
      </c>
      <c r="L111" s="90" cm="1">
        <f t="array" ref="L111">_xll.FDS($K111,"FG_PRICE")</f>
        <v>14.8</v>
      </c>
      <c r="M111" s="7"/>
      <c r="N111" s="23"/>
      <c r="O111" s="23"/>
      <c r="P111" s="15"/>
      <c r="S111" s="5"/>
      <c r="T111" s="5"/>
    </row>
    <row r="112" spans="2:20" s="1" customFormat="1">
      <c r="B112" s="39" t="s">
        <v>387</v>
      </c>
      <c r="C112" s="112">
        <v>99.65</v>
      </c>
      <c r="D112" s="110" t="s">
        <v>57</v>
      </c>
      <c r="E112" s="112">
        <v>16.899999999999999</v>
      </c>
      <c r="F112" s="6">
        <f t="shared" si="29"/>
        <v>-0.83040642247867535</v>
      </c>
      <c r="H112" s="86" t="s">
        <v>899</v>
      </c>
      <c r="I112" s="86" t="e">
        <f t="shared" ca="1" si="30"/>
        <v>#NAME?</v>
      </c>
      <c r="J112" s="86"/>
      <c r="K112" s="86" t="s">
        <v>1372</v>
      </c>
      <c r="L112" s="90" cm="1">
        <f t="array" ref="L112">_xll.FDS($K112,"FG_PRICE")</f>
        <v>99.65</v>
      </c>
      <c r="M112" s="7"/>
      <c r="O112" s="9"/>
      <c r="P112" s="9"/>
      <c r="Q112" s="9"/>
      <c r="R112" s="9"/>
      <c r="S112" s="5"/>
      <c r="T112" s="5"/>
    </row>
    <row r="113" spans="2:23" s="1" customFormat="1">
      <c r="B113" s="39" t="s">
        <v>978</v>
      </c>
      <c r="C113" s="110">
        <v>27.2</v>
      </c>
      <c r="D113" s="110" t="s">
        <v>57</v>
      </c>
      <c r="E113" s="110">
        <v>40</v>
      </c>
      <c r="F113" s="6">
        <f t="shared" si="29"/>
        <v>0.47058823529411775</v>
      </c>
      <c r="H113" s="86" t="s">
        <v>975</v>
      </c>
      <c r="I113" s="86" t="e">
        <f t="shared" ca="1" si="30"/>
        <v>#NAME?</v>
      </c>
      <c r="J113" s="96"/>
      <c r="K113" s="92" t="s">
        <v>1349</v>
      </c>
      <c r="L113" s="90" cm="1">
        <f t="array" ref="L113">_xll.FDS($K113,"FG_PRICE")</f>
        <v>27.2</v>
      </c>
      <c r="M113" s="7"/>
      <c r="N113" s="9"/>
      <c r="O113" s="9"/>
      <c r="P113" s="9"/>
      <c r="S113" s="5"/>
      <c r="T113" s="5"/>
    </row>
    <row r="114" spans="2:23" s="1" customFormat="1">
      <c r="B114" s="39" t="s">
        <v>376</v>
      </c>
      <c r="C114" s="117">
        <v>11112</v>
      </c>
      <c r="D114" s="110" t="s">
        <v>57</v>
      </c>
      <c r="E114" s="117">
        <v>15000</v>
      </c>
      <c r="F114" s="6">
        <f t="shared" si="29"/>
        <v>0.34989200863930892</v>
      </c>
      <c r="H114" s="86" t="s">
        <v>204</v>
      </c>
      <c r="I114" s="86" t="e">
        <f t="shared" ca="1" si="30"/>
        <v>#NAME?</v>
      </c>
      <c r="J114" s="86"/>
      <c r="K114" s="92" t="s">
        <v>1287</v>
      </c>
      <c r="L114" s="90" cm="1">
        <f t="array" ref="L114">_xll.FDS($K114,"FG_PRICE")*100</f>
        <v>11112</v>
      </c>
      <c r="M114" s="7"/>
      <c r="N114" s="9"/>
      <c r="O114" s="9"/>
      <c r="P114" s="9"/>
      <c r="Q114" s="9"/>
      <c r="S114" s="5"/>
      <c r="T114" s="5"/>
    </row>
    <row r="115" spans="2:23" s="1" customFormat="1">
      <c r="C115" s="2"/>
      <c r="D115" s="2"/>
      <c r="E115" s="2"/>
      <c r="H115" s="86"/>
      <c r="I115" s="99"/>
      <c r="J115" s="103"/>
      <c r="K115" s="86"/>
      <c r="L115" s="99"/>
      <c r="M115" s="7"/>
      <c r="N115" s="4"/>
      <c r="O115" s="4"/>
      <c r="P115" s="4"/>
      <c r="Q115" s="4"/>
      <c r="S115" s="5"/>
      <c r="T115" s="5"/>
    </row>
    <row r="116" spans="2:23" s="1" customFormat="1">
      <c r="B116" s="113" t="s">
        <v>1050</v>
      </c>
      <c r="C116" s="114" t="s">
        <v>459</v>
      </c>
      <c r="D116" s="114" t="s">
        <v>55</v>
      </c>
      <c r="E116" s="608" t="s">
        <v>56</v>
      </c>
      <c r="F116" s="115" t="s">
        <v>58</v>
      </c>
      <c r="H116" s="86"/>
      <c r="I116" s="87" t="s">
        <v>459</v>
      </c>
      <c r="J116" s="103"/>
      <c r="K116" s="86"/>
      <c r="L116" s="87" t="s">
        <v>459</v>
      </c>
      <c r="M116" s="7"/>
      <c r="N116" s="4"/>
      <c r="O116" s="4"/>
      <c r="P116" s="4"/>
      <c r="Q116" s="4"/>
      <c r="S116" s="5"/>
      <c r="T116" s="5"/>
    </row>
    <row r="117" spans="2:23" s="1" customFormat="1">
      <c r="B117" s="39" t="s">
        <v>1044</v>
      </c>
      <c r="C117" s="110">
        <v>108.2</v>
      </c>
      <c r="D117" s="110" t="s">
        <v>60</v>
      </c>
      <c r="E117" s="119">
        <v>142</v>
      </c>
      <c r="F117" s="6">
        <f t="shared" ref="F117" si="31">IFERROR(E117/C117-1,"-")</f>
        <v>0.31238447319778184</v>
      </c>
      <c r="H117" s="86" t="s">
        <v>1046</v>
      </c>
      <c r="I117" s="86" t="e">
        <f t="shared" ref="I117" ca="1" si="32">BDP($H117,"PX_LAST")</f>
        <v>#NAME?</v>
      </c>
      <c r="J117" s="103"/>
      <c r="K117" s="86" t="s">
        <v>1288</v>
      </c>
      <c r="L117" s="90" cm="1">
        <f t="array" ref="L117">_xll.FDS($K117,"FG_PRICE")</f>
        <v>108.2</v>
      </c>
      <c r="M117" s="7"/>
      <c r="N117" s="4"/>
      <c r="O117" s="33"/>
      <c r="P117" s="33"/>
      <c r="Q117" s="33"/>
      <c r="R117" s="9"/>
      <c r="S117" s="5"/>
      <c r="T117" s="5"/>
    </row>
    <row r="118" spans="2:23" s="1" customFormat="1">
      <c r="C118" s="2"/>
      <c r="D118" s="2"/>
      <c r="E118" s="2"/>
      <c r="H118" s="86"/>
      <c r="I118" s="99"/>
      <c r="J118" s="103"/>
      <c r="K118" s="86"/>
      <c r="L118" s="99"/>
      <c r="M118" s="7"/>
      <c r="N118" s="4"/>
      <c r="O118" s="4"/>
      <c r="P118" s="4"/>
      <c r="Q118" s="4"/>
      <c r="S118" s="5"/>
      <c r="T118" s="5"/>
    </row>
    <row r="119" spans="2:23" s="1" customFormat="1">
      <c r="B119" s="113" t="s">
        <v>1385</v>
      </c>
      <c r="C119" s="114" t="s">
        <v>459</v>
      </c>
      <c r="D119" s="114" t="s">
        <v>55</v>
      </c>
      <c r="E119" s="608" t="s">
        <v>56</v>
      </c>
      <c r="F119" s="115" t="s">
        <v>58</v>
      </c>
      <c r="H119" s="86"/>
      <c r="I119" s="87" t="s">
        <v>459</v>
      </c>
      <c r="J119" s="86"/>
      <c r="K119" s="86"/>
      <c r="L119" s="87" t="s">
        <v>459</v>
      </c>
      <c r="M119" s="7"/>
      <c r="N119" s="12"/>
      <c r="O119" s="12"/>
      <c r="P119" s="12"/>
      <c r="S119" s="5"/>
      <c r="T119" s="10"/>
      <c r="U119" s="11"/>
      <c r="V119" s="11"/>
      <c r="W119" s="11"/>
    </row>
    <row r="120" spans="2:23" s="1" customFormat="1">
      <c r="B120" s="39" t="s">
        <v>1386</v>
      </c>
      <c r="C120" s="121">
        <v>3.19</v>
      </c>
      <c r="D120" s="121" t="s">
        <v>57</v>
      </c>
      <c r="E120" s="121">
        <v>8</v>
      </c>
      <c r="F120" s="6">
        <f>IFERROR(E120/C120-1,"-")</f>
        <v>1.5078369905956115</v>
      </c>
      <c r="H120" s="86" t="s">
        <v>1387</v>
      </c>
      <c r="I120" s="86" t="e">
        <f t="shared" ref="I120" ca="1" si="33">BDP($H120,"PX_LAST")</f>
        <v>#NAME?</v>
      </c>
      <c r="J120" s="99"/>
      <c r="K120" s="86" t="s">
        <v>1396</v>
      </c>
      <c r="L120" s="90" cm="1">
        <f t="array" ref="L120">_xll.FDS($K120,"FG_PRICE")</f>
        <v>3.19</v>
      </c>
      <c r="M120" s="7"/>
      <c r="S120" s="5"/>
      <c r="T120" s="5"/>
    </row>
    <row r="121" spans="2:23" s="1" customFormat="1">
      <c r="C121" s="2"/>
      <c r="D121" s="2"/>
      <c r="E121" s="2"/>
      <c r="H121" s="86"/>
      <c r="I121" s="99"/>
      <c r="J121" s="103"/>
      <c r="K121" s="86"/>
      <c r="L121" s="99"/>
      <c r="M121" s="7"/>
      <c r="N121" s="4"/>
      <c r="O121" s="4"/>
      <c r="P121" s="4"/>
      <c r="Q121" s="4"/>
      <c r="S121" s="5"/>
      <c r="T121" s="5"/>
    </row>
    <row r="122" spans="2:23" s="1" customFormat="1">
      <c r="B122" s="113" t="s">
        <v>360</v>
      </c>
      <c r="C122" s="114" t="s">
        <v>459</v>
      </c>
      <c r="D122" s="114" t="s">
        <v>55</v>
      </c>
      <c r="E122" s="608" t="s">
        <v>56</v>
      </c>
      <c r="F122" s="115" t="s">
        <v>58</v>
      </c>
      <c r="H122" s="42"/>
      <c r="I122" s="87" t="s">
        <v>459</v>
      </c>
      <c r="J122" s="104"/>
      <c r="K122" s="42"/>
      <c r="L122" s="87" t="s">
        <v>459</v>
      </c>
      <c r="M122" s="7"/>
      <c r="S122" s="5"/>
      <c r="T122" s="5"/>
    </row>
    <row r="123" spans="2:23" s="1" customFormat="1">
      <c r="B123" s="39" t="s">
        <v>339</v>
      </c>
      <c r="C123" s="110">
        <v>16.309999999999999</v>
      </c>
      <c r="D123" s="110" t="s">
        <v>57</v>
      </c>
      <c r="E123" s="119">
        <v>24</v>
      </c>
      <c r="F123" s="6">
        <f t="shared" ref="F123:F127" si="34">IFERROR(E123/C123-1,"-")</f>
        <v>0.4714898835070509</v>
      </c>
      <c r="H123" s="86" t="s">
        <v>574</v>
      </c>
      <c r="I123" s="86" t="e">
        <f t="shared" ref="I123:I127" ca="1" si="35">BDP($H123,"PX_LAST")</f>
        <v>#NAME?</v>
      </c>
      <c r="J123" s="104"/>
      <c r="K123" s="92" t="s">
        <v>1557</v>
      </c>
      <c r="L123" s="90" cm="1">
        <f t="array" ref="L123">_xll.FDS($K123,"FG_PRICE")</f>
        <v>16.309999999999999</v>
      </c>
      <c r="M123" s="7"/>
      <c r="N123" s="27"/>
      <c r="O123" s="27"/>
      <c r="P123" s="27"/>
      <c r="Q123" s="24"/>
      <c r="R123" s="9"/>
      <c r="S123" s="5"/>
      <c r="T123" s="5"/>
    </row>
    <row r="124" spans="2:23" s="1" customFormat="1">
      <c r="B124" s="39" t="s">
        <v>667</v>
      </c>
      <c r="C124" s="110">
        <v>1.77</v>
      </c>
      <c r="D124" s="110" t="s">
        <v>60</v>
      </c>
      <c r="E124" s="119">
        <v>3.7</v>
      </c>
      <c r="F124" s="6">
        <f t="shared" si="34"/>
        <v>1.0903954802259888</v>
      </c>
      <c r="H124" s="86" t="s">
        <v>671</v>
      </c>
      <c r="I124" s="86" t="e">
        <f t="shared" ca="1" si="35"/>
        <v>#NAME?</v>
      </c>
      <c r="J124" s="105"/>
      <c r="K124" s="86" t="s">
        <v>1289</v>
      </c>
      <c r="L124" s="90" cm="1">
        <f t="array" ref="L124">_xll.FDS($K124,"FG_PRICE")</f>
        <v>1.77</v>
      </c>
      <c r="M124" s="7"/>
      <c r="N124" s="32"/>
      <c r="O124" s="32"/>
      <c r="P124" s="32"/>
      <c r="Q124" s="16"/>
      <c r="S124" s="5"/>
      <c r="T124" s="5"/>
    </row>
    <row r="125" spans="2:23" s="1" customFormat="1">
      <c r="B125" s="39" t="s">
        <v>685</v>
      </c>
      <c r="C125" s="112">
        <v>55.12</v>
      </c>
      <c r="D125" s="110" t="s">
        <v>57</v>
      </c>
      <c r="E125" s="119">
        <v>61</v>
      </c>
      <c r="F125" s="6">
        <f t="shared" si="34"/>
        <v>0.10667634252539915</v>
      </c>
      <c r="H125" s="86" t="s">
        <v>658</v>
      </c>
      <c r="I125" s="86" t="e">
        <f t="shared" ca="1" si="35"/>
        <v>#NAME?</v>
      </c>
      <c r="J125" s="106"/>
      <c r="K125" s="86" t="s">
        <v>1297</v>
      </c>
      <c r="L125" s="90" cm="1">
        <f t="array" ref="L125">_xll.FDS($K125,"FG_PRICE")</f>
        <v>55.12</v>
      </c>
      <c r="M125" s="7"/>
      <c r="N125" s="32"/>
      <c r="O125" s="32"/>
      <c r="P125" s="32"/>
      <c r="Q125" s="16"/>
      <c r="S125" s="5"/>
      <c r="T125" s="5"/>
    </row>
    <row r="126" spans="2:23" s="1" customFormat="1">
      <c r="B126" s="39" t="s">
        <v>877</v>
      </c>
      <c r="C126" s="112">
        <v>5.16</v>
      </c>
      <c r="D126" s="110" t="s">
        <v>60</v>
      </c>
      <c r="E126" s="110">
        <v>0.9</v>
      </c>
      <c r="F126" s="6">
        <f t="shared" si="34"/>
        <v>-0.82558139534883723</v>
      </c>
      <c r="H126" s="86" t="s">
        <v>676</v>
      </c>
      <c r="I126" s="86" t="e">
        <f t="shared" ca="1" si="35"/>
        <v>#NAME?</v>
      </c>
      <c r="J126" s="107"/>
      <c r="K126" s="86" t="s">
        <v>1291</v>
      </c>
      <c r="L126" s="90" cm="1">
        <f t="array" ref="L126">_xll.FDS($K126,"FG_PRICE")</f>
        <v>5.16</v>
      </c>
      <c r="M126" s="7"/>
      <c r="N126" s="27"/>
      <c r="O126" s="27"/>
      <c r="P126" s="27"/>
      <c r="S126" s="5"/>
      <c r="T126" s="5"/>
    </row>
    <row r="127" spans="2:23" s="1" customFormat="1">
      <c r="B127" s="39" t="s">
        <v>878</v>
      </c>
      <c r="C127" s="116">
        <v>12.1</v>
      </c>
      <c r="D127" s="110" t="s">
        <v>60</v>
      </c>
      <c r="E127" s="110">
        <v>0.9</v>
      </c>
      <c r="F127" s="6">
        <f t="shared" si="34"/>
        <v>-0.92561983471074383</v>
      </c>
      <c r="H127" s="86" t="s">
        <v>657</v>
      </c>
      <c r="I127" s="86" t="e">
        <f t="shared" ca="1" si="35"/>
        <v>#NAME?</v>
      </c>
      <c r="J127" s="103"/>
      <c r="K127" s="86" t="s">
        <v>1290</v>
      </c>
      <c r="L127" s="90" cm="1">
        <f t="array" ref="L127">_xll.FDS($K127,"FG_PRICE")</f>
        <v>12.1</v>
      </c>
      <c r="M127" s="7"/>
      <c r="N127" s="32"/>
      <c r="O127" s="32"/>
      <c r="P127" s="32"/>
      <c r="S127" s="5"/>
      <c r="T127" s="5"/>
    </row>
    <row r="128" spans="2:23" s="1" customFormat="1">
      <c r="F128" s="85"/>
      <c r="H128" s="86"/>
      <c r="I128" s="42"/>
      <c r="J128" s="103"/>
      <c r="K128" s="86"/>
      <c r="L128" s="42"/>
      <c r="M128" s="7"/>
      <c r="N128" s="32"/>
      <c r="O128" s="32"/>
      <c r="P128" s="32"/>
      <c r="S128" s="5"/>
      <c r="T128" s="5"/>
    </row>
    <row r="129" spans="2:23" s="1" customFormat="1">
      <c r="B129" s="113" t="s">
        <v>362</v>
      </c>
      <c r="C129" s="114" t="s">
        <v>459</v>
      </c>
      <c r="D129" s="114" t="s">
        <v>55</v>
      </c>
      <c r="E129" s="608" t="s">
        <v>56</v>
      </c>
      <c r="F129" s="115" t="s">
        <v>58</v>
      </c>
      <c r="H129" s="86"/>
      <c r="I129" s="87" t="s">
        <v>459</v>
      </c>
      <c r="J129" s="104"/>
      <c r="K129" s="86"/>
      <c r="L129" s="87" t="s">
        <v>459</v>
      </c>
      <c r="M129" s="7"/>
      <c r="N129" s="27"/>
      <c r="O129" s="27"/>
      <c r="P129" s="27"/>
      <c r="Q129" s="9"/>
      <c r="R129" s="9"/>
      <c r="S129" s="5"/>
      <c r="T129" s="5"/>
    </row>
    <row r="130" spans="2:23" s="1" customFormat="1">
      <c r="B130" s="39" t="s">
        <v>629</v>
      </c>
      <c r="C130" s="117">
        <v>2900</v>
      </c>
      <c r="D130" s="110" t="s">
        <v>60</v>
      </c>
      <c r="E130" s="120">
        <v>3150</v>
      </c>
      <c r="F130" s="6">
        <f>IFERROR(E130/C130-1,"-")</f>
        <v>8.6206896551724199E-2</v>
      </c>
      <c r="H130" s="86" t="s">
        <v>633</v>
      </c>
      <c r="I130" s="86" t="e">
        <f t="shared" ref="I130:I132" ca="1" si="36">BDP($H130,"PX_LAST")</f>
        <v>#NAME?</v>
      </c>
      <c r="J130" s="87"/>
      <c r="K130" s="86" t="s">
        <v>1292</v>
      </c>
      <c r="L130" s="90" cm="1">
        <f t="array" ref="L130">_xll.FDS($K130,"FG_PRICE")</f>
        <v>2900</v>
      </c>
      <c r="M130" s="7"/>
      <c r="N130" s="13"/>
      <c r="O130" s="13"/>
      <c r="P130" s="13"/>
      <c r="S130" s="5"/>
      <c r="T130" s="5"/>
    </row>
    <row r="131" spans="2:23" s="1" customFormat="1">
      <c r="B131" s="39" t="s">
        <v>398</v>
      </c>
      <c r="C131" s="117">
        <v>26.63</v>
      </c>
      <c r="D131" s="110" t="s">
        <v>60</v>
      </c>
      <c r="E131" s="120">
        <v>18</v>
      </c>
      <c r="F131" s="6">
        <f>IFERROR(E131/C131-1,"-")</f>
        <v>-0.32407059707097252</v>
      </c>
      <c r="H131" s="86" t="s">
        <v>1064</v>
      </c>
      <c r="I131" s="86" t="e">
        <f t="shared" ca="1" si="36"/>
        <v>#NAME?</v>
      </c>
      <c r="J131" s="86"/>
      <c r="K131" s="92" t="s">
        <v>1341</v>
      </c>
      <c r="L131" s="90" cm="1">
        <f t="array" ref="L131">_xll.FDS($K131,"FG_PRICE")</f>
        <v>26.63</v>
      </c>
      <c r="M131" s="7"/>
      <c r="N131" s="9"/>
      <c r="O131" s="9"/>
      <c r="S131" s="5"/>
      <c r="T131" s="5"/>
    </row>
    <row r="132" spans="2:23" s="1" customFormat="1">
      <c r="B132" s="39" t="s">
        <v>110</v>
      </c>
      <c r="C132" s="112">
        <v>18.63</v>
      </c>
      <c r="D132" s="110" t="s">
        <v>57</v>
      </c>
      <c r="E132" s="119">
        <v>23</v>
      </c>
      <c r="F132" s="6">
        <f>IFERROR(E132/C132-1,"-")</f>
        <v>0.23456790123456805</v>
      </c>
      <c r="H132" s="86" t="s">
        <v>1142</v>
      </c>
      <c r="I132" s="86" t="e">
        <f t="shared" ca="1" si="36"/>
        <v>#NAME?</v>
      </c>
      <c r="J132" s="99"/>
      <c r="K132" s="92" t="s">
        <v>1293</v>
      </c>
      <c r="L132" s="90" cm="1">
        <f t="array" ref="L132">_xll.FDS($K132,"FG_PRICE")</f>
        <v>18.63</v>
      </c>
      <c r="M132" s="7"/>
      <c r="N132" s="27"/>
      <c r="O132" s="27"/>
      <c r="P132" s="27"/>
      <c r="S132" s="5"/>
      <c r="T132" s="5"/>
    </row>
    <row r="133" spans="2:23" s="1" customFormat="1">
      <c r="C133" s="2"/>
      <c r="D133" s="2"/>
      <c r="E133" s="2"/>
      <c r="H133" s="86"/>
      <c r="I133" s="99"/>
      <c r="J133" s="96"/>
      <c r="K133" s="86"/>
      <c r="L133" s="99"/>
      <c r="M133" s="7"/>
      <c r="N133" s="13"/>
      <c r="O133" s="13"/>
      <c r="P133" s="13"/>
      <c r="S133" s="5"/>
      <c r="T133" s="5"/>
    </row>
    <row r="134" spans="2:23" s="1" customFormat="1">
      <c r="B134" s="113" t="s">
        <v>1350</v>
      </c>
      <c r="C134" s="114" t="s">
        <v>459</v>
      </c>
      <c r="D134" s="114" t="s">
        <v>55</v>
      </c>
      <c r="E134" s="608" t="s">
        <v>56</v>
      </c>
      <c r="F134" s="115" t="s">
        <v>58</v>
      </c>
      <c r="H134" s="86"/>
      <c r="I134" s="87" t="s">
        <v>459</v>
      </c>
      <c r="J134" s="99"/>
      <c r="K134" s="86"/>
      <c r="L134" s="87" t="s">
        <v>459</v>
      </c>
      <c r="M134" s="7"/>
      <c r="S134" s="5"/>
      <c r="T134" s="5"/>
    </row>
    <row r="135" spans="2:23" s="1" customFormat="1">
      <c r="B135" s="39" t="s">
        <v>811</v>
      </c>
      <c r="C135" s="116">
        <v>42.67</v>
      </c>
      <c r="D135" s="119" t="s">
        <v>57</v>
      </c>
      <c r="E135" s="112">
        <v>55</v>
      </c>
      <c r="F135" s="6">
        <f>IFERROR(E135/C135-1,"-")</f>
        <v>0.28896179985938586</v>
      </c>
      <c r="H135" s="86" t="s">
        <v>815</v>
      </c>
      <c r="I135" s="86" t="e">
        <f t="shared" ref="I135:I138" ca="1" si="37">BDP($H135,"PX_LAST")</f>
        <v>#NAME?</v>
      </c>
      <c r="J135" s="99"/>
      <c r="K135" s="92" t="s">
        <v>1294</v>
      </c>
      <c r="L135" s="90" cm="1">
        <f t="array" ref="L135">_xll.FDS($K135,"FG_PRICE")</f>
        <v>42.67</v>
      </c>
      <c r="M135" s="7"/>
      <c r="N135" s="9"/>
      <c r="O135" s="9"/>
      <c r="P135" s="9"/>
      <c r="Q135" s="9"/>
      <c r="R135" s="9"/>
      <c r="S135" s="5"/>
      <c r="T135" s="5"/>
    </row>
    <row r="136" spans="2:23" s="1" customFormat="1">
      <c r="B136" s="39" t="s">
        <v>824</v>
      </c>
      <c r="C136" s="116">
        <v>9.48</v>
      </c>
      <c r="D136" s="119" t="s">
        <v>57</v>
      </c>
      <c r="E136" s="116">
        <v>14</v>
      </c>
      <c r="F136" s="6">
        <f>IFERROR(E136/C136-1,"-")</f>
        <v>0.47679324894514763</v>
      </c>
      <c r="H136" s="86" t="s">
        <v>827</v>
      </c>
      <c r="I136" s="86" t="e">
        <f t="shared" ca="1" si="37"/>
        <v>#NAME?</v>
      </c>
      <c r="J136" s="99"/>
      <c r="K136" s="92" t="s">
        <v>1298</v>
      </c>
      <c r="L136" s="90" cm="1">
        <f t="array" ref="L136">_xll.FDS($K136,"FG_PRICE")</f>
        <v>9.48</v>
      </c>
      <c r="M136" s="7"/>
      <c r="N136" s="37"/>
      <c r="O136" s="37"/>
      <c r="P136" s="37"/>
      <c r="Q136" s="9"/>
      <c r="R136" s="9"/>
      <c r="S136" s="5"/>
      <c r="T136" s="5"/>
    </row>
    <row r="137" spans="2:23" s="1" customFormat="1">
      <c r="B137" s="39" t="s">
        <v>825</v>
      </c>
      <c r="C137" s="116">
        <v>8.26</v>
      </c>
      <c r="D137" s="119" t="s">
        <v>57</v>
      </c>
      <c r="E137" s="116">
        <v>14</v>
      </c>
      <c r="F137" s="6">
        <f>IFERROR(E137/C137-1,"-")</f>
        <v>0.69491525423728828</v>
      </c>
      <c r="H137" s="86" t="s">
        <v>831</v>
      </c>
      <c r="I137" s="86" t="e">
        <f t="shared" ca="1" si="37"/>
        <v>#NAME?</v>
      </c>
      <c r="J137" s="99"/>
      <c r="K137" s="92" t="s">
        <v>1295</v>
      </c>
      <c r="L137" s="90" cm="1">
        <f t="array" ref="L137">_xll.FDS($K137,"FG_PRICE")</f>
        <v>8.26</v>
      </c>
      <c r="M137" s="7"/>
      <c r="N137" s="12"/>
      <c r="O137" s="12"/>
      <c r="P137" s="12"/>
      <c r="S137" s="5"/>
      <c r="T137" s="5"/>
    </row>
    <row r="138" spans="2:23" s="1" customFormat="1">
      <c r="B138" s="39" t="s">
        <v>826</v>
      </c>
      <c r="C138" s="116">
        <v>9.48</v>
      </c>
      <c r="D138" s="119" t="s">
        <v>57</v>
      </c>
      <c r="E138" s="116">
        <v>14</v>
      </c>
      <c r="F138" s="6">
        <f>IFERROR(E138/C138-1,"-")</f>
        <v>0.47679324894514763</v>
      </c>
      <c r="H138" s="86" t="s">
        <v>832</v>
      </c>
      <c r="I138" s="86" t="e">
        <f t="shared" ca="1" si="37"/>
        <v>#NAME?</v>
      </c>
      <c r="J138" s="99"/>
      <c r="K138" s="92" t="s">
        <v>1296</v>
      </c>
      <c r="L138" s="90" cm="1">
        <f t="array" ref="L138">_xll.FDS($K138,"FG_PRICE")</f>
        <v>9.48</v>
      </c>
      <c r="M138" s="7"/>
      <c r="N138" s="12"/>
      <c r="O138" s="12"/>
      <c r="P138" s="12"/>
      <c r="S138" s="5"/>
      <c r="T138" s="5"/>
    </row>
    <row r="139" spans="2:23" s="1" customFormat="1">
      <c r="C139" s="2"/>
      <c r="D139" s="2"/>
      <c r="E139" s="2"/>
      <c r="H139" s="86"/>
      <c r="I139" s="99"/>
      <c r="J139" s="99"/>
      <c r="K139" s="86"/>
      <c r="L139" s="99"/>
      <c r="M139" s="7"/>
      <c r="N139" s="12"/>
      <c r="O139" s="12"/>
      <c r="P139" s="12"/>
      <c r="S139" s="5"/>
      <c r="T139" s="5"/>
    </row>
    <row r="140" spans="2:23" s="1" customFormat="1">
      <c r="B140" s="113" t="s">
        <v>1384</v>
      </c>
      <c r="C140" s="114" t="s">
        <v>459</v>
      </c>
      <c r="D140" s="114" t="s">
        <v>55</v>
      </c>
      <c r="E140" s="608" t="s">
        <v>56</v>
      </c>
      <c r="F140" s="115" t="s">
        <v>58</v>
      </c>
      <c r="H140" s="86"/>
      <c r="I140" s="87" t="s">
        <v>459</v>
      </c>
      <c r="J140" s="86"/>
      <c r="K140" s="86"/>
      <c r="L140" s="87" t="s">
        <v>459</v>
      </c>
      <c r="M140" s="7"/>
      <c r="N140" s="12"/>
      <c r="O140" s="12"/>
      <c r="P140" s="12"/>
      <c r="S140" s="5"/>
      <c r="T140" s="10"/>
      <c r="U140" s="11"/>
      <c r="V140" s="11"/>
      <c r="W140" s="11"/>
    </row>
    <row r="141" spans="2:23" s="1" customFormat="1">
      <c r="B141" s="39" t="s">
        <v>871</v>
      </c>
      <c r="C141" s="121">
        <v>16.63</v>
      </c>
      <c r="D141" s="121" t="s">
        <v>60</v>
      </c>
      <c r="E141" s="121">
        <v>17</v>
      </c>
      <c r="F141" s="6">
        <f>IFERROR(E141/C141-1,"-")</f>
        <v>2.2248947684906817E-2</v>
      </c>
      <c r="H141" s="86" t="s">
        <v>914</v>
      </c>
      <c r="I141" s="86" t="e">
        <f t="shared" ref="I141" ca="1" si="38">BDP($H141,"PX_LAST")</f>
        <v>#NAME?</v>
      </c>
      <c r="J141" s="99"/>
      <c r="K141" s="92" t="s">
        <v>1423</v>
      </c>
      <c r="L141" s="90" cm="1">
        <f t="array" ref="L141">_xll.FDS($K141,"FG_PRICE")</f>
        <v>16.63</v>
      </c>
      <c r="M141" s="7"/>
      <c r="N141" s="9"/>
      <c r="S141" s="5"/>
      <c r="T141" s="5"/>
    </row>
    <row r="142" spans="2:23" s="1" customFormat="1">
      <c r="C142" s="2"/>
      <c r="D142" s="2"/>
      <c r="E142" s="2"/>
      <c r="H142" s="86"/>
      <c r="I142" s="100"/>
      <c r="J142" s="95"/>
      <c r="K142" s="86"/>
      <c r="L142" s="100"/>
      <c r="M142" s="7"/>
      <c r="S142" s="5"/>
      <c r="T142" s="5"/>
    </row>
    <row r="143" spans="2:23" s="1" customFormat="1">
      <c r="B143" s="113" t="s">
        <v>539</v>
      </c>
      <c r="C143" s="114" t="s">
        <v>459</v>
      </c>
      <c r="D143" s="2"/>
      <c r="E143" s="2"/>
      <c r="H143" s="86"/>
      <c r="I143" s="87" t="s">
        <v>459</v>
      </c>
      <c r="J143" s="95"/>
      <c r="K143" s="86"/>
      <c r="L143" s="87" t="s">
        <v>459</v>
      </c>
      <c r="M143" s="7"/>
      <c r="S143" s="5"/>
      <c r="T143" s="5"/>
    </row>
    <row r="144" spans="2:23" s="1" customFormat="1">
      <c r="B144" s="38" t="s">
        <v>523</v>
      </c>
      <c r="C144" s="122">
        <v>9.0359999999999996</v>
      </c>
      <c r="H144" s="86" t="s">
        <v>1217</v>
      </c>
      <c r="I144" s="86" t="e">
        <f t="shared" ref="I144:I145" ca="1" si="39">BDP($H144,"PX_LAST")</f>
        <v>#NAME?</v>
      </c>
      <c r="J144" s="86"/>
      <c r="K144" s="92" t="s">
        <v>1299</v>
      </c>
      <c r="L144" s="90" cm="1">
        <f t="array" ref="L144">_xll.FDS($K144,"FG_PRICE")</f>
        <v>9.0359999999999996</v>
      </c>
      <c r="M144" s="7"/>
      <c r="N144" s="9"/>
      <c r="O144" s="9"/>
      <c r="P144" s="9"/>
      <c r="Q144" s="9"/>
      <c r="R144" s="9"/>
      <c r="S144" s="5"/>
      <c r="T144" s="5"/>
    </row>
    <row r="145" spans="2:20" s="1" customFormat="1">
      <c r="B145" s="1" t="s">
        <v>401</v>
      </c>
      <c r="C145" s="123">
        <v>8.15</v>
      </c>
      <c r="H145" s="86" t="s">
        <v>1218</v>
      </c>
      <c r="I145" s="86" t="e">
        <f t="shared" ca="1" si="39"/>
        <v>#NAME?</v>
      </c>
      <c r="J145" s="100"/>
      <c r="K145" s="92" t="s">
        <v>1342</v>
      </c>
      <c r="L145" s="90" cm="1">
        <f t="array" ref="L145">_xll.FDS($K145,"FG_PRICE")</f>
        <v>8.15</v>
      </c>
      <c r="M145" s="7"/>
      <c r="N145" s="9"/>
      <c r="O145" s="9"/>
      <c r="P145" s="9"/>
      <c r="Q145" s="9"/>
      <c r="R145" s="9"/>
      <c r="S145" s="5"/>
      <c r="T145" s="5"/>
    </row>
    <row r="146" spans="2:20" s="1" customFormat="1">
      <c r="H146" s="86"/>
      <c r="I146" s="86"/>
      <c r="J146" s="100"/>
      <c r="K146" s="86"/>
      <c r="L146" s="92"/>
      <c r="M146" s="7"/>
      <c r="N146" s="9"/>
      <c r="S146" s="5"/>
      <c r="T146" s="5"/>
    </row>
    <row r="147" spans="2:20" s="1" customFormat="1">
      <c r="B147" s="113" t="s">
        <v>1348</v>
      </c>
      <c r="C147" s="114" t="s">
        <v>459</v>
      </c>
      <c r="E147" s="607" t="s">
        <v>1562</v>
      </c>
      <c r="F147" s="608"/>
      <c r="H147" s="86"/>
      <c r="I147" s="87" t="s">
        <v>459</v>
      </c>
      <c r="J147" s="86"/>
      <c r="K147" s="86"/>
      <c r="L147" s="87" t="s">
        <v>459</v>
      </c>
      <c r="M147" s="7"/>
      <c r="P147" s="9"/>
      <c r="Q147" s="9"/>
      <c r="R147" s="9"/>
      <c r="S147" s="5"/>
      <c r="T147" s="5"/>
    </row>
    <row r="148" spans="2:20" s="1" customFormat="1">
      <c r="B148" s="38" t="s">
        <v>1144</v>
      </c>
      <c r="C148" s="124">
        <v>0.84191746000000001</v>
      </c>
      <c r="E148" s="609" t="s">
        <v>1563</v>
      </c>
      <c r="F148" s="610">
        <f>C148*C$155</f>
        <v>0.93563348145799596</v>
      </c>
      <c r="H148" s="86" t="s">
        <v>1178</v>
      </c>
      <c r="I148" s="86" t="e">
        <f ca="1">BDP(H148,"PX_LAST")</f>
        <v>#NAME?</v>
      </c>
      <c r="J148" s="86"/>
      <c r="K148" s="86" t="s">
        <v>1300</v>
      </c>
      <c r="L148" s="90" cm="1">
        <f t="array" ref="L148">_xll.FDS($K148,"FG_PRICE")</f>
        <v>0.84191746000000001</v>
      </c>
      <c r="M148" s="7"/>
      <c r="S148" s="5"/>
      <c r="T148" s="5"/>
    </row>
    <row r="149" spans="2:20" s="1" customFormat="1">
      <c r="B149" s="38" t="s">
        <v>1145</v>
      </c>
      <c r="C149" s="124">
        <v>6.7145405</v>
      </c>
      <c r="E149" s="609" t="s">
        <v>1564</v>
      </c>
      <c r="F149" s="610">
        <f t="shared" ref="F149:F187" si="40">C149*C$155</f>
        <v>7.4619534608602995</v>
      </c>
      <c r="H149" s="86" t="s">
        <v>1179</v>
      </c>
      <c r="I149" s="86" t="e">
        <f t="shared" ref="I149:I187" ca="1" si="41">BDP(H149,"PX_LAST")</f>
        <v>#NAME?</v>
      </c>
      <c r="J149" s="86"/>
      <c r="K149" s="86" t="s">
        <v>1301</v>
      </c>
      <c r="L149" s="90" cm="1">
        <f t="array" ref="L149">_xll.FDS($K149,"FG_PRICE")</f>
        <v>6.7145405</v>
      </c>
      <c r="M149" s="7"/>
      <c r="S149" s="5"/>
      <c r="T149" s="5"/>
    </row>
    <row r="150" spans="2:20" s="1" customFormat="1">
      <c r="B150" s="38" t="s">
        <v>1146</v>
      </c>
      <c r="C150" s="125">
        <v>33.993735999999998</v>
      </c>
      <c r="E150" s="609" t="s">
        <v>1565</v>
      </c>
      <c r="F150" s="610">
        <f t="shared" si="40"/>
        <v>37.7776671378736</v>
      </c>
      <c r="G150" s="1" t="s">
        <v>688</v>
      </c>
      <c r="H150" s="86" t="s">
        <v>1180</v>
      </c>
      <c r="I150" s="86" t="e">
        <f t="shared" ca="1" si="41"/>
        <v>#NAME?</v>
      </c>
      <c r="J150" s="86"/>
      <c r="K150" s="86" t="s">
        <v>1302</v>
      </c>
      <c r="L150" s="90" cm="1">
        <f t="array" ref="L150">_xll.FDS($K150,"FG_PRICE")</f>
        <v>33.993735999999998</v>
      </c>
      <c r="M150" s="7"/>
      <c r="S150" s="5"/>
      <c r="T150" s="5"/>
    </row>
    <row r="151" spans="2:20" s="1" customFormat="1">
      <c r="B151" s="38" t="s">
        <v>1147</v>
      </c>
      <c r="C151" s="124">
        <v>0.30530990000000002</v>
      </c>
      <c r="E151" s="609" t="s">
        <v>1566</v>
      </c>
      <c r="F151" s="610">
        <f t="shared" si="40"/>
        <v>0.33929473877474003</v>
      </c>
      <c r="H151" s="86" t="s">
        <v>1181</v>
      </c>
      <c r="I151" s="86" t="e">
        <f t="shared" ca="1" si="41"/>
        <v>#NAME?</v>
      </c>
      <c r="J151" s="86"/>
      <c r="K151" s="86" t="s">
        <v>1303</v>
      </c>
      <c r="L151" s="90" cm="1">
        <f t="array" ref="L151">_xll.FDS($K151,"FG_PRICE")</f>
        <v>0.30530990000000002</v>
      </c>
      <c r="M151" s="7"/>
      <c r="S151" s="5"/>
      <c r="T151" s="5"/>
    </row>
    <row r="152" spans="2:20" s="1" customFormat="1">
      <c r="B152" s="38" t="s">
        <v>1148</v>
      </c>
      <c r="C152" s="124">
        <v>83.946259999999995</v>
      </c>
      <c r="E152" s="609" t="s">
        <v>1567</v>
      </c>
      <c r="F152" s="610">
        <f t="shared" si="40"/>
        <v>93.290536460875998</v>
      </c>
      <c r="H152" s="86" t="s">
        <v>1182</v>
      </c>
      <c r="I152" s="86" t="e">
        <f t="shared" ca="1" si="41"/>
        <v>#NAME?</v>
      </c>
      <c r="J152" s="86"/>
      <c r="K152" s="86" t="s">
        <v>1304</v>
      </c>
      <c r="L152" s="90" cm="1">
        <f t="array" ref="L152">_xll.FDS($K152,"FG_PRICE")</f>
        <v>83.946259999999995</v>
      </c>
      <c r="M152" s="7"/>
      <c r="S152" s="5"/>
      <c r="T152" s="5"/>
    </row>
    <row r="153" spans="2:20" s="1" customFormat="1">
      <c r="B153" s="38" t="s">
        <v>1149</v>
      </c>
      <c r="C153" s="126">
        <v>0.75909965999999995</v>
      </c>
      <c r="E153" s="609" t="s">
        <v>1568</v>
      </c>
      <c r="F153" s="610">
        <f t="shared" si="40"/>
        <v>0.84359701681371591</v>
      </c>
      <c r="H153" s="86" t="s">
        <v>1183</v>
      </c>
      <c r="I153" s="108" t="e">
        <f ca="1">1/BDP(H153,"PX_LAST")</f>
        <v>#NAME?</v>
      </c>
      <c r="J153" s="86"/>
      <c r="K153" s="86" t="s">
        <v>1305</v>
      </c>
      <c r="L153" s="90" cm="1">
        <f t="array" ref="L153">_xll.FDS($K153,"FG_PRICE")</f>
        <v>0.75909965999999995</v>
      </c>
      <c r="M153" s="7"/>
      <c r="S153" s="5"/>
      <c r="T153" s="5"/>
    </row>
    <row r="154" spans="2:20" s="1" customFormat="1">
      <c r="B154" s="38" t="s">
        <v>1150</v>
      </c>
      <c r="C154" s="124">
        <v>22.534859999999998</v>
      </c>
      <c r="E154" s="609" t="s">
        <v>1569</v>
      </c>
      <c r="F154" s="610">
        <f t="shared" si="40"/>
        <v>25.043273857235999</v>
      </c>
      <c r="H154" s="86" t="s">
        <v>1184</v>
      </c>
      <c r="I154" s="86" t="e">
        <f t="shared" ca="1" si="41"/>
        <v>#NAME?</v>
      </c>
      <c r="J154" s="86"/>
      <c r="K154" s="86" t="s">
        <v>1306</v>
      </c>
      <c r="L154" s="90" cm="1">
        <f t="array" ref="L154">_xll.FDS($K154,"FG_PRICE")</f>
        <v>22.534859999999998</v>
      </c>
      <c r="M154" s="7"/>
      <c r="S154" s="5"/>
      <c r="T154" s="5"/>
    </row>
    <row r="155" spans="2:20" s="1" customFormat="1">
      <c r="B155" s="38" t="s">
        <v>666</v>
      </c>
      <c r="C155" s="124">
        <v>1.1113126</v>
      </c>
      <c r="E155" s="611" t="s">
        <v>1570</v>
      </c>
      <c r="F155" s="612">
        <f>1/C155</f>
        <v>0.89983682359041017</v>
      </c>
      <c r="H155" s="86" t="s">
        <v>1185</v>
      </c>
      <c r="I155" s="86" t="e">
        <f t="shared" ca="1" si="41"/>
        <v>#NAME?</v>
      </c>
      <c r="J155" s="86"/>
      <c r="K155" s="86" t="s">
        <v>1343</v>
      </c>
      <c r="L155" s="90" cm="1">
        <f t="array" ref="L155">_xll.FDS($K155,"FG_PRICE")</f>
        <v>1.1113126</v>
      </c>
      <c r="M155" s="7"/>
      <c r="S155" s="5"/>
      <c r="T155" s="5"/>
    </row>
    <row r="156" spans="2:20" s="1" customFormat="1">
      <c r="B156" s="38" t="s">
        <v>1151</v>
      </c>
      <c r="C156" s="127">
        <v>354.56225999999998</v>
      </c>
      <c r="E156" s="609" t="s">
        <v>1571</v>
      </c>
      <c r="F156" s="610">
        <f t="shared" si="40"/>
        <v>394.02950702247597</v>
      </c>
      <c r="H156" s="86" t="s">
        <v>1186</v>
      </c>
      <c r="I156" s="86" t="e">
        <f t="shared" ca="1" si="41"/>
        <v>#NAME?</v>
      </c>
      <c r="J156" s="86"/>
      <c r="K156" s="86" t="s">
        <v>1307</v>
      </c>
      <c r="L156" s="90" cm="1">
        <f t="array" ref="L156">_xll.FDS($K156,"FG_PRICE")</f>
        <v>354.56225999999998</v>
      </c>
      <c r="M156" s="7"/>
      <c r="S156" s="5"/>
      <c r="T156" s="5"/>
    </row>
    <row r="157" spans="2:20" s="1" customFormat="1">
      <c r="B157" s="38" t="s">
        <v>1152</v>
      </c>
      <c r="C157" s="124">
        <v>10.593920000000001</v>
      </c>
      <c r="E157" s="609" t="s">
        <v>1572</v>
      </c>
      <c r="F157" s="610">
        <f t="shared" si="40"/>
        <v>11.773156779392</v>
      </c>
      <c r="H157" s="86" t="s">
        <v>1187</v>
      </c>
      <c r="I157" s="86" t="e">
        <f t="shared" ca="1" si="41"/>
        <v>#NAME?</v>
      </c>
      <c r="J157" s="86"/>
      <c r="K157" s="86" t="s">
        <v>1308</v>
      </c>
      <c r="L157" s="90" cm="1">
        <f t="array" ref="L157">_xll.FDS($K157,"FG_PRICE")</f>
        <v>10.593920000000001</v>
      </c>
      <c r="M157" s="7"/>
      <c r="S157" s="5"/>
      <c r="T157" s="5"/>
    </row>
    <row r="158" spans="2:20" s="1" customFormat="1">
      <c r="B158" s="38" t="s">
        <v>798</v>
      </c>
      <c r="C158" s="124">
        <v>10.220025</v>
      </c>
      <c r="E158" s="609" t="s">
        <v>1573</v>
      </c>
      <c r="F158" s="610">
        <f t="shared" si="40"/>
        <v>11.357642554815</v>
      </c>
      <c r="H158" s="86" t="s">
        <v>1188</v>
      </c>
      <c r="I158" s="86" t="e">
        <f t="shared" ca="1" si="41"/>
        <v>#NAME?</v>
      </c>
      <c r="J158" s="86"/>
      <c r="K158" s="86" t="s">
        <v>1309</v>
      </c>
      <c r="L158" s="90" cm="1">
        <f t="array" ref="L158">_xll.FDS($K158,"FG_PRICE")</f>
        <v>10.220025</v>
      </c>
      <c r="M158" s="7"/>
      <c r="S158" s="5"/>
      <c r="T158" s="5"/>
    </row>
    <row r="159" spans="2:20" s="1" customFormat="1">
      <c r="B159" s="38" t="s">
        <v>1153</v>
      </c>
      <c r="C159" s="124">
        <v>4.3305119999999997</v>
      </c>
      <c r="E159" s="609" t="s">
        <v>1574</v>
      </c>
      <c r="F159" s="610">
        <f t="shared" si="40"/>
        <v>4.8125525500511994</v>
      </c>
      <c r="H159" s="86" t="s">
        <v>1189</v>
      </c>
      <c r="I159" s="86" t="e">
        <f t="shared" ca="1" si="41"/>
        <v>#NAME?</v>
      </c>
      <c r="J159" s="86"/>
      <c r="K159" s="86" t="s">
        <v>1310</v>
      </c>
      <c r="L159" s="90" cm="1">
        <f t="array" ref="L159">_xll.FDS($K159,"FG_PRICE")</f>
        <v>4.3305119999999997</v>
      </c>
      <c r="M159" s="7"/>
      <c r="S159" s="5"/>
      <c r="T159" s="5"/>
    </row>
    <row r="160" spans="2:20" s="1" customFormat="1">
      <c r="B160" s="38" t="s">
        <v>1154</v>
      </c>
      <c r="C160" s="124">
        <v>5.5738792000000004</v>
      </c>
      <c r="E160" s="609" t="s">
        <v>1575</v>
      </c>
      <c r="F160" s="610">
        <f t="shared" si="40"/>
        <v>6.1943221858379207</v>
      </c>
      <c r="H160" s="86" t="s">
        <v>1190</v>
      </c>
      <c r="I160" s="86" t="e">
        <f t="shared" ca="1" si="41"/>
        <v>#NAME?</v>
      </c>
      <c r="J160" s="86"/>
      <c r="K160" s="86" t="s">
        <v>1311</v>
      </c>
      <c r="L160" s="90" cm="1">
        <f t="array" ref="L160">_xll.FDS($K160,"FG_PRICE")</f>
        <v>5.5738792000000004</v>
      </c>
      <c r="M160" s="7"/>
      <c r="S160" s="5"/>
      <c r="T160" s="5"/>
    </row>
    <row r="161" spans="2:20" s="1" customFormat="1">
      <c r="B161" s="38" t="s">
        <v>1155</v>
      </c>
      <c r="C161" s="127">
        <v>142.76498000000001</v>
      </c>
      <c r="E161" s="609" t="s">
        <v>1576</v>
      </c>
      <c r="F161" s="610">
        <f t="shared" si="40"/>
        <v>158.65652111274801</v>
      </c>
      <c r="H161" s="86" t="s">
        <v>1191</v>
      </c>
      <c r="I161" s="86" t="e">
        <f t="shared" ca="1" si="41"/>
        <v>#NAME?</v>
      </c>
      <c r="J161" s="86"/>
      <c r="K161" s="86" t="s">
        <v>1312</v>
      </c>
      <c r="L161" s="90" cm="1">
        <f t="array" ref="L161">_xll.FDS($K161,"FG_PRICE")</f>
        <v>142.76498000000001</v>
      </c>
      <c r="M161" s="7"/>
      <c r="S161" s="5"/>
      <c r="T161" s="5"/>
    </row>
    <row r="162" spans="2:20" s="1" customFormat="1">
      <c r="B162" s="38" t="s">
        <v>1156</v>
      </c>
      <c r="C162" s="124">
        <v>3.8506851000000002</v>
      </c>
      <c r="E162" s="609" t="s">
        <v>1577</v>
      </c>
      <c r="F162" s="610">
        <f t="shared" si="40"/>
        <v>4.2793148702622599</v>
      </c>
      <c r="H162" s="86" t="s">
        <v>1192</v>
      </c>
      <c r="I162" s="86" t="e">
        <f t="shared" ca="1" si="41"/>
        <v>#NAME?</v>
      </c>
      <c r="J162" s="86"/>
      <c r="K162" s="86" t="s">
        <v>1313</v>
      </c>
      <c r="L162" s="90" cm="1">
        <f t="array" ref="L162">_xll.FDS($K162,"FG_PRICE")</f>
        <v>3.8506851000000002</v>
      </c>
      <c r="M162" s="7"/>
      <c r="S162" s="5"/>
      <c r="T162" s="5"/>
    </row>
    <row r="163" spans="2:20" s="1" customFormat="1">
      <c r="B163" s="38" t="s">
        <v>1157</v>
      </c>
      <c r="C163" s="124">
        <v>33.515009999999997</v>
      </c>
      <c r="E163" s="609" t="s">
        <v>1578</v>
      </c>
      <c r="F163" s="610">
        <f t="shared" si="40"/>
        <v>37.245652902125997</v>
      </c>
      <c r="H163" s="86" t="s">
        <v>1193</v>
      </c>
      <c r="I163" s="86" t="e">
        <f t="shared" ca="1" si="41"/>
        <v>#NAME?</v>
      </c>
      <c r="J163" s="86"/>
      <c r="K163" s="86" t="s">
        <v>1314</v>
      </c>
      <c r="L163" s="90" cm="1">
        <f t="array" ref="L163">_xll.FDS($K163,"FG_PRICE")</f>
        <v>33.515009999999997</v>
      </c>
      <c r="M163" s="7"/>
      <c r="S163" s="5"/>
      <c r="T163" s="5"/>
    </row>
    <row r="164" spans="2:20" s="1" customFormat="1">
      <c r="B164" s="38" t="s">
        <v>1158</v>
      </c>
      <c r="C164" s="124">
        <v>1.3492997</v>
      </c>
      <c r="E164" s="609" t="s">
        <v>1579</v>
      </c>
      <c r="F164" s="610">
        <f t="shared" si="40"/>
        <v>1.49949375778622</v>
      </c>
      <c r="H164" s="86" t="s">
        <v>1194</v>
      </c>
      <c r="I164" s="86" t="e">
        <f t="shared" ca="1" si="41"/>
        <v>#NAME?</v>
      </c>
      <c r="J164" s="86"/>
      <c r="K164" s="86" t="s">
        <v>1315</v>
      </c>
      <c r="L164" s="90" cm="1">
        <f t="array" ref="L164">_xll.FDS($K164,"FG_PRICE")</f>
        <v>1.3492997</v>
      </c>
      <c r="M164" s="7"/>
      <c r="O164" s="9"/>
      <c r="P164" s="9"/>
      <c r="Q164" s="9"/>
      <c r="S164" s="5"/>
      <c r="T164" s="5"/>
    </row>
    <row r="165" spans="2:20" s="1" customFormat="1">
      <c r="B165" s="38" t="s">
        <v>1159</v>
      </c>
      <c r="C165" s="127">
        <v>942.32006999999999</v>
      </c>
      <c r="E165" s="609" t="s">
        <v>1580</v>
      </c>
      <c r="F165" s="610">
        <f t="shared" si="40"/>
        <v>1047.2121670238819</v>
      </c>
      <c r="H165" s="86" t="s">
        <v>1195</v>
      </c>
      <c r="I165" s="86" t="e">
        <f t="shared" ca="1" si="41"/>
        <v>#NAME?</v>
      </c>
      <c r="J165" s="86"/>
      <c r="K165" s="86" t="s">
        <v>1316</v>
      </c>
      <c r="L165" s="90" cm="1">
        <f t="array" ref="L165">_xll.FDS($K165,"FG_PRICE")</f>
        <v>942.32006999999999</v>
      </c>
      <c r="M165" s="7"/>
      <c r="S165" s="5"/>
      <c r="T165" s="5"/>
    </row>
    <row r="166" spans="2:20" s="1" customFormat="1">
      <c r="B166" s="38" t="s">
        <v>1160</v>
      </c>
      <c r="C166" s="124">
        <v>3.1069564999999999</v>
      </c>
      <c r="E166" s="609" t="s">
        <v>1581</v>
      </c>
      <c r="F166" s="610">
        <f t="shared" si="40"/>
        <v>3.4527999061018999</v>
      </c>
      <c r="H166" s="86" t="s">
        <v>1196</v>
      </c>
      <c r="I166" s="86" t="e">
        <f t="shared" ca="1" si="41"/>
        <v>#NAME?</v>
      </c>
      <c r="J166" s="86"/>
      <c r="K166" s="86" t="s">
        <v>1317</v>
      </c>
      <c r="L166" s="90" cm="1">
        <f t="array" ref="L166">_xll.FDS($K166,"FG_PRICE")</f>
        <v>3.1069564999999999</v>
      </c>
      <c r="M166" s="7"/>
      <c r="S166" s="5"/>
      <c r="T166" s="5"/>
    </row>
    <row r="167" spans="2:20" s="1" customFormat="1">
      <c r="B167" s="38" t="s">
        <v>1347</v>
      </c>
      <c r="C167" s="124">
        <v>7.7924994999999999</v>
      </c>
      <c r="E167" s="609" t="s">
        <v>1582</v>
      </c>
      <c r="F167" s="610">
        <f t="shared" si="40"/>
        <v>8.659902879843699</v>
      </c>
      <c r="H167" s="86" t="s">
        <v>1197</v>
      </c>
      <c r="I167" s="86" t="e">
        <f t="shared" ca="1" si="41"/>
        <v>#NAME?</v>
      </c>
      <c r="J167" s="86"/>
      <c r="K167" s="86" t="s">
        <v>1318</v>
      </c>
      <c r="L167" s="90" cm="1">
        <f t="array" ref="L167">_xll.FDS($K167,"FG_PRICE")</f>
        <v>7.7924994999999999</v>
      </c>
      <c r="M167" s="7"/>
      <c r="S167" s="5"/>
      <c r="T167" s="5"/>
    </row>
    <row r="168" spans="2:20" s="1" customFormat="1">
      <c r="B168" s="38" t="s">
        <v>1346</v>
      </c>
      <c r="C168" s="124">
        <v>1.4836984</v>
      </c>
      <c r="E168" s="609" t="s">
        <v>1583</v>
      </c>
      <c r="F168" s="610">
        <f t="shared" si="40"/>
        <v>1.6488527265198401</v>
      </c>
      <c r="H168" s="86" t="s">
        <v>1198</v>
      </c>
      <c r="I168" s="108" t="e">
        <f ca="1">1/BDP(H168,"PX_LAST")</f>
        <v>#NAME?</v>
      </c>
      <c r="J168" s="86"/>
      <c r="K168" s="86" t="s">
        <v>1319</v>
      </c>
      <c r="L168" s="90" cm="1">
        <f t="array" ref="L168">_xll.FDS($K168,"FG_PRICE")</f>
        <v>1.4836984</v>
      </c>
      <c r="M168" s="7"/>
      <c r="S168" s="5"/>
      <c r="T168" s="5"/>
    </row>
    <row r="169" spans="2:20" s="1" customFormat="1">
      <c r="B169" s="38" t="s">
        <v>1161</v>
      </c>
      <c r="C169" s="124">
        <v>9.7123010000000001</v>
      </c>
      <c r="E169" s="609" t="s">
        <v>1584</v>
      </c>
      <c r="F169" s="610">
        <f t="shared" si="40"/>
        <v>10.7934024762926</v>
      </c>
      <c r="H169" s="86" t="s">
        <v>1199</v>
      </c>
      <c r="I169" s="86" t="e">
        <f t="shared" ca="1" si="41"/>
        <v>#NAME?</v>
      </c>
      <c r="J169" s="86"/>
      <c r="K169" s="86" t="s">
        <v>1320</v>
      </c>
      <c r="L169" s="90" cm="1">
        <f t="array" ref="L169">_xll.FDS($K169,"FG_PRICE")</f>
        <v>9.7123010000000001</v>
      </c>
      <c r="M169" s="7"/>
      <c r="S169" s="5"/>
      <c r="T169" s="5"/>
    </row>
    <row r="170" spans="2:20" s="1" customFormat="1">
      <c r="B170" s="38" t="s">
        <v>1162</v>
      </c>
      <c r="C170" s="124">
        <v>17.722511000000001</v>
      </c>
      <c r="E170" s="609" t="s">
        <v>1585</v>
      </c>
      <c r="F170" s="610">
        <f t="shared" si="40"/>
        <v>19.695249777938599</v>
      </c>
      <c r="H170" s="86" t="s">
        <v>1200</v>
      </c>
      <c r="I170" s="86" t="e">
        <f t="shared" ca="1" si="41"/>
        <v>#NAME?</v>
      </c>
      <c r="J170" s="86"/>
      <c r="K170" s="86" t="s">
        <v>1321</v>
      </c>
      <c r="L170" s="90" cm="1">
        <f t="array" ref="L170">_xll.FDS($K170,"FG_PRICE")</f>
        <v>17.722511000000001</v>
      </c>
      <c r="M170" s="7"/>
      <c r="S170" s="5"/>
      <c r="T170" s="5"/>
    </row>
    <row r="171" spans="2:20" s="1" customFormat="1">
      <c r="B171" s="38" t="s">
        <v>1163</v>
      </c>
      <c r="C171" s="124">
        <v>48.440010000000001</v>
      </c>
      <c r="E171" s="609" t="s">
        <v>1586</v>
      </c>
      <c r="F171" s="610">
        <f t="shared" si="40"/>
        <v>53.831993457126003</v>
      </c>
      <c r="H171" s="86" t="s">
        <v>1201</v>
      </c>
      <c r="I171" s="86" t="e">
        <f t="shared" ca="1" si="41"/>
        <v>#NAME?</v>
      </c>
      <c r="J171" s="86"/>
      <c r="K171" s="86" t="s">
        <v>1322</v>
      </c>
      <c r="L171" s="90" cm="1">
        <f t="array" ref="L171">_xll.FDS($K171,"FG_PRICE")</f>
        <v>48.440010000000001</v>
      </c>
      <c r="M171" s="7"/>
      <c r="S171" s="5"/>
      <c r="T171" s="5"/>
    </row>
    <row r="172" spans="2:20" s="1" customFormat="1">
      <c r="B172" s="38" t="s">
        <v>1164</v>
      </c>
      <c r="C172" s="127">
        <v>15365.001</v>
      </c>
      <c r="E172" s="609" t="s">
        <v>1587</v>
      </c>
      <c r="F172" s="610">
        <f t="shared" si="40"/>
        <v>17075.319210312598</v>
      </c>
      <c r="H172" s="86" t="s">
        <v>1202</v>
      </c>
      <c r="I172" s="86" t="e">
        <f t="shared" ca="1" si="41"/>
        <v>#NAME?</v>
      </c>
      <c r="J172" s="86"/>
      <c r="K172" s="86" t="s">
        <v>1323</v>
      </c>
      <c r="L172" s="90" cm="1">
        <f t="array" ref="L172">_xll.FDS($K172,"FG_PRICE")</f>
        <v>15365.001</v>
      </c>
      <c r="M172" s="7"/>
      <c r="S172" s="5"/>
      <c r="T172" s="5"/>
    </row>
    <row r="173" spans="2:20" s="1" customFormat="1">
      <c r="B173" s="38" t="s">
        <v>1165</v>
      </c>
      <c r="C173" s="127">
        <v>1327.45</v>
      </c>
      <c r="E173" s="609" t="s">
        <v>1588</v>
      </c>
      <c r="F173" s="610">
        <f t="shared" si="40"/>
        <v>1475.2119108700001</v>
      </c>
      <c r="H173" s="86" t="s">
        <v>1203</v>
      </c>
      <c r="I173" s="86" t="e">
        <f t="shared" ca="1" si="41"/>
        <v>#NAME?</v>
      </c>
      <c r="J173" s="86"/>
      <c r="K173" s="86" t="s">
        <v>1324</v>
      </c>
      <c r="L173" s="90" cm="1">
        <f t="array" ref="L173">_xll.FDS($K173,"FG_PRICE")</f>
        <v>1327.45</v>
      </c>
      <c r="M173" s="7"/>
      <c r="S173" s="5"/>
      <c r="T173" s="5"/>
    </row>
    <row r="174" spans="2:20" s="1" customFormat="1">
      <c r="B174" s="38" t="s">
        <v>1166</v>
      </c>
      <c r="C174" s="124">
        <v>90.200059999999993</v>
      </c>
      <c r="E174" s="609" t="s">
        <v>1589</v>
      </c>
      <c r="F174" s="610">
        <f t="shared" si="40"/>
        <v>100.24046319875599</v>
      </c>
      <c r="H174" s="86" t="s">
        <v>1204</v>
      </c>
      <c r="I174" s="86" t="e">
        <f t="shared" ca="1" si="41"/>
        <v>#NAME?</v>
      </c>
      <c r="J174" s="86"/>
      <c r="K174" s="86" t="s">
        <v>1325</v>
      </c>
      <c r="L174" s="90" cm="1">
        <f t="array" ref="L174">_xll.FDS($K174,"FG_PRICE")</f>
        <v>90.200059999999993</v>
      </c>
      <c r="M174" s="7"/>
      <c r="S174" s="5"/>
      <c r="T174" s="5"/>
    </row>
    <row r="175" spans="2:20" s="1" customFormat="1">
      <c r="B175" s="38" t="s">
        <v>1167</v>
      </c>
      <c r="C175" s="124">
        <v>7.0880932999999997</v>
      </c>
      <c r="E175" s="609" t="s">
        <v>1590</v>
      </c>
      <c r="F175" s="610">
        <f t="shared" si="40"/>
        <v>7.8770873942655797</v>
      </c>
      <c r="H175" s="86" t="s">
        <v>1205</v>
      </c>
      <c r="I175" s="86" t="e">
        <f t="shared" ca="1" si="41"/>
        <v>#NAME?</v>
      </c>
      <c r="J175" s="86"/>
      <c r="K175" s="86" t="s">
        <v>1326</v>
      </c>
      <c r="L175" s="90" cm="1">
        <f t="array" ref="L175">_xll.FDS($K175,"FG_PRICE")</f>
        <v>7.0880932999999997</v>
      </c>
      <c r="M175" s="7"/>
      <c r="S175" s="5"/>
      <c r="T175" s="5"/>
    </row>
    <row r="176" spans="2:20" s="1" customFormat="1">
      <c r="B176" s="38" t="s">
        <v>1168</v>
      </c>
      <c r="C176" s="124">
        <v>1.2984020999999999</v>
      </c>
      <c r="E176" s="609" t="s">
        <v>1591</v>
      </c>
      <c r="F176" s="610">
        <f t="shared" si="40"/>
        <v>1.4429306135964599</v>
      </c>
      <c r="H176" s="86" t="s">
        <v>1206</v>
      </c>
      <c r="I176" s="86" t="e">
        <f t="shared" ca="1" si="41"/>
        <v>#NAME?</v>
      </c>
      <c r="J176" s="86"/>
      <c r="K176" s="86" t="s">
        <v>1327</v>
      </c>
      <c r="L176" s="90" cm="1">
        <f t="array" ref="L176">_xll.FDS($K176,"FG_PRICE")</f>
        <v>1.2984020999999999</v>
      </c>
      <c r="M176" s="7"/>
      <c r="S176" s="5"/>
      <c r="T176" s="5"/>
    </row>
    <row r="177" spans="2:20" s="1" customFormat="1">
      <c r="B177" s="38" t="s">
        <v>1169</v>
      </c>
      <c r="C177" s="124">
        <v>55.902493</v>
      </c>
      <c r="E177" s="609" t="s">
        <v>1592</v>
      </c>
      <c r="F177" s="610">
        <f t="shared" si="40"/>
        <v>62.125144842311798</v>
      </c>
      <c r="H177" s="86" t="s">
        <v>1207</v>
      </c>
      <c r="I177" s="86" t="e">
        <f t="shared" ca="1" si="41"/>
        <v>#NAME?</v>
      </c>
      <c r="J177" s="86"/>
      <c r="K177" s="86" t="s">
        <v>1328</v>
      </c>
      <c r="L177" s="90" cm="1">
        <f t="array" ref="L177">_xll.FDS($K177,"FG_PRICE")</f>
        <v>55.902493</v>
      </c>
      <c r="M177" s="7"/>
      <c r="S177" s="5"/>
      <c r="T177" s="5"/>
    </row>
    <row r="178" spans="2:20" s="1" customFormat="1">
      <c r="B178" s="38" t="s">
        <v>1170</v>
      </c>
      <c r="C178" s="127">
        <v>298.90001999999998</v>
      </c>
      <c r="E178" s="609" t="s">
        <v>1593</v>
      </c>
      <c r="F178" s="610">
        <f t="shared" si="40"/>
        <v>332.17135836625198</v>
      </c>
      <c r="H178" s="86" t="s">
        <v>1208</v>
      </c>
      <c r="I178" s="86" t="e">
        <f t="shared" ca="1" si="41"/>
        <v>#NAME?</v>
      </c>
      <c r="J178" s="86"/>
      <c r="K178" s="86" t="s">
        <v>1329</v>
      </c>
      <c r="L178" s="90" cm="1">
        <f t="array" ref="L178">_xll.FDS($K178,"FG_PRICE")</f>
        <v>298.90001999999998</v>
      </c>
      <c r="M178" s="7"/>
    </row>
    <row r="179" spans="2:20" s="1" customFormat="1">
      <c r="B179" s="38" t="s">
        <v>1171</v>
      </c>
      <c r="C179" s="127">
        <v>129.0001</v>
      </c>
      <c r="E179" s="609" t="s">
        <v>1594</v>
      </c>
      <c r="F179" s="610">
        <f t="shared" si="40"/>
        <v>143.35943653126</v>
      </c>
      <c r="H179" s="86" t="s">
        <v>1209</v>
      </c>
      <c r="I179" s="86" t="e">
        <f t="shared" ca="1" si="41"/>
        <v>#NAME?</v>
      </c>
      <c r="J179" s="86"/>
      <c r="K179" s="86" t="s">
        <v>1330</v>
      </c>
      <c r="L179" s="90" cm="1">
        <f t="array" ref="L179">_xll.FDS($K179,"FG_PRICE")</f>
        <v>129.0001</v>
      </c>
      <c r="M179" s="7"/>
    </row>
    <row r="180" spans="2:20" s="1" customFormat="1">
      <c r="B180" s="38" t="s">
        <v>1172</v>
      </c>
      <c r="C180" s="124">
        <v>19.88401</v>
      </c>
      <c r="E180" s="609" t="s">
        <v>1595</v>
      </c>
      <c r="F180" s="610">
        <f t="shared" si="40"/>
        <v>22.097350851525999</v>
      </c>
      <c r="H180" s="86" t="s">
        <v>1210</v>
      </c>
      <c r="I180" s="86" t="e">
        <f t="shared" ca="1" si="41"/>
        <v>#NAME?</v>
      </c>
      <c r="J180" s="86"/>
      <c r="K180" s="86" t="s">
        <v>1331</v>
      </c>
      <c r="L180" s="90" cm="1">
        <f t="array" ref="L180">_xll.FDS($K180,"FG_PRICE")</f>
        <v>19.88401</v>
      </c>
      <c r="M180" s="7"/>
    </row>
    <row r="181" spans="2:20" s="1" customFormat="1">
      <c r="B181" s="38" t="s">
        <v>1173</v>
      </c>
      <c r="C181" s="124">
        <v>31.934982000000002</v>
      </c>
      <c r="E181" s="609" t="s">
        <v>1596</v>
      </c>
      <c r="F181" s="610">
        <f t="shared" si="40"/>
        <v>35.489747877373205</v>
      </c>
      <c r="H181" s="86" t="s">
        <v>1211</v>
      </c>
      <c r="I181" s="86" t="e">
        <f t="shared" ca="1" si="41"/>
        <v>#NAME?</v>
      </c>
      <c r="J181" s="86"/>
      <c r="K181" s="86" t="s">
        <v>1332</v>
      </c>
      <c r="L181" s="90" cm="1">
        <f t="array" ref="L181">_xll.FDS($K181,"FG_PRICE")</f>
        <v>31.934982000000002</v>
      </c>
      <c r="M181" s="7"/>
    </row>
    <row r="182" spans="2:20" s="1" customFormat="1">
      <c r="B182" s="38" t="s">
        <v>1174</v>
      </c>
      <c r="C182" s="124">
        <v>953.74585000000002</v>
      </c>
      <c r="E182" s="609" t="s">
        <v>1597</v>
      </c>
      <c r="F182" s="610">
        <f t="shared" si="40"/>
        <v>1059.90978030271</v>
      </c>
      <c r="H182" s="86" t="s">
        <v>1212</v>
      </c>
      <c r="I182" s="86" t="e">
        <f t="shared" ca="1" si="41"/>
        <v>#NAME?</v>
      </c>
      <c r="J182" s="86"/>
      <c r="K182" s="86" t="s">
        <v>1333</v>
      </c>
      <c r="L182" s="90" cm="1">
        <f t="array" ref="L182">_xll.FDS($K182,"FG_PRICE")</f>
        <v>953.74585000000002</v>
      </c>
      <c r="M182" s="7"/>
    </row>
    <row r="183" spans="2:20" s="1" customFormat="1">
      <c r="B183" s="5" t="s">
        <v>1175</v>
      </c>
      <c r="C183" s="127">
        <v>278.55</v>
      </c>
      <c r="E183" s="192" t="s">
        <v>1598</v>
      </c>
      <c r="F183" s="610">
        <f t="shared" si="40"/>
        <v>309.55612473000002</v>
      </c>
      <c r="H183" s="86" t="s">
        <v>1213</v>
      </c>
      <c r="I183" s="86" t="e">
        <f t="shared" ca="1" si="41"/>
        <v>#NAME?</v>
      </c>
      <c r="J183" s="86"/>
      <c r="K183" s="86" t="s">
        <v>1334</v>
      </c>
      <c r="L183" s="90" cm="1">
        <f t="array" ref="L183">_xll.FDS($K183,"FG_PRICE")</f>
        <v>278.55</v>
      </c>
      <c r="M183" s="7"/>
    </row>
    <row r="184" spans="2:20" s="1" customFormat="1">
      <c r="B184" s="5" t="s">
        <v>1176</v>
      </c>
      <c r="C184" s="124">
        <v>119.90006</v>
      </c>
      <c r="E184" s="192" t="s">
        <v>1599</v>
      </c>
      <c r="F184" s="610">
        <f t="shared" si="40"/>
        <v>133.24644741875599</v>
      </c>
      <c r="H184" s="86" t="s">
        <v>1214</v>
      </c>
      <c r="I184" s="86" t="e">
        <f t="shared" ca="1" si="41"/>
        <v>#NAME?</v>
      </c>
      <c r="J184" s="86"/>
      <c r="K184" s="86" t="s">
        <v>1335</v>
      </c>
      <c r="L184" s="90" cm="1">
        <f t="array" ref="L184">_xll.FDS($K184,"FG_PRICE")</f>
        <v>119.90006</v>
      </c>
      <c r="M184" s="7"/>
    </row>
    <row r="185" spans="2:20" s="1" customFormat="1">
      <c r="B185" s="5" t="s">
        <v>1170</v>
      </c>
      <c r="C185" s="127">
        <v>298.90001999999998</v>
      </c>
      <c r="E185" s="192" t="s">
        <v>1593</v>
      </c>
      <c r="F185" s="610">
        <f t="shared" si="40"/>
        <v>332.17135836625198</v>
      </c>
      <c r="H185" s="86" t="s">
        <v>1208</v>
      </c>
      <c r="I185" s="86" t="e">
        <f t="shared" ca="1" si="41"/>
        <v>#NAME?</v>
      </c>
      <c r="J185" s="86"/>
      <c r="K185" s="86" t="s">
        <v>1329</v>
      </c>
      <c r="L185" s="90" cm="1">
        <f t="array" ref="L185">_xll.FDS($K185,"FG_PRICE")</f>
        <v>298.90001999999998</v>
      </c>
      <c r="M185" s="7"/>
    </row>
    <row r="186" spans="2:20" s="1" customFormat="1">
      <c r="B186" s="5" t="s">
        <v>1177</v>
      </c>
      <c r="C186" s="124">
        <v>3.6409837999999999</v>
      </c>
      <c r="E186" s="192" t="s">
        <v>1600</v>
      </c>
      <c r="F186" s="610">
        <f t="shared" si="40"/>
        <v>4.0462711733358798</v>
      </c>
      <c r="H186" s="86" t="s">
        <v>1215</v>
      </c>
      <c r="I186" s="86" t="e">
        <f t="shared" ca="1" si="41"/>
        <v>#NAME?</v>
      </c>
      <c r="J186" s="86"/>
      <c r="K186" s="86" t="s">
        <v>1336</v>
      </c>
      <c r="L186" s="90" cm="1">
        <f t="array" ref="L186">_xll.FDS($K186,"FG_PRICE")</f>
        <v>3.6409837999999999</v>
      </c>
      <c r="M186" s="7"/>
    </row>
    <row r="187" spans="2:20" s="1" customFormat="1">
      <c r="B187" s="5" t="s">
        <v>1345</v>
      </c>
      <c r="C187" s="124">
        <v>0.6230078</v>
      </c>
      <c r="E187" s="192" t="s">
        <v>1601</v>
      </c>
      <c r="F187" s="610">
        <f t="shared" si="40"/>
        <v>0.69235641803827996</v>
      </c>
      <c r="H187" s="86" t="s">
        <v>1216</v>
      </c>
      <c r="I187" s="86" t="e">
        <f t="shared" ca="1" si="41"/>
        <v>#NAME?</v>
      </c>
      <c r="J187" s="86"/>
      <c r="K187" s="86" t="s">
        <v>1344</v>
      </c>
      <c r="L187" s="90" cm="1">
        <f t="array" ref="L187">_xll.FDS($K187,"FG_PRICE")</f>
        <v>0.6230078</v>
      </c>
      <c r="M187" s="7"/>
    </row>
    <row r="188" spans="2:20" s="1" customFormat="1">
      <c r="C188" s="4"/>
      <c r="D188" s="2"/>
      <c r="E188" s="2"/>
    </row>
    <row r="189" spans="2:20" s="1" customFormat="1">
      <c r="D189" s="2"/>
      <c r="E189" s="2"/>
    </row>
    <row r="190" spans="2:20" s="1" customFormat="1">
      <c r="D190" s="2"/>
      <c r="E190" s="2"/>
      <c r="L190" s="20"/>
      <c r="M190" s="7"/>
    </row>
  </sheetData>
  <phoneticPr fontId="7" type="noConversion"/>
  <pageMargins left="0.74803149606299213" right="0.74803149606299213" top="0.98425196850393704" bottom="0.98425196850393704" header="0.51181102362204722" footer="0.51181102362204722"/>
  <pageSetup scale="60" fitToHeight="0" orientation="portrait" r:id="rId1"/>
  <headerFooter alignWithMargins="0"/>
  <rowBreaks count="2" manualBreakCount="2">
    <brk id="77" max="12" man="1"/>
    <brk id="145" max="12" man="1"/>
  </rowBreaks>
  <ignoredErrors>
    <ignoredError sqref="G1:G3 G4 G6" evalError="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1">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7" width="8.6640625" style="5" customWidth="1"/>
    <col min="28" max="28" width="8.6640625" style="39" customWidth="1"/>
    <col min="29" max="16384" width="9.109375" style="39"/>
  </cols>
  <sheetData>
    <row r="1" spans="2:27" s="312" customFormat="1">
      <c r="S1" s="149"/>
      <c r="T1" s="149"/>
      <c r="U1" s="149"/>
      <c r="V1" s="149"/>
      <c r="W1" s="149"/>
      <c r="X1" s="149"/>
      <c r="Y1" s="149"/>
      <c r="Z1" s="149"/>
      <c r="AA1" s="149"/>
    </row>
    <row r="2" spans="2:27" s="149" customFormat="1"/>
    <row r="3" spans="2:27" s="149" customFormat="1">
      <c r="H3" s="153"/>
      <c r="P3" s="153"/>
    </row>
    <row r="4" spans="2:27" s="156" customFormat="1" ht="21">
      <c r="B4" s="129" t="s">
        <v>163</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42"/>
      <c r="T8" s="42"/>
      <c r="U8" s="42"/>
      <c r="V8" s="42"/>
      <c r="W8" s="42"/>
      <c r="X8" s="42"/>
      <c r="Y8" s="42"/>
      <c r="Z8" s="42"/>
      <c r="AA8" s="42"/>
    </row>
    <row r="9" spans="2:27">
      <c r="B9" s="41" t="s">
        <v>14</v>
      </c>
      <c r="C9" s="287">
        <f>Prices!$C$84</f>
        <v>3.66</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42"/>
      <c r="T9" s="42"/>
      <c r="U9" s="42"/>
      <c r="V9" s="42"/>
      <c r="W9" s="42"/>
      <c r="X9" s="42"/>
      <c r="Y9" s="42"/>
      <c r="Z9" s="42"/>
      <c r="AA9" s="42"/>
    </row>
    <row r="10" spans="2:27">
      <c r="B10" s="5" t="s">
        <v>269</v>
      </c>
      <c r="C10" s="5"/>
      <c r="D10" s="527">
        <v>11732.007987999999</v>
      </c>
      <c r="E10" s="527">
        <v>11732.007987999999</v>
      </c>
      <c r="F10" s="527">
        <v>11732.007987999999</v>
      </c>
      <c r="G10" s="527">
        <v>11732.007987999999</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42"/>
      <c r="T10" s="42"/>
      <c r="U10" s="42"/>
      <c r="V10" s="42"/>
      <c r="W10" s="288"/>
      <c r="X10" s="288"/>
      <c r="Y10" s="288"/>
      <c r="Z10" s="288"/>
      <c r="AA10" s="42"/>
    </row>
    <row r="11" spans="2:27">
      <c r="B11" s="41" t="s">
        <v>270</v>
      </c>
      <c r="C11" s="5"/>
      <c r="D11" s="528">
        <f>$C$9*D10</f>
        <v>42939.149236079997</v>
      </c>
      <c r="E11" s="528">
        <f>$C$9*E10</f>
        <v>42939.149236079997</v>
      </c>
      <c r="F11" s="528">
        <f>$C$9*F10</f>
        <v>42939.149236079997</v>
      </c>
      <c r="G11" s="528">
        <f>$C$9*G10</f>
        <v>42939.149236079997</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42"/>
      <c r="T11" s="42"/>
      <c r="U11" s="42"/>
      <c r="V11" s="42"/>
      <c r="W11" s="288"/>
      <c r="X11" s="288"/>
      <c r="Y11" s="288"/>
      <c r="Z11" s="288"/>
      <c r="AA11" s="42"/>
    </row>
    <row r="12" spans="2:27">
      <c r="B12" s="5" t="s">
        <v>24</v>
      </c>
      <c r="C12" s="249"/>
      <c r="D12" s="529">
        <v>15179.921557472646</v>
      </c>
      <c r="E12" s="529">
        <v>13672.728127430222</v>
      </c>
      <c r="F12" s="529">
        <v>12336.606010460926</v>
      </c>
      <c r="G12" s="529">
        <v>11136.00427742934</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42"/>
      <c r="T12" s="42"/>
      <c r="U12" s="42"/>
      <c r="V12" s="42"/>
      <c r="W12" s="288"/>
      <c r="X12" s="288"/>
      <c r="Y12" s="288"/>
      <c r="Z12" s="288"/>
      <c r="AA12" s="42"/>
    </row>
    <row r="13" spans="2:27">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42"/>
      <c r="T13" s="42"/>
      <c r="U13" s="42"/>
      <c r="V13" s="42"/>
      <c r="W13" s="42"/>
      <c r="X13" s="42"/>
      <c r="Y13" s="42"/>
      <c r="Z13" s="42"/>
      <c r="AA13" s="42"/>
    </row>
    <row r="14" spans="2:27">
      <c r="B14" s="5" t="s">
        <v>527</v>
      </c>
      <c r="C14" s="257"/>
      <c r="D14" s="529">
        <v>0</v>
      </c>
      <c r="E14" s="529">
        <v>0</v>
      </c>
      <c r="F14" s="529">
        <v>0</v>
      </c>
      <c r="G14" s="529">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42"/>
      <c r="T14" s="42"/>
      <c r="U14" s="42"/>
      <c r="V14" s="42"/>
      <c r="W14" s="42"/>
      <c r="X14" s="42"/>
      <c r="Y14" s="42"/>
      <c r="Z14" s="42"/>
      <c r="AA14" s="42"/>
    </row>
    <row r="15" spans="2:27">
      <c r="B15" s="5" t="s">
        <v>526</v>
      </c>
      <c r="C15" s="274"/>
      <c r="D15" s="529">
        <v>0</v>
      </c>
      <c r="E15" s="529">
        <v>0</v>
      </c>
      <c r="F15" s="529">
        <v>0</v>
      </c>
      <c r="G15" s="529">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42"/>
      <c r="T15" s="42"/>
      <c r="U15" s="42"/>
      <c r="V15" s="42"/>
      <c r="W15" s="42"/>
      <c r="X15" s="42"/>
      <c r="Y15" s="42"/>
      <c r="Z15" s="42"/>
      <c r="AA15" s="42"/>
    </row>
    <row r="16" spans="2:27">
      <c r="B16" s="5" t="s">
        <v>529</v>
      </c>
      <c r="C16" s="257"/>
      <c r="D16" s="529">
        <v>0</v>
      </c>
      <c r="E16" s="529">
        <v>0</v>
      </c>
      <c r="F16" s="529">
        <v>2278.4376139415349</v>
      </c>
      <c r="G16" s="529">
        <v>4934.0471447425243</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42"/>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42"/>
      <c r="T17" s="42"/>
      <c r="U17" s="42"/>
      <c r="V17" s="42"/>
      <c r="W17" s="42"/>
      <c r="X17" s="42"/>
      <c r="Y17" s="42"/>
      <c r="Z17" s="42"/>
      <c r="AA17" s="42"/>
    </row>
    <row r="18" spans="2:27" ht="12.6" thickBot="1">
      <c r="B18" s="41" t="s">
        <v>578</v>
      </c>
      <c r="C18" s="249"/>
      <c r="D18" s="530">
        <f>D11+D12+D13-D14+D15-D16-D17</f>
        <v>58119.070793552644</v>
      </c>
      <c r="E18" s="530">
        <f>E11+E12+E13-E14+E15-E16-E17</f>
        <v>56611.877363510219</v>
      </c>
      <c r="F18" s="530">
        <f>F11+F12+F13-F14+F15-F16-F17</f>
        <v>52997.317632599392</v>
      </c>
      <c r="G18" s="530">
        <f>G11+G12+G13-G14+G15-G16-G17</f>
        <v>49141.106368766814</v>
      </c>
      <c r="H18" s="276">
        <f>IF(D18=0,"nm",IF(G18=0,"nm",(G18/D18)^(1/3)-1))</f>
        <v>-5.4397186014431997E-2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42"/>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42"/>
      <c r="T20" s="42"/>
      <c r="U20" s="42"/>
      <c r="V20" s="42"/>
      <c r="W20" s="42"/>
      <c r="X20" s="42"/>
      <c r="Y20" s="42"/>
      <c r="Z20" s="42"/>
      <c r="AA20" s="42"/>
    </row>
    <row r="21" spans="2:27" ht="12.6" thickBot="1">
      <c r="B21" s="306" t="s">
        <v>920</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6224</v>
      </c>
      <c r="D23" s="536">
        <v>12683</v>
      </c>
      <c r="E23" s="536">
        <v>12870.19038666378</v>
      </c>
      <c r="F23" s="536">
        <v>13134.505023722222</v>
      </c>
      <c r="G23" s="536">
        <v>13403.775336129753</v>
      </c>
      <c r="H23" s="279">
        <f t="shared" ref="H23:H32" si="3">IF(D23=0,"nm",IF(G23=0,"nm",(G23/D23)^(1/3)-1))</f>
        <v>1.8595412333380024E-2</v>
      </c>
      <c r="I23" s="247"/>
      <c r="J23" s="306" t="s">
        <v>9</v>
      </c>
      <c r="K23" s="306"/>
      <c r="L23" s="265" t="str">
        <f>D21</f>
        <v>2023E</v>
      </c>
      <c r="M23" s="265" t="str">
        <f t="shared" ref="M23:P23" si="4">E21</f>
        <v>2024E</v>
      </c>
      <c r="N23" s="265" t="str">
        <f t="shared" si="4"/>
        <v>2025E</v>
      </c>
      <c r="O23" s="265" t="str">
        <f t="shared" si="4"/>
        <v>2026E</v>
      </c>
      <c r="P23" s="265" t="str">
        <f t="shared" si="4"/>
        <v>23E-26E</v>
      </c>
      <c r="S23" s="42"/>
      <c r="T23" s="42"/>
      <c r="U23" s="42"/>
      <c r="V23" s="42"/>
      <c r="W23" s="42"/>
      <c r="X23" s="42"/>
      <c r="Y23" s="42"/>
      <c r="Z23" s="42"/>
      <c r="AA23" s="42"/>
    </row>
    <row r="24" spans="2:27" ht="12.6" thickTop="1">
      <c r="B24" s="5" t="s">
        <v>478</v>
      </c>
      <c r="C24" s="545">
        <v>2795</v>
      </c>
      <c r="D24" s="536">
        <v>6154.85</v>
      </c>
      <c r="E24" s="536">
        <v>6420.5048849201739</v>
      </c>
      <c r="F24" s="536">
        <v>6643.6537457862942</v>
      </c>
      <c r="G24" s="536">
        <v>6891.3980197988394</v>
      </c>
      <c r="H24" s="279">
        <f t="shared" si="3"/>
        <v>3.8396670293431745E-2</v>
      </c>
      <c r="I24" s="249"/>
      <c r="J24" s="17"/>
      <c r="K24" s="17"/>
      <c r="L24" s="17"/>
      <c r="M24" s="17"/>
      <c r="N24" s="17"/>
      <c r="O24" s="248"/>
      <c r="S24" s="42"/>
      <c r="T24" s="42"/>
      <c r="U24" s="42"/>
      <c r="V24" s="42"/>
      <c r="W24" s="42" t="s">
        <v>271</v>
      </c>
      <c r="X24" s="42" t="s">
        <v>252</v>
      </c>
      <c r="Y24" s="42"/>
      <c r="Z24" s="42"/>
      <c r="AA24" s="42"/>
    </row>
    <row r="25" spans="2:27">
      <c r="B25" s="5" t="s">
        <v>179</v>
      </c>
      <c r="C25" s="544">
        <v>2040</v>
      </c>
      <c r="D25" s="536">
        <v>4399.5300000000007</v>
      </c>
      <c r="E25" s="536">
        <v>4361.2744230539693</v>
      </c>
      <c r="F25" s="536">
        <v>4673.4779922279613</v>
      </c>
      <c r="G25" s="536">
        <v>5014.8694727406737</v>
      </c>
      <c r="H25" s="279">
        <f t="shared" si="3"/>
        <v>4.460263434813605E-2</v>
      </c>
      <c r="I25" s="248"/>
      <c r="J25" s="247" t="s">
        <v>10</v>
      </c>
      <c r="K25" s="247"/>
      <c r="L25" s="321">
        <v>0</v>
      </c>
      <c r="M25" s="321">
        <v>0</v>
      </c>
      <c r="N25" s="321">
        <v>0</v>
      </c>
      <c r="O25" s="321">
        <v>0</v>
      </c>
      <c r="P25" s="279" t="str">
        <f>IF(L25=0,"nm",IF(O25=0,"nm",(O25/L25)^(1/3)-1))</f>
        <v>nm</v>
      </c>
      <c r="S25" s="42"/>
      <c r="T25" s="42"/>
      <c r="U25" s="42"/>
      <c r="V25" s="147" t="s">
        <v>268</v>
      </c>
      <c r="W25" s="288">
        <f>D37/L9</f>
        <v>2.1285717991135376</v>
      </c>
      <c r="X25" s="288">
        <v>1</v>
      </c>
      <c r="Y25" s="42"/>
      <c r="Z25" s="42"/>
      <c r="AA25" s="42"/>
    </row>
    <row r="26" spans="2:27">
      <c r="B26" s="5" t="s">
        <v>581</v>
      </c>
      <c r="C26" s="544">
        <v>1501.7937219730941</v>
      </c>
      <c r="D26" s="536">
        <v>3299.6475000000005</v>
      </c>
      <c r="E26" s="536">
        <v>3270.9558172904772</v>
      </c>
      <c r="F26" s="536">
        <v>3505.108494170971</v>
      </c>
      <c r="G26" s="536">
        <v>3761.1521045555055</v>
      </c>
      <c r="H26" s="279">
        <f t="shared" si="3"/>
        <v>4.460263434813605E-2</v>
      </c>
      <c r="I26" s="249"/>
      <c r="J26" s="249" t="s">
        <v>11</v>
      </c>
      <c r="K26" s="249"/>
      <c r="L26" s="281">
        <f>D11+L25</f>
        <v>42939.149236079997</v>
      </c>
      <c r="M26" s="281">
        <f>E11+M25</f>
        <v>42939.149236079997</v>
      </c>
      <c r="N26" s="281">
        <f>F11+N25</f>
        <v>42939.149236079997</v>
      </c>
      <c r="O26" s="281">
        <f>G11+O25</f>
        <v>42939.149236079997</v>
      </c>
      <c r="P26" s="279">
        <f>IF(L26=0,"nm",IF(O26=0,"nm",(O26/L26)^(1/3)-1))</f>
        <v>0</v>
      </c>
      <c r="Q26" s="5"/>
      <c r="S26" s="42"/>
      <c r="T26" s="42"/>
      <c r="U26" s="42"/>
      <c r="V26" s="147" t="s">
        <v>180</v>
      </c>
      <c r="W26" s="288">
        <f t="shared" ref="W26:W33" si="5">D38/L10</f>
        <v>1.4313438116154644</v>
      </c>
      <c r="X26" s="288">
        <v>1</v>
      </c>
      <c r="Y26" s="42"/>
      <c r="Z26" s="42"/>
      <c r="AA26" s="42"/>
    </row>
    <row r="27" spans="2:27">
      <c r="B27" s="5" t="s">
        <v>582</v>
      </c>
      <c r="C27" s="545">
        <v>29981</v>
      </c>
      <c r="D27" s="536">
        <v>31513.456503056645</v>
      </c>
      <c r="E27" s="536">
        <v>30028.986861315174</v>
      </c>
      <c r="F27" s="536">
        <v>28720.234398239725</v>
      </c>
      <c r="G27" s="536">
        <v>27551.533083850496</v>
      </c>
      <c r="H27" s="279">
        <f t="shared" si="3"/>
        <v>-4.379742317685642E-2</v>
      </c>
      <c r="I27" s="249"/>
      <c r="J27" s="248"/>
      <c r="K27" s="248"/>
      <c r="L27" s="248"/>
      <c r="M27" s="248"/>
      <c r="N27" s="248"/>
      <c r="O27" s="248"/>
      <c r="Q27" s="41"/>
      <c r="S27" s="42"/>
      <c r="T27" s="42"/>
      <c r="U27" s="42"/>
      <c r="V27" s="147" t="s">
        <v>181</v>
      </c>
      <c r="W27" s="288">
        <f t="shared" si="5"/>
        <v>1.0389965213818515</v>
      </c>
      <c r="X27" s="288">
        <v>1</v>
      </c>
      <c r="Y27" s="42"/>
      <c r="Z27" s="42"/>
      <c r="AA27" s="42"/>
    </row>
    <row r="28" spans="2:27" ht="12.6" thickBot="1">
      <c r="B28" s="5" t="s">
        <v>587</v>
      </c>
      <c r="C28" s="544">
        <v>6409</v>
      </c>
      <c r="D28" s="536">
        <v>6256.52</v>
      </c>
      <c r="E28" s="536">
        <v>5938.2728618662059</v>
      </c>
      <c r="F28" s="536">
        <v>5651.9049279153805</v>
      </c>
      <c r="G28" s="536">
        <v>5380.7096023657014</v>
      </c>
      <c r="H28" s="279">
        <f t="shared" si="3"/>
        <v>-4.902542586759473E-2</v>
      </c>
      <c r="I28" s="248"/>
      <c r="J28" s="306" t="s">
        <v>1352</v>
      </c>
      <c r="K28" s="306"/>
      <c r="L28" s="306"/>
      <c r="M28" s="306"/>
      <c r="N28" s="266"/>
      <c r="O28" s="266"/>
      <c r="P28" s="266"/>
      <c r="Q28" s="5"/>
      <c r="S28" s="42"/>
      <c r="T28" s="42"/>
      <c r="U28" s="42"/>
      <c r="V28" s="147" t="s">
        <v>461</v>
      </c>
      <c r="W28" s="288">
        <f t="shared" si="5"/>
        <v>1.0639876736264109</v>
      </c>
      <c r="X28" s="288">
        <v>1</v>
      </c>
      <c r="Y28" s="42"/>
      <c r="Z28" s="42"/>
      <c r="AA28" s="42"/>
    </row>
    <row r="29" spans="2:27" ht="12.6" thickTop="1">
      <c r="B29" s="5" t="s">
        <v>583</v>
      </c>
      <c r="C29" s="544">
        <v>1592</v>
      </c>
      <c r="D29" s="536">
        <v>2830.1</v>
      </c>
      <c r="E29" s="536">
        <v>2232.6548401933005</v>
      </c>
      <c r="F29" s="536">
        <v>2592.1752017862077</v>
      </c>
      <c r="G29" s="536">
        <v>2958.7052749930244</v>
      </c>
      <c r="H29" s="279">
        <f t="shared" si="3"/>
        <v>1.4923499405633978E-2</v>
      </c>
      <c r="I29" s="252"/>
      <c r="J29" s="249"/>
      <c r="K29" s="249"/>
      <c r="L29" s="249"/>
      <c r="M29" s="249"/>
      <c r="N29" s="249"/>
      <c r="O29" s="251"/>
      <c r="Q29" s="5"/>
      <c r="S29" s="42"/>
      <c r="T29" s="42"/>
      <c r="U29" s="42"/>
      <c r="V29" s="147" t="s">
        <v>525</v>
      </c>
      <c r="W29" s="288">
        <f t="shared" si="5"/>
        <v>1.2437083478897766</v>
      </c>
      <c r="X29" s="288">
        <v>1</v>
      </c>
      <c r="Y29" s="42"/>
      <c r="Z29" s="42"/>
      <c r="AA29" s="42"/>
    </row>
    <row r="30" spans="2:27">
      <c r="B30" s="5" t="s">
        <v>584</v>
      </c>
      <c r="C30" s="545">
        <v>1122</v>
      </c>
      <c r="D30" s="536">
        <v>2150</v>
      </c>
      <c r="E30" s="536">
        <v>1914.407702059505</v>
      </c>
      <c r="F30" s="536">
        <v>2305.8072678353828</v>
      </c>
      <c r="G30" s="536">
        <v>2687.5099494433457</v>
      </c>
      <c r="H30" s="279">
        <f t="shared" si="3"/>
        <v>7.7218674343038751E-2</v>
      </c>
      <c r="I30" s="254"/>
      <c r="J30" s="248"/>
      <c r="K30" s="248"/>
      <c r="L30" s="248"/>
      <c r="M30" s="248"/>
      <c r="N30" s="248"/>
      <c r="O30" s="5"/>
      <c r="Q30" s="5"/>
      <c r="S30" s="42"/>
      <c r="T30" s="42"/>
      <c r="U30" s="42"/>
      <c r="V30" s="147" t="s">
        <v>588</v>
      </c>
      <c r="W30" s="288">
        <f t="shared" si="5"/>
        <v>3.0531431140712182</v>
      </c>
      <c r="X30" s="288">
        <v>1</v>
      </c>
      <c r="Y30" s="42"/>
      <c r="Z30" s="42"/>
      <c r="AA30" s="42"/>
    </row>
    <row r="31" spans="2:27">
      <c r="B31" s="5" t="s">
        <v>585</v>
      </c>
      <c r="C31" s="545">
        <v>948.61099999999999</v>
      </c>
      <c r="D31" s="536">
        <v>1548.625054416</v>
      </c>
      <c r="E31" s="536">
        <v>1891.6839137585539</v>
      </c>
      <c r="F31" s="536">
        <v>2278.4376139415349</v>
      </c>
      <c r="G31" s="536">
        <v>2655.609530800989</v>
      </c>
      <c r="H31" s="279">
        <f t="shared" si="3"/>
        <v>0.19694073060847783</v>
      </c>
      <c r="I31" s="254"/>
      <c r="J31" s="252"/>
      <c r="K31" s="252"/>
      <c r="L31" s="252"/>
      <c r="M31" s="252"/>
      <c r="N31" s="252"/>
      <c r="O31" s="5"/>
      <c r="Q31" s="5"/>
      <c r="S31" s="42"/>
      <c r="T31" s="42"/>
      <c r="U31" s="42"/>
      <c r="V31" s="147" t="s">
        <v>470</v>
      </c>
      <c r="W31" s="288">
        <f t="shared" si="5"/>
        <v>0.77070697552035594</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42"/>
      <c r="T32" s="42"/>
      <c r="U32" s="42"/>
      <c r="V32" s="147" t="s">
        <v>528</v>
      </c>
      <c r="W32" s="288">
        <f t="shared" si="5"/>
        <v>0.93336911625703178</v>
      </c>
      <c r="X32" s="288">
        <v>1</v>
      </c>
      <c r="Y32" s="42"/>
      <c r="Z32" s="42"/>
      <c r="AA32" s="42"/>
    </row>
    <row r="33" spans="2:27">
      <c r="B33" s="5" t="s">
        <v>5</v>
      </c>
      <c r="C33" s="545">
        <v>224</v>
      </c>
      <c r="D33" s="536">
        <v>326.96540374119451</v>
      </c>
      <c r="E33" s="536">
        <v>324.37868217416752</v>
      </c>
      <c r="F33" s="536">
        <v>293.46861782995876</v>
      </c>
      <c r="G33" s="536">
        <v>265.93806043320097</v>
      </c>
      <c r="H33" s="279">
        <f>IF(D33=0,"nm",IF(G33=0,"nm",(G33/D33)^(1/3)-1))</f>
        <v>-6.6546049100663751E-2</v>
      </c>
      <c r="I33" s="5"/>
      <c r="J33" s="254"/>
      <c r="K33" s="254"/>
      <c r="L33" s="254"/>
      <c r="M33" s="254"/>
      <c r="N33" s="254"/>
      <c r="O33" s="251"/>
      <c r="Q33" s="5"/>
      <c r="S33" s="42"/>
      <c r="T33" s="42"/>
      <c r="U33" s="42"/>
      <c r="V33" s="147" t="s">
        <v>575</v>
      </c>
      <c r="W33" s="288">
        <f t="shared" si="5"/>
        <v>0.91453423996115657</v>
      </c>
      <c r="X33" s="288">
        <v>1</v>
      </c>
      <c r="Y33" s="42"/>
      <c r="Z33" s="42"/>
      <c r="AA33" s="42"/>
    </row>
    <row r="34" spans="2:27">
      <c r="D34" s="5"/>
      <c r="E34" s="5"/>
      <c r="F34" s="5"/>
      <c r="G34" s="5"/>
      <c r="I34" s="49"/>
      <c r="J34" s="254"/>
      <c r="K34" s="254"/>
      <c r="L34" s="254"/>
      <c r="M34" s="254"/>
      <c r="N34" s="254"/>
      <c r="O34" s="251"/>
      <c r="Q34" s="5"/>
      <c r="S34" s="42"/>
      <c r="T34" s="42"/>
      <c r="U34" s="42"/>
      <c r="V34" s="147" t="s">
        <v>576</v>
      </c>
      <c r="W34" s="288">
        <f>D47/L19</f>
        <v>1.2975099898697986</v>
      </c>
      <c r="X34" s="288">
        <v>1</v>
      </c>
      <c r="Y34" s="288"/>
      <c r="Z34" s="288"/>
      <c r="AA34" s="42"/>
    </row>
    <row r="35" spans="2:27" ht="12.6" thickBot="1">
      <c r="B35" s="306" t="s">
        <v>171</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4.5824387600372658</v>
      </c>
      <c r="E37" s="525">
        <f>E$18/E23</f>
        <v>4.3986821999286052</v>
      </c>
      <c r="F37" s="525">
        <f>F$18/F23</f>
        <v>4.034968773994982</v>
      </c>
      <c r="G37" s="525">
        <f>G$18/G23</f>
        <v>3.6662138193488976</v>
      </c>
      <c r="H37" s="17">
        <f t="shared" ref="H37:H45" si="7">H23</f>
        <v>1.8595412333380024E-2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9.4428086457919598</v>
      </c>
      <c r="E38" s="525">
        <f>E$18/E24</f>
        <v>8.8173560145518177</v>
      </c>
      <c r="F38" s="525">
        <f t="shared" ref="E38:G41" si="8">F$18/F24</f>
        <v>7.9771342186839114</v>
      </c>
      <c r="G38" s="525">
        <f>G$18/G24</f>
        <v>7.13078917043907</v>
      </c>
      <c r="H38" s="17">
        <f t="shared" si="7"/>
        <v>3.8396670293431745E-2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13.210290825054638</v>
      </c>
      <c r="E39" s="525">
        <f t="shared" si="8"/>
        <v>12.980581332891207</v>
      </c>
      <c r="F39" s="525">
        <f t="shared" si="8"/>
        <v>11.340016518904003</v>
      </c>
      <c r="G39" s="525">
        <f t="shared" si="8"/>
        <v>9.7990798436296558</v>
      </c>
      <c r="H39" s="17">
        <f t="shared" si="7"/>
        <v>4.460263434813605E-2</v>
      </c>
      <c r="I39" s="17"/>
      <c r="J39" s="5"/>
      <c r="K39" s="5"/>
      <c r="L39" s="5"/>
      <c r="M39" s="5"/>
      <c r="N39" s="5"/>
      <c r="O39" s="5"/>
      <c r="Q39" s="5"/>
      <c r="R39" s="5"/>
      <c r="S39" s="42"/>
      <c r="T39" s="42"/>
      <c r="U39" s="42"/>
      <c r="V39" s="42"/>
      <c r="W39" s="42"/>
      <c r="X39" s="42"/>
      <c r="Y39" s="42"/>
      <c r="Z39" s="42"/>
      <c r="AA39" s="42"/>
    </row>
    <row r="40" spans="2:27">
      <c r="B40" s="5" t="s">
        <v>461</v>
      </c>
      <c r="C40" s="247"/>
      <c r="D40" s="525">
        <f>D$18/D26</f>
        <v>17.613721100072851</v>
      </c>
      <c r="E40" s="525">
        <f t="shared" si="8"/>
        <v>17.307441777188274</v>
      </c>
      <c r="F40" s="525">
        <f t="shared" si="8"/>
        <v>15.120022025205337</v>
      </c>
      <c r="G40" s="525">
        <f t="shared" si="8"/>
        <v>13.065439791506206</v>
      </c>
      <c r="H40" s="17">
        <f t="shared" si="7"/>
        <v>4.460263434813605E-2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1.8442620151145714</v>
      </c>
      <c r="E41" s="525">
        <f t="shared" si="8"/>
        <v>1.8852410047986148</v>
      </c>
      <c r="F41" s="525">
        <f t="shared" si="8"/>
        <v>1.8452954421516705</v>
      </c>
      <c r="G41" s="525">
        <f t="shared" si="8"/>
        <v>1.7836069673223078</v>
      </c>
      <c r="H41" s="17">
        <f t="shared" si="7"/>
        <v>-4.379742317685642E-2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9.2893606659217323</v>
      </c>
      <c r="E42" s="525">
        <f>E18/E28</f>
        <v>9.5333910516397093</v>
      </c>
      <c r="F42" s="525">
        <f>F18/F28</f>
        <v>9.3768947476168272</v>
      </c>
      <c r="G42" s="525">
        <f>G18/G28</f>
        <v>9.1328300540808343</v>
      </c>
      <c r="H42" s="17">
        <f t="shared" si="7"/>
        <v>-4.902542586759473E-2</v>
      </c>
      <c r="I42" s="248"/>
      <c r="J42" s="5"/>
      <c r="K42" s="5"/>
      <c r="L42" s="5"/>
      <c r="M42" s="5"/>
      <c r="N42" s="5"/>
      <c r="O42" s="5"/>
      <c r="Q42" s="5"/>
      <c r="R42" s="5"/>
      <c r="S42" s="42"/>
      <c r="T42" s="42"/>
      <c r="U42" s="42"/>
      <c r="V42" s="42"/>
      <c r="W42" s="288"/>
      <c r="X42" s="288"/>
      <c r="Y42" s="288"/>
      <c r="Z42" s="288"/>
      <c r="AA42" s="42"/>
    </row>
    <row r="43" spans="2:27">
      <c r="B43" s="5" t="s">
        <v>470</v>
      </c>
      <c r="C43" s="247"/>
      <c r="D43" s="525">
        <f>L26/D29</f>
        <v>15.172308129069643</v>
      </c>
      <c r="E43" s="525">
        <f>M26/E29</f>
        <v>19.232327569434055</v>
      </c>
      <c r="F43" s="525">
        <f>N26/F29</f>
        <v>16.564910121233947</v>
      </c>
      <c r="G43" s="525">
        <f>O26/G29</f>
        <v>14.512817345817329</v>
      </c>
      <c r="H43" s="17">
        <f t="shared" si="7"/>
        <v>1.4923499405633978E-2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19.971697319106976</v>
      </c>
      <c r="E44" s="525">
        <f>E11/E30</f>
        <v>22.429469537698992</v>
      </c>
      <c r="F44" s="525">
        <f>F11/F30</f>
        <v>18.622176204861162</v>
      </c>
      <c r="G44" s="525">
        <f>G11/G30</f>
        <v>15.977298705433194</v>
      </c>
      <c r="H44" s="17">
        <f t="shared" si="7"/>
        <v>7.7218674343038751E-2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3.6065573770491806E-2</v>
      </c>
      <c r="E45" s="248">
        <f>E31/E11</f>
        <v>4.4054992877433398E-2</v>
      </c>
      <c r="F45" s="248">
        <f>F31/F11</f>
        <v>5.3062011112857764E-2</v>
      </c>
      <c r="G45" s="248">
        <f>G31/G11</f>
        <v>6.1845881393700036E-2</v>
      </c>
      <c r="H45" s="17">
        <f t="shared" si="7"/>
        <v>0.19694073060847783</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3.6065573770491806E-2</v>
      </c>
      <c r="E46" s="248">
        <f>(E31+E32)/E11</f>
        <v>4.4054992877433398E-2</v>
      </c>
      <c r="F46" s="248">
        <f>(F31+F32)/F11</f>
        <v>5.3062011112857764E-2</v>
      </c>
      <c r="G46" s="248">
        <f>(G31+G32)/G11</f>
        <v>6.1845881393700036E-2</v>
      </c>
      <c r="H46" s="279">
        <f>((G31+G32)/(D31+D32))^(1/3)-1</f>
        <v>0.19694073060847783</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6.5909549917723659E-2</v>
      </c>
      <c r="E47" s="248">
        <f>1/E43</f>
        <v>5.1995786593677845E-2</v>
      </c>
      <c r="F47" s="248">
        <f>1/F43</f>
        <v>6.0368573851670763E-2</v>
      </c>
      <c r="G47" s="248">
        <f>1/G43</f>
        <v>6.8904608676013224E-2</v>
      </c>
      <c r="H47" s="17">
        <f>H29</f>
        <v>1.4923499405633978E-2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0.54719799809759373</v>
      </c>
      <c r="E48" s="305">
        <f>E31/E29</f>
        <v>0.84728005408788321</v>
      </c>
      <c r="F48" s="305">
        <f>F31/F29</f>
        <v>0.87896744493640566</v>
      </c>
      <c r="G48" s="305">
        <f>G31/G29</f>
        <v>0.89755798025785116</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4">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1369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1378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844</v>
      </c>
      <c r="C9" s="267">
        <f>Prices!C22</f>
        <v>14.02</v>
      </c>
      <c r="D9" s="531">
        <v>0</v>
      </c>
      <c r="E9" s="532">
        <v>0</v>
      </c>
      <c r="F9" s="532">
        <v>0</v>
      </c>
      <c r="G9" s="532">
        <v>0</v>
      </c>
      <c r="H9" s="249"/>
      <c r="I9" s="249"/>
      <c r="J9" s="5" t="s">
        <v>268</v>
      </c>
      <c r="L9" s="525">
        <f>'W.EUR OTHER'!D37</f>
        <v>1.9589195361329668</v>
      </c>
      <c r="M9" s="525">
        <f>'W.EUR OTHER'!E37</f>
        <v>1.6383796798063159</v>
      </c>
      <c r="N9" s="525">
        <f>'W.EUR OTHER'!F37</f>
        <v>1.5411744049087741</v>
      </c>
      <c r="O9" s="525">
        <f>'W.EUR OTHER'!G37</f>
        <v>1.4434676732212866</v>
      </c>
      <c r="P9" s="279">
        <f>'W.EUR OTHER'!H37</f>
        <v>1.8004685546411769E-2</v>
      </c>
      <c r="S9" s="88"/>
      <c r="T9" s="42"/>
      <c r="U9" s="42"/>
      <c r="V9" s="42"/>
      <c r="W9" s="42"/>
      <c r="X9" s="42"/>
      <c r="Y9" s="42"/>
      <c r="Z9" s="42"/>
      <c r="AA9" s="42"/>
    </row>
    <row r="10" spans="2:44">
      <c r="B10" s="5" t="s">
        <v>269</v>
      </c>
      <c r="C10" s="5"/>
      <c r="D10" s="527">
        <v>176.29964899999999</v>
      </c>
      <c r="E10" s="527">
        <v>176.29964899999999</v>
      </c>
      <c r="F10" s="527">
        <v>176.29964899999999</v>
      </c>
      <c r="G10" s="527">
        <v>176.29964899999999</v>
      </c>
      <c r="H10" s="247"/>
      <c r="I10" s="247"/>
      <c r="J10" s="5" t="s">
        <v>180</v>
      </c>
      <c r="L10" s="525">
        <f>'W.EUR OTHER'!D38</f>
        <v>4.8812882235325841</v>
      </c>
      <c r="M10" s="525">
        <f>'W.EUR OTHER'!E38</f>
        <v>4.145841728258338</v>
      </c>
      <c r="N10" s="525">
        <f>'W.EUR OTHER'!F38</f>
        <v>3.8271320252352607</v>
      </c>
      <c r="O10" s="525">
        <f>'W.EUR OTHER'!G38</f>
        <v>3.5258553553595839</v>
      </c>
      <c r="P10" s="279">
        <f>'W.EUR OTHER'!H38</f>
        <v>2.4794026477105824E-2</v>
      </c>
      <c r="S10" s="88"/>
      <c r="T10" s="42"/>
      <c r="U10" s="42"/>
      <c r="V10" s="42"/>
      <c r="W10" s="288"/>
      <c r="X10" s="288"/>
      <c r="Y10" s="288"/>
      <c r="Z10" s="288"/>
      <c r="AA10" s="42"/>
    </row>
    <row r="11" spans="2:44">
      <c r="B11" s="41" t="s">
        <v>270</v>
      </c>
      <c r="C11" s="5"/>
      <c r="D11" s="528">
        <f>$C$9*D10</f>
        <v>2471.7210789799997</v>
      </c>
      <c r="E11" s="528">
        <f>$C$9*E10</f>
        <v>2471.7210789799997</v>
      </c>
      <c r="F11" s="528">
        <f>$C$9*F10</f>
        <v>2471.7210789799997</v>
      </c>
      <c r="G11" s="528">
        <f>$C$9*G10</f>
        <v>2471.7210789799997</v>
      </c>
      <c r="H11" s="249"/>
      <c r="I11" s="249"/>
      <c r="J11" s="5" t="s">
        <v>181</v>
      </c>
      <c r="L11" s="525">
        <f>'W.EUR OTHER'!D39</f>
        <v>13.16156410853363</v>
      </c>
      <c r="M11" s="525">
        <f>'W.EUR OTHER'!E39</f>
        <v>11.425296433104002</v>
      </c>
      <c r="N11" s="525">
        <f>'W.EUR OTHER'!F39</f>
        <v>9.8430805940601882</v>
      </c>
      <c r="O11" s="525">
        <f>'W.EUR OTHER'!G39</f>
        <v>8.6472666256233168</v>
      </c>
      <c r="P11" s="279">
        <f>'W.EUR OTHER'!H39</f>
        <v>5.7684523659928821E-2</v>
      </c>
      <c r="S11" s="88"/>
      <c r="T11" s="42"/>
      <c r="U11" s="42"/>
      <c r="V11" s="42"/>
      <c r="W11" s="288"/>
      <c r="X11" s="288"/>
      <c r="Y11" s="288"/>
      <c r="Z11" s="288"/>
      <c r="AA11" s="42"/>
    </row>
    <row r="12" spans="2:44">
      <c r="B12" s="5" t="s">
        <v>24</v>
      </c>
      <c r="C12" s="249"/>
      <c r="D12" s="529">
        <v>-220.89799999999991</v>
      </c>
      <c r="E12" s="529">
        <v>117.07404297215879</v>
      </c>
      <c r="F12" s="529">
        <v>300.9080552124525</v>
      </c>
      <c r="G12" s="529">
        <v>473.37591728044254</v>
      </c>
      <c r="H12" s="247"/>
      <c r="I12" s="247"/>
      <c r="J12" s="5" t="s">
        <v>461</v>
      </c>
      <c r="L12" s="525">
        <f>'W.EUR OTHER'!D40</f>
        <v>18.782864415708623</v>
      </c>
      <c r="M12" s="525">
        <f>'W.EUR OTHER'!E40</f>
        <v>16.344811252802039</v>
      </c>
      <c r="N12" s="525">
        <f>'W.EUR OTHER'!F40</f>
        <v>14.257332213491615</v>
      </c>
      <c r="O12" s="525">
        <f>'W.EUR OTHER'!G40</f>
        <v>12.325553609893248</v>
      </c>
      <c r="P12" s="279">
        <f>'W.EUR OTHER'!H40</f>
        <v>5.8112215141036705E-2</v>
      </c>
      <c r="S12" s="88"/>
      <c r="T12" s="42"/>
      <c r="U12" s="42"/>
      <c r="V12" s="42"/>
      <c r="W12" s="288"/>
      <c r="X12" s="288"/>
      <c r="Y12" s="288"/>
      <c r="Z12" s="288"/>
      <c r="AA12" s="42"/>
    </row>
    <row r="13" spans="2:44">
      <c r="B13" s="5" t="s">
        <v>524</v>
      </c>
      <c r="C13" s="257"/>
      <c r="D13" s="529">
        <v>1277.8216302259802</v>
      </c>
      <c r="E13" s="529">
        <v>1277.8216302259802</v>
      </c>
      <c r="F13" s="529">
        <v>1273.012987820895</v>
      </c>
      <c r="G13" s="529">
        <v>1267.8869750170741</v>
      </c>
      <c r="H13" s="247"/>
      <c r="I13" s="247"/>
      <c r="J13" s="5" t="s">
        <v>525</v>
      </c>
      <c r="L13" s="525">
        <f>'W.EUR OTHER'!D41</f>
        <v>0.84442389849965394</v>
      </c>
      <c r="M13" s="525">
        <f>'W.EUR OTHER'!E41</f>
        <v>0.81498961294635097</v>
      </c>
      <c r="N13" s="525">
        <f>'W.EUR OTHER'!F41</f>
        <v>0.77498610757856878</v>
      </c>
      <c r="O13" s="525">
        <f>'W.EUR OTHER'!G41</f>
        <v>0.73281741958307633</v>
      </c>
      <c r="P13" s="279">
        <f>'W.EUR OTHER'!H41</f>
        <v>-3.6019662148356391E-2</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'W.EUR OTHER'!D42</f>
        <v>2.9998062507434589</v>
      </c>
      <c r="M14" s="525">
        <f>'W.EUR OTHER'!E42</f>
        <v>2.5616627697063863</v>
      </c>
      <c r="N14" s="525">
        <f>'W.EUR OTHER'!F42</f>
        <v>2.4320616245212983</v>
      </c>
      <c r="O14" s="525">
        <f>'W.EUR OTHER'!G42</f>
        <v>2.298739291377446</v>
      </c>
      <c r="P14" s="279">
        <f>'W.EUR OTHER'!H42</f>
        <v>4.8033956462567584E-3</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'W.EUR OTHER'!D43</f>
        <v>36.043730510598792</v>
      </c>
      <c r="M15" s="525">
        <f>'W.EUR OTHER'!E43</f>
        <v>34.490732675014193</v>
      </c>
      <c r="N15" s="525">
        <f>'W.EUR OTHER'!F43</f>
        <v>16.287705091950169</v>
      </c>
      <c r="O15" s="525">
        <f>'W.EUR OTHER'!G43</f>
        <v>11.941589892511526</v>
      </c>
      <c r="P15" s="279">
        <f>'W.EUR OTHER'!H43</f>
        <v>0.37754240659126448</v>
      </c>
      <c r="S15" s="88"/>
      <c r="T15" s="42"/>
      <c r="U15" s="42"/>
      <c r="V15" s="42"/>
      <c r="W15" s="42"/>
      <c r="X15" s="42"/>
      <c r="Y15" s="42"/>
      <c r="Z15" s="42"/>
      <c r="AA15" s="42"/>
    </row>
    <row r="16" spans="2:44">
      <c r="B16" s="5" t="s">
        <v>529</v>
      </c>
      <c r="C16" s="257"/>
      <c r="D16" s="529">
        <v>0</v>
      </c>
      <c r="E16" s="529">
        <v>0</v>
      </c>
      <c r="F16" s="529">
        <v>8.8149824500000005</v>
      </c>
      <c r="G16" s="529">
        <v>185.11463144999999</v>
      </c>
      <c r="H16" s="247"/>
      <c r="I16" s="247"/>
      <c r="J16" s="5" t="s">
        <v>528</v>
      </c>
      <c r="L16" s="525">
        <f>'W.EUR OTHER'!D44</f>
        <v>18.190653543431651</v>
      </c>
      <c r="M16" s="525">
        <f>'W.EUR OTHER'!E44</f>
        <v>13.647996044938878</v>
      </c>
      <c r="N16" s="525">
        <f>'W.EUR OTHER'!F44</f>
        <v>10.565198529238016</v>
      </c>
      <c r="O16" s="525">
        <f>'W.EUR OTHER'!G44</f>
        <v>9.2374096772312519</v>
      </c>
      <c r="P16" s="279">
        <f>'W.EUR OTHER'!H44</f>
        <v>0.20457659904306258</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'W.EUR OTHER'!D45</f>
        <v>6.6143118778113894E-2</v>
      </c>
      <c r="M17" s="248">
        <f>'W.EUR OTHER'!E45</f>
        <v>4.3051326641435336E-2</v>
      </c>
      <c r="N17" s="248">
        <f>'W.EUR OTHER'!F45</f>
        <v>4.4102284782265591E-2</v>
      </c>
      <c r="O17" s="248">
        <f>'W.EUR OTHER'!G45</f>
        <v>4.5021641876791196E-2</v>
      </c>
      <c r="P17" s="279">
        <f>'W.EUR OTHER'!H45</f>
        <v>-0.15462913486104612</v>
      </c>
      <c r="S17" s="88"/>
      <c r="T17" s="42"/>
      <c r="U17" s="42"/>
      <c r="V17" s="42"/>
      <c r="W17" s="42"/>
      <c r="X17" s="42"/>
      <c r="Y17" s="42"/>
      <c r="Z17" s="42"/>
      <c r="AA17" s="42"/>
    </row>
    <row r="18" spans="2:27" ht="12.6" thickBot="1">
      <c r="B18" s="41" t="s">
        <v>578</v>
      </c>
      <c r="C18" s="249"/>
      <c r="D18" s="530">
        <f>D11+D12+D13-D14+D15-D16-D17</f>
        <v>3528.6447092059802</v>
      </c>
      <c r="E18" s="530">
        <f>E11+E12+E13-E14+E15-E16-E17</f>
        <v>3866.6167521781385</v>
      </c>
      <c r="F18" s="530">
        <f>F11+F12+F13-F14+F15-F16-F17</f>
        <v>4036.8271395633469</v>
      </c>
      <c r="G18" s="530">
        <f>G11+G12+G13-G14+G15-G16-G17</f>
        <v>4027.8693398275163</v>
      </c>
      <c r="H18" s="276">
        <f>IF(D18=0,"nm",IF(G18=0,"nm",(G18/D18)^(1/3)-1))</f>
        <v>4.509510557956653E-2</v>
      </c>
      <c r="I18" s="254"/>
      <c r="J18" s="5" t="s">
        <v>36</v>
      </c>
      <c r="L18" s="248">
        <f>'W.EUR OTHER'!D46</f>
        <v>6.6143118778113894E-2</v>
      </c>
      <c r="M18" s="248">
        <f>'W.EUR OTHER'!E46</f>
        <v>4.3051326641435336E-2</v>
      </c>
      <c r="N18" s="248">
        <f>'W.EUR OTHER'!F46</f>
        <v>4.4102284782265591E-2</v>
      </c>
      <c r="O18" s="248">
        <f>'W.EUR OTHER'!G46</f>
        <v>4.5021641876791196E-2</v>
      </c>
      <c r="P18" s="279">
        <f>'W.EUR OTHER'!H46</f>
        <v>-0.15462913486104612</v>
      </c>
      <c r="S18" s="88"/>
      <c r="T18" s="42"/>
      <c r="U18" s="42"/>
      <c r="V18" s="42"/>
      <c r="W18" s="42"/>
      <c r="X18" s="42"/>
      <c r="Y18" s="42"/>
      <c r="Z18" s="42"/>
      <c r="AA18" s="42"/>
    </row>
    <row r="19" spans="2:27" ht="12.6" thickTop="1">
      <c r="B19" s="41"/>
      <c r="C19" s="249"/>
      <c r="D19" s="229"/>
      <c r="E19" s="229"/>
      <c r="F19" s="229"/>
      <c r="G19" s="229"/>
      <c r="H19" s="276"/>
      <c r="I19" s="254"/>
      <c r="J19" s="5" t="s">
        <v>576</v>
      </c>
      <c r="L19" s="248">
        <f>'W.EUR OTHER'!D47</f>
        <v>2.7744076038576149E-2</v>
      </c>
      <c r="M19" s="248">
        <f>'W.EUR OTHER'!E47</f>
        <v>2.8993295370742325E-2</v>
      </c>
      <c r="N19" s="248">
        <f>'W.EUR OTHER'!F47</f>
        <v>6.1396003571689631E-2</v>
      </c>
      <c r="O19" s="248">
        <f>'W.EUR OTHER'!G47</f>
        <v>8.3740943124088682E-2</v>
      </c>
      <c r="P19" s="279">
        <f>'W.EUR OTHER'!H47</f>
        <v>0.37754240659126448</v>
      </c>
      <c r="S19" s="88"/>
      <c r="T19" s="42"/>
      <c r="U19" s="42"/>
      <c r="V19" s="42"/>
      <c r="W19" s="42"/>
      <c r="X19" s="42"/>
      <c r="Y19" s="42"/>
      <c r="Z19" s="42"/>
      <c r="AA19" s="42"/>
    </row>
    <row r="20" spans="2:27">
      <c r="H20" s="277"/>
      <c r="I20" s="17"/>
      <c r="J20" s="5" t="s">
        <v>599</v>
      </c>
      <c r="L20" s="305">
        <f>'W.EUR OTHER'!D48</f>
        <v>2.1773296851754451</v>
      </c>
      <c r="M20" s="305">
        <f>'W.EUR OTHER'!E48</f>
        <v>1.3522122093409186</v>
      </c>
      <c r="N20" s="305">
        <f>'W.EUR OTHER'!F48</f>
        <v>0.65358788133464962</v>
      </c>
      <c r="O20" s="305">
        <f>'W.EUR OTHER'!G48</f>
        <v>0.50321211795021492</v>
      </c>
      <c r="P20" s="279" t="str">
        <f>'W.EUR OTHER'!H48</f>
        <v>nm</v>
      </c>
      <c r="S20" s="88"/>
      <c r="T20" s="42"/>
      <c r="U20" s="42"/>
      <c r="V20" s="42"/>
      <c r="W20" s="42"/>
      <c r="X20" s="42"/>
      <c r="Y20" s="42"/>
      <c r="Z20" s="42"/>
      <c r="AA20" s="42"/>
    </row>
    <row r="21" spans="2:27" ht="12.6" thickBot="1">
      <c r="B21" s="306" t="s">
        <v>928</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4096.701</v>
      </c>
      <c r="D23" s="529">
        <v>4130.2085480739825</v>
      </c>
      <c r="E23" s="529">
        <v>4206.3010196876548</v>
      </c>
      <c r="F23" s="529">
        <v>4285.784800056932</v>
      </c>
      <c r="G23" s="529">
        <v>4350.3176198265328</v>
      </c>
      <c r="H23" s="279">
        <f>IF(D23=0,"nm",IF(G23=0,"nm",(G23/D23)^(1/3)-1))</f>
        <v>1.7457619254806822E-2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478</v>
      </c>
      <c r="C24" s="545">
        <v>678.64400000000001</v>
      </c>
      <c r="D24" s="529">
        <v>633.97299999999996</v>
      </c>
      <c r="E24" s="529">
        <v>643.54609007330816</v>
      </c>
      <c r="F24" s="529">
        <v>697.46900045994255</v>
      </c>
      <c r="G24" s="529">
        <v>769.59977102568087</v>
      </c>
      <c r="H24" s="279">
        <f>IF(D24=0,"nm",IF(G24=0,"nm",(G24/D24)^(1/3)-1))</f>
        <v>6.6755086912671402E-2</v>
      </c>
      <c r="I24" s="249"/>
      <c r="J24" s="17"/>
      <c r="K24" s="17"/>
      <c r="L24" s="17"/>
      <c r="M24" s="17"/>
      <c r="N24" s="17"/>
      <c r="O24" s="248"/>
      <c r="S24" s="88"/>
      <c r="T24" s="42"/>
      <c r="U24" s="42"/>
      <c r="V24" s="42"/>
      <c r="W24" s="42" t="s">
        <v>889</v>
      </c>
      <c r="X24" s="42" t="s">
        <v>896</v>
      </c>
      <c r="Y24" s="42"/>
      <c r="Z24" s="42"/>
      <c r="AA24" s="42"/>
    </row>
    <row r="25" spans="2:27">
      <c r="B25" s="5" t="s">
        <v>179</v>
      </c>
      <c r="C25" s="544">
        <v>428.87400000000002</v>
      </c>
      <c r="D25" s="529">
        <v>334.90499999999997</v>
      </c>
      <c r="E25" s="529">
        <v>183.54609007330816</v>
      </c>
      <c r="F25" s="529">
        <v>187.66970202477893</v>
      </c>
      <c r="G25" s="529">
        <v>266.73945502311892</v>
      </c>
      <c r="H25" s="279">
        <f>IF(D25=0,"nm",IF(G25=0,"nm",(G25/D25)^(1/3)-1))</f>
        <v>-7.3052346576267024E-2</v>
      </c>
      <c r="I25" s="248"/>
      <c r="J25" s="247" t="s">
        <v>10</v>
      </c>
      <c r="K25" s="247"/>
      <c r="L25" s="321">
        <v>1277.8216302259802</v>
      </c>
      <c r="M25" s="321">
        <v>1277.8216302259802</v>
      </c>
      <c r="N25" s="321">
        <v>1273.012987820895</v>
      </c>
      <c r="O25" s="321">
        <v>1267.8869750170741</v>
      </c>
      <c r="P25" s="279">
        <f>IF(L25=0,"nm",IF(O25=0,"nm",(O25/L25)^(1/3)-1))</f>
        <v>-2.5983055890941298E-3</v>
      </c>
      <c r="S25" s="88"/>
      <c r="T25" s="42"/>
      <c r="U25" s="42"/>
      <c r="V25" s="147" t="s">
        <v>268</v>
      </c>
      <c r="W25" s="288">
        <f>D37/L9</f>
        <v>0.43613340676556028</v>
      </c>
      <c r="X25" s="288">
        <v>1</v>
      </c>
      <c r="Y25" s="42"/>
      <c r="Z25" s="42"/>
      <c r="AA25" s="42"/>
    </row>
    <row r="26" spans="2:27">
      <c r="B26" s="5" t="s">
        <v>581</v>
      </c>
      <c r="C26" s="544">
        <v>298.06743000000006</v>
      </c>
      <c r="D26" s="529">
        <v>232.75897499999999</v>
      </c>
      <c r="E26" s="529">
        <v>127.56453260094919</v>
      </c>
      <c r="F26" s="529">
        <v>130.43044290722136</v>
      </c>
      <c r="G26" s="529">
        <v>185.38392124106767</v>
      </c>
      <c r="H26" s="279">
        <f>IF(D26=0,"nm",IF(G26=0,"nm",(G26/D26)^(1/3)-1))</f>
        <v>-7.3052346576267024E-2</v>
      </c>
      <c r="I26" s="249"/>
      <c r="J26" s="249" t="s">
        <v>11</v>
      </c>
      <c r="K26" s="249"/>
      <c r="L26" s="281">
        <f>D11+L25</f>
        <v>3749.5427092059799</v>
      </c>
      <c r="M26" s="281">
        <f>E11+M25</f>
        <v>3749.5427092059799</v>
      </c>
      <c r="N26" s="281">
        <f>F11+N25</f>
        <v>3744.7340668008947</v>
      </c>
      <c r="O26" s="281">
        <f>G11+O25</f>
        <v>3739.6080539970735</v>
      </c>
      <c r="P26" s="279">
        <f>IF(L26=0,"nm",IF(O26=0,"nm",(O26/L26)^(1/3)-1))</f>
        <v>-8.8396933423695589E-4</v>
      </c>
      <c r="Q26" s="5"/>
      <c r="S26" s="88"/>
      <c r="T26" s="42"/>
      <c r="U26" s="42"/>
      <c r="V26" s="147" t="s">
        <v>180</v>
      </c>
      <c r="W26" s="288">
        <f t="shared" ref="W26:W33" si="4">D38/L10</f>
        <v>1.140256924173773</v>
      </c>
      <c r="X26" s="288">
        <v>1</v>
      </c>
      <c r="Y26" s="42"/>
      <c r="Z26" s="42"/>
      <c r="AA26" s="42"/>
    </row>
    <row r="27" spans="2:27">
      <c r="B27" s="5" t="s">
        <v>582</v>
      </c>
      <c r="C27" s="545">
        <v>5133.6369999999997</v>
      </c>
      <c r="D27" s="529">
        <v>5666.1759999999995</v>
      </c>
      <c r="E27" s="529">
        <v>6298.1068151231084</v>
      </c>
      <c r="F27" s="529">
        <v>6774.3916416002639</v>
      </c>
      <c r="G27" s="529">
        <v>7086.2741704002583</v>
      </c>
      <c r="H27" s="279">
        <f>IF(ISERROR((G27/D27)^(1/3)-1),"na",(G27/D27)^(1/3)-1)</f>
        <v>7.7397500557419008E-2</v>
      </c>
      <c r="I27" s="249"/>
      <c r="J27" s="248"/>
      <c r="K27" s="248"/>
      <c r="L27" s="248"/>
      <c r="M27" s="248"/>
      <c r="N27" s="248"/>
      <c r="O27" s="248"/>
      <c r="Q27" s="41"/>
      <c r="S27" s="88"/>
      <c r="T27" s="42"/>
      <c r="U27" s="42"/>
      <c r="V27" s="147" t="s">
        <v>181</v>
      </c>
      <c r="W27" s="288">
        <f t="shared" si="4"/>
        <v>0.80053218562720085</v>
      </c>
      <c r="X27" s="288">
        <v>1</v>
      </c>
      <c r="Y27" s="42"/>
      <c r="Z27" s="42"/>
      <c r="AA27" s="42"/>
    </row>
    <row r="28" spans="2:27" ht="12.6" thickBot="1">
      <c r="B28" s="5" t="s">
        <v>587</v>
      </c>
      <c r="C28" s="544">
        <v>1853.1959999999999</v>
      </c>
      <c r="D28" s="529">
        <v>2061.1729999999998</v>
      </c>
      <c r="E28" s="529">
        <v>2506.1381369210021</v>
      </c>
      <c r="F28" s="529">
        <v>2957.2201312023467</v>
      </c>
      <c r="G28" s="529">
        <v>3367.6464562054052</v>
      </c>
      <c r="H28" s="279">
        <f>IF(ISERROR((G28/D28)^(1/3)-1),"na",(G28/D28)^(1/3)-1)</f>
        <v>0.17779764700495115</v>
      </c>
      <c r="I28" s="248"/>
      <c r="J28" s="306" t="s">
        <v>1352</v>
      </c>
      <c r="K28" s="306"/>
      <c r="L28" s="306"/>
      <c r="M28" s="306"/>
      <c r="N28" s="266"/>
      <c r="O28" s="266"/>
      <c r="P28" s="266"/>
      <c r="Q28" s="5"/>
      <c r="S28" s="88"/>
      <c r="T28" s="42"/>
      <c r="U28" s="42"/>
      <c r="V28" s="147" t="s">
        <v>461</v>
      </c>
      <c r="W28" s="288">
        <f t="shared" si="4"/>
        <v>0.80712290641982909</v>
      </c>
      <c r="X28" s="288">
        <v>1</v>
      </c>
      <c r="Y28" s="42"/>
      <c r="Z28" s="42"/>
      <c r="AA28" s="42"/>
    </row>
    <row r="29" spans="2:27" ht="12.6" thickTop="1">
      <c r="B29" s="5" t="s">
        <v>583</v>
      </c>
      <c r="C29" s="544">
        <v>-115.452</v>
      </c>
      <c r="D29" s="529">
        <v>-125.28300000000007</v>
      </c>
      <c r="E29" s="529">
        <v>-267.89106052215868</v>
      </c>
      <c r="F29" s="529">
        <v>-46.753029790293738</v>
      </c>
      <c r="G29" s="529">
        <v>132.09778693200991</v>
      </c>
      <c r="H29" s="279">
        <f>IF(D29=0,"nm",IF(G29=0,"nm",(G29/D29)^(1/3)-1))</f>
        <v>-2.0178125443195674</v>
      </c>
      <c r="I29" s="252"/>
      <c r="J29" s="249"/>
      <c r="K29" s="249"/>
      <c r="L29" s="249"/>
      <c r="M29" s="249"/>
      <c r="N29" s="249"/>
      <c r="O29" s="251"/>
      <c r="Q29" s="5"/>
      <c r="S29" s="88"/>
      <c r="T29" s="42"/>
      <c r="U29" s="42"/>
      <c r="V29" s="147" t="s">
        <v>525</v>
      </c>
      <c r="W29" s="288">
        <f t="shared" si="4"/>
        <v>0.73749207234719649</v>
      </c>
      <c r="X29" s="288">
        <v>1</v>
      </c>
      <c r="Y29" s="42"/>
      <c r="Z29" s="42"/>
      <c r="AA29" s="42"/>
    </row>
    <row r="30" spans="2:27">
      <c r="B30" s="5" t="s">
        <v>584</v>
      </c>
      <c r="C30" s="545">
        <v>367.32799999999997</v>
      </c>
      <c r="D30" s="529">
        <v>314.95</v>
      </c>
      <c r="E30" s="529">
        <v>302.77375460094919</v>
      </c>
      <c r="F30" s="529">
        <v>301.26579668686225</v>
      </c>
      <c r="G30" s="529">
        <v>315.71431573200357</v>
      </c>
      <c r="H30" s="279">
        <f>IF(D30=0,"nm",IF(G30=0,"nm",(G30/D30)^(1/3)-1))</f>
        <v>8.0827463379340436E-4</v>
      </c>
      <c r="I30" s="254"/>
      <c r="J30" s="248"/>
      <c r="K30" s="248"/>
      <c r="L30" s="248"/>
      <c r="M30" s="248"/>
      <c r="N30" s="248"/>
      <c r="O30" s="5"/>
      <c r="Q30" s="5"/>
      <c r="S30" s="88"/>
      <c r="T30" s="42"/>
      <c r="U30" s="42"/>
      <c r="V30" s="147" t="s">
        <v>588</v>
      </c>
      <c r="W30" s="288">
        <f t="shared" si="4"/>
        <v>0.57069002532179847</v>
      </c>
      <c r="X30" s="288">
        <v>1</v>
      </c>
      <c r="Y30" s="42"/>
      <c r="Z30" s="42"/>
      <c r="AA30" s="42"/>
    </row>
    <row r="31" spans="2:27">
      <c r="B31" s="5" t="s">
        <v>585</v>
      </c>
      <c r="C31" s="545">
        <v>8.8149824500000005</v>
      </c>
      <c r="D31" s="529">
        <v>8.8149824500000005</v>
      </c>
      <c r="E31" s="529">
        <v>8.8149824500000005</v>
      </c>
      <c r="F31" s="529">
        <v>176.29964899999999</v>
      </c>
      <c r="G31" s="529">
        <v>176.29964899999999</v>
      </c>
      <c r="H31" s="279">
        <f>IF(D31=0,"nm",IF(G31=0,"nm",(G31/D31)^(1/3)-1))</f>
        <v>1.7144176165949063</v>
      </c>
      <c r="I31" s="254"/>
      <c r="J31" s="252"/>
      <c r="K31" s="252"/>
      <c r="L31" s="252"/>
      <c r="M31" s="252"/>
      <c r="N31" s="252"/>
      <c r="O31" s="5"/>
      <c r="Q31" s="5"/>
      <c r="S31" s="88"/>
      <c r="T31" s="42"/>
      <c r="U31" s="42"/>
      <c r="V31" s="147" t="s">
        <v>894</v>
      </c>
      <c r="W31" s="288">
        <f t="shared" si="4"/>
        <v>-0.83034089249219334</v>
      </c>
      <c r="X31" s="288">
        <v>1</v>
      </c>
      <c r="Y31" s="42"/>
      <c r="Z31" s="42"/>
      <c r="AA31" s="42"/>
    </row>
    <row r="32" spans="2:27">
      <c r="B32" s="5" t="s">
        <v>601</v>
      </c>
      <c r="C32" s="546">
        <v>0</v>
      </c>
      <c r="D32" s="529">
        <v>0</v>
      </c>
      <c r="E32" s="529">
        <v>0</v>
      </c>
      <c r="F32" s="529">
        <v>0</v>
      </c>
      <c r="G32" s="529">
        <v>0</v>
      </c>
      <c r="H32" s="279" t="str">
        <f>IF(D32=0,"nm",IF(G32=0,"nm",(G32/D32)^(1/3)-1))</f>
        <v>nm</v>
      </c>
      <c r="I32" s="254"/>
      <c r="J32" s="254"/>
      <c r="K32" s="254"/>
      <c r="L32" s="254"/>
      <c r="M32" s="254"/>
      <c r="N32" s="254"/>
      <c r="O32" s="251"/>
      <c r="Q32" s="5"/>
      <c r="S32" s="88"/>
      <c r="T32" s="42"/>
      <c r="U32" s="42"/>
      <c r="V32" s="147" t="s">
        <v>528</v>
      </c>
      <c r="W32" s="288">
        <f t="shared" si="4"/>
        <v>0.43142921040879728</v>
      </c>
      <c r="X32" s="288">
        <v>1</v>
      </c>
      <c r="Y32" s="42"/>
      <c r="Z32" s="42"/>
      <c r="AA32" s="42"/>
    </row>
    <row r="33" spans="2:27">
      <c r="B33" s="5" t="s">
        <v>5</v>
      </c>
      <c r="C33" s="545">
        <v>3.3540000000000001</v>
      </c>
      <c r="D33" s="529">
        <v>-9.0649999999999977</v>
      </c>
      <c r="E33" s="529">
        <v>-0.52874520000000125</v>
      </c>
      <c r="F33" s="529">
        <v>15.563835504025555</v>
      </c>
      <c r="G33" s="529">
        <v>26.497547852435829</v>
      </c>
      <c r="H33" s="279">
        <f>IF(ISERROR((G33/D33)^(1/3)-1),"na",(G33/D33)^(1/3)-1)</f>
        <v>-2.4298131673660448</v>
      </c>
      <c r="I33" s="5"/>
      <c r="J33" s="254"/>
      <c r="K33" s="254"/>
      <c r="L33" s="254"/>
      <c r="M33" s="254"/>
      <c r="N33" s="254"/>
      <c r="O33" s="251"/>
      <c r="Q33" s="5"/>
      <c r="S33" s="88"/>
      <c r="T33" s="42"/>
      <c r="U33" s="42"/>
      <c r="V33" s="147" t="s">
        <v>575</v>
      </c>
      <c r="W33" s="288">
        <f t="shared" si="4"/>
        <v>5.3918440417184757E-2</v>
      </c>
      <c r="X33" s="288">
        <v>1</v>
      </c>
      <c r="Y33" s="42"/>
      <c r="Z33" s="42"/>
      <c r="AA33" s="42"/>
    </row>
    <row r="34" spans="2:27">
      <c r="D34" s="5"/>
      <c r="E34" s="5"/>
      <c r="F34" s="5"/>
      <c r="G34" s="5"/>
      <c r="I34" s="49"/>
      <c r="J34" s="254"/>
      <c r="K34" s="254"/>
      <c r="L34" s="254"/>
      <c r="M34" s="254"/>
      <c r="N34" s="254"/>
      <c r="O34" s="251"/>
      <c r="Q34" s="5"/>
      <c r="S34" s="88"/>
      <c r="T34" s="42"/>
      <c r="U34" s="42"/>
      <c r="V34" s="147" t="s">
        <v>144</v>
      </c>
      <c r="W34" s="288">
        <f>D47/L19</f>
        <v>-1.2043246443019207</v>
      </c>
      <c r="X34" s="288">
        <v>1</v>
      </c>
      <c r="Y34" s="288"/>
      <c r="Z34" s="288"/>
      <c r="AA34" s="42"/>
    </row>
    <row r="35" spans="2:27" ht="12.6" thickBot="1">
      <c r="B35" s="306" t="s">
        <v>897</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0.85435025087328187</v>
      </c>
      <c r="E37" s="525">
        <f t="shared" ref="E37:G41" si="6">E$18/E23</f>
        <v>0.91924394713559043</v>
      </c>
      <c r="F37" s="525">
        <f t="shared" si="6"/>
        <v>0.94191083497933026</v>
      </c>
      <c r="G37" s="525">
        <f t="shared" si="6"/>
        <v>0.92587937061665071</v>
      </c>
      <c r="H37" s="17">
        <f t="shared" ref="H37:H45" si="7">H23</f>
        <v>1.7457619254806822E-2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5.5659226957709249</v>
      </c>
      <c r="E38" s="525">
        <f t="shared" si="6"/>
        <v>6.0082981029962923</v>
      </c>
      <c r="F38" s="525">
        <f t="shared" si="6"/>
        <v>5.787823024250943</v>
      </c>
      <c r="G38" s="525">
        <f t="shared" si="6"/>
        <v>5.2337195143124724</v>
      </c>
      <c r="H38" s="17">
        <f t="shared" si="7"/>
        <v>6.6755086912671402E-2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10.536255682076948</v>
      </c>
      <c r="E39" s="525">
        <f t="shared" si="6"/>
        <v>21.066189700002951</v>
      </c>
      <c r="F39" s="525">
        <f t="shared" si="6"/>
        <v>21.510276278002216</v>
      </c>
      <c r="G39" s="525">
        <f t="shared" si="6"/>
        <v>15.100388277686223</v>
      </c>
      <c r="H39" s="17">
        <f t="shared" si="7"/>
        <v>-7.3052346576267024E-2</v>
      </c>
      <c r="I39" s="17"/>
      <c r="J39" s="5"/>
      <c r="K39" s="5"/>
      <c r="L39" s="5"/>
      <c r="M39" s="5"/>
      <c r="N39" s="5"/>
      <c r="O39" s="5"/>
      <c r="Q39" s="5"/>
      <c r="R39" s="5"/>
      <c r="S39" s="42"/>
      <c r="T39" s="42"/>
      <c r="U39" s="42"/>
      <c r="V39" s="42"/>
      <c r="W39" s="42"/>
      <c r="X39" s="42"/>
      <c r="Y39" s="42"/>
      <c r="Z39" s="42"/>
      <c r="AA39" s="42"/>
    </row>
    <row r="40" spans="2:27">
      <c r="B40" s="5" t="s">
        <v>461</v>
      </c>
      <c r="C40" s="247"/>
      <c r="D40" s="525">
        <f>D$18/D26</f>
        <v>15.160080118096328</v>
      </c>
      <c r="E40" s="525">
        <f t="shared" si="6"/>
        <v>30.311064316551008</v>
      </c>
      <c r="F40" s="525">
        <f t="shared" si="6"/>
        <v>30.950037810075131</v>
      </c>
      <c r="G40" s="525">
        <f t="shared" si="6"/>
        <v>21.727177377965784</v>
      </c>
      <c r="H40" s="17">
        <f t="shared" si="7"/>
        <v>-7.3052346576267024E-2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0.62275593084400849</v>
      </c>
      <c r="E41" s="525">
        <f t="shared" si="6"/>
        <v>0.61393318114160278</v>
      </c>
      <c r="F41" s="525">
        <f t="shared" si="6"/>
        <v>0.5958951523814997</v>
      </c>
      <c r="G41" s="525">
        <f t="shared" si="6"/>
        <v>0.56840438895973566</v>
      </c>
      <c r="H41" s="17">
        <f t="shared" si="7"/>
        <v>7.7397500557419008E-2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1.7119595051972738</v>
      </c>
      <c r="E42" s="525">
        <f>E18/E28</f>
        <v>1.5428585899612848</v>
      </c>
      <c r="F42" s="525">
        <f>F18/F28</f>
        <v>1.3650749556888935</v>
      </c>
      <c r="G42" s="525">
        <f>G18/G28</f>
        <v>1.1960487516157017</v>
      </c>
      <c r="H42" s="17">
        <f t="shared" si="7"/>
        <v>0.17779764700495115</v>
      </c>
      <c r="I42" s="248"/>
      <c r="J42" s="5"/>
      <c r="K42" s="5"/>
      <c r="L42" s="5"/>
      <c r="M42" s="5"/>
      <c r="N42" s="5"/>
      <c r="O42" s="5"/>
      <c r="Q42" s="5"/>
      <c r="R42" s="5"/>
      <c r="S42" s="42"/>
      <c r="T42" s="42"/>
      <c r="U42" s="42"/>
      <c r="V42" s="42"/>
      <c r="W42" s="288"/>
      <c r="X42" s="288"/>
      <c r="Y42" s="288"/>
      <c r="Z42" s="288"/>
      <c r="AA42" s="42"/>
    </row>
    <row r="43" spans="2:27">
      <c r="B43" s="5" t="s">
        <v>470</v>
      </c>
      <c r="C43" s="247"/>
      <c r="D43" s="525">
        <f>L26/D29</f>
        <v>-29.928583360918701</v>
      </c>
      <c r="E43" s="525">
        <f>M26/E29</f>
        <v>-13.996520458344429</v>
      </c>
      <c r="F43" s="525">
        <f>N26/F29</f>
        <v>-80.096072566794973</v>
      </c>
      <c r="G43" s="525">
        <f>O26/G29</f>
        <v>28.3093921620491</v>
      </c>
      <c r="H43" s="17">
        <f t="shared" si="7"/>
        <v>-2.0178125443195674</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7.8479792950627072</v>
      </c>
      <c r="E44" s="525">
        <f>E11/E30</f>
        <v>8.1635909368620379</v>
      </c>
      <c r="F44" s="525">
        <f>F11/F30</f>
        <v>8.2044530317164543</v>
      </c>
      <c r="G44" s="525">
        <f>G11/G30</f>
        <v>7.8289800487797274</v>
      </c>
      <c r="H44" s="17">
        <f t="shared" si="7"/>
        <v>8.0827463379340436E-4</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3.5663338088445084E-3</v>
      </c>
      <c r="E45" s="248">
        <f>E31/E11</f>
        <v>3.5663338088445084E-3</v>
      </c>
      <c r="F45" s="248">
        <f>F31/F11</f>
        <v>7.1326676176890161E-2</v>
      </c>
      <c r="G45" s="248">
        <f>G31/G11</f>
        <v>7.1326676176890161E-2</v>
      </c>
      <c r="H45" s="17">
        <f t="shared" si="7"/>
        <v>1.7144176165949063</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3.5663338088445084E-3</v>
      </c>
      <c r="E46" s="248">
        <f>(E31+E32)/E11</f>
        <v>3.5663338088445084E-3</v>
      </c>
      <c r="F46" s="248">
        <f>(F31+F32)/F11</f>
        <v>7.1326676176890161E-2</v>
      </c>
      <c r="G46" s="248">
        <f>(G31+G32)/G11</f>
        <v>7.1326676176890161E-2</v>
      </c>
      <c r="H46" s="279">
        <f>((G31+G32)/(D31+D32))^(1/3)-1</f>
        <v>1.7144176165949063</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-3.341287450664366E-2</v>
      </c>
      <c r="E47" s="248">
        <f>1/E43</f>
        <v>-7.1446328605465736E-2</v>
      </c>
      <c r="F47" s="248">
        <f>1/F43</f>
        <v>-1.2485006667038067E-2</v>
      </c>
      <c r="G47" s="248">
        <f>1/G43</f>
        <v>3.5323965780536128E-2</v>
      </c>
      <c r="H47" s="17">
        <f>H29</f>
        <v>-2.0178125443195674</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-7.0360563284723343E-2</v>
      </c>
      <c r="E48" s="305">
        <f>E31/E29</f>
        <v>-3.2905101173657365E-2</v>
      </c>
      <c r="F48" s="305">
        <f>F31/F29</f>
        <v>-3.7708711027023334</v>
      </c>
      <c r="G48" s="305">
        <f>G31/G29</f>
        <v>1.3346147054737605</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67"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pageSetUpPr fitToPage="1"/>
  </sheetPr>
  <dimension ref="B1:AR165"/>
  <sheetViews>
    <sheetView showGridLines="0" zoomScale="80" zoomScaleNormal="80" zoomScaleSheetLayoutView="80" workbookViewId="0">
      <selection activeCell="B31" sqref="B31:G31"/>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267</v>
      </c>
      <c r="C9" s="287">
        <f>Prices!C9</f>
        <v>26.13</v>
      </c>
      <c r="D9" s="531">
        <v>0</v>
      </c>
      <c r="E9" s="532">
        <v>0</v>
      </c>
      <c r="F9" s="532">
        <v>0</v>
      </c>
      <c r="G9" s="532">
        <v>0</v>
      </c>
      <c r="H9" s="249"/>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44">
      <c r="B10" s="5" t="s">
        <v>269</v>
      </c>
      <c r="C10" s="5"/>
      <c r="D10" s="527">
        <v>4986.4589999999998</v>
      </c>
      <c r="E10" s="527">
        <v>4886.4589999999998</v>
      </c>
      <c r="F10" s="527">
        <v>4886.4589999999998</v>
      </c>
      <c r="G10" s="527">
        <v>4886.4589999999998</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44">
      <c r="B11" s="41" t="s">
        <v>270</v>
      </c>
      <c r="C11" s="5"/>
      <c r="D11" s="528">
        <f>$C$9*D10</f>
        <v>130296.17366999999</v>
      </c>
      <c r="E11" s="528">
        <f>$C$9*E10</f>
        <v>127683.17366999999</v>
      </c>
      <c r="F11" s="528">
        <f>$C$9*F10</f>
        <v>127683.17366999999</v>
      </c>
      <c r="G11" s="528">
        <f>$C$9*G10</f>
        <v>127683.17366999999</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44">
      <c r="B12" s="5" t="s">
        <v>24</v>
      </c>
      <c r="C12" s="249"/>
      <c r="D12" s="529">
        <v>93746</v>
      </c>
      <c r="E12" s="529">
        <v>101898.55132365713</v>
      </c>
      <c r="F12" s="529">
        <v>105205.94967132926</v>
      </c>
      <c r="G12" s="529">
        <v>102833.11303293148</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44">
      <c r="B13" s="5" t="s">
        <v>524</v>
      </c>
      <c r="C13" s="257"/>
      <c r="D13" s="529">
        <v>13561.282649247863</v>
      </c>
      <c r="E13" s="529">
        <v>13198.933515949309</v>
      </c>
      <c r="F13" s="529">
        <v>12569.821734518249</v>
      </c>
      <c r="G13" s="529">
        <v>12093.49135735538</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44">
      <c r="B14" s="5" t="s">
        <v>527</v>
      </c>
      <c r="C14" s="257"/>
      <c r="D14" s="526">
        <f>DTSOP!R32</f>
        <v>6909.6571510765898</v>
      </c>
      <c r="E14" s="526">
        <f t="shared" ref="E14:G14" si="2">D14</f>
        <v>6909.6571510765898</v>
      </c>
      <c r="F14" s="526">
        <f t="shared" si="2"/>
        <v>6909.6571510765898</v>
      </c>
      <c r="G14" s="526">
        <f t="shared" si="2"/>
        <v>6909.6571510765898</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44">
      <c r="B15" s="5" t="s">
        <v>526</v>
      </c>
      <c r="C15" s="274"/>
      <c r="D15" s="542">
        <v>88253.317298446796</v>
      </c>
      <c r="E15" s="542">
        <v>85189.849021628077</v>
      </c>
      <c r="F15" s="542">
        <v>82943.900918270287</v>
      </c>
      <c r="G15" s="542">
        <v>80352.540878018408</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44">
      <c r="B16" s="5" t="s">
        <v>529</v>
      </c>
      <c r="C16" s="257"/>
      <c r="D16" s="529">
        <v>0</v>
      </c>
      <c r="E16" s="529">
        <v>3812.6234300000001</v>
      </c>
      <c r="F16" s="529">
        <v>8082.7616716000011</v>
      </c>
      <c r="G16" s="529">
        <v>12768.727702192002</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1228.8526558991982</v>
      </c>
      <c r="E17" s="529">
        <v>1228.8526558991982</v>
      </c>
      <c r="F17" s="529">
        <v>1228.8526558991982</v>
      </c>
      <c r="G17" s="529">
        <v>1228.8526558991982</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578</v>
      </c>
      <c r="C18" s="249"/>
      <c r="D18" s="530">
        <f>D11+D12+D13-D14+D15-D16-D17</f>
        <v>317718.26381071884</v>
      </c>
      <c r="E18" s="530">
        <f>E11+E12+E13-E14+E15-E16-E17</f>
        <v>316019.37429425877</v>
      </c>
      <c r="F18" s="530">
        <f>F11+F12+F13-F14+F15-F16-F17</f>
        <v>312181.57451554202</v>
      </c>
      <c r="G18" s="530">
        <f>G11+G12+G13-G14+G15-G16-G17</f>
        <v>302055.08142913744</v>
      </c>
      <c r="H18" s="276">
        <f>IF(D18=0,"nm",IF(G18=0,"nm",(G18/D18)^(1/3)-1))</f>
        <v>-1.6710680564101965E-2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918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111985</v>
      </c>
      <c r="D23" s="536">
        <v>115870.28792582886</v>
      </c>
      <c r="E23" s="536">
        <v>119365.77088209376</v>
      </c>
      <c r="F23" s="536">
        <v>122901.11695981916</v>
      </c>
      <c r="G23" s="536">
        <v>126164.25311252791</v>
      </c>
      <c r="H23" s="279">
        <f t="shared" ref="H23:H32" si="4">IF(D23=0,"nm",IF(G23=0,"nm",(G23/D23)^(1/3)-1))</f>
        <v>2.8777391588370893E-2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39858</v>
      </c>
      <c r="D24" s="536">
        <v>40147</v>
      </c>
      <c r="E24" s="536">
        <v>42570.668479578628</v>
      </c>
      <c r="F24" s="536">
        <v>44968.586793995266</v>
      </c>
      <c r="G24" s="536">
        <v>47240.303198640417</v>
      </c>
      <c r="H24" s="279">
        <f>IF(D24=0,"nm",IF(G24=0,"nm",(G24/D24)^(1/3)-1))</f>
        <v>5.5730802160798287E-2</v>
      </c>
      <c r="I24" s="249"/>
      <c r="J24" s="17"/>
      <c r="K24" s="17"/>
      <c r="L24" s="17"/>
      <c r="M24" s="17"/>
      <c r="N24" s="17"/>
      <c r="O24" s="248"/>
      <c r="S24" s="88"/>
      <c r="T24" s="42"/>
      <c r="U24" s="42"/>
      <c r="V24" s="42"/>
      <c r="W24" s="42" t="s">
        <v>279</v>
      </c>
      <c r="X24" s="42" t="s">
        <v>246</v>
      </c>
      <c r="Y24" s="42"/>
      <c r="Z24" s="42"/>
      <c r="AA24" s="42"/>
    </row>
    <row r="25" spans="2:27">
      <c r="B25" s="5" t="s">
        <v>179</v>
      </c>
      <c r="C25" s="544">
        <v>17141.016488689784</v>
      </c>
      <c r="D25" s="536">
        <v>22424.303653528914</v>
      </c>
      <c r="E25" s="536">
        <v>26215.849190973506</v>
      </c>
      <c r="F25" s="536">
        <v>28829.566001161642</v>
      </c>
      <c r="G25" s="536">
        <v>31022.452721328005</v>
      </c>
      <c r="H25" s="279">
        <f t="shared" si="4"/>
        <v>0.11425790002201275</v>
      </c>
      <c r="I25" s="249"/>
      <c r="J25" s="247" t="s">
        <v>10</v>
      </c>
      <c r="K25" s="247"/>
      <c r="L25" s="321">
        <v>6756</v>
      </c>
      <c r="M25" s="321">
        <v>6756</v>
      </c>
      <c r="N25" s="321">
        <v>6756</v>
      </c>
      <c r="O25" s="321">
        <v>6756</v>
      </c>
      <c r="P25" s="279">
        <f>IF(L25=0,"nm",IF(O25=0,"nm",(O25/L25)^(1/3)-1))</f>
        <v>0</v>
      </c>
      <c r="S25" s="88"/>
      <c r="T25" s="42"/>
      <c r="U25" s="42"/>
      <c r="V25" s="147" t="s">
        <v>268</v>
      </c>
      <c r="W25" s="288">
        <f>D37/L9</f>
        <v>1.180936885588719</v>
      </c>
      <c r="X25" s="288">
        <v>1</v>
      </c>
      <c r="Y25" s="42"/>
      <c r="Z25" s="42"/>
      <c r="AA25" s="42"/>
    </row>
    <row r="26" spans="2:27">
      <c r="B26" s="5" t="s">
        <v>581</v>
      </c>
      <c r="C26" s="544">
        <v>12465.48102235359</v>
      </c>
      <c r="D26" s="536">
        <v>16298.253740810969</v>
      </c>
      <c r="E26" s="536">
        <v>19291.105648769637</v>
      </c>
      <c r="F26" s="536">
        <v>21095.131031172488</v>
      </c>
      <c r="G26" s="536">
        <v>22671.356370059191</v>
      </c>
      <c r="H26" s="279">
        <f t="shared" si="4"/>
        <v>0.11629456328351129</v>
      </c>
      <c r="I26" s="249"/>
      <c r="J26" s="249" t="s">
        <v>11</v>
      </c>
      <c r="K26" s="249"/>
      <c r="L26" s="281">
        <f>D11+L25</f>
        <v>137052.17366999999</v>
      </c>
      <c r="M26" s="281">
        <f>E11+M25</f>
        <v>134439.17366999999</v>
      </c>
      <c r="N26" s="281">
        <f>F11+N25</f>
        <v>134439.17366999999</v>
      </c>
      <c r="O26" s="281">
        <f>G11+O25</f>
        <v>134439.17366999999</v>
      </c>
      <c r="P26" s="279">
        <f>IF(L26=0,"nm",IF(O26=0,"nm",(O26/L26)^(1/3)-1))</f>
        <v>-6.3960664131202938E-3</v>
      </c>
      <c r="Q26" s="5"/>
      <c r="S26" s="88"/>
      <c r="T26" s="42"/>
      <c r="U26" s="42"/>
      <c r="V26" s="147" t="s">
        <v>180</v>
      </c>
      <c r="W26" s="288">
        <f t="shared" ref="W26:W33" si="6">D38/L10</f>
        <v>1.1316043904776063</v>
      </c>
      <c r="X26" s="288">
        <v>1</v>
      </c>
      <c r="Y26" s="42"/>
      <c r="Z26" s="42"/>
      <c r="AA26" s="42"/>
    </row>
    <row r="27" spans="2:27">
      <c r="B27" s="5" t="s">
        <v>582</v>
      </c>
      <c r="C27" s="545">
        <v>191053</v>
      </c>
      <c r="D27" s="536">
        <v>184983</v>
      </c>
      <c r="E27" s="536">
        <v>203799.0302589795</v>
      </c>
      <c r="F27" s="536">
        <v>218797.77526398873</v>
      </c>
      <c r="G27" s="536">
        <v>228669.41806562469</v>
      </c>
      <c r="H27" s="279">
        <f t="shared" si="4"/>
        <v>7.3228233999019343E-2</v>
      </c>
      <c r="I27" s="249"/>
      <c r="Q27" s="41"/>
      <c r="S27" s="88"/>
      <c r="T27" s="42"/>
      <c r="U27" s="42"/>
      <c r="V27" s="147" t="s">
        <v>181</v>
      </c>
      <c r="W27" s="288">
        <f t="shared" si="6"/>
        <v>0.98259987598682896</v>
      </c>
      <c r="X27" s="288">
        <v>1</v>
      </c>
      <c r="Y27" s="42"/>
      <c r="Z27" s="42"/>
      <c r="AA27" s="42"/>
    </row>
    <row r="28" spans="2:27" ht="12.6" thickBot="1">
      <c r="B28" s="5" t="s">
        <v>587</v>
      </c>
      <c r="C28" s="544">
        <v>65729</v>
      </c>
      <c r="D28" s="536">
        <v>65042</v>
      </c>
      <c r="E28" s="536">
        <v>64113.714554401507</v>
      </c>
      <c r="F28" s="536">
        <v>63318.017048760375</v>
      </c>
      <c r="G28" s="536">
        <v>62663.458603900537</v>
      </c>
      <c r="H28" s="279">
        <f t="shared" si="4"/>
        <v>-1.2341456688290009E-2</v>
      </c>
      <c r="I28" s="248"/>
      <c r="J28" s="306" t="s">
        <v>1352</v>
      </c>
      <c r="K28" s="306"/>
      <c r="L28" s="306"/>
      <c r="M28" s="306"/>
      <c r="N28" s="266"/>
      <c r="O28" s="266"/>
      <c r="P28" s="266"/>
      <c r="Q28" s="5"/>
      <c r="S28" s="88"/>
      <c r="T28" s="42"/>
      <c r="U28" s="42"/>
      <c r="V28" s="147" t="s">
        <v>461</v>
      </c>
      <c r="W28" s="288">
        <f t="shared" si="6"/>
        <v>1.0079764223058991</v>
      </c>
      <c r="X28" s="288">
        <v>1</v>
      </c>
      <c r="Y28" s="42"/>
      <c r="Z28" s="42"/>
      <c r="AA28" s="42"/>
    </row>
    <row r="29" spans="2:27" ht="12.6" thickTop="1">
      <c r="B29" s="5" t="s">
        <v>583</v>
      </c>
      <c r="C29" s="544">
        <v>6208.1037968930314</v>
      </c>
      <c r="D29" s="536">
        <v>8696.1371043014442</v>
      </c>
      <c r="E29" s="536">
        <v>10738.661654480928</v>
      </c>
      <c r="F29" s="536">
        <v>11364.106606662293</v>
      </c>
      <c r="G29" s="536">
        <v>12282.821206663108</v>
      </c>
      <c r="H29" s="279">
        <f t="shared" si="4"/>
        <v>0.12199412781479291</v>
      </c>
      <c r="I29" s="252"/>
      <c r="J29" s="249"/>
      <c r="K29" s="249"/>
      <c r="L29" s="249"/>
      <c r="M29" s="249"/>
      <c r="N29" s="249"/>
      <c r="O29" s="251"/>
      <c r="Q29" s="5"/>
      <c r="S29" s="88"/>
      <c r="T29" s="42"/>
      <c r="U29" s="42"/>
      <c r="V29" s="147" t="s">
        <v>525</v>
      </c>
      <c r="W29" s="288">
        <f t="shared" si="6"/>
        <v>1.1478224058945505</v>
      </c>
      <c r="X29" s="288">
        <v>1</v>
      </c>
      <c r="Y29" s="42"/>
      <c r="Z29" s="42"/>
      <c r="AA29" s="42"/>
    </row>
    <row r="30" spans="2:27">
      <c r="B30" s="5" t="s">
        <v>584</v>
      </c>
      <c r="C30" s="545">
        <v>9010</v>
      </c>
      <c r="D30" s="536">
        <v>7940</v>
      </c>
      <c r="E30" s="536">
        <v>8943.9204389984661</v>
      </c>
      <c r="F30" s="536">
        <v>9934.8153906204716</v>
      </c>
      <c r="G30" s="536">
        <v>10914.21408140206</v>
      </c>
      <c r="H30" s="279">
        <f t="shared" si="4"/>
        <v>0.11187847287299713</v>
      </c>
      <c r="I30" s="254"/>
      <c r="J30" s="248"/>
      <c r="K30" s="248"/>
      <c r="L30" s="248"/>
      <c r="M30" s="248"/>
      <c r="N30" s="248"/>
      <c r="O30" s="5"/>
      <c r="Q30" s="5"/>
      <c r="S30" s="88"/>
      <c r="T30" s="42"/>
      <c r="U30" s="42"/>
      <c r="V30" s="147" t="s">
        <v>588</v>
      </c>
      <c r="W30" s="288">
        <f t="shared" si="6"/>
        <v>1.4794220057887502</v>
      </c>
      <c r="X30" s="288">
        <v>1</v>
      </c>
      <c r="Y30" s="42"/>
      <c r="Z30" s="42"/>
      <c r="AA30" s="42"/>
    </row>
    <row r="31" spans="2:27">
      <c r="B31" s="5" t="s">
        <v>585</v>
      </c>
      <c r="C31" s="545">
        <v>3490.5212999999999</v>
      </c>
      <c r="D31" s="536">
        <v>3839.5734299999999</v>
      </c>
      <c r="E31" s="536">
        <v>4214.0822416000001</v>
      </c>
      <c r="F31" s="536">
        <v>4719.7721105920009</v>
      </c>
      <c r="G31" s="536">
        <v>5191.7493216512012</v>
      </c>
      <c r="H31" s="279">
        <f t="shared" si="4"/>
        <v>0.10580083205039381</v>
      </c>
      <c r="I31" s="254"/>
      <c r="J31" s="252"/>
      <c r="K31" s="252"/>
      <c r="L31" s="252"/>
      <c r="M31" s="252"/>
      <c r="N31" s="252"/>
      <c r="O31" s="5"/>
      <c r="Q31" s="5"/>
      <c r="S31" s="88"/>
      <c r="T31" s="42"/>
      <c r="U31" s="42"/>
      <c r="V31" s="147" t="s">
        <v>470</v>
      </c>
      <c r="W31" s="288">
        <f t="shared" si="6"/>
        <v>0.90400887072576275</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1.0196197868896011</v>
      </c>
      <c r="X32" s="288">
        <v>1</v>
      </c>
      <c r="Y32" s="42"/>
      <c r="Z32" s="42"/>
      <c r="AA32" s="42"/>
    </row>
    <row r="33" spans="2:27">
      <c r="B33" s="5" t="s">
        <v>5</v>
      </c>
      <c r="C33" s="545">
        <v>3913</v>
      </c>
      <c r="D33" s="536">
        <v>5591.5559939221148</v>
      </c>
      <c r="E33" s="536">
        <v>5803.2142901243251</v>
      </c>
      <c r="F33" s="536">
        <v>5844.9067182046783</v>
      </c>
      <c r="G33" s="536">
        <v>5826.3002804411999</v>
      </c>
      <c r="H33" s="279">
        <f>IF(D33=0,"nm",IF(G33=0,"nm",(G33/D33)^(1/3)-1))</f>
        <v>1.3802587197951244E-2</v>
      </c>
      <c r="I33" s="5"/>
      <c r="J33" s="254"/>
      <c r="K33" s="254"/>
      <c r="L33" s="254"/>
      <c r="M33" s="254"/>
      <c r="N33" s="254"/>
      <c r="O33" s="251"/>
      <c r="Q33" s="5"/>
      <c r="S33" s="88"/>
      <c r="T33" s="42"/>
      <c r="U33" s="42"/>
      <c r="V33" s="147" t="s">
        <v>575</v>
      </c>
      <c r="W33" s="288">
        <f t="shared" si="6"/>
        <v>0.66484631765258961</v>
      </c>
      <c r="X33" s="288">
        <v>1</v>
      </c>
      <c r="Y33" s="42"/>
      <c r="Z33" s="42"/>
      <c r="AA33" s="42"/>
    </row>
    <row r="34" spans="2:27">
      <c r="H34" s="277"/>
      <c r="I34" s="49"/>
      <c r="J34" s="254"/>
      <c r="K34" s="254"/>
      <c r="L34" s="254"/>
      <c r="M34" s="254"/>
      <c r="N34" s="254"/>
      <c r="O34" s="251"/>
      <c r="Q34" s="5"/>
      <c r="S34" s="88"/>
      <c r="T34" s="42"/>
      <c r="U34" s="42"/>
      <c r="V34" s="147" t="s">
        <v>576</v>
      </c>
      <c r="W34" s="288">
        <f>D47/L19</f>
        <v>1.1061838355603444</v>
      </c>
      <c r="X34" s="288">
        <v>1</v>
      </c>
      <c r="Y34" s="288"/>
      <c r="Z34" s="288"/>
      <c r="AA34" s="42"/>
    </row>
    <row r="35" spans="2:27" ht="12.6" thickBot="1">
      <c r="B35" s="306" t="s">
        <v>596</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2.7420166938231598</v>
      </c>
      <c r="E37" s="525">
        <f t="shared" ref="E37:G41" si="8">E$18/E23</f>
        <v>2.6474873991004846</v>
      </c>
      <c r="F37" s="525">
        <f t="shared" si="8"/>
        <v>2.5401036397220498</v>
      </c>
      <c r="G37" s="525">
        <f t="shared" si="8"/>
        <v>2.3941415573532523</v>
      </c>
      <c r="H37" s="17">
        <f t="shared" ref="H37:H45" si="9">H23</f>
        <v>2.8777391588370893E-2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7.9138731115829035</v>
      </c>
      <c r="E38" s="525">
        <f t="shared" si="8"/>
        <v>7.4234064340769024</v>
      </c>
      <c r="F38" s="525">
        <f t="shared" si="8"/>
        <v>6.9422144828715888</v>
      </c>
      <c r="G38" s="525">
        <f t="shared" si="8"/>
        <v>6.3940123364371342</v>
      </c>
      <c r="H38" s="17">
        <f t="shared" si="9"/>
        <v>5.5730802160798287E-2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14.168478482974855</v>
      </c>
      <c r="E39" s="525">
        <f t="shared" si="8"/>
        <v>12.054516029298368</v>
      </c>
      <c r="F39" s="525">
        <f t="shared" si="8"/>
        <v>10.82852147350963</v>
      </c>
      <c r="G39" s="525">
        <f t="shared" si="8"/>
        <v>9.7366602229189283</v>
      </c>
      <c r="H39" s="17">
        <f t="shared" si="9"/>
        <v>0.11425790002201275</v>
      </c>
      <c r="I39" s="17"/>
      <c r="J39" s="5"/>
      <c r="K39" s="5"/>
      <c r="L39" s="5"/>
      <c r="M39" s="5"/>
      <c r="N39" s="5"/>
      <c r="O39" s="5"/>
      <c r="Q39" s="5"/>
      <c r="R39" s="5"/>
      <c r="S39" s="42"/>
      <c r="T39" s="42"/>
      <c r="U39" s="42"/>
      <c r="V39" s="42"/>
      <c r="W39" s="42"/>
      <c r="X39" s="42"/>
      <c r="Y39" s="42"/>
      <c r="Z39" s="42"/>
      <c r="AA39" s="42"/>
    </row>
    <row r="40" spans="2:27">
      <c r="B40" s="5" t="s">
        <v>461</v>
      </c>
      <c r="C40" s="247"/>
      <c r="D40" s="525">
        <f>D$18/D26</f>
        <v>19.494006466174319</v>
      </c>
      <c r="E40" s="525">
        <f t="shared" si="8"/>
        <v>16.381610263713117</v>
      </c>
      <c r="F40" s="525">
        <f t="shared" si="8"/>
        <v>14.798750197580103</v>
      </c>
      <c r="G40" s="525">
        <f t="shared" si="8"/>
        <v>13.323202921729241</v>
      </c>
      <c r="H40" s="17">
        <f t="shared" si="9"/>
        <v>0.11629456328351129</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1.7175538498711711</v>
      </c>
      <c r="E41" s="525">
        <f t="shared" si="8"/>
        <v>1.5506421884965509</v>
      </c>
      <c r="F41" s="525">
        <f t="shared" si="8"/>
        <v>1.4268041534649143</v>
      </c>
      <c r="G41" s="525">
        <f t="shared" si="8"/>
        <v>1.3209246955027987</v>
      </c>
      <c r="H41" s="17">
        <f t="shared" si="9"/>
        <v>7.3228233999019343E-2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4.8848169461381694</v>
      </c>
      <c r="E42" s="525">
        <f>E18/E28</f>
        <v>4.9290448461867129</v>
      </c>
      <c r="F42" s="525">
        <f>F18/F28</f>
        <v>4.9303750980567678</v>
      </c>
      <c r="G42" s="525">
        <f>G18/G28</f>
        <v>4.8202746570125603</v>
      </c>
      <c r="H42" s="17">
        <f t="shared" si="9"/>
        <v>-1.2341456688290009E-2</v>
      </c>
      <c r="I42" s="248"/>
      <c r="J42" s="5"/>
      <c r="K42" s="5"/>
      <c r="L42" s="5"/>
      <c r="M42" s="5"/>
      <c r="N42" s="5"/>
      <c r="O42" s="5"/>
      <c r="Q42" s="5"/>
      <c r="R42" s="5"/>
      <c r="S42" s="42"/>
      <c r="T42" s="42"/>
      <c r="U42" s="42"/>
      <c r="V42" s="42"/>
      <c r="W42" s="288"/>
      <c r="X42" s="288"/>
      <c r="Y42" s="288"/>
      <c r="Z42" s="288"/>
      <c r="AA42" s="42"/>
    </row>
    <row r="43" spans="2:27">
      <c r="B43" s="5" t="s">
        <v>470</v>
      </c>
      <c r="C43" s="247"/>
      <c r="D43" s="525">
        <f>L26/D29</f>
        <v>15.760121077461935</v>
      </c>
      <c r="E43" s="525">
        <f>M26/E29</f>
        <v>12.519173989796249</v>
      </c>
      <c r="F43" s="525">
        <f>N26/F29</f>
        <v>11.830157734633007</v>
      </c>
      <c r="G43" s="525">
        <f>O26/G29</f>
        <v>10.94530087249583</v>
      </c>
      <c r="H43" s="17">
        <f t="shared" si="9"/>
        <v>0.12199412781479291</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16.410097439546597</v>
      </c>
      <c r="E44" s="525">
        <f>E11/E30</f>
        <v>14.275973779156052</v>
      </c>
      <c r="F44" s="525">
        <f>F11/F30</f>
        <v>12.852093234721458</v>
      </c>
      <c r="G44" s="525">
        <f>G11/G30</f>
        <v>11.698796882459316</v>
      </c>
      <c r="H44" s="17">
        <f t="shared" si="9"/>
        <v>0.11187847287299713</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2.946804439341753E-2</v>
      </c>
      <c r="E45" s="248">
        <f>E31/E11</f>
        <v>3.3004209720627634E-2</v>
      </c>
      <c r="F45" s="248">
        <f>F31/F11</f>
        <v>3.6964714887102956E-2</v>
      </c>
      <c r="G45" s="248">
        <f>G31/G11</f>
        <v>4.0661186375813257E-2</v>
      </c>
      <c r="H45" s="17">
        <f t="shared" si="9"/>
        <v>0.10580083205039381</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2.946804439341753E-2</v>
      </c>
      <c r="E46" s="248">
        <f>(E31+E32)/E11</f>
        <v>3.3004209720627634E-2</v>
      </c>
      <c r="F46" s="248">
        <f>(F31+F32)/F11</f>
        <v>3.6964714887102956E-2</v>
      </c>
      <c r="G46" s="248">
        <f>(G31+G32)/G11</f>
        <v>4.0661186375813257E-2</v>
      </c>
      <c r="H46" s="279">
        <f>((G31+G32)/(D31+D32))^(1/3)-1</f>
        <v>0.10580083205039381</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6.3451289180136386E-2</v>
      </c>
      <c r="E47" s="248">
        <f>1/E43</f>
        <v>7.9877474409657534E-2</v>
      </c>
      <c r="F47" s="248">
        <f>1/F43</f>
        <v>8.4529726689313828E-2</v>
      </c>
      <c r="G47" s="248">
        <f>1/G43</f>
        <v>9.1363408977899796E-2</v>
      </c>
      <c r="H47" s="17">
        <f>H29</f>
        <v>0.12199412781479291</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0.44152632185396423</v>
      </c>
      <c r="E48" s="305">
        <f>E31/E29</f>
        <v>0.39242154908955412</v>
      </c>
      <c r="F48" s="305">
        <f>F31/F29</f>
        <v>0.41532275910057009</v>
      </c>
      <c r="G48" s="305">
        <f>G31/G29</f>
        <v>0.42268378203167312</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DTSOP!A1" display="Jump to DT SOP" xr:uid="{00000000-0004-0000-2000-000001000000}"/>
  </hyperlinks>
  <pageMargins left="0.75" right="0.75" top="1" bottom="1" header="0.5" footer="0.5"/>
  <pageSetup scale="71"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7" width="8.6640625" style="39" customWidth="1"/>
    <col min="18" max="28" width="8.6640625" style="5" customWidth="1"/>
    <col min="29" max="44" width="9.109375" style="5"/>
    <col min="45" max="16384" width="9.109375" style="39"/>
  </cols>
  <sheetData>
    <row r="1" spans="2:44" s="312" customFormat="1">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348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487</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267</v>
      </c>
      <c r="C9" s="287">
        <f>Prices!C23</f>
        <v>46.56</v>
      </c>
      <c r="D9" s="531">
        <v>0</v>
      </c>
      <c r="E9" s="532">
        <v>0</v>
      </c>
      <c r="F9" s="532">
        <v>0</v>
      </c>
      <c r="G9" s="532">
        <v>0</v>
      </c>
      <c r="H9" s="249"/>
      <c r="I9" s="249"/>
      <c r="J9" s="5" t="s">
        <v>268</v>
      </c>
      <c r="L9" s="525">
        <f>'W.EUR OTHER'!D37</f>
        <v>1.9589195361329668</v>
      </c>
      <c r="M9" s="525">
        <f>'W.EUR OTHER'!E37</f>
        <v>1.6383796798063159</v>
      </c>
      <c r="N9" s="525">
        <f>'W.EUR OTHER'!F37</f>
        <v>1.5411744049087741</v>
      </c>
      <c r="O9" s="525">
        <f>'W.EUR OTHER'!G37</f>
        <v>1.4434676732212866</v>
      </c>
      <c r="P9" s="279">
        <f>'W.EUR OTHER'!H37</f>
        <v>1.8004685546411769E-2</v>
      </c>
      <c r="S9" s="42"/>
      <c r="T9" s="42"/>
      <c r="U9" s="42"/>
      <c r="V9" s="42"/>
      <c r="W9" s="42"/>
      <c r="X9" s="42"/>
      <c r="Y9" s="42"/>
      <c r="Z9" s="42"/>
      <c r="AA9" s="42"/>
    </row>
    <row r="10" spans="2:44">
      <c r="B10" s="5" t="s">
        <v>269</v>
      </c>
      <c r="C10" s="5"/>
      <c r="D10" s="527">
        <v>160.388419</v>
      </c>
      <c r="E10" s="527">
        <v>160.388419</v>
      </c>
      <c r="F10" s="527">
        <v>160.388419</v>
      </c>
      <c r="G10" s="527">
        <v>160.388419</v>
      </c>
      <c r="H10" s="247"/>
      <c r="I10" s="247"/>
      <c r="J10" s="5" t="s">
        <v>180</v>
      </c>
      <c r="L10" s="525">
        <f>'W.EUR OTHER'!D38</f>
        <v>4.8812882235325841</v>
      </c>
      <c r="M10" s="525">
        <f>'W.EUR OTHER'!E38</f>
        <v>4.145841728258338</v>
      </c>
      <c r="N10" s="525">
        <f>'W.EUR OTHER'!F38</f>
        <v>3.8271320252352607</v>
      </c>
      <c r="O10" s="525">
        <f>'W.EUR OTHER'!G38</f>
        <v>3.5258553553595839</v>
      </c>
      <c r="P10" s="279">
        <f>'W.EUR OTHER'!H38</f>
        <v>2.4794026477105824E-2</v>
      </c>
      <c r="S10" s="42"/>
      <c r="T10" s="42"/>
      <c r="U10" s="42"/>
      <c r="V10" s="42"/>
      <c r="W10" s="288"/>
      <c r="X10" s="288"/>
      <c r="Y10" s="288"/>
      <c r="Z10" s="288"/>
      <c r="AA10" s="42"/>
    </row>
    <row r="11" spans="2:44">
      <c r="B11" s="41" t="s">
        <v>270</v>
      </c>
      <c r="C11" s="5"/>
      <c r="D11" s="528">
        <f>$C$9*D10</f>
        <v>7467.6847886400001</v>
      </c>
      <c r="E11" s="528">
        <f>$C$9*E10</f>
        <v>7467.6847886400001</v>
      </c>
      <c r="F11" s="528">
        <f>$C$9*F10</f>
        <v>7467.6847886400001</v>
      </c>
      <c r="G11" s="528">
        <f>$C$9*G10</f>
        <v>7467.6847886400001</v>
      </c>
      <c r="H11" s="249"/>
      <c r="I11" s="249"/>
      <c r="J11" s="5" t="s">
        <v>181</v>
      </c>
      <c r="L11" s="525">
        <f>'W.EUR OTHER'!D39</f>
        <v>13.16156410853363</v>
      </c>
      <c r="M11" s="525">
        <f>'W.EUR OTHER'!E39</f>
        <v>11.425296433104002</v>
      </c>
      <c r="N11" s="525">
        <f>'W.EUR OTHER'!F39</f>
        <v>9.8430805940601882</v>
      </c>
      <c r="O11" s="525">
        <f>'W.EUR OTHER'!G39</f>
        <v>8.6472666256233168</v>
      </c>
      <c r="P11" s="279">
        <f>'W.EUR OTHER'!H39</f>
        <v>5.7684523659928821E-2</v>
      </c>
      <c r="S11" s="42"/>
      <c r="T11" s="42"/>
      <c r="U11" s="42"/>
      <c r="V11" s="42"/>
      <c r="W11" s="288"/>
      <c r="X11" s="288"/>
      <c r="Y11" s="288"/>
      <c r="Z11" s="288"/>
      <c r="AA11" s="42"/>
    </row>
    <row r="12" spans="2:44">
      <c r="B12" s="5" t="s">
        <v>24</v>
      </c>
      <c r="C12" s="249"/>
      <c r="D12" s="529">
        <v>1304</v>
      </c>
      <c r="E12" s="529">
        <v>1317.2523896869441</v>
      </c>
      <c r="F12" s="529">
        <v>1289.4970618236716</v>
      </c>
      <c r="G12" s="529">
        <v>1266.2811379858545</v>
      </c>
      <c r="H12" s="247"/>
      <c r="I12" s="247"/>
      <c r="J12" s="5" t="s">
        <v>461</v>
      </c>
      <c r="L12" s="525">
        <f>'W.EUR OTHER'!D40</f>
        <v>18.782864415708623</v>
      </c>
      <c r="M12" s="525">
        <f>'W.EUR OTHER'!E40</f>
        <v>16.344811252802039</v>
      </c>
      <c r="N12" s="525">
        <f>'W.EUR OTHER'!F40</f>
        <v>14.257332213491615</v>
      </c>
      <c r="O12" s="525">
        <f>'W.EUR OTHER'!G40</f>
        <v>12.325553609893248</v>
      </c>
      <c r="P12" s="279">
        <f>'W.EUR OTHER'!H40</f>
        <v>5.8112215141036705E-2</v>
      </c>
      <c r="S12" s="42"/>
      <c r="T12" s="42"/>
      <c r="U12" s="42"/>
      <c r="V12" s="42"/>
      <c r="W12" s="288"/>
      <c r="X12" s="288"/>
      <c r="Y12" s="288"/>
      <c r="Z12" s="288"/>
      <c r="AA12" s="42"/>
    </row>
    <row r="13" spans="2:44">
      <c r="B13" s="5" t="s">
        <v>524</v>
      </c>
      <c r="C13" s="257"/>
      <c r="D13" s="529">
        <v>330.00698230875508</v>
      </c>
      <c r="E13" s="529">
        <v>330.00698230875508</v>
      </c>
      <c r="F13" s="529">
        <v>330.00698230875508</v>
      </c>
      <c r="G13" s="529">
        <v>330.00698230875508</v>
      </c>
      <c r="H13" s="247"/>
      <c r="I13" s="247"/>
      <c r="J13" s="5" t="s">
        <v>525</v>
      </c>
      <c r="L13" s="525">
        <f>'W.EUR OTHER'!D41</f>
        <v>0.84442389849965394</v>
      </c>
      <c r="M13" s="525">
        <f>'W.EUR OTHER'!E41</f>
        <v>0.81498961294635097</v>
      </c>
      <c r="N13" s="525">
        <f>'W.EUR OTHER'!F41</f>
        <v>0.77498610757856878</v>
      </c>
      <c r="O13" s="525">
        <f>'W.EUR OTHER'!G41</f>
        <v>0.73281741958307633</v>
      </c>
      <c r="P13" s="279">
        <f>'W.EUR OTHER'!H41</f>
        <v>-3.6019662148356391E-2</v>
      </c>
      <c r="S13" s="42"/>
      <c r="T13" s="42"/>
      <c r="U13" s="42"/>
      <c r="V13" s="42"/>
      <c r="W13" s="42"/>
      <c r="X13" s="42"/>
      <c r="Y13" s="42"/>
      <c r="Z13" s="42"/>
      <c r="AA13" s="42"/>
    </row>
    <row r="14" spans="2:44">
      <c r="B14" s="5" t="s">
        <v>527</v>
      </c>
      <c r="C14" s="257"/>
      <c r="D14" s="526">
        <f>ELISASOP!J25</f>
        <v>0</v>
      </c>
      <c r="E14" s="526">
        <f t="shared" ref="E14:G15" si="2">D14</f>
        <v>0</v>
      </c>
      <c r="F14" s="526">
        <f t="shared" si="2"/>
        <v>0</v>
      </c>
      <c r="G14" s="526">
        <f t="shared" si="2"/>
        <v>0</v>
      </c>
      <c r="H14" s="247"/>
      <c r="I14" s="247"/>
      <c r="J14" s="5" t="s">
        <v>588</v>
      </c>
      <c r="L14" s="525">
        <f>'W.EUR OTHER'!D42</f>
        <v>2.9998062507434589</v>
      </c>
      <c r="M14" s="525">
        <f>'W.EUR OTHER'!E42</f>
        <v>2.5616627697063863</v>
      </c>
      <c r="N14" s="525">
        <f>'W.EUR OTHER'!F42</f>
        <v>2.4320616245212983</v>
      </c>
      <c r="O14" s="525">
        <f>'W.EUR OTHER'!G42</f>
        <v>2.298739291377446</v>
      </c>
      <c r="P14" s="279">
        <f>'W.EUR OTHER'!H42</f>
        <v>4.8033956462567584E-3</v>
      </c>
      <c r="S14" s="42"/>
      <c r="T14" s="42"/>
      <c r="U14" s="42"/>
      <c r="V14" s="42"/>
      <c r="W14" s="42"/>
      <c r="X14" s="42"/>
      <c r="Y14" s="42"/>
      <c r="Z14" s="42"/>
      <c r="AA14" s="42"/>
    </row>
    <row r="15" spans="2:44">
      <c r="B15" s="5" t="s">
        <v>526</v>
      </c>
      <c r="C15" s="274"/>
      <c r="D15" s="606">
        <f>ELISASOP!T16</f>
        <v>0</v>
      </c>
      <c r="E15" s="529">
        <f t="shared" si="2"/>
        <v>0</v>
      </c>
      <c r="F15" s="529">
        <f t="shared" si="2"/>
        <v>0</v>
      </c>
      <c r="G15" s="529">
        <f t="shared" si="2"/>
        <v>0</v>
      </c>
      <c r="H15" s="247"/>
      <c r="I15" s="247"/>
      <c r="J15" s="5" t="s">
        <v>470</v>
      </c>
      <c r="L15" s="525">
        <f>'W.EUR OTHER'!D43</f>
        <v>36.043730510598792</v>
      </c>
      <c r="M15" s="525">
        <f>'W.EUR OTHER'!E43</f>
        <v>34.490732675014193</v>
      </c>
      <c r="N15" s="525">
        <f>'W.EUR OTHER'!F43</f>
        <v>16.287705091950169</v>
      </c>
      <c r="O15" s="525">
        <f>'W.EUR OTHER'!G43</f>
        <v>11.941589892511526</v>
      </c>
      <c r="P15" s="279">
        <f>'W.EUR OTHER'!H43</f>
        <v>0.37754240659126448</v>
      </c>
      <c r="S15" s="42"/>
      <c r="T15" s="42"/>
      <c r="U15" s="42"/>
      <c r="V15" s="42"/>
      <c r="W15" s="42"/>
      <c r="X15" s="42"/>
      <c r="Y15" s="42"/>
      <c r="Z15" s="42"/>
      <c r="AA15" s="42"/>
    </row>
    <row r="16" spans="2:44">
      <c r="B16" s="5" t="s">
        <v>529</v>
      </c>
      <c r="C16" s="257"/>
      <c r="D16" s="529">
        <v>0</v>
      </c>
      <c r="E16" s="529">
        <v>0</v>
      </c>
      <c r="F16" s="529">
        <v>376.91278464999999</v>
      </c>
      <c r="G16" s="529">
        <v>772.67120853250003</v>
      </c>
      <c r="H16" s="247"/>
      <c r="I16" s="247"/>
      <c r="J16" s="5" t="s">
        <v>528</v>
      </c>
      <c r="L16" s="525">
        <f>'W.EUR OTHER'!D44</f>
        <v>18.190653543431651</v>
      </c>
      <c r="M16" s="525">
        <f>'W.EUR OTHER'!E44</f>
        <v>13.647996044938878</v>
      </c>
      <c r="N16" s="525">
        <f>'W.EUR OTHER'!F44</f>
        <v>10.565198529238016</v>
      </c>
      <c r="O16" s="525">
        <f>'W.EUR OTHER'!G44</f>
        <v>9.2374096772312519</v>
      </c>
      <c r="P16" s="279">
        <f>'W.EUR OTHER'!H44</f>
        <v>0.20457659904306258</v>
      </c>
      <c r="S16" s="42"/>
      <c r="T16" s="42"/>
      <c r="U16" s="42"/>
      <c r="V16" s="42"/>
      <c r="W16" s="42"/>
      <c r="X16" s="42"/>
      <c r="Y16" s="42"/>
      <c r="Z16" s="42"/>
      <c r="AA16" s="42"/>
    </row>
    <row r="17" spans="2:27">
      <c r="B17" s="5" t="s">
        <v>6</v>
      </c>
      <c r="C17" s="257"/>
      <c r="D17" s="529">
        <v>32.063768974876503</v>
      </c>
      <c r="E17" s="529">
        <v>32.063768974876503</v>
      </c>
      <c r="F17" s="529">
        <v>32.063768974876503</v>
      </c>
      <c r="G17" s="529">
        <v>32.063768974876503</v>
      </c>
      <c r="H17" s="247"/>
      <c r="I17" s="247"/>
      <c r="J17" s="5" t="s">
        <v>575</v>
      </c>
      <c r="L17" s="248">
        <f>'W.EUR OTHER'!D45</f>
        <v>6.6143118778113894E-2</v>
      </c>
      <c r="M17" s="248">
        <f>'W.EUR OTHER'!E45</f>
        <v>4.3051326641435336E-2</v>
      </c>
      <c r="N17" s="248">
        <f>'W.EUR OTHER'!F45</f>
        <v>4.4102284782265591E-2</v>
      </c>
      <c r="O17" s="248">
        <f>'W.EUR OTHER'!G45</f>
        <v>4.5021641876791196E-2</v>
      </c>
      <c r="P17" s="279">
        <f>'W.EUR OTHER'!H45</f>
        <v>-0.15462913486104612</v>
      </c>
      <c r="S17" s="42"/>
      <c r="T17" s="42"/>
      <c r="U17" s="42"/>
      <c r="V17" s="42"/>
      <c r="W17" s="42"/>
      <c r="X17" s="42"/>
      <c r="Y17" s="42"/>
      <c r="Z17" s="42"/>
      <c r="AA17" s="42"/>
    </row>
    <row r="18" spans="2:27" ht="12.6" thickBot="1">
      <c r="B18" s="41" t="s">
        <v>578</v>
      </c>
      <c r="C18" s="249"/>
      <c r="D18" s="530">
        <f>D11+D12+D13-D14+D15-D16-D17</f>
        <v>9069.628001973877</v>
      </c>
      <c r="E18" s="530">
        <f>E11+E12+E13-E14+E15-E16-E17</f>
        <v>9082.8803916608213</v>
      </c>
      <c r="F18" s="530">
        <f>F11+F12+F13-F14+F15-F16-F17</f>
        <v>8678.2122791475504</v>
      </c>
      <c r="G18" s="530">
        <f>G11+G12+G13-G14+G15-G16-G17</f>
        <v>8259.237931427233</v>
      </c>
      <c r="H18" s="276">
        <f>IF(D18=0,"nm",IF(G18=0,"nm",(G18/D18)^(1/3)-1))</f>
        <v>-3.071795565124491E-2</v>
      </c>
      <c r="I18" s="254"/>
      <c r="J18" s="5" t="s">
        <v>36</v>
      </c>
      <c r="L18" s="248">
        <f>'W.EUR OTHER'!D46</f>
        <v>6.6143118778113894E-2</v>
      </c>
      <c r="M18" s="248">
        <f>'W.EUR OTHER'!E46</f>
        <v>4.3051326641435336E-2</v>
      </c>
      <c r="N18" s="248">
        <f>'W.EUR OTHER'!F46</f>
        <v>4.4102284782265591E-2</v>
      </c>
      <c r="O18" s="248">
        <f>'W.EUR OTHER'!G46</f>
        <v>4.5021641876791196E-2</v>
      </c>
      <c r="P18" s="279">
        <f>'W.EUR OTHER'!H46</f>
        <v>-0.15462913486104612</v>
      </c>
      <c r="S18" s="42"/>
      <c r="T18" s="42"/>
      <c r="U18" s="42"/>
      <c r="V18" s="42"/>
      <c r="W18" s="42"/>
      <c r="X18" s="42"/>
      <c r="Y18" s="42"/>
      <c r="Z18" s="42"/>
      <c r="AA18" s="42"/>
    </row>
    <row r="19" spans="2:27" ht="12.6" thickTop="1">
      <c r="B19" s="41"/>
      <c r="C19" s="249"/>
      <c r="D19" s="229"/>
      <c r="E19" s="229"/>
      <c r="F19" s="229"/>
      <c r="G19" s="229"/>
      <c r="H19" s="276"/>
      <c r="I19" s="254"/>
      <c r="J19" s="5" t="s">
        <v>576</v>
      </c>
      <c r="L19" s="248">
        <f>'W.EUR OTHER'!D47</f>
        <v>2.7744076038576149E-2</v>
      </c>
      <c r="M19" s="248">
        <f>'W.EUR OTHER'!E47</f>
        <v>2.8993295370742325E-2</v>
      </c>
      <c r="N19" s="248">
        <f>'W.EUR OTHER'!F47</f>
        <v>6.1396003571689631E-2</v>
      </c>
      <c r="O19" s="248">
        <f>'W.EUR OTHER'!G47</f>
        <v>8.3740943124088682E-2</v>
      </c>
      <c r="P19" s="279">
        <f>'W.EUR OTHER'!H47</f>
        <v>0.37754240659126448</v>
      </c>
      <c r="S19" s="42"/>
      <c r="T19" s="42"/>
      <c r="U19" s="42"/>
      <c r="V19" s="42"/>
      <c r="W19" s="42"/>
      <c r="X19" s="42"/>
      <c r="Y19" s="42"/>
      <c r="Z19" s="42"/>
      <c r="AA19" s="42"/>
    </row>
    <row r="20" spans="2:27">
      <c r="H20" s="277"/>
      <c r="I20" s="17"/>
      <c r="J20" s="5" t="s">
        <v>599</v>
      </c>
      <c r="L20" s="305">
        <f>'W.EUR OTHER'!D48</f>
        <v>2.1773296851754451</v>
      </c>
      <c r="M20" s="305">
        <f>'W.EUR OTHER'!E48</f>
        <v>1.3522122093409186</v>
      </c>
      <c r="N20" s="305">
        <f>'W.EUR OTHER'!F48</f>
        <v>0.65358788133464962</v>
      </c>
      <c r="O20" s="305">
        <f>'W.EUR OTHER'!G48</f>
        <v>0.50321211795021492</v>
      </c>
      <c r="P20" s="279" t="str">
        <f>'W.EUR OTHER'!H48</f>
        <v>nm</v>
      </c>
      <c r="S20" s="42"/>
      <c r="T20" s="42"/>
      <c r="U20" s="42"/>
      <c r="V20" s="42"/>
      <c r="W20" s="42"/>
      <c r="X20" s="42"/>
      <c r="Y20" s="42"/>
      <c r="Z20" s="42"/>
      <c r="AA20" s="42"/>
    </row>
    <row r="21" spans="2:27" ht="12.6" thickBot="1">
      <c r="B21" s="306" t="s">
        <v>918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2180.4</v>
      </c>
      <c r="D23" s="536">
        <v>2238.3764976169273</v>
      </c>
      <c r="E23" s="536">
        <v>2317.821421309166</v>
      </c>
      <c r="F23" s="536">
        <v>2392.1431256414776</v>
      </c>
      <c r="G23" s="536">
        <v>2469.7377355374915</v>
      </c>
      <c r="H23" s="279">
        <f t="shared" ref="H23:H32" si="4">IF(D23=0,"nm",IF(G23=0,"nm",(G23/D23)^(1/3)-1))</f>
        <v>3.3330464580151764E-2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478</v>
      </c>
      <c r="C24" s="544">
        <v>735.3</v>
      </c>
      <c r="D24" s="536">
        <v>756</v>
      </c>
      <c r="E24" s="536">
        <v>781.68704868296902</v>
      </c>
      <c r="F24" s="536">
        <v>812.71226740080795</v>
      </c>
      <c r="G24" s="536">
        <v>842.1896356670153</v>
      </c>
      <c r="H24" s="279">
        <f t="shared" si="4"/>
        <v>3.6643349062043695E-2</v>
      </c>
      <c r="I24" s="249"/>
      <c r="J24" s="17"/>
      <c r="K24" s="17"/>
      <c r="L24" s="17"/>
      <c r="M24" s="17"/>
      <c r="N24" s="17"/>
      <c r="O24" s="248"/>
      <c r="S24" s="42"/>
      <c r="T24" s="42"/>
      <c r="U24" s="42"/>
      <c r="V24" s="42"/>
      <c r="W24" s="42" t="s">
        <v>349</v>
      </c>
      <c r="X24" s="42" t="s">
        <v>248</v>
      </c>
      <c r="Y24" s="42"/>
      <c r="Z24" s="42"/>
      <c r="AA24" s="42"/>
    </row>
    <row r="25" spans="2:27">
      <c r="B25" s="5" t="s">
        <v>179</v>
      </c>
      <c r="C25" s="544">
        <v>480.49999999999994</v>
      </c>
      <c r="D25" s="536">
        <v>472.5</v>
      </c>
      <c r="E25" s="536">
        <v>505.83444943195349</v>
      </c>
      <c r="F25" s="536">
        <v>572.40108034337027</v>
      </c>
      <c r="G25" s="536">
        <v>596.34599801889647</v>
      </c>
      <c r="H25" s="279">
        <f t="shared" si="4"/>
        <v>8.0684274954947455E-2</v>
      </c>
      <c r="I25" s="248"/>
      <c r="J25" s="247" t="s">
        <v>10</v>
      </c>
      <c r="K25" s="247"/>
      <c r="L25" s="321">
        <v>292.9176400238685</v>
      </c>
      <c r="M25" s="321">
        <v>292.9176400238685</v>
      </c>
      <c r="N25" s="321">
        <v>292.9176400238685</v>
      </c>
      <c r="O25" s="321">
        <v>0</v>
      </c>
      <c r="P25" s="279" t="str">
        <f>IF(L25=0,"nm",IF(O25=0,"nm",(O25/L25)^(1/3)-1))</f>
        <v>nm</v>
      </c>
      <c r="S25" s="42"/>
      <c r="T25" s="42"/>
      <c r="U25" s="42"/>
      <c r="V25" s="147" t="s">
        <v>268</v>
      </c>
      <c r="W25" s="288">
        <f>D37/L9</f>
        <v>2.0684248172720765</v>
      </c>
      <c r="X25" s="288">
        <v>1</v>
      </c>
      <c r="Y25" s="42"/>
      <c r="Z25" s="42"/>
      <c r="AA25" s="42"/>
    </row>
    <row r="26" spans="2:27">
      <c r="B26" s="5" t="s">
        <v>581</v>
      </c>
      <c r="C26" s="544">
        <v>384.4</v>
      </c>
      <c r="D26" s="536">
        <v>378</v>
      </c>
      <c r="E26" s="536">
        <v>404.66755954556282</v>
      </c>
      <c r="F26" s="536">
        <v>457.92086427469621</v>
      </c>
      <c r="G26" s="536">
        <v>477.0767984151172</v>
      </c>
      <c r="H26" s="279">
        <f t="shared" si="4"/>
        <v>8.0684274954947455E-2</v>
      </c>
      <c r="I26" s="249"/>
      <c r="J26" s="249" t="s">
        <v>11</v>
      </c>
      <c r="K26" s="249"/>
      <c r="L26" s="281">
        <f>D11+L25</f>
        <v>7760.6024286638685</v>
      </c>
      <c r="M26" s="281">
        <f>E11+M25</f>
        <v>7760.6024286638685</v>
      </c>
      <c r="N26" s="281">
        <f>F11+N25</f>
        <v>7760.6024286638685</v>
      </c>
      <c r="O26" s="281">
        <f>G11+O25</f>
        <v>7467.6847886400001</v>
      </c>
      <c r="P26" s="279">
        <f>IF(L26=0,"nm",IF(O26=0,"nm",(O26/L26)^(1/3)-1))</f>
        <v>-1.2743092772298459E-2</v>
      </c>
      <c r="Q26" s="5"/>
      <c r="S26" s="42"/>
      <c r="T26" s="42"/>
      <c r="U26" s="42"/>
      <c r="V26" s="147" t="s">
        <v>180</v>
      </c>
      <c r="W26" s="288">
        <f t="shared" ref="W26:W33" si="6">D38/L10</f>
        <v>2.457724659371018</v>
      </c>
      <c r="X26" s="288">
        <v>1</v>
      </c>
      <c r="Y26" s="42"/>
      <c r="Z26" s="42"/>
      <c r="AA26" s="42"/>
    </row>
    <row r="27" spans="2:27">
      <c r="B27" s="5" t="s">
        <v>582</v>
      </c>
      <c r="C27" s="544">
        <v>2518.9</v>
      </c>
      <c r="D27" s="536">
        <v>2597.6999999999998</v>
      </c>
      <c r="E27" s="536">
        <v>2561.9166888687078</v>
      </c>
      <c r="F27" s="536">
        <v>2555.8900313793574</v>
      </c>
      <c r="G27" s="536">
        <v>2556.8814104523135</v>
      </c>
      <c r="H27" s="279">
        <f t="shared" si="4"/>
        <v>-5.2654623642267584E-3</v>
      </c>
      <c r="I27" s="249"/>
      <c r="J27" s="248"/>
      <c r="K27" s="248"/>
      <c r="L27" s="248"/>
      <c r="M27" s="248"/>
      <c r="N27" s="248"/>
      <c r="O27" s="248"/>
      <c r="Q27" s="41"/>
      <c r="S27" s="42"/>
      <c r="T27" s="42"/>
      <c r="U27" s="42"/>
      <c r="V27" s="147" t="s">
        <v>181</v>
      </c>
      <c r="W27" s="288">
        <f t="shared" si="6"/>
        <v>1.4584117617078554</v>
      </c>
      <c r="X27" s="288">
        <v>1</v>
      </c>
      <c r="Y27" s="42"/>
      <c r="Z27" s="42"/>
      <c r="AA27" s="42"/>
    </row>
    <row r="28" spans="2:27" ht="12.6" thickBot="1">
      <c r="B28" s="5" t="s">
        <v>587</v>
      </c>
      <c r="C28" s="544">
        <v>857.1</v>
      </c>
      <c r="D28" s="536">
        <v>902.9</v>
      </c>
      <c r="E28" s="536">
        <v>907.61858226476897</v>
      </c>
      <c r="F28" s="536">
        <v>877.44791489152431</v>
      </c>
      <c r="G28" s="536">
        <v>850.17256727669746</v>
      </c>
      <c r="H28" s="279">
        <f t="shared" si="4"/>
        <v>-1.9857672156916029E-2</v>
      </c>
      <c r="I28" s="248"/>
      <c r="J28" s="306" t="s">
        <v>1352</v>
      </c>
      <c r="K28" s="306"/>
      <c r="L28" s="306"/>
      <c r="M28" s="306"/>
      <c r="N28" s="266"/>
      <c r="O28" s="266"/>
      <c r="P28" s="266"/>
      <c r="Q28" s="5"/>
      <c r="S28" s="42"/>
      <c r="T28" s="42"/>
      <c r="U28" s="42"/>
      <c r="V28" s="147" t="s">
        <v>461</v>
      </c>
      <c r="W28" s="288">
        <f t="shared" si="6"/>
        <v>1.277426293557236</v>
      </c>
      <c r="X28" s="288">
        <v>1</v>
      </c>
      <c r="Y28" s="42"/>
      <c r="Z28" s="42"/>
      <c r="AA28" s="42"/>
    </row>
    <row r="29" spans="2:27" ht="12.6" thickTop="1">
      <c r="B29" s="5" t="s">
        <v>583</v>
      </c>
      <c r="C29" s="544">
        <v>368.19731592050016</v>
      </c>
      <c r="D29" s="536">
        <v>345.14534930947656</v>
      </c>
      <c r="E29" s="536">
        <v>379.59203767902534</v>
      </c>
      <c r="F29" s="536">
        <v>439.40166684542726</v>
      </c>
      <c r="G29" s="536">
        <v>453.70070060834104</v>
      </c>
      <c r="H29" s="279">
        <f t="shared" si="4"/>
        <v>9.5441377735400401E-2</v>
      </c>
      <c r="I29" s="252"/>
      <c r="J29" s="249"/>
      <c r="K29" s="249"/>
      <c r="L29" s="249"/>
      <c r="M29" s="249"/>
      <c r="N29" s="249"/>
      <c r="O29" s="251"/>
      <c r="Q29" s="5"/>
      <c r="S29" s="42"/>
      <c r="T29" s="42"/>
      <c r="U29" s="42"/>
      <c r="V29" s="147" t="s">
        <v>525</v>
      </c>
      <c r="W29" s="288">
        <f t="shared" si="6"/>
        <v>4.134661537718423</v>
      </c>
      <c r="X29" s="288">
        <v>1</v>
      </c>
      <c r="Y29" s="42"/>
      <c r="Z29" s="42"/>
      <c r="AA29" s="42"/>
    </row>
    <row r="30" spans="2:27">
      <c r="B30" s="5" t="s">
        <v>584</v>
      </c>
      <c r="C30" s="544">
        <v>375.71073631799914</v>
      </c>
      <c r="D30" s="536">
        <v>382.61860276209364</v>
      </c>
      <c r="E30" s="536">
        <v>384.63824193176407</v>
      </c>
      <c r="F30" s="536">
        <v>404.84145502392158</v>
      </c>
      <c r="G30" s="536">
        <v>426.16572679327317</v>
      </c>
      <c r="H30" s="279">
        <f t="shared" si="4"/>
        <v>3.6583152810227615E-2</v>
      </c>
      <c r="I30" s="254"/>
      <c r="J30" s="248"/>
      <c r="K30" s="248"/>
      <c r="L30" s="248"/>
      <c r="M30" s="248"/>
      <c r="N30" s="248"/>
      <c r="O30" s="5"/>
      <c r="Q30" s="5"/>
      <c r="S30" s="42"/>
      <c r="T30" s="42"/>
      <c r="U30" s="42"/>
      <c r="V30" s="147" t="s">
        <v>588</v>
      </c>
      <c r="W30" s="288">
        <f t="shared" si="6"/>
        <v>3.3485486707152292</v>
      </c>
      <c r="X30" s="288">
        <v>1</v>
      </c>
      <c r="Y30" s="42"/>
      <c r="Z30" s="42"/>
      <c r="AA30" s="42"/>
    </row>
    <row r="31" spans="2:27">
      <c r="B31" s="5" t="s">
        <v>585</v>
      </c>
      <c r="C31" s="544">
        <v>344.55834424999995</v>
      </c>
      <c r="D31" s="536">
        <v>360.87394274999997</v>
      </c>
      <c r="E31" s="536">
        <v>376.91278464999999</v>
      </c>
      <c r="F31" s="536">
        <v>395.75842388250004</v>
      </c>
      <c r="G31" s="536">
        <v>415.54634507662507</v>
      </c>
      <c r="H31" s="279">
        <f t="shared" si="4"/>
        <v>4.8144872461113764E-2</v>
      </c>
      <c r="I31" s="254"/>
      <c r="J31" s="252"/>
      <c r="K31" s="252"/>
      <c r="L31" s="252"/>
      <c r="M31" s="252"/>
      <c r="N31" s="252"/>
      <c r="O31" s="5"/>
      <c r="Q31" s="5"/>
      <c r="S31" s="42"/>
      <c r="T31" s="42"/>
      <c r="U31" s="42"/>
      <c r="V31" s="147" t="s">
        <v>470</v>
      </c>
      <c r="W31" s="288">
        <f t="shared" si="6"/>
        <v>0.62382629323204208</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42"/>
      <c r="T32" s="42"/>
      <c r="U32" s="42"/>
      <c r="V32" s="147" t="s">
        <v>528</v>
      </c>
      <c r="W32" s="288">
        <f t="shared" si="6"/>
        <v>1.0729305077553721</v>
      </c>
      <c r="X32" s="288">
        <v>1</v>
      </c>
      <c r="Y32" s="42"/>
      <c r="Z32" s="42"/>
      <c r="AA32" s="42"/>
    </row>
    <row r="33" spans="2:27">
      <c r="B33" s="5" t="s">
        <v>5</v>
      </c>
      <c r="C33" s="544">
        <v>13.1</v>
      </c>
      <c r="D33" s="536">
        <v>23.3</v>
      </c>
      <c r="E33" s="536">
        <v>30.382851269987189</v>
      </c>
      <c r="F33" s="536">
        <v>32.08904974196264</v>
      </c>
      <c r="G33" s="536">
        <v>36.403865712237106</v>
      </c>
      <c r="H33" s="279">
        <f>IF(D33=0,"nm",IF(G33=0,"nm",(G33/D33)^(1/3)-1))</f>
        <v>0.16037187592809432</v>
      </c>
      <c r="I33" s="5"/>
      <c r="J33" s="254"/>
      <c r="K33" s="254"/>
      <c r="L33" s="254"/>
      <c r="M33" s="254"/>
      <c r="N33" s="254"/>
      <c r="O33" s="251"/>
      <c r="Q33" s="5"/>
      <c r="S33" s="42"/>
      <c r="T33" s="42"/>
      <c r="U33" s="42"/>
      <c r="V33" s="147" t="s">
        <v>575</v>
      </c>
      <c r="W33" s="288">
        <f t="shared" si="6"/>
        <v>0.73060876415811549</v>
      </c>
      <c r="X33" s="288">
        <v>1</v>
      </c>
      <c r="Y33" s="42"/>
      <c r="Z33" s="42"/>
      <c r="AA33" s="42"/>
    </row>
    <row r="34" spans="2:27">
      <c r="B34" s="5"/>
      <c r="C34" s="247"/>
      <c r="D34" s="17"/>
      <c r="E34" s="17"/>
      <c r="F34" s="17"/>
      <c r="G34" s="17"/>
      <c r="H34" s="277"/>
      <c r="I34" s="49"/>
      <c r="J34" s="254"/>
      <c r="K34" s="254"/>
      <c r="L34" s="254"/>
      <c r="M34" s="254"/>
      <c r="N34" s="254"/>
      <c r="O34" s="251"/>
      <c r="Q34" s="5"/>
      <c r="S34" s="42"/>
      <c r="T34" s="42"/>
      <c r="U34" s="42"/>
      <c r="V34" s="147" t="s">
        <v>576</v>
      </c>
      <c r="W34" s="288">
        <f>D47/L19</f>
        <v>1.6030103425410351</v>
      </c>
      <c r="X34" s="288">
        <v>1</v>
      </c>
      <c r="Y34" s="288"/>
      <c r="Z34" s="288"/>
      <c r="AA34" s="42"/>
    </row>
    <row r="35" spans="2:27" ht="12.6" thickBot="1">
      <c r="B35" s="306" t="s">
        <v>350</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4.0518777835765327</v>
      </c>
      <c r="E37" s="525">
        <f t="shared" ref="E37:G41" si="8">E$18/E23</f>
        <v>3.9187144911839558</v>
      </c>
      <c r="F37" s="525">
        <f t="shared" si="8"/>
        <v>3.6277980970810009</v>
      </c>
      <c r="G37" s="525">
        <f t="shared" si="8"/>
        <v>3.3441761093024587</v>
      </c>
      <c r="H37" s="17">
        <f t="shared" ref="H37:H45" si="9">H23</f>
        <v>3.3330464580151764E-2</v>
      </c>
      <c r="I37" s="5"/>
      <c r="J37" s="259"/>
      <c r="K37" s="259"/>
      <c r="L37" s="259"/>
      <c r="M37" s="259"/>
      <c r="N37" s="259"/>
      <c r="O37" s="18"/>
      <c r="Q37" s="5"/>
      <c r="S37" s="42"/>
      <c r="T37" s="42"/>
      <c r="U37" s="42"/>
      <c r="V37" s="42"/>
      <c r="W37" s="42"/>
      <c r="X37" s="42"/>
      <c r="Y37" s="42"/>
      <c r="Z37" s="42"/>
      <c r="AA37" s="42"/>
    </row>
    <row r="38" spans="2:27">
      <c r="B38" s="5" t="s">
        <v>180</v>
      </c>
      <c r="C38" s="247"/>
      <c r="D38" s="525">
        <f>D$18/D24</f>
        <v>11.996862436473382</v>
      </c>
      <c r="E38" s="525">
        <f t="shared" si="8"/>
        <v>11.619586645274699</v>
      </c>
      <c r="F38" s="525">
        <f t="shared" si="8"/>
        <v>10.678086977697468</v>
      </c>
      <c r="G38" s="525">
        <f t="shared" si="8"/>
        <v>9.8068624709278289</v>
      </c>
      <c r="H38" s="17">
        <f t="shared" si="9"/>
        <v>3.6643349062043695E-2</v>
      </c>
      <c r="I38" s="259"/>
      <c r="J38" s="17"/>
      <c r="K38" s="17"/>
      <c r="L38" s="17"/>
      <c r="M38" s="17"/>
      <c r="N38" s="17"/>
      <c r="O38" s="5"/>
      <c r="Q38" s="5"/>
      <c r="S38" s="42"/>
      <c r="T38" s="42"/>
      <c r="U38" s="42"/>
      <c r="V38" s="42"/>
      <c r="W38" s="42"/>
      <c r="X38" s="42"/>
      <c r="Y38" s="42"/>
      <c r="Z38" s="42"/>
      <c r="AA38" s="42"/>
    </row>
    <row r="39" spans="2:27">
      <c r="B39" s="5" t="s">
        <v>181</v>
      </c>
      <c r="C39" s="247"/>
      <c r="D39" s="525">
        <f>D$18/D25</f>
        <v>19.19497989835741</v>
      </c>
      <c r="E39" s="525">
        <f t="shared" si="8"/>
        <v>17.956231335886269</v>
      </c>
      <c r="F39" s="525">
        <f t="shared" si="8"/>
        <v>15.161069007664503</v>
      </c>
      <c r="G39" s="525">
        <f t="shared" si="8"/>
        <v>13.849741523989437</v>
      </c>
      <c r="H39" s="17">
        <f t="shared" si="9"/>
        <v>8.0684274954947455E-2</v>
      </c>
      <c r="I39" s="17"/>
      <c r="J39" s="5"/>
      <c r="K39" s="5"/>
      <c r="L39" s="5"/>
      <c r="M39" s="5"/>
      <c r="N39" s="5"/>
      <c r="O39" s="5"/>
      <c r="Q39" s="5"/>
      <c r="S39" s="42"/>
      <c r="T39" s="42"/>
      <c r="U39" s="42"/>
      <c r="V39" s="42"/>
      <c r="W39" s="42"/>
      <c r="X39" s="42"/>
      <c r="Y39" s="42"/>
      <c r="Z39" s="42"/>
      <c r="AA39" s="42"/>
    </row>
    <row r="40" spans="2:27">
      <c r="B40" s="5" t="s">
        <v>461</v>
      </c>
      <c r="C40" s="247"/>
      <c r="D40" s="525">
        <f>D$18/D26</f>
        <v>23.993724872946764</v>
      </c>
      <c r="E40" s="525">
        <f t="shared" si="8"/>
        <v>22.445289169857833</v>
      </c>
      <c r="F40" s="525">
        <f t="shared" si="8"/>
        <v>18.951336259580629</v>
      </c>
      <c r="G40" s="525">
        <f t="shared" si="8"/>
        <v>17.312176904986796</v>
      </c>
      <c r="H40" s="17">
        <f t="shared" si="9"/>
        <v>8.0684274954947455E-2</v>
      </c>
      <c r="I40" s="5"/>
      <c r="J40" s="259"/>
      <c r="K40" s="259"/>
      <c r="L40" s="259"/>
      <c r="M40" s="259"/>
      <c r="N40" s="259"/>
      <c r="O40" s="18"/>
      <c r="Q40" s="5"/>
      <c r="S40" s="42"/>
      <c r="T40" s="42"/>
      <c r="U40" s="42"/>
      <c r="V40" s="42"/>
      <c r="W40" s="288"/>
      <c r="X40" s="288"/>
      <c r="Y40" s="42"/>
      <c r="Z40" s="42"/>
      <c r="AA40" s="42"/>
    </row>
    <row r="41" spans="2:27">
      <c r="B41" s="5" t="s">
        <v>525</v>
      </c>
      <c r="C41" s="247"/>
      <c r="D41" s="525">
        <f>D$18/D27</f>
        <v>3.4914070146567648</v>
      </c>
      <c r="E41" s="525">
        <f t="shared" si="8"/>
        <v>3.5453457292835089</v>
      </c>
      <c r="F41" s="525">
        <f t="shared" si="8"/>
        <v>3.3953778028799269</v>
      </c>
      <c r="G41" s="525">
        <f t="shared" si="8"/>
        <v>3.2301998433185721</v>
      </c>
      <c r="H41" s="17">
        <f t="shared" si="9"/>
        <v>-5.2654623642267584E-3</v>
      </c>
      <c r="I41" s="247"/>
      <c r="J41" s="17"/>
      <c r="K41" s="17"/>
      <c r="L41" s="17"/>
      <c r="M41" s="17"/>
      <c r="N41" s="17"/>
      <c r="O41" s="5"/>
      <c r="Q41" s="5"/>
      <c r="S41" s="42"/>
      <c r="T41" s="42"/>
      <c r="U41" s="42"/>
      <c r="V41" s="42"/>
      <c r="W41" s="288"/>
      <c r="X41" s="288"/>
      <c r="Y41" s="288"/>
      <c r="Z41" s="288"/>
      <c r="AA41" s="42"/>
    </row>
    <row r="42" spans="2:27">
      <c r="B42" s="5" t="s">
        <v>588</v>
      </c>
      <c r="C42" s="247"/>
      <c r="D42" s="525">
        <f>D18/D28</f>
        <v>10.044997233330244</v>
      </c>
      <c r="E42" s="525">
        <f>E18/E28</f>
        <v>10.007375971739611</v>
      </c>
      <c r="F42" s="525">
        <f>F18/F28</f>
        <v>9.8902876533935427</v>
      </c>
      <c r="G42" s="525">
        <f>G18/G28</f>
        <v>9.7147782101268128</v>
      </c>
      <c r="H42" s="17">
        <f t="shared" si="9"/>
        <v>-1.9857672156916029E-2</v>
      </c>
      <c r="I42" s="248"/>
      <c r="J42" s="5"/>
      <c r="K42" s="5"/>
      <c r="L42" s="5"/>
      <c r="M42" s="5"/>
      <c r="N42" s="5"/>
      <c r="O42" s="5"/>
      <c r="Q42" s="5"/>
      <c r="S42" s="42"/>
      <c r="T42" s="42"/>
      <c r="U42" s="42"/>
      <c r="V42" s="42"/>
      <c r="W42" s="288"/>
      <c r="X42" s="288"/>
      <c r="Y42" s="288"/>
      <c r="Z42" s="288"/>
      <c r="AA42" s="42"/>
    </row>
    <row r="43" spans="2:27">
      <c r="B43" s="5" t="s">
        <v>470</v>
      </c>
      <c r="C43" s="247"/>
      <c r="D43" s="525">
        <f>L26/D29</f>
        <v>22.485026798681503</v>
      </c>
      <c r="E43" s="525">
        <f>M26/E29</f>
        <v>20.444586973202171</v>
      </c>
      <c r="F43" s="525">
        <f>N26/F29</f>
        <v>17.661750089341137</v>
      </c>
      <c r="G43" s="525">
        <f>O26/G29</f>
        <v>16.45949582759518</v>
      </c>
      <c r="H43" s="17">
        <f t="shared" si="9"/>
        <v>9.5441377735400401E-2</v>
      </c>
      <c r="I43" s="247"/>
      <c r="J43" s="247"/>
      <c r="K43" s="247"/>
      <c r="L43" s="247"/>
      <c r="M43" s="247"/>
      <c r="N43" s="247"/>
      <c r="O43" s="18"/>
      <c r="Q43" s="5"/>
      <c r="S43" s="42"/>
      <c r="T43" s="42"/>
      <c r="U43" s="42"/>
      <c r="V43" s="42"/>
      <c r="W43" s="288"/>
      <c r="X43" s="288"/>
      <c r="Y43" s="288"/>
      <c r="Z43" s="288"/>
      <c r="AA43" s="42"/>
    </row>
    <row r="44" spans="2:27">
      <c r="B44" s="5" t="s">
        <v>528</v>
      </c>
      <c r="C44" s="69"/>
      <c r="D44" s="525">
        <f>D11/D30</f>
        <v>19.517307142756181</v>
      </c>
      <c r="E44" s="525">
        <f>E11/E30</f>
        <v>19.414826646292724</v>
      </c>
      <c r="F44" s="525">
        <f>F11/F30</f>
        <v>18.44594889176738</v>
      </c>
      <c r="G44" s="525">
        <f>G11/G30</f>
        <v>17.522959541658462</v>
      </c>
      <c r="H44" s="17">
        <f t="shared" si="9"/>
        <v>3.6583152810227615E-2</v>
      </c>
      <c r="I44" s="247"/>
      <c r="J44" s="248"/>
      <c r="K44" s="248"/>
      <c r="L44" s="248"/>
      <c r="M44" s="248"/>
      <c r="N44" s="248"/>
      <c r="O44" s="248"/>
      <c r="Q44" s="5"/>
      <c r="S44" s="42"/>
      <c r="T44" s="42"/>
      <c r="U44" s="42"/>
      <c r="V44" s="42"/>
      <c r="W44" s="325"/>
      <c r="X44" s="325"/>
      <c r="Y44" s="288"/>
      <c r="Z44" s="288"/>
      <c r="AA44" s="42"/>
    </row>
    <row r="45" spans="2:27">
      <c r="B45" s="5" t="s">
        <v>575</v>
      </c>
      <c r="C45" s="247"/>
      <c r="D45" s="248">
        <f>D31/D11</f>
        <v>4.8324742268041232E-2</v>
      </c>
      <c r="E45" s="248">
        <f>E31/E11</f>
        <v>5.0472508591065293E-2</v>
      </c>
      <c r="F45" s="248">
        <f>F31/F11</f>
        <v>5.2996134020618563E-2</v>
      </c>
      <c r="G45" s="248">
        <f>G31/G11</f>
        <v>5.5645940721649495E-2</v>
      </c>
      <c r="H45" s="17">
        <f t="shared" si="9"/>
        <v>4.8144872461113764E-2</v>
      </c>
      <c r="I45" s="248"/>
      <c r="J45" s="247"/>
      <c r="K45" s="247"/>
      <c r="L45" s="247"/>
      <c r="M45" s="247"/>
      <c r="N45" s="247"/>
      <c r="O45" s="248"/>
      <c r="Q45" s="5"/>
      <c r="S45" s="42"/>
      <c r="T45" s="42"/>
      <c r="U45" s="42"/>
      <c r="V45" s="42"/>
      <c r="W45" s="42"/>
      <c r="X45" s="42"/>
      <c r="Y45" s="325"/>
      <c r="Z45" s="325"/>
      <c r="AA45" s="42"/>
    </row>
    <row r="46" spans="2:27">
      <c r="B46" s="5" t="s">
        <v>600</v>
      </c>
      <c r="C46" s="247"/>
      <c r="D46" s="248">
        <f>(D31+D32)/D11</f>
        <v>4.8324742268041232E-2</v>
      </c>
      <c r="E46" s="248">
        <f>(E31+E32)/E11</f>
        <v>5.0472508591065293E-2</v>
      </c>
      <c r="F46" s="248">
        <f>(F31+F32)/F11</f>
        <v>5.2996134020618563E-2</v>
      </c>
      <c r="G46" s="248">
        <f>(G31+G32)/G11</f>
        <v>5.5645940721649495E-2</v>
      </c>
      <c r="H46" s="279">
        <f>((G31+G32)/(D31+D32))^(1/3)-1</f>
        <v>4.8144872461113764E-2</v>
      </c>
      <c r="I46" s="247"/>
      <c r="J46" s="247"/>
      <c r="K46" s="247"/>
      <c r="L46" s="247"/>
      <c r="M46" s="247"/>
      <c r="N46" s="247"/>
      <c r="O46" s="18"/>
      <c r="Q46" s="5"/>
      <c r="S46" s="42"/>
      <c r="T46" s="42"/>
      <c r="U46" s="42"/>
      <c r="V46" s="42"/>
      <c r="W46" s="42"/>
      <c r="X46" s="42"/>
      <c r="Y46" s="42"/>
      <c r="Z46" s="42"/>
      <c r="AA46" s="326"/>
    </row>
    <row r="47" spans="2:27">
      <c r="B47" s="5" t="s">
        <v>576</v>
      </c>
      <c r="C47" s="5"/>
      <c r="D47" s="248">
        <f>1/D43</f>
        <v>4.4474040834082476E-2</v>
      </c>
      <c r="E47" s="248">
        <f>1/E43</f>
        <v>4.8912702482605992E-2</v>
      </c>
      <c r="F47" s="248">
        <f>1/F43</f>
        <v>5.6619530620779186E-2</v>
      </c>
      <c r="G47" s="248">
        <f>1/G43</f>
        <v>6.0755202375242214E-2</v>
      </c>
      <c r="H47" s="17">
        <f>H29</f>
        <v>9.5441377735400401E-2</v>
      </c>
      <c r="I47" s="17"/>
      <c r="J47" s="248"/>
      <c r="K47" s="248"/>
      <c r="L47" s="248"/>
      <c r="M47" s="248"/>
      <c r="N47" s="248"/>
      <c r="O47" s="248"/>
      <c r="Q47" s="5"/>
      <c r="S47" s="42"/>
      <c r="T47" s="42"/>
      <c r="U47" s="42"/>
      <c r="V47" s="42"/>
      <c r="W47" s="42"/>
      <c r="X47" s="42"/>
      <c r="Y47" s="42"/>
      <c r="Z47" s="42"/>
      <c r="AA47" s="326"/>
    </row>
    <row r="48" spans="2:27">
      <c r="B48" s="5" t="s">
        <v>613</v>
      </c>
      <c r="C48" s="5"/>
      <c r="D48" s="305">
        <f>D31/D29</f>
        <v>1.0455709267761863</v>
      </c>
      <c r="E48" s="305">
        <f>E31/E29</f>
        <v>0.99294175650941641</v>
      </c>
      <c r="F48" s="305">
        <f>F31/F29</f>
        <v>0.90067574555132479</v>
      </c>
      <c r="G48" s="305">
        <f>G31/G29</f>
        <v>0.91590412913059871</v>
      </c>
      <c r="H48" s="279" t="s">
        <v>602</v>
      </c>
      <c r="I48" s="247"/>
      <c r="J48" s="247"/>
      <c r="K48" s="247"/>
      <c r="L48" s="247"/>
      <c r="M48" s="247"/>
      <c r="N48" s="247"/>
      <c r="O48" s="248"/>
      <c r="Q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Y52" s="10"/>
      <c r="Z52" s="10"/>
    </row>
    <row r="53" spans="2:27">
      <c r="B53" s="5"/>
      <c r="C53" s="257"/>
      <c r="D53" s="257"/>
      <c r="E53" s="257"/>
      <c r="F53" s="5"/>
      <c r="G53" s="5"/>
      <c r="H53" s="259"/>
      <c r="I53" s="17"/>
      <c r="J53" s="259"/>
      <c r="K53" s="259"/>
      <c r="L53" s="259"/>
      <c r="M53" s="259"/>
      <c r="N53" s="259"/>
      <c r="O53" s="18"/>
      <c r="Q53" s="5"/>
    </row>
    <row r="54" spans="2:27">
      <c r="B54" s="41"/>
      <c r="C54" s="249"/>
      <c r="D54" s="254"/>
      <c r="E54" s="254"/>
      <c r="F54" s="254"/>
      <c r="G54" s="254"/>
      <c r="H54" s="254"/>
      <c r="I54" s="259"/>
      <c r="J54" s="254"/>
      <c r="K54" s="254"/>
      <c r="L54" s="254"/>
      <c r="M54" s="254"/>
      <c r="N54" s="254"/>
      <c r="O54" s="251"/>
      <c r="Q54" s="5"/>
    </row>
    <row r="55" spans="2:27">
      <c r="B55" s="5"/>
      <c r="C55" s="257"/>
      <c r="D55" s="17"/>
      <c r="E55" s="17"/>
      <c r="F55" s="17"/>
      <c r="G55" s="17"/>
      <c r="H55" s="17"/>
      <c r="I55" s="249"/>
      <c r="J55" s="17"/>
      <c r="K55" s="17"/>
      <c r="L55" s="17"/>
      <c r="M55" s="17"/>
      <c r="N55" s="17"/>
      <c r="O55" s="18"/>
      <c r="Q55" s="5"/>
    </row>
    <row r="56" spans="2:27">
      <c r="B56" s="5"/>
      <c r="C56" s="248"/>
      <c r="D56" s="248"/>
      <c r="E56" s="248"/>
      <c r="F56" s="5"/>
      <c r="G56" s="5"/>
      <c r="H56" s="259"/>
      <c r="I56" s="248"/>
      <c r="J56" s="259"/>
      <c r="K56" s="259"/>
      <c r="L56" s="259"/>
      <c r="M56" s="259"/>
      <c r="N56" s="259"/>
      <c r="O56" s="18"/>
      <c r="Q56" s="5"/>
    </row>
    <row r="57" spans="2:27">
      <c r="B57" s="41"/>
      <c r="C57" s="249"/>
      <c r="D57" s="249"/>
      <c r="E57" s="249"/>
      <c r="F57" s="249"/>
      <c r="G57" s="249"/>
      <c r="H57" s="249"/>
      <c r="I57" s="5"/>
      <c r="J57" s="249"/>
      <c r="K57" s="249"/>
      <c r="L57" s="249"/>
      <c r="M57" s="249"/>
      <c r="N57" s="249"/>
      <c r="O57" s="251"/>
      <c r="Q57" s="5"/>
    </row>
    <row r="58" spans="2:27">
      <c r="B58" s="5"/>
      <c r="C58" s="5"/>
      <c r="D58" s="248"/>
      <c r="E58" s="248"/>
      <c r="F58" s="248"/>
      <c r="G58" s="248"/>
      <c r="H58" s="248"/>
      <c r="I58" s="17"/>
      <c r="J58" s="248"/>
      <c r="K58" s="248"/>
      <c r="L58" s="248"/>
      <c r="M58" s="248"/>
      <c r="N58" s="248"/>
      <c r="O58" s="18"/>
      <c r="Q58" s="5"/>
    </row>
    <row r="59" spans="2:27">
      <c r="B59" s="5"/>
      <c r="C59" s="5"/>
      <c r="D59" s="5"/>
      <c r="E59" s="5"/>
      <c r="F59" s="5"/>
      <c r="G59" s="5"/>
      <c r="H59" s="5"/>
      <c r="I59" s="5"/>
      <c r="J59" s="5"/>
      <c r="K59" s="5"/>
      <c r="L59" s="5"/>
      <c r="M59" s="5"/>
      <c r="N59" s="5"/>
      <c r="O59" s="5"/>
      <c r="Q59" s="5"/>
    </row>
    <row r="60" spans="2:27">
      <c r="B60" s="41"/>
      <c r="C60" s="17"/>
      <c r="D60" s="17"/>
      <c r="E60" s="17"/>
      <c r="F60" s="17"/>
      <c r="G60" s="17"/>
      <c r="H60" s="17"/>
      <c r="I60" s="249"/>
      <c r="J60" s="17"/>
      <c r="K60" s="17"/>
      <c r="L60" s="17"/>
      <c r="M60" s="17"/>
      <c r="N60" s="17"/>
      <c r="O60" s="251"/>
      <c r="Q60" s="5"/>
    </row>
    <row r="61" spans="2:27">
      <c r="B61" s="5"/>
      <c r="C61" s="5"/>
      <c r="D61" s="5"/>
      <c r="E61" s="5"/>
      <c r="F61" s="5"/>
      <c r="G61" s="5"/>
      <c r="H61" s="5"/>
      <c r="I61" s="5"/>
      <c r="J61" s="5"/>
      <c r="K61" s="5"/>
      <c r="L61" s="5"/>
      <c r="M61" s="5"/>
      <c r="N61" s="5"/>
      <c r="O61" s="5"/>
      <c r="Q61" s="41"/>
    </row>
    <row r="62" spans="2:27">
      <c r="B62" s="41"/>
      <c r="C62" s="249"/>
      <c r="D62" s="249"/>
      <c r="E62" s="249"/>
      <c r="F62" s="249"/>
      <c r="G62" s="249"/>
      <c r="H62" s="249"/>
      <c r="I62" s="5"/>
      <c r="J62" s="249"/>
      <c r="K62" s="249"/>
      <c r="L62" s="249"/>
      <c r="M62" s="249"/>
      <c r="N62" s="249"/>
      <c r="O62" s="251"/>
      <c r="Q62" s="5"/>
    </row>
    <row r="63" spans="2:27">
      <c r="B63" s="5"/>
      <c r="C63" s="5"/>
      <c r="D63" s="5"/>
      <c r="E63" s="5"/>
      <c r="F63" s="5"/>
      <c r="G63" s="5"/>
      <c r="H63" s="5"/>
      <c r="I63" s="254"/>
      <c r="J63" s="5"/>
      <c r="K63" s="5"/>
      <c r="L63" s="5"/>
      <c r="M63" s="5"/>
      <c r="N63" s="5"/>
      <c r="O63" s="5"/>
      <c r="Q63" s="5"/>
    </row>
    <row r="64" spans="2:27">
      <c r="B64" s="5"/>
      <c r="C64" s="5"/>
      <c r="D64" s="5"/>
      <c r="E64" s="5"/>
      <c r="F64" s="5"/>
      <c r="G64" s="5"/>
      <c r="H64" s="5"/>
      <c r="I64" s="17"/>
      <c r="J64" s="5"/>
      <c r="K64" s="5"/>
      <c r="L64" s="5"/>
      <c r="M64" s="5"/>
      <c r="N64" s="5"/>
      <c r="O64" s="5"/>
      <c r="Q64" s="5"/>
    </row>
    <row r="65" spans="2:26">
      <c r="B65" s="41"/>
      <c r="C65" s="249"/>
      <c r="D65" s="254"/>
      <c r="E65" s="254"/>
      <c r="F65" s="254"/>
      <c r="G65" s="254"/>
      <c r="H65" s="254"/>
      <c r="I65" s="254"/>
      <c r="J65" s="254"/>
      <c r="K65" s="254"/>
      <c r="L65" s="254"/>
      <c r="M65" s="254"/>
      <c r="N65" s="254"/>
      <c r="O65" s="251"/>
      <c r="Q65" s="5"/>
    </row>
    <row r="66" spans="2:26">
      <c r="B66" s="5"/>
      <c r="C66" s="5"/>
      <c r="D66" s="17"/>
      <c r="E66" s="17"/>
      <c r="F66" s="17"/>
      <c r="G66" s="17"/>
      <c r="H66" s="17"/>
      <c r="I66" s="248"/>
      <c r="J66" s="17"/>
      <c r="K66" s="17"/>
      <c r="L66" s="17"/>
      <c r="M66" s="17"/>
      <c r="N66" s="17"/>
      <c r="O66" s="5"/>
      <c r="Q66" s="5"/>
    </row>
    <row r="67" spans="2:26">
      <c r="B67" s="41"/>
      <c r="C67" s="249"/>
      <c r="D67" s="254"/>
      <c r="E67" s="254"/>
      <c r="F67" s="254"/>
      <c r="G67" s="254"/>
      <c r="H67" s="254"/>
      <c r="I67" s="5"/>
      <c r="J67" s="254"/>
      <c r="K67" s="254"/>
      <c r="L67" s="254"/>
      <c r="M67" s="254"/>
      <c r="N67" s="254"/>
      <c r="O67" s="251"/>
      <c r="Q67" s="41"/>
    </row>
    <row r="68" spans="2:26">
      <c r="B68" s="5"/>
      <c r="C68" s="5"/>
      <c r="D68" s="248"/>
      <c r="E68" s="248"/>
      <c r="F68" s="248"/>
      <c r="G68" s="248"/>
      <c r="H68" s="248"/>
      <c r="I68" s="245"/>
      <c r="J68" s="248"/>
      <c r="K68" s="248"/>
      <c r="L68" s="248"/>
      <c r="M68" s="248"/>
      <c r="N68" s="248"/>
      <c r="O68" s="5"/>
      <c r="Q68" s="5"/>
    </row>
    <row r="69" spans="2:26">
      <c r="B69" s="41"/>
      <c r="C69" s="5"/>
      <c r="D69" s="5"/>
      <c r="E69" s="5"/>
      <c r="F69" s="5"/>
      <c r="G69" s="5"/>
      <c r="H69" s="5"/>
      <c r="I69" s="248"/>
      <c r="J69" s="5"/>
      <c r="K69" s="5"/>
      <c r="L69" s="5"/>
      <c r="M69" s="5"/>
      <c r="N69" s="5"/>
      <c r="O69" s="5"/>
      <c r="Q69" s="5"/>
    </row>
    <row r="70" spans="2:26">
      <c r="B70" s="41"/>
      <c r="C70" s="245"/>
      <c r="D70" s="245"/>
      <c r="E70" s="245"/>
      <c r="F70" s="245"/>
      <c r="G70" s="245"/>
      <c r="H70" s="245"/>
      <c r="I70" s="5"/>
      <c r="J70" s="245"/>
      <c r="K70" s="245"/>
      <c r="L70" s="245"/>
      <c r="M70" s="245"/>
      <c r="N70" s="245"/>
      <c r="O70" s="251"/>
      <c r="Q70" s="5"/>
      <c r="W70" s="76"/>
      <c r="X70" s="76"/>
    </row>
    <row r="71" spans="2:26">
      <c r="B71" s="5"/>
      <c r="C71" s="5"/>
      <c r="D71" s="248"/>
      <c r="E71" s="248"/>
      <c r="F71" s="248"/>
      <c r="G71" s="248"/>
      <c r="H71" s="248"/>
      <c r="I71" s="245"/>
      <c r="J71" s="248"/>
      <c r="K71" s="248"/>
      <c r="L71" s="248"/>
      <c r="M71" s="248"/>
      <c r="N71" s="248"/>
      <c r="O71" s="5"/>
      <c r="Q71" s="5"/>
      <c r="W71" s="76"/>
      <c r="X71" s="76"/>
      <c r="Y71" s="76"/>
      <c r="Z71" s="76"/>
    </row>
    <row r="72" spans="2:26">
      <c r="B72" s="41"/>
      <c r="C72" s="5"/>
      <c r="D72" s="5"/>
      <c r="E72" s="5"/>
      <c r="F72" s="5"/>
      <c r="G72" s="5"/>
      <c r="H72" s="5"/>
      <c r="I72" s="18"/>
      <c r="J72" s="5"/>
      <c r="K72" s="5"/>
      <c r="L72" s="5"/>
      <c r="M72" s="5"/>
      <c r="N72" s="5"/>
      <c r="O72" s="5"/>
      <c r="Q72" s="5"/>
      <c r="Y72" s="76"/>
      <c r="Z72" s="76"/>
    </row>
    <row r="73" spans="2:26">
      <c r="B73" s="41"/>
      <c r="C73" s="245"/>
      <c r="D73" s="245"/>
      <c r="E73" s="245"/>
      <c r="F73" s="245"/>
      <c r="G73" s="245"/>
      <c r="H73" s="245"/>
      <c r="I73" s="5"/>
      <c r="J73" s="245"/>
      <c r="K73" s="245"/>
      <c r="L73" s="245"/>
      <c r="M73" s="245"/>
      <c r="N73" s="245"/>
      <c r="O73" s="251"/>
      <c r="Q73" s="5"/>
    </row>
    <row r="74" spans="2:26">
      <c r="B74" s="5"/>
      <c r="C74" s="5"/>
      <c r="D74" s="18"/>
      <c r="E74" s="18"/>
      <c r="F74" s="18"/>
      <c r="G74" s="18"/>
      <c r="H74" s="18"/>
      <c r="I74" s="249"/>
      <c r="J74" s="18"/>
      <c r="K74" s="18"/>
      <c r="L74" s="18"/>
      <c r="M74" s="18"/>
      <c r="N74" s="18"/>
      <c r="O74" s="5"/>
      <c r="Q74" s="5"/>
    </row>
    <row r="75" spans="2:26">
      <c r="B75" s="41"/>
      <c r="C75" s="5"/>
      <c r="D75" s="5"/>
      <c r="E75" s="5"/>
      <c r="F75" s="5"/>
      <c r="G75" s="5"/>
      <c r="H75" s="5"/>
      <c r="I75" s="248"/>
      <c r="J75" s="5"/>
      <c r="K75" s="5"/>
      <c r="L75" s="5"/>
      <c r="M75" s="5"/>
      <c r="N75" s="5"/>
      <c r="O75" s="5"/>
      <c r="Q75" s="5"/>
    </row>
    <row r="76" spans="2:26">
      <c r="B76" s="41"/>
      <c r="C76" s="249"/>
      <c r="D76" s="249"/>
      <c r="E76" s="249"/>
      <c r="F76" s="249"/>
      <c r="G76" s="249"/>
      <c r="H76" s="249"/>
      <c r="I76" s="5"/>
      <c r="J76" s="249"/>
      <c r="K76" s="249"/>
      <c r="L76" s="249"/>
      <c r="M76" s="249"/>
      <c r="N76" s="249"/>
      <c r="O76" s="251"/>
      <c r="Q76" s="5"/>
    </row>
    <row r="77" spans="2:26">
      <c r="B77" s="5"/>
      <c r="C77" s="5"/>
      <c r="D77" s="248"/>
      <c r="E77" s="248"/>
      <c r="F77" s="248"/>
      <c r="G77" s="248"/>
      <c r="H77" s="248"/>
      <c r="I77" s="245"/>
      <c r="J77" s="248"/>
      <c r="K77" s="248"/>
      <c r="L77" s="248"/>
      <c r="M77" s="248"/>
      <c r="N77" s="248"/>
      <c r="O77" s="5"/>
      <c r="Q77" s="5"/>
    </row>
    <row r="78" spans="2:26">
      <c r="B78" s="41"/>
      <c r="C78" s="5"/>
      <c r="D78" s="5"/>
      <c r="E78" s="5"/>
      <c r="F78" s="5"/>
      <c r="G78" s="5"/>
      <c r="H78" s="5"/>
      <c r="I78" s="248"/>
      <c r="J78" s="5"/>
      <c r="K78" s="5"/>
      <c r="L78" s="5"/>
      <c r="M78" s="5"/>
      <c r="N78" s="5"/>
      <c r="O78" s="5"/>
      <c r="Q78" s="5"/>
    </row>
    <row r="79" spans="2:26">
      <c r="B79" s="41"/>
      <c r="C79" s="245"/>
      <c r="D79" s="245"/>
      <c r="E79" s="245"/>
      <c r="F79" s="245"/>
      <c r="G79" s="245"/>
      <c r="H79" s="245"/>
      <c r="I79" s="5"/>
      <c r="J79" s="245"/>
      <c r="K79" s="245"/>
      <c r="L79" s="245"/>
      <c r="M79" s="245"/>
      <c r="N79" s="245"/>
      <c r="O79" s="251"/>
      <c r="Q79" s="5"/>
    </row>
    <row r="80" spans="2:26">
      <c r="B80" s="5"/>
      <c r="C80" s="5"/>
      <c r="D80" s="248"/>
      <c r="E80" s="248"/>
      <c r="F80" s="248"/>
      <c r="G80" s="248"/>
      <c r="H80" s="248"/>
      <c r="I80" s="249"/>
      <c r="J80" s="248"/>
      <c r="K80" s="248"/>
      <c r="L80" s="248"/>
      <c r="M80" s="248"/>
      <c r="N80" s="248"/>
      <c r="O80" s="5"/>
      <c r="Q80" s="5"/>
    </row>
    <row r="81" spans="2:26">
      <c r="B81" s="41"/>
      <c r="C81" s="5"/>
      <c r="D81" s="5"/>
      <c r="E81" s="5"/>
      <c r="F81" s="5"/>
      <c r="G81" s="5"/>
      <c r="H81" s="5"/>
      <c r="I81" s="248"/>
      <c r="J81" s="5"/>
      <c r="K81" s="5"/>
      <c r="L81" s="5"/>
      <c r="M81" s="5"/>
      <c r="N81" s="5"/>
      <c r="O81" s="5"/>
      <c r="Q81" s="5"/>
    </row>
    <row r="82" spans="2:26">
      <c r="B82" s="41"/>
      <c r="C82" s="249"/>
      <c r="D82" s="249"/>
      <c r="E82" s="249"/>
      <c r="F82" s="249"/>
      <c r="G82" s="249"/>
      <c r="H82" s="249"/>
      <c r="I82" s="259"/>
      <c r="J82" s="249"/>
      <c r="K82" s="249"/>
      <c r="L82" s="249"/>
      <c r="M82" s="249"/>
      <c r="N82" s="249"/>
      <c r="O82" s="251"/>
      <c r="Q82" s="5"/>
    </row>
    <row r="83" spans="2:26">
      <c r="B83" s="5"/>
      <c r="C83" s="5"/>
      <c r="D83" s="248"/>
      <c r="E83" s="248"/>
      <c r="F83" s="248"/>
      <c r="G83" s="248"/>
      <c r="H83" s="248"/>
      <c r="I83" s="5"/>
      <c r="J83" s="248"/>
      <c r="K83" s="248"/>
      <c r="L83" s="248"/>
      <c r="M83" s="248"/>
      <c r="N83" s="248"/>
      <c r="O83" s="5"/>
      <c r="Q83" s="5"/>
    </row>
    <row r="84" spans="2:26">
      <c r="B84" s="5"/>
      <c r="C84" s="259"/>
      <c r="D84" s="259"/>
      <c r="E84" s="259"/>
      <c r="F84" s="259"/>
      <c r="G84" s="259"/>
      <c r="H84" s="259"/>
      <c r="I84" s="245"/>
      <c r="J84" s="259"/>
      <c r="K84" s="259"/>
      <c r="L84" s="259"/>
      <c r="M84" s="259"/>
      <c r="N84" s="259"/>
      <c r="O84" s="251"/>
      <c r="Q84" s="5"/>
    </row>
    <row r="85" spans="2:26">
      <c r="B85" s="41"/>
      <c r="C85" s="5"/>
      <c r="D85" s="5"/>
      <c r="E85" s="5"/>
      <c r="F85" s="5"/>
      <c r="G85" s="5"/>
      <c r="H85" s="5"/>
      <c r="I85" s="248"/>
      <c r="J85" s="5"/>
      <c r="K85" s="5"/>
      <c r="L85" s="5"/>
      <c r="M85" s="5"/>
      <c r="N85" s="5"/>
      <c r="O85" s="5"/>
      <c r="Q85" s="5"/>
    </row>
    <row r="86" spans="2:26">
      <c r="B86" s="41"/>
      <c r="C86" s="245"/>
      <c r="D86" s="245"/>
      <c r="E86" s="245"/>
      <c r="F86" s="245"/>
      <c r="G86" s="245"/>
      <c r="H86" s="245"/>
      <c r="I86" s="5"/>
      <c r="J86" s="245"/>
      <c r="K86" s="245"/>
      <c r="L86" s="245"/>
      <c r="M86" s="245"/>
      <c r="N86" s="245"/>
      <c r="O86" s="251"/>
      <c r="Q86" s="5"/>
    </row>
    <row r="87" spans="2:26">
      <c r="B87" s="5"/>
      <c r="C87" s="5"/>
      <c r="D87" s="248"/>
      <c r="E87" s="248"/>
      <c r="F87" s="248"/>
      <c r="G87" s="248"/>
      <c r="H87" s="248"/>
      <c r="I87" s="5"/>
      <c r="J87" s="248"/>
      <c r="K87" s="248"/>
      <c r="L87" s="248"/>
      <c r="M87" s="248"/>
      <c r="N87" s="248"/>
      <c r="O87" s="5"/>
      <c r="Q87" s="5"/>
    </row>
    <row r="88" spans="2:26">
      <c r="B88" s="41"/>
      <c r="C88" s="5"/>
      <c r="D88" s="5"/>
      <c r="E88" s="5"/>
      <c r="F88" s="5"/>
      <c r="G88" s="5"/>
      <c r="H88" s="5"/>
      <c r="I88" s="5"/>
      <c r="J88" s="5"/>
      <c r="K88" s="5"/>
      <c r="L88" s="5"/>
      <c r="M88" s="5"/>
      <c r="N88" s="5"/>
      <c r="O88" s="5"/>
      <c r="Q88" s="5"/>
    </row>
    <row r="89" spans="2:26">
      <c r="B89" s="41"/>
      <c r="C89" s="5"/>
      <c r="D89" s="5"/>
      <c r="E89" s="5"/>
      <c r="F89" s="5"/>
      <c r="G89" s="5"/>
      <c r="H89" s="5"/>
      <c r="I89" s="5"/>
      <c r="J89" s="5"/>
      <c r="K89" s="5"/>
      <c r="L89" s="5"/>
      <c r="M89" s="5"/>
      <c r="N89" s="5"/>
      <c r="O89" s="5"/>
      <c r="Q89" s="5"/>
    </row>
    <row r="90" spans="2:26">
      <c r="B90" s="41"/>
      <c r="C90" s="5"/>
      <c r="D90" s="5"/>
      <c r="E90" s="5"/>
      <c r="F90" s="5"/>
      <c r="G90" s="5"/>
      <c r="H90" s="5"/>
      <c r="I90" s="49"/>
      <c r="J90" s="5"/>
      <c r="K90" s="5"/>
      <c r="L90" s="5"/>
      <c r="M90" s="5"/>
      <c r="N90" s="5"/>
      <c r="O90" s="5"/>
      <c r="Q90" s="41"/>
    </row>
    <row r="91" spans="2:26">
      <c r="B91" s="5"/>
      <c r="C91" s="5"/>
      <c r="D91" s="5"/>
      <c r="E91" s="5"/>
      <c r="F91" s="5"/>
      <c r="G91" s="5"/>
      <c r="H91" s="5"/>
      <c r="I91" s="5"/>
      <c r="J91" s="5"/>
      <c r="K91" s="5"/>
      <c r="L91" s="5"/>
      <c r="M91" s="5"/>
      <c r="N91" s="5"/>
      <c r="O91" s="5"/>
      <c r="Q91" s="5"/>
    </row>
    <row r="92" spans="2:26">
      <c r="B92" s="41"/>
      <c r="C92" s="49"/>
      <c r="D92" s="49"/>
      <c r="E92" s="49"/>
      <c r="F92" s="49"/>
      <c r="G92" s="49"/>
      <c r="H92" s="49"/>
      <c r="I92" s="247"/>
      <c r="J92" s="49"/>
      <c r="K92" s="49"/>
      <c r="L92" s="49"/>
      <c r="M92" s="49"/>
      <c r="N92" s="49"/>
      <c r="O92" s="49"/>
      <c r="Q92" s="5"/>
      <c r="W92" s="21"/>
      <c r="X92" s="21"/>
    </row>
    <row r="93" spans="2:26">
      <c r="B93" s="5"/>
      <c r="C93" s="5"/>
      <c r="D93" s="5"/>
      <c r="E93" s="5"/>
      <c r="F93" s="5"/>
      <c r="G93" s="5"/>
      <c r="H93" s="5"/>
      <c r="I93" s="247"/>
      <c r="J93" s="5"/>
      <c r="K93" s="5"/>
      <c r="L93" s="5"/>
      <c r="M93" s="5"/>
      <c r="N93" s="5"/>
      <c r="O93" s="5"/>
      <c r="Q93" s="5"/>
      <c r="W93" s="21"/>
      <c r="X93" s="21"/>
      <c r="Y93" s="21"/>
      <c r="Z93" s="21"/>
    </row>
    <row r="94" spans="2:26">
      <c r="B94" s="5"/>
      <c r="C94" s="259"/>
      <c r="D94" s="247"/>
      <c r="E94" s="247"/>
      <c r="F94" s="247"/>
      <c r="G94" s="247"/>
      <c r="H94" s="247"/>
      <c r="I94" s="247"/>
      <c r="J94" s="247"/>
      <c r="K94" s="247"/>
      <c r="L94" s="247"/>
      <c r="M94" s="247"/>
      <c r="N94" s="247"/>
      <c r="O94" s="248"/>
      <c r="Q94" s="5"/>
      <c r="Y94" s="21"/>
      <c r="Z94" s="21"/>
    </row>
    <row r="95" spans="2:26">
      <c r="B95" s="5"/>
      <c r="C95" s="259"/>
      <c r="D95" s="247"/>
      <c r="E95" s="247"/>
      <c r="F95" s="247"/>
      <c r="G95" s="247"/>
      <c r="H95" s="247"/>
      <c r="I95" s="248"/>
      <c r="J95" s="247"/>
      <c r="K95" s="247"/>
      <c r="L95" s="247"/>
      <c r="M95" s="247"/>
      <c r="N95" s="247"/>
      <c r="O95" s="248"/>
      <c r="Q95" s="5"/>
    </row>
    <row r="96" spans="2:26">
      <c r="B96" s="5"/>
      <c r="C96" s="259"/>
      <c r="D96" s="247"/>
      <c r="E96" s="247"/>
      <c r="F96" s="247"/>
      <c r="G96" s="247"/>
      <c r="H96" s="247"/>
      <c r="I96" s="247"/>
      <c r="J96" s="247"/>
      <c r="K96" s="247"/>
      <c r="L96" s="247"/>
      <c r="M96" s="247"/>
      <c r="N96" s="247"/>
      <c r="O96" s="248"/>
      <c r="Q96" s="5"/>
    </row>
    <row r="97" spans="2:17">
      <c r="B97" s="5"/>
      <c r="C97" s="259"/>
      <c r="D97" s="248"/>
      <c r="E97" s="248"/>
      <c r="F97" s="248"/>
      <c r="G97" s="248"/>
      <c r="H97" s="248"/>
      <c r="I97" s="249"/>
      <c r="J97" s="248"/>
      <c r="K97" s="248"/>
      <c r="L97" s="248"/>
      <c r="M97" s="248"/>
      <c r="N97" s="248"/>
      <c r="O97" s="248"/>
      <c r="Q97" s="5"/>
    </row>
    <row r="98" spans="2:17">
      <c r="B98" s="5"/>
      <c r="C98" s="259"/>
      <c r="D98" s="247"/>
      <c r="E98" s="247"/>
      <c r="F98" s="247"/>
      <c r="G98" s="247"/>
      <c r="H98" s="247"/>
      <c r="I98" s="248"/>
      <c r="J98" s="247"/>
      <c r="K98" s="247"/>
      <c r="L98" s="247"/>
      <c r="M98" s="247"/>
      <c r="N98" s="247"/>
      <c r="O98" s="248"/>
      <c r="Q98" s="5"/>
    </row>
    <row r="99" spans="2:17">
      <c r="B99" s="41"/>
      <c r="C99" s="249"/>
      <c r="D99" s="249"/>
      <c r="E99" s="249"/>
      <c r="F99" s="249"/>
      <c r="G99" s="249"/>
      <c r="H99" s="249"/>
      <c r="I99" s="5"/>
      <c r="J99" s="249"/>
      <c r="K99" s="249"/>
      <c r="L99" s="249"/>
      <c r="M99" s="249"/>
      <c r="N99" s="249"/>
      <c r="O99" s="248"/>
      <c r="Q99" s="5"/>
    </row>
    <row r="100" spans="2:17">
      <c r="B100" s="41"/>
      <c r="C100" s="257"/>
      <c r="D100" s="248"/>
      <c r="E100" s="248"/>
      <c r="F100" s="248"/>
      <c r="G100" s="248"/>
      <c r="H100" s="248"/>
      <c r="I100" s="259"/>
      <c r="J100" s="248"/>
      <c r="K100" s="248"/>
      <c r="L100" s="248"/>
      <c r="M100" s="248"/>
      <c r="N100" s="248"/>
      <c r="O100" s="248"/>
      <c r="Q100" s="5"/>
    </row>
    <row r="101" spans="2:17" s="5" customFormat="1">
      <c r="B101" s="41"/>
      <c r="I101" s="259"/>
      <c r="O101" s="248"/>
      <c r="P101" s="39"/>
    </row>
    <row r="102" spans="2:17">
      <c r="B102" s="5"/>
      <c r="C102" s="259"/>
      <c r="D102" s="259"/>
      <c r="E102" s="259"/>
      <c r="F102" s="259"/>
      <c r="G102" s="259"/>
      <c r="H102" s="259"/>
      <c r="I102" s="247"/>
      <c r="J102" s="259"/>
      <c r="K102" s="259"/>
      <c r="L102" s="259"/>
      <c r="M102" s="259"/>
      <c r="N102" s="259"/>
      <c r="O102" s="5"/>
      <c r="Q102" s="5"/>
    </row>
    <row r="103" spans="2:17">
      <c r="B103" s="5"/>
      <c r="C103" s="259"/>
      <c r="D103" s="259"/>
      <c r="E103" s="259"/>
      <c r="F103" s="259"/>
      <c r="G103" s="259"/>
      <c r="H103" s="259"/>
      <c r="I103" s="5"/>
      <c r="J103" s="259"/>
      <c r="K103" s="259"/>
      <c r="L103" s="259"/>
      <c r="M103" s="259"/>
      <c r="N103" s="259"/>
      <c r="O103" s="5"/>
      <c r="P103" s="5"/>
      <c r="Q103" s="5"/>
    </row>
    <row r="104" spans="2:17">
      <c r="B104" s="5"/>
      <c r="C104" s="247"/>
      <c r="D104" s="247"/>
      <c r="E104" s="247"/>
      <c r="F104" s="247"/>
      <c r="G104" s="247"/>
      <c r="H104" s="247"/>
      <c r="I104" s="247"/>
      <c r="J104" s="247"/>
      <c r="K104" s="247"/>
      <c r="L104" s="247"/>
      <c r="M104" s="247"/>
      <c r="N104" s="247"/>
      <c r="O104" s="5"/>
      <c r="Q104" s="5"/>
    </row>
    <row r="105" spans="2:17" s="5" customFormat="1">
      <c r="P105" s="39"/>
    </row>
    <row r="106" spans="2:17" s="5" customFormat="1">
      <c r="C106" s="259"/>
      <c r="D106" s="247"/>
      <c r="E106" s="247"/>
      <c r="F106" s="247"/>
      <c r="G106" s="247"/>
      <c r="H106" s="247"/>
      <c r="I106" s="259"/>
      <c r="J106" s="247"/>
      <c r="K106" s="247"/>
      <c r="L106" s="247"/>
      <c r="M106" s="247"/>
      <c r="N106" s="247"/>
      <c r="P106" s="39"/>
    </row>
    <row r="107" spans="2:17">
      <c r="B107" s="5"/>
      <c r="C107" s="259"/>
      <c r="D107" s="5"/>
      <c r="E107" s="5"/>
      <c r="F107" s="5"/>
      <c r="G107" s="5"/>
      <c r="H107" s="5"/>
      <c r="I107" s="247"/>
      <c r="J107" s="5"/>
      <c r="K107" s="5"/>
      <c r="L107" s="5"/>
      <c r="M107" s="5"/>
      <c r="N107" s="5"/>
      <c r="O107" s="5"/>
      <c r="P107" s="5"/>
      <c r="Q107" s="5"/>
    </row>
    <row r="108" spans="2:17">
      <c r="B108" s="5"/>
      <c r="C108" s="259"/>
      <c r="D108" s="259"/>
      <c r="E108" s="259"/>
      <c r="F108" s="259"/>
      <c r="G108" s="259"/>
      <c r="H108" s="259"/>
      <c r="I108" s="249"/>
      <c r="J108" s="259"/>
      <c r="K108" s="259"/>
      <c r="L108" s="259"/>
      <c r="M108" s="259"/>
      <c r="N108" s="259"/>
      <c r="O108" s="5"/>
      <c r="P108" s="5"/>
      <c r="Q108" s="5"/>
    </row>
    <row r="109" spans="2:17">
      <c r="B109" s="5"/>
      <c r="C109" s="247"/>
      <c r="D109" s="247"/>
      <c r="E109" s="247"/>
      <c r="F109" s="247"/>
      <c r="G109" s="247"/>
      <c r="H109" s="247"/>
      <c r="I109" s="249"/>
      <c r="J109" s="247"/>
      <c r="K109" s="247"/>
      <c r="L109" s="247"/>
      <c r="M109" s="247"/>
      <c r="N109" s="247"/>
      <c r="O109" s="5"/>
      <c r="Q109" s="5"/>
    </row>
    <row r="110" spans="2:17">
      <c r="B110" s="41"/>
      <c r="C110" s="249"/>
      <c r="D110" s="249"/>
      <c r="E110" s="249"/>
      <c r="F110" s="249"/>
      <c r="G110" s="249"/>
      <c r="H110" s="249"/>
      <c r="I110" s="247"/>
      <c r="J110" s="249"/>
      <c r="K110" s="249"/>
      <c r="L110" s="249"/>
      <c r="M110" s="249"/>
      <c r="N110" s="249"/>
      <c r="O110" s="5"/>
      <c r="Q110" s="5"/>
    </row>
    <row r="111" spans="2:17">
      <c r="B111" s="5"/>
      <c r="C111" s="249"/>
      <c r="D111" s="249"/>
      <c r="E111" s="249"/>
      <c r="F111" s="249"/>
      <c r="G111" s="249"/>
      <c r="H111" s="249"/>
      <c r="I111" s="5"/>
      <c r="J111" s="249"/>
      <c r="K111" s="249"/>
      <c r="L111" s="249"/>
      <c r="M111" s="249"/>
      <c r="N111" s="249"/>
      <c r="O111" s="5"/>
      <c r="Q111" s="5"/>
    </row>
    <row r="112" spans="2:17">
      <c r="B112" s="5"/>
      <c r="C112" s="247"/>
      <c r="D112" s="247"/>
      <c r="E112" s="247"/>
      <c r="F112" s="247"/>
      <c r="G112" s="247"/>
      <c r="H112" s="247"/>
      <c r="I112" s="5"/>
      <c r="J112" s="247"/>
      <c r="K112" s="247"/>
      <c r="L112" s="247"/>
      <c r="M112" s="247"/>
      <c r="N112" s="247"/>
      <c r="O112" s="5"/>
      <c r="Q112" s="5"/>
    </row>
    <row r="113" spans="2:17">
      <c r="B113" s="5"/>
      <c r="C113" s="5"/>
      <c r="D113" s="5"/>
      <c r="E113" s="5"/>
      <c r="F113" s="5"/>
      <c r="G113" s="5"/>
      <c r="H113" s="5"/>
      <c r="I113" s="5"/>
      <c r="J113" s="5"/>
      <c r="K113" s="5"/>
      <c r="L113" s="5"/>
      <c r="M113" s="5"/>
      <c r="N113" s="5"/>
      <c r="O113" s="5"/>
      <c r="Q113" s="5"/>
    </row>
    <row r="114" spans="2:17">
      <c r="B114" s="5"/>
      <c r="C114" s="5"/>
      <c r="D114" s="5"/>
      <c r="E114" s="5"/>
      <c r="F114" s="5"/>
      <c r="G114" s="5"/>
      <c r="H114" s="5"/>
      <c r="I114" s="5"/>
      <c r="J114" s="5"/>
      <c r="K114" s="5"/>
      <c r="L114" s="5"/>
      <c r="M114" s="5"/>
      <c r="N114" s="5"/>
      <c r="O114" s="5"/>
      <c r="Q114" s="5"/>
    </row>
    <row r="115" spans="2:17">
      <c r="B115" s="5"/>
      <c r="C115" s="5"/>
      <c r="D115" s="5"/>
      <c r="E115" s="5"/>
      <c r="F115" s="5"/>
      <c r="G115" s="5"/>
      <c r="H115" s="5"/>
      <c r="I115" s="49"/>
      <c r="J115" s="5"/>
      <c r="K115" s="5"/>
      <c r="L115" s="5"/>
      <c r="M115" s="5"/>
      <c r="N115" s="5"/>
      <c r="O115" s="5"/>
      <c r="Q115" s="41"/>
    </row>
    <row r="116" spans="2:17">
      <c r="B116" s="5"/>
      <c r="C116" s="5"/>
      <c r="D116" s="5"/>
      <c r="E116" s="5"/>
      <c r="F116" s="5"/>
      <c r="G116" s="5"/>
      <c r="H116" s="5"/>
      <c r="I116" s="5"/>
      <c r="J116" s="5"/>
      <c r="K116" s="5"/>
      <c r="L116" s="5"/>
      <c r="M116" s="5"/>
      <c r="N116" s="5"/>
      <c r="O116" s="5"/>
      <c r="Q116" s="5"/>
    </row>
    <row r="117" spans="2:17">
      <c r="B117" s="41"/>
      <c r="C117" s="49"/>
      <c r="D117" s="49"/>
      <c r="E117" s="49"/>
      <c r="F117" s="49"/>
      <c r="G117" s="49"/>
      <c r="H117" s="49"/>
      <c r="I117" s="254"/>
      <c r="J117" s="49"/>
      <c r="K117" s="49"/>
      <c r="L117" s="49"/>
      <c r="M117" s="49"/>
      <c r="N117" s="49"/>
      <c r="O117" s="49"/>
      <c r="Q117" s="5"/>
    </row>
    <row r="118" spans="2:17">
      <c r="B118" s="5"/>
      <c r="C118" s="5"/>
      <c r="D118" s="5"/>
      <c r="E118" s="5"/>
      <c r="F118" s="5"/>
      <c r="G118" s="5"/>
      <c r="H118" s="5"/>
      <c r="I118" s="249"/>
      <c r="J118" s="5"/>
      <c r="K118" s="5"/>
      <c r="L118" s="5"/>
      <c r="M118" s="5"/>
      <c r="N118" s="5"/>
      <c r="O118" s="5"/>
      <c r="Q118" s="5"/>
    </row>
    <row r="119" spans="2:17">
      <c r="B119" s="41"/>
      <c r="C119" s="254"/>
      <c r="D119" s="254"/>
      <c r="E119" s="254"/>
      <c r="F119" s="254"/>
      <c r="G119" s="254"/>
      <c r="H119" s="254"/>
      <c r="I119" s="254"/>
      <c r="J119" s="254"/>
      <c r="K119" s="254"/>
      <c r="L119" s="254"/>
      <c r="M119" s="254"/>
      <c r="N119" s="254"/>
      <c r="O119" s="248"/>
      <c r="Q119" s="5"/>
    </row>
    <row r="120" spans="2:17">
      <c r="B120" s="41"/>
      <c r="C120" s="254"/>
      <c r="D120" s="249"/>
      <c r="E120" s="249"/>
      <c r="F120" s="249"/>
      <c r="G120" s="249"/>
      <c r="H120" s="249"/>
      <c r="I120" s="254"/>
      <c r="J120" s="249"/>
      <c r="K120" s="249"/>
      <c r="L120" s="249"/>
      <c r="M120" s="249"/>
      <c r="N120" s="249"/>
      <c r="O120" s="248"/>
      <c r="Q120" s="5"/>
    </row>
    <row r="121" spans="2:17">
      <c r="B121" s="41"/>
      <c r="C121" s="254"/>
      <c r="D121" s="254"/>
      <c r="E121" s="254"/>
      <c r="F121" s="254"/>
      <c r="G121" s="254"/>
      <c r="H121" s="254"/>
      <c r="I121" s="254"/>
      <c r="J121" s="254"/>
      <c r="K121" s="254"/>
      <c r="L121" s="254"/>
      <c r="M121" s="254"/>
      <c r="N121" s="254"/>
      <c r="O121" s="248"/>
      <c r="Q121" s="5"/>
    </row>
    <row r="122" spans="2:17">
      <c r="B122" s="41"/>
      <c r="C122" s="254"/>
      <c r="D122" s="254"/>
      <c r="E122" s="254"/>
      <c r="F122" s="254"/>
      <c r="G122" s="254"/>
      <c r="H122" s="254"/>
      <c r="I122" s="254"/>
      <c r="J122" s="254"/>
      <c r="K122" s="254"/>
      <c r="L122" s="254"/>
      <c r="M122" s="254"/>
      <c r="N122" s="254"/>
      <c r="O122" s="248"/>
      <c r="Q122" s="5"/>
    </row>
    <row r="123" spans="2:17">
      <c r="B123" s="41"/>
      <c r="C123" s="254"/>
      <c r="D123" s="254"/>
      <c r="E123" s="254"/>
      <c r="F123" s="254"/>
      <c r="G123" s="254"/>
      <c r="H123" s="254"/>
      <c r="I123" s="254"/>
      <c r="J123" s="254"/>
      <c r="K123" s="254"/>
      <c r="L123" s="254"/>
      <c r="M123" s="254"/>
      <c r="N123" s="254"/>
      <c r="O123" s="248"/>
      <c r="Q123" s="5"/>
    </row>
    <row r="124" spans="2:17">
      <c r="B124" s="41"/>
      <c r="C124" s="254"/>
      <c r="D124" s="254"/>
      <c r="E124" s="254"/>
      <c r="F124" s="254"/>
      <c r="G124" s="254"/>
      <c r="H124" s="254"/>
      <c r="I124" s="254"/>
      <c r="J124" s="254"/>
      <c r="K124" s="254"/>
      <c r="L124" s="254"/>
      <c r="M124" s="254"/>
      <c r="N124" s="254"/>
      <c r="O124" s="248"/>
      <c r="Q124" s="5"/>
    </row>
    <row r="125" spans="2:17">
      <c r="B125" s="41"/>
      <c r="C125" s="254"/>
      <c r="D125" s="254"/>
      <c r="E125" s="254"/>
      <c r="F125" s="254"/>
      <c r="G125" s="254"/>
      <c r="H125" s="254"/>
      <c r="I125" s="254"/>
      <c r="J125" s="254"/>
      <c r="K125" s="254"/>
      <c r="L125" s="254"/>
      <c r="M125" s="254"/>
      <c r="N125" s="254"/>
      <c r="O125" s="5"/>
      <c r="Q125" s="5"/>
    </row>
    <row r="126" spans="2:17">
      <c r="B126" s="41"/>
      <c r="C126" s="254"/>
      <c r="D126" s="254"/>
      <c r="E126" s="254"/>
      <c r="F126" s="254"/>
      <c r="G126" s="254"/>
      <c r="H126" s="254"/>
      <c r="I126" s="254"/>
      <c r="J126" s="254"/>
      <c r="K126" s="254"/>
      <c r="L126" s="254"/>
      <c r="M126" s="254"/>
      <c r="N126" s="254"/>
      <c r="O126" s="5"/>
      <c r="Q126" s="5"/>
    </row>
    <row r="127" spans="2:17">
      <c r="B127" s="41"/>
      <c r="C127" s="254"/>
      <c r="D127" s="254"/>
      <c r="E127" s="254"/>
      <c r="F127" s="254"/>
      <c r="G127" s="254"/>
      <c r="H127" s="254"/>
      <c r="I127" s="18"/>
      <c r="J127" s="254"/>
      <c r="K127" s="254"/>
      <c r="L127" s="254"/>
      <c r="M127" s="254"/>
      <c r="N127" s="254"/>
      <c r="O127" s="5"/>
      <c r="Q127" s="5"/>
    </row>
    <row r="128" spans="2:17">
      <c r="B128" s="41"/>
      <c r="C128" s="254"/>
      <c r="D128" s="254"/>
      <c r="E128" s="254"/>
      <c r="F128" s="254"/>
      <c r="G128" s="254"/>
      <c r="H128" s="254"/>
      <c r="I128" s="5"/>
      <c r="J128" s="254"/>
      <c r="K128" s="254"/>
      <c r="L128" s="254"/>
      <c r="M128" s="254"/>
      <c r="N128" s="254"/>
      <c r="O128" s="5"/>
      <c r="Q128" s="5"/>
    </row>
    <row r="129" spans="2:27">
      <c r="B129" s="5"/>
      <c r="C129" s="5"/>
      <c r="D129" s="18"/>
      <c r="E129" s="18"/>
      <c r="F129" s="18"/>
      <c r="G129" s="18"/>
      <c r="H129" s="18"/>
      <c r="I129" s="254"/>
      <c r="J129" s="18"/>
      <c r="K129" s="18"/>
      <c r="L129" s="18"/>
      <c r="M129" s="18"/>
      <c r="N129" s="18"/>
      <c r="O129" s="5"/>
      <c r="Q129" s="5"/>
    </row>
    <row r="130" spans="2:27">
      <c r="B130" s="5"/>
      <c r="C130" s="5"/>
      <c r="D130" s="5"/>
      <c r="E130" s="5"/>
      <c r="F130" s="5"/>
      <c r="G130" s="5"/>
      <c r="H130" s="5"/>
      <c r="I130" s="18"/>
      <c r="J130" s="5"/>
      <c r="K130" s="5"/>
      <c r="L130" s="5"/>
      <c r="M130" s="5"/>
      <c r="N130" s="5"/>
      <c r="O130" s="5"/>
      <c r="Q130" s="5"/>
    </row>
    <row r="131" spans="2:27">
      <c r="B131" s="41"/>
      <c r="C131" s="254"/>
      <c r="D131" s="254"/>
      <c r="E131" s="254"/>
      <c r="F131" s="254"/>
      <c r="G131" s="254"/>
      <c r="H131" s="254"/>
      <c r="I131" s="5"/>
      <c r="J131" s="254"/>
      <c r="K131" s="254"/>
      <c r="L131" s="254"/>
      <c r="M131" s="254"/>
      <c r="N131" s="254"/>
      <c r="O131" s="5"/>
      <c r="Q131" s="5"/>
    </row>
    <row r="132" spans="2:27">
      <c r="B132" s="5"/>
      <c r="C132" s="259"/>
      <c r="D132" s="18"/>
      <c r="E132" s="18"/>
      <c r="F132" s="18"/>
      <c r="G132" s="18"/>
      <c r="H132" s="18"/>
      <c r="I132" s="5"/>
      <c r="J132" s="18"/>
      <c r="K132" s="18"/>
      <c r="L132" s="18"/>
      <c r="M132" s="18"/>
      <c r="N132" s="18"/>
      <c r="O132" s="5"/>
      <c r="Q132" s="5"/>
    </row>
    <row r="133" spans="2:27">
      <c r="B133" s="5"/>
      <c r="C133" s="5"/>
      <c r="D133" s="5"/>
      <c r="E133" s="5"/>
      <c r="F133" s="5"/>
      <c r="G133" s="5"/>
      <c r="H133" s="5"/>
      <c r="I133" s="17"/>
      <c r="J133" s="5"/>
      <c r="K133" s="5"/>
      <c r="L133" s="5"/>
      <c r="M133" s="5"/>
      <c r="N133" s="5"/>
      <c r="O133" s="5"/>
      <c r="Q133" s="5"/>
    </row>
    <row r="134" spans="2:27">
      <c r="B134" s="41"/>
      <c r="C134" s="5"/>
      <c r="D134" s="5"/>
      <c r="E134" s="5"/>
      <c r="F134" s="5"/>
      <c r="G134" s="5"/>
      <c r="H134" s="5"/>
      <c r="I134" s="17"/>
      <c r="J134" s="5"/>
      <c r="K134" s="5"/>
      <c r="L134" s="5"/>
      <c r="M134" s="5"/>
      <c r="N134" s="5"/>
      <c r="O134" s="5"/>
      <c r="Q134" s="5"/>
    </row>
    <row r="135" spans="2:27">
      <c r="B135" s="5"/>
      <c r="C135" s="17"/>
      <c r="D135" s="17"/>
      <c r="E135" s="17"/>
      <c r="F135" s="17"/>
      <c r="G135" s="17"/>
      <c r="H135" s="17"/>
      <c r="I135" s="17"/>
      <c r="J135" s="17"/>
      <c r="K135" s="17"/>
      <c r="L135" s="17"/>
      <c r="M135" s="17"/>
      <c r="N135" s="17"/>
      <c r="O135" s="5"/>
      <c r="Q135" s="41"/>
    </row>
    <row r="136" spans="2:27">
      <c r="B136" s="5"/>
      <c r="C136" s="17"/>
      <c r="D136" s="17"/>
      <c r="E136" s="17"/>
      <c r="F136" s="17"/>
      <c r="G136" s="17"/>
      <c r="H136" s="17"/>
      <c r="I136" s="17"/>
      <c r="J136" s="17"/>
      <c r="K136" s="17"/>
      <c r="L136" s="17"/>
      <c r="M136" s="17"/>
      <c r="N136" s="17"/>
      <c r="O136" s="5"/>
      <c r="Q136" s="5"/>
      <c r="X136" s="304"/>
    </row>
    <row r="137" spans="2:27">
      <c r="B137" s="5"/>
      <c r="C137" s="5"/>
      <c r="D137" s="17"/>
      <c r="E137" s="17"/>
      <c r="F137" s="17"/>
      <c r="G137" s="17"/>
      <c r="H137" s="17"/>
      <c r="I137" s="17"/>
      <c r="J137" s="17"/>
      <c r="K137" s="17"/>
      <c r="L137" s="17"/>
      <c r="M137" s="17"/>
      <c r="N137" s="17"/>
      <c r="O137" s="5"/>
      <c r="Q137" s="5"/>
      <c r="X137" s="10"/>
      <c r="Y137" s="304"/>
      <c r="Z137" s="304"/>
      <c r="AA137" s="304"/>
    </row>
    <row r="138" spans="2:27">
      <c r="B138" s="5"/>
      <c r="C138" s="5"/>
      <c r="D138" s="17"/>
      <c r="E138" s="17"/>
      <c r="F138" s="17"/>
      <c r="G138" s="17"/>
      <c r="H138" s="17"/>
      <c r="I138" s="17"/>
      <c r="J138" s="17"/>
      <c r="K138" s="17"/>
      <c r="L138" s="17"/>
      <c r="M138" s="17"/>
      <c r="N138" s="17"/>
      <c r="O138" s="5"/>
      <c r="Q138" s="5"/>
      <c r="Y138" s="10"/>
      <c r="Z138" s="10"/>
      <c r="AA138" s="10"/>
    </row>
    <row r="139" spans="2:27">
      <c r="B139" s="5"/>
      <c r="C139" s="5"/>
      <c r="D139" s="17"/>
      <c r="E139" s="17"/>
      <c r="F139" s="17"/>
      <c r="G139" s="17"/>
      <c r="H139" s="17"/>
      <c r="I139" s="5"/>
      <c r="J139" s="17"/>
      <c r="K139" s="17"/>
      <c r="L139" s="17"/>
      <c r="M139" s="17"/>
      <c r="N139" s="17"/>
      <c r="O139" s="5"/>
      <c r="Q139" s="5"/>
    </row>
    <row r="140" spans="2:27">
      <c r="B140" s="5"/>
      <c r="C140" s="17"/>
      <c r="D140" s="17"/>
      <c r="E140" s="17"/>
      <c r="F140" s="17"/>
      <c r="G140" s="17"/>
      <c r="H140" s="17"/>
      <c r="I140" s="5"/>
      <c r="J140" s="17"/>
      <c r="K140" s="17"/>
      <c r="L140" s="17"/>
      <c r="M140" s="17"/>
      <c r="N140" s="17"/>
      <c r="O140" s="5"/>
      <c r="Q140" s="5"/>
    </row>
    <row r="141" spans="2:27">
      <c r="B141" s="5"/>
      <c r="C141" s="5"/>
      <c r="D141" s="5"/>
      <c r="E141" s="5"/>
      <c r="F141" s="5"/>
      <c r="G141" s="5"/>
      <c r="H141" s="5"/>
      <c r="I141" s="5"/>
      <c r="J141" s="5"/>
      <c r="K141" s="5"/>
      <c r="L141" s="5"/>
      <c r="M141" s="5"/>
      <c r="N141" s="5"/>
      <c r="O141" s="5"/>
      <c r="Q141" s="5"/>
    </row>
    <row r="142" spans="2:27">
      <c r="B142" s="5"/>
      <c r="C142" s="5"/>
      <c r="D142" s="5"/>
      <c r="E142" s="5"/>
      <c r="F142" s="5"/>
      <c r="G142" s="5"/>
      <c r="H142" s="5"/>
      <c r="I142" s="5"/>
      <c r="J142" s="5"/>
      <c r="K142" s="5"/>
      <c r="L142" s="5"/>
      <c r="M142" s="5"/>
      <c r="N142" s="5"/>
      <c r="O142" s="5"/>
      <c r="Q142" s="5"/>
    </row>
    <row r="143" spans="2:27">
      <c r="B143" s="5"/>
      <c r="C143" s="5"/>
      <c r="D143" s="5"/>
      <c r="E143" s="5"/>
      <c r="F143" s="5"/>
      <c r="G143" s="5"/>
      <c r="H143" s="5"/>
      <c r="I143" s="5"/>
      <c r="J143" s="5"/>
      <c r="K143" s="5"/>
      <c r="L143" s="5"/>
      <c r="M143" s="5"/>
      <c r="N143" s="5"/>
      <c r="O143" s="5"/>
      <c r="Q143" s="5"/>
    </row>
    <row r="144" spans="2:27">
      <c r="B144" s="5"/>
      <c r="C144" s="5"/>
      <c r="D144" s="5"/>
      <c r="E144" s="5"/>
      <c r="F144" s="5"/>
      <c r="G144" s="5"/>
      <c r="H144" s="5"/>
      <c r="I144" s="5"/>
      <c r="J144" s="5"/>
      <c r="K144" s="5"/>
      <c r="L144" s="5"/>
      <c r="M144" s="5"/>
      <c r="N144" s="5"/>
      <c r="O144" s="5"/>
      <c r="Q144" s="5"/>
    </row>
    <row r="145" spans="2:17">
      <c r="B145" s="5"/>
      <c r="C145" s="5"/>
      <c r="D145" s="5"/>
      <c r="E145" s="5"/>
      <c r="F145" s="5"/>
      <c r="G145" s="5"/>
      <c r="H145" s="5"/>
      <c r="I145" s="5"/>
      <c r="J145" s="5"/>
      <c r="K145" s="5"/>
      <c r="L145" s="5"/>
      <c r="M145" s="5"/>
      <c r="N145" s="5"/>
      <c r="O145" s="5"/>
      <c r="Q145" s="5"/>
    </row>
    <row r="146" spans="2:17">
      <c r="B146" s="5"/>
      <c r="C146" s="5"/>
      <c r="D146" s="5"/>
      <c r="E146" s="5"/>
      <c r="F146" s="5"/>
      <c r="G146" s="5"/>
      <c r="H146" s="5"/>
      <c r="I146" s="5"/>
      <c r="J146" s="5"/>
      <c r="K146" s="5"/>
      <c r="L146" s="5"/>
      <c r="M146" s="5"/>
      <c r="N146" s="5"/>
      <c r="O146" s="5"/>
      <c r="Q146" s="5"/>
    </row>
    <row r="147" spans="2:17">
      <c r="B147" s="5"/>
      <c r="C147" s="5"/>
      <c r="D147" s="5"/>
      <c r="E147" s="5"/>
      <c r="F147" s="5"/>
      <c r="G147" s="5"/>
      <c r="H147" s="5"/>
      <c r="I147" s="5"/>
      <c r="J147" s="5"/>
      <c r="K147" s="5"/>
      <c r="L147" s="5"/>
      <c r="M147" s="5"/>
      <c r="N147" s="5"/>
      <c r="O147" s="5"/>
      <c r="Q147" s="5"/>
    </row>
    <row r="148" spans="2:17">
      <c r="B148" s="5"/>
      <c r="C148" s="5"/>
      <c r="D148" s="5"/>
      <c r="E148" s="5"/>
      <c r="F148" s="5"/>
      <c r="G148" s="5"/>
      <c r="H148" s="5"/>
      <c r="I148" s="5"/>
      <c r="J148" s="5"/>
      <c r="K148" s="5"/>
      <c r="L148" s="5"/>
      <c r="M148" s="5"/>
      <c r="N148" s="5"/>
      <c r="O148" s="5"/>
      <c r="Q148" s="5"/>
    </row>
    <row r="149" spans="2:17">
      <c r="B149" s="5"/>
      <c r="C149" s="5"/>
      <c r="D149" s="5"/>
      <c r="E149" s="5"/>
      <c r="F149" s="5"/>
      <c r="G149" s="5"/>
      <c r="H149" s="5"/>
      <c r="J149" s="5"/>
      <c r="K149" s="5"/>
      <c r="L149" s="5"/>
      <c r="M149" s="5"/>
      <c r="N149" s="5"/>
      <c r="O149" s="5"/>
      <c r="Q149" s="5"/>
    </row>
    <row r="150" spans="2:17">
      <c r="B150" s="5"/>
      <c r="C150" s="5"/>
      <c r="D150" s="5"/>
      <c r="E150" s="5"/>
      <c r="F150" s="5"/>
      <c r="G150" s="5"/>
      <c r="H150" s="5"/>
      <c r="J150" s="5"/>
      <c r="K150" s="5"/>
      <c r="L150" s="5"/>
      <c r="M150" s="5"/>
      <c r="N150" s="5"/>
      <c r="O150" s="5"/>
      <c r="Q150" s="5"/>
    </row>
    <row r="151" spans="2:17">
      <c r="Q151" s="5"/>
    </row>
    <row r="152" spans="2:17">
      <c r="Q152" s="5"/>
    </row>
    <row r="153" spans="2:17">
      <c r="C153" s="263"/>
      <c r="Q153" s="5"/>
    </row>
    <row r="154" spans="2:17">
      <c r="Q154" s="5"/>
    </row>
    <row r="155" spans="2:17">
      <c r="Q155" s="5"/>
    </row>
    <row r="156" spans="2:17">
      <c r="Q156" s="5"/>
    </row>
    <row r="157" spans="2:17">
      <c r="Q157" s="5"/>
    </row>
    <row r="158" spans="2:17">
      <c r="Q158" s="5"/>
    </row>
    <row r="159" spans="2:17">
      <c r="Q159" s="5"/>
    </row>
    <row r="160" spans="2:17">
      <c r="Q160" s="5"/>
    </row>
    <row r="161" spans="17:17">
      <c r="Q161" s="5"/>
    </row>
    <row r="162" spans="17:17">
      <c r="Q162" s="5"/>
    </row>
    <row r="163" spans="17:17">
      <c r="Q163" s="5"/>
    </row>
    <row r="164" spans="17:17">
      <c r="Q164" s="5"/>
    </row>
    <row r="165" spans="17:17">
      <c r="Q165" s="5"/>
    </row>
  </sheetData>
  <phoneticPr fontId="7" type="noConversion"/>
  <hyperlinks>
    <hyperlink ref="C2" location="ELISASOP!A1" display="Jump to Elisa SOP" xr:uid="{00000000-0004-0000-2200-000001000000}"/>
  </hyperlinks>
  <pageMargins left="0.75" right="0.75" top="1" bottom="1" header="0.5" footer="0.5"/>
  <pageSetup scale="71"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630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440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634</v>
      </c>
      <c r="C9" s="285">
        <f>Prices!C130</f>
        <v>2900</v>
      </c>
      <c r="D9" s="531">
        <v>0</v>
      </c>
      <c r="E9" s="532">
        <v>0</v>
      </c>
      <c r="F9" s="532">
        <v>0</v>
      </c>
      <c r="G9" s="532">
        <v>0</v>
      </c>
      <c r="H9" s="249"/>
      <c r="I9" s="249"/>
      <c r="J9" s="5" t="s">
        <v>268</v>
      </c>
      <c r="L9" s="525">
        <f>'LATAM CELLULAR'!D37</f>
        <v>2.2232200101777857</v>
      </c>
      <c r="M9" s="525">
        <f>'LATAM CELLULAR'!E37</f>
        <v>2.0589058136016978</v>
      </c>
      <c r="N9" s="525">
        <f>'LATAM CELLULAR'!F37</f>
        <v>1.8608487920845524</v>
      </c>
      <c r="O9" s="525">
        <f>'LATAM CELLULAR'!G37</f>
        <v>1.6475345718618815</v>
      </c>
      <c r="P9" s="286">
        <f>'LATAM CELLULAR'!H37</f>
        <v>3.4615117612012414E-2</v>
      </c>
      <c r="S9" s="88"/>
      <c r="T9" s="42"/>
      <c r="U9" s="42"/>
      <c r="V9" s="42"/>
      <c r="W9" s="42"/>
      <c r="X9" s="42"/>
      <c r="Y9" s="42"/>
      <c r="Z9" s="42"/>
      <c r="AA9" s="42"/>
    </row>
    <row r="10" spans="2:44">
      <c r="B10" s="5" t="s">
        <v>269</v>
      </c>
      <c r="C10" s="5"/>
      <c r="D10" s="527">
        <v>300.157625</v>
      </c>
      <c r="E10" s="527">
        <v>300.157625</v>
      </c>
      <c r="F10" s="527">
        <v>300.157625</v>
      </c>
      <c r="G10" s="527">
        <v>300.157625</v>
      </c>
      <c r="H10" s="247"/>
      <c r="I10" s="247"/>
      <c r="J10" s="5" t="s">
        <v>180</v>
      </c>
      <c r="L10" s="525">
        <f>'LATAM CELLULAR'!D38</f>
        <v>5.5513222442043304</v>
      </c>
      <c r="M10" s="525">
        <f>'LATAM CELLULAR'!E38</f>
        <v>5.0412781171960415</v>
      </c>
      <c r="N10" s="525">
        <f>'LATAM CELLULAR'!F38</f>
        <v>4.4661676121823097</v>
      </c>
      <c r="O10" s="525">
        <f>'LATAM CELLULAR'!G38</f>
        <v>3.9207027473271143</v>
      </c>
      <c r="P10" s="286">
        <f>'LATAM CELLULAR'!H38</f>
        <v>5.1333149380524246E-2</v>
      </c>
      <c r="S10" s="88"/>
      <c r="T10" s="42"/>
      <c r="U10" s="42"/>
      <c r="V10" s="42"/>
      <c r="W10" s="288"/>
      <c r="X10" s="288"/>
      <c r="Y10" s="288"/>
      <c r="Z10" s="288"/>
      <c r="AA10" s="42"/>
    </row>
    <row r="11" spans="2:44">
      <c r="B11" s="41" t="s">
        <v>309</v>
      </c>
      <c r="C11" s="5"/>
      <c r="D11" s="528">
        <f>($C$9*D10)</f>
        <v>870457.11249999993</v>
      </c>
      <c r="E11" s="528">
        <f>($C$9*E10)</f>
        <v>870457.11249999993</v>
      </c>
      <c r="F11" s="528">
        <f>($C$9*F10)</f>
        <v>870457.11249999993</v>
      </c>
      <c r="G11" s="528">
        <f>($C$9*G10)</f>
        <v>870457.11249999993</v>
      </c>
      <c r="H11" s="249"/>
      <c r="I11" s="249"/>
      <c r="J11" s="5" t="s">
        <v>181</v>
      </c>
      <c r="L11" s="525">
        <f>'LATAM CELLULAR'!D39</f>
        <v>9.646923587005535</v>
      </c>
      <c r="M11" s="525">
        <f>'LATAM CELLULAR'!E39</f>
        <v>8.3754437433760849</v>
      </c>
      <c r="N11" s="525">
        <f>'LATAM CELLULAR'!F39</f>
        <v>7.1399931104472305</v>
      </c>
      <c r="O11" s="525">
        <f>'LATAM CELLULAR'!G39</f>
        <v>6.2110946745245244</v>
      </c>
      <c r="P11" s="286">
        <f>'LATAM CELLULAR'!H39</f>
        <v>8.4267435127213242E-2</v>
      </c>
      <c r="S11" s="88"/>
      <c r="T11" s="42"/>
      <c r="U11" s="42"/>
      <c r="V11" s="42"/>
      <c r="W11" s="288"/>
      <c r="X11" s="288"/>
      <c r="Y11" s="288"/>
      <c r="Z11" s="288"/>
      <c r="AA11" s="42"/>
    </row>
    <row r="12" spans="2:44">
      <c r="B12" s="5" t="s">
        <v>24</v>
      </c>
      <c r="C12" s="249"/>
      <c r="D12" s="529">
        <v>1572011.4020452877</v>
      </c>
      <c r="E12" s="529">
        <v>1443221.4983064022</v>
      </c>
      <c r="F12" s="529">
        <v>1269169.9822329853</v>
      </c>
      <c r="G12" s="529">
        <v>1062133.3650582659</v>
      </c>
      <c r="H12" s="247"/>
      <c r="I12" s="247"/>
      <c r="J12" s="5" t="s">
        <v>461</v>
      </c>
      <c r="L12" s="525">
        <f>'LATAM CELLULAR'!D40</f>
        <v>12.09641294846241</v>
      </c>
      <c r="M12" s="525">
        <f>'LATAM CELLULAR'!E40</f>
        <v>10.578357242399944</v>
      </c>
      <c r="N12" s="525">
        <f>'LATAM CELLULAR'!F40</f>
        <v>9.2854568924535332</v>
      </c>
      <c r="O12" s="525">
        <f>'LATAM CELLULAR'!G40</f>
        <v>8.2365912346931154</v>
      </c>
      <c r="P12" s="286">
        <f>'LATAM CELLULAR'!H40</f>
        <v>6.4222773587057747E-2</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'LATAM CELLULAR'!D41</f>
        <v>1.913278313401171</v>
      </c>
      <c r="M13" s="525">
        <f>'LATAM CELLULAR'!E41</f>
        <v>1.8419298381889415</v>
      </c>
      <c r="N13" s="525">
        <f>'LATAM CELLULAR'!F41</f>
        <v>1.7245299259805054</v>
      </c>
      <c r="O13" s="525">
        <f>'LATAM CELLULAR'!G41</f>
        <v>1.5682927508454187</v>
      </c>
      <c r="P13" s="286">
        <f>'LATAM CELLULAR'!H41</f>
        <v>4.1421925732731957E-4</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'LATAM CELLULAR'!D42</f>
        <v>1.4348277635777664</v>
      </c>
      <c r="M14" s="525">
        <f>'LATAM CELLULAR'!E42</f>
        <v>1.368629959068183</v>
      </c>
      <c r="N14" s="525">
        <f>'LATAM CELLULAR'!F42</f>
        <v>1.2739435355271413</v>
      </c>
      <c r="O14" s="525">
        <f>'LATAM CELLULAR'!G42</f>
        <v>1.152261214295307</v>
      </c>
      <c r="P14" s="286">
        <f>'LATAM CELLULAR'!H42</f>
        <v>7.2697555235381461E-3</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'LATAM CELLULAR'!D43</f>
        <v>12.696565346959199</v>
      </c>
      <c r="M15" s="525">
        <f>'LATAM CELLULAR'!E43</f>
        <v>9.7389661726429697</v>
      </c>
      <c r="N15" s="525">
        <f>'LATAM CELLULAR'!F43</f>
        <v>7.933488581340792</v>
      </c>
      <c r="O15" s="525">
        <f>'LATAM CELLULAR'!G43</f>
        <v>6.4262071873496796</v>
      </c>
      <c r="P15" s="286">
        <f>'LATAM CELLULAR'!H43</f>
        <v>0.20320186438666643</v>
      </c>
      <c r="S15" s="88"/>
      <c r="T15" s="42"/>
      <c r="U15" s="42"/>
      <c r="V15" s="42"/>
      <c r="W15" s="42"/>
      <c r="X15" s="42"/>
      <c r="Y15" s="42"/>
      <c r="Z15" s="42"/>
      <c r="AA15" s="42"/>
    </row>
    <row r="16" spans="2:44">
      <c r="B16" s="5" t="s">
        <v>529</v>
      </c>
      <c r="C16" s="257"/>
      <c r="D16" s="529">
        <v>31581.818528663654</v>
      </c>
      <c r="E16" s="529">
        <v>63163.637057327309</v>
      </c>
      <c r="F16" s="529">
        <v>133679.90952593333</v>
      </c>
      <c r="G16" s="529">
        <v>248155.52637971658</v>
      </c>
      <c r="H16" s="247"/>
      <c r="I16" s="247"/>
      <c r="J16" s="5" t="s">
        <v>528</v>
      </c>
      <c r="L16" s="525">
        <f>'LATAM CELLULAR'!D44</f>
        <v>12.032481425695035</v>
      </c>
      <c r="M16" s="525">
        <f>'LATAM CELLULAR'!E44</f>
        <v>9.1314970189163951</v>
      </c>
      <c r="N16" s="525">
        <f>'LATAM CELLULAR'!F44</f>
        <v>6.8170283475189164</v>
      </c>
      <c r="O16" s="525">
        <f>'LATAM CELLULAR'!G44</f>
        <v>5.7531932566725024</v>
      </c>
      <c r="P16" s="286">
        <f>'LATAM CELLULAR'!H44</f>
        <v>0.25833924352795901</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'LATAM CELLULAR'!D45</f>
        <v>3.4312714157629799E-2</v>
      </c>
      <c r="M17" s="248">
        <f>'LATAM CELLULAR'!E45</f>
        <v>4.8901958681009668E-2</v>
      </c>
      <c r="N17" s="248">
        <f>'LATAM CELLULAR'!F45</f>
        <v>5.7463028133344397E-2</v>
      </c>
      <c r="O17" s="248">
        <f>'LATAM CELLULAR'!G45</f>
        <v>6.1989139812626819E-2</v>
      </c>
      <c r="P17" s="286">
        <f>'LATAM CELLULAR'!H45</f>
        <v>0.19840195224916335</v>
      </c>
      <c r="S17" s="88"/>
      <c r="T17" s="42"/>
      <c r="U17" s="42"/>
      <c r="V17" s="42"/>
      <c r="W17" s="42"/>
      <c r="X17" s="42"/>
      <c r="Y17" s="42"/>
      <c r="Z17" s="42"/>
      <c r="AA17" s="42"/>
    </row>
    <row r="18" spans="2:27" ht="12.6" thickBot="1">
      <c r="B18" s="41" t="s">
        <v>578</v>
      </c>
      <c r="C18" s="249"/>
      <c r="D18" s="530">
        <f>D11+D12+D13-D14+D15-D16-D17</f>
        <v>2410886.6960166236</v>
      </c>
      <c r="E18" s="530">
        <f>E11+E12+E13-E14+E15-E16-E17</f>
        <v>2250514.9737490751</v>
      </c>
      <c r="F18" s="530">
        <f>F11+F12+F13-F14+F15-F16-F17</f>
        <v>2005947.1852070522</v>
      </c>
      <c r="G18" s="530">
        <f>G11+G12+G13-G14+G15-G16-G17</f>
        <v>1684434.9511785493</v>
      </c>
      <c r="H18" s="276">
        <f>IF(D18=0,"nm",IF(G18=0,"nm",(G18/D18)^(1/3)-1))</f>
        <v>-0.11265505151260025</v>
      </c>
      <c r="I18" s="254"/>
      <c r="J18" s="5" t="s">
        <v>36</v>
      </c>
      <c r="L18" s="248">
        <f>'LATAM CELLULAR'!D46</f>
        <v>3.4312714157629799E-2</v>
      </c>
      <c r="M18" s="248">
        <f>'LATAM CELLULAR'!E46</f>
        <v>4.8901958681009668E-2</v>
      </c>
      <c r="N18" s="248">
        <f>'LATAM CELLULAR'!F46</f>
        <v>5.7945694776289053E-2</v>
      </c>
      <c r="O18" s="248">
        <f>'LATAM CELLULAR'!G46</f>
        <v>6.3444003937853016E-2</v>
      </c>
      <c r="P18" s="286">
        <f>'LATAM CELLULAR'!H46</f>
        <v>0.2077049110414857</v>
      </c>
      <c r="S18" s="88"/>
      <c r="T18" s="42"/>
      <c r="U18" s="42"/>
      <c r="V18" s="42"/>
      <c r="W18" s="42"/>
      <c r="X18" s="42"/>
      <c r="Y18" s="42"/>
      <c r="Z18" s="42"/>
      <c r="AA18" s="42"/>
    </row>
    <row r="19" spans="2:27" ht="12.6" thickTop="1">
      <c r="B19" s="41"/>
      <c r="C19" s="249"/>
      <c r="D19" s="229"/>
      <c r="E19" s="229"/>
      <c r="F19" s="229"/>
      <c r="G19" s="229"/>
      <c r="H19" s="276"/>
      <c r="I19" s="254"/>
      <c r="J19" s="5" t="s">
        <v>576</v>
      </c>
      <c r="L19" s="248">
        <f>'LATAM CELLULAR'!D47</f>
        <v>7.8761458132415155E-2</v>
      </c>
      <c r="M19" s="248">
        <f>'LATAM CELLULAR'!E47</f>
        <v>0.10268030325529091</v>
      </c>
      <c r="N19" s="248">
        <f>'LATAM CELLULAR'!F47</f>
        <v>0.12604795352601314</v>
      </c>
      <c r="O19" s="248">
        <f>'LATAM CELLULAR'!G47</f>
        <v>0.15561278540295925</v>
      </c>
      <c r="P19" s="286">
        <f>'LATAM CELLULAR'!H47</f>
        <v>0.20320186438666643</v>
      </c>
      <c r="S19" s="88"/>
      <c r="T19" s="42"/>
      <c r="U19" s="42"/>
      <c r="V19" s="42"/>
      <c r="W19" s="42"/>
      <c r="X19" s="42"/>
      <c r="Y19" s="42"/>
      <c r="Z19" s="42"/>
      <c r="AA19" s="42"/>
    </row>
    <row r="20" spans="2:27">
      <c r="H20" s="277"/>
      <c r="I20" s="17"/>
      <c r="J20" s="5" t="s">
        <v>599</v>
      </c>
      <c r="L20" s="305">
        <f>'LATAM CELLULAR'!D48</f>
        <v>0.3418050824667247</v>
      </c>
      <c r="M20" s="305">
        <f>'LATAM CELLULAR'!E48</f>
        <v>0.37101764015947974</v>
      </c>
      <c r="N20" s="305">
        <f>'LATAM CELLULAR'!F48</f>
        <v>0.35093660459743997</v>
      </c>
      <c r="O20" s="305">
        <f>'LATAM CELLULAR'!G48</f>
        <v>0.3377307085109536</v>
      </c>
      <c r="P20" s="286" t="str">
        <f>'LATAM CELLULAR'!H48</f>
        <v>nm</v>
      </c>
      <c r="S20" s="88"/>
      <c r="T20" s="42"/>
      <c r="U20" s="42"/>
      <c r="V20" s="42"/>
      <c r="W20" s="42"/>
      <c r="X20" s="42"/>
      <c r="Y20" s="42"/>
      <c r="Z20" s="42"/>
      <c r="AA20" s="42"/>
    </row>
    <row r="21" spans="2:27" ht="12.6" thickBot="1">
      <c r="B21" s="306" t="s">
        <v>929</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2219673.1682425952</v>
      </c>
      <c r="D23" s="536">
        <v>2274803.4363927725</v>
      </c>
      <c r="E23" s="536">
        <v>2335603.3308694656</v>
      </c>
      <c r="F23" s="536">
        <v>2401986.6576730232</v>
      </c>
      <c r="G23" s="536">
        <v>2473879.3809229173</v>
      </c>
      <c r="H23" s="279">
        <f t="shared" ref="H23:H32" si="3">IF(D23=0,"nm",IF(G23=0,"nm",(G23/D23)^(1/3)-1))</f>
        <v>2.8359304202485891E-2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640285.73474473308</v>
      </c>
      <c r="D24" s="536">
        <v>687442.14456965355</v>
      </c>
      <c r="E24" s="536">
        <v>731672.37889562442</v>
      </c>
      <c r="F24" s="536">
        <v>777844.1324523146</v>
      </c>
      <c r="G24" s="536">
        <v>825435.1885312947</v>
      </c>
      <c r="H24" s="279">
        <f t="shared" si="3"/>
        <v>6.28752032525417E-2</v>
      </c>
      <c r="I24" s="249"/>
      <c r="J24" s="17"/>
      <c r="K24" s="17"/>
      <c r="L24" s="17"/>
      <c r="M24" s="17"/>
      <c r="N24" s="17"/>
      <c r="O24" s="248"/>
      <c r="S24" s="88"/>
      <c r="T24" s="42"/>
      <c r="U24" s="42"/>
      <c r="V24" s="42"/>
      <c r="W24" s="42" t="s">
        <v>632</v>
      </c>
      <c r="X24" s="42" t="s">
        <v>509</v>
      </c>
      <c r="Y24" s="42"/>
      <c r="Z24" s="42"/>
      <c r="AA24" s="42"/>
    </row>
    <row r="25" spans="2:27">
      <c r="B25" s="5" t="s">
        <v>179</v>
      </c>
      <c r="C25" s="544">
        <v>212179.60336482478</v>
      </c>
      <c r="D25" s="536">
        <v>275735.49362281361</v>
      </c>
      <c r="E25" s="536">
        <v>320393.08426332497</v>
      </c>
      <c r="F25" s="536">
        <v>371405.74579653842</v>
      </c>
      <c r="G25" s="536">
        <v>413414.21653858037</v>
      </c>
      <c r="H25" s="279">
        <f t="shared" si="3"/>
        <v>0.1445398311886632</v>
      </c>
      <c r="I25" s="248"/>
      <c r="J25" s="247" t="s">
        <v>10</v>
      </c>
      <c r="K25" s="247"/>
      <c r="L25" s="321">
        <v>177881.32547728566</v>
      </c>
      <c r="M25" s="321">
        <v>274146.79312103172</v>
      </c>
      <c r="N25" s="321">
        <v>362444.73244053661</v>
      </c>
      <c r="O25" s="321">
        <v>446651.77713919431</v>
      </c>
      <c r="P25" s="279">
        <f>IF(L25=0,"nm",IF(O25=0,"nm",(O25/L25)^(1/3)-1))</f>
        <v>0.35918811959808106</v>
      </c>
      <c r="S25" s="88"/>
      <c r="T25" s="42"/>
      <c r="U25" s="42"/>
      <c r="V25" s="147" t="s">
        <v>268</v>
      </c>
      <c r="W25" s="288">
        <f>D37/L9</f>
        <v>0.47670585064893378</v>
      </c>
      <c r="X25" s="288">
        <v>1</v>
      </c>
      <c r="Y25" s="42"/>
      <c r="Z25" s="42"/>
      <c r="AA25" s="42"/>
    </row>
    <row r="26" spans="2:27">
      <c r="B26" s="5" t="s">
        <v>581</v>
      </c>
      <c r="C26" s="544">
        <v>154891.11045632209</v>
      </c>
      <c r="D26" s="536">
        <v>201286.91034465394</v>
      </c>
      <c r="E26" s="536">
        <v>233886.95151222721</v>
      </c>
      <c r="F26" s="536">
        <v>271126.19443147304</v>
      </c>
      <c r="G26" s="536">
        <v>301792.37807316368</v>
      </c>
      <c r="H26" s="279">
        <f t="shared" si="3"/>
        <v>0.1445398311886632</v>
      </c>
      <c r="I26" s="249"/>
      <c r="J26" s="249" t="s">
        <v>11</v>
      </c>
      <c r="K26" s="249"/>
      <c r="L26" s="281">
        <f>D11+L25</f>
        <v>1048338.4379772856</v>
      </c>
      <c r="M26" s="281">
        <f>E11+M25</f>
        <v>1144603.9056210318</v>
      </c>
      <c r="N26" s="281">
        <f>F11+N25</f>
        <v>1232901.8449405367</v>
      </c>
      <c r="O26" s="281">
        <f>G11+O25</f>
        <v>1317108.8896391941</v>
      </c>
      <c r="P26" s="279">
        <f>IF(L26=0,"nm",IF(O26=0,"nm",(O26/L26)^(1/3)-1))</f>
        <v>7.9046243265302962E-2</v>
      </c>
      <c r="Q26" s="5"/>
      <c r="S26" s="88"/>
      <c r="T26" s="42"/>
      <c r="U26" s="42"/>
      <c r="V26" s="147" t="s">
        <v>180</v>
      </c>
      <c r="W26" s="288">
        <f t="shared" ref="W26:W33" si="5">D38/L10</f>
        <v>0.63174848440893827</v>
      </c>
      <c r="X26" s="288">
        <v>1</v>
      </c>
      <c r="Y26" s="42"/>
      <c r="Z26" s="42"/>
      <c r="AA26" s="42"/>
    </row>
    <row r="27" spans="2:27">
      <c r="B27" s="5" t="s">
        <v>582</v>
      </c>
      <c r="C27" s="545">
        <v>3353752.4676415147</v>
      </c>
      <c r="D27" s="536">
        <v>3401490.5687655113</v>
      </c>
      <c r="E27" s="536">
        <v>3439073.330458696</v>
      </c>
      <c r="F27" s="536">
        <v>3461193.8518867884</v>
      </c>
      <c r="G27" s="536">
        <v>3477394.1229318362</v>
      </c>
      <c r="H27" s="279">
        <f t="shared" si="3"/>
        <v>7.3836120578982811E-3</v>
      </c>
      <c r="I27" s="249"/>
      <c r="J27" s="248"/>
      <c r="K27" s="248"/>
      <c r="L27" s="248"/>
      <c r="M27" s="248"/>
      <c r="N27" s="248"/>
      <c r="O27" s="248"/>
      <c r="Q27" s="41"/>
      <c r="S27" s="88"/>
      <c r="T27" s="42"/>
      <c r="U27" s="42"/>
      <c r="V27" s="147" t="s">
        <v>181</v>
      </c>
      <c r="W27" s="288">
        <f t="shared" si="5"/>
        <v>0.90634864187039754</v>
      </c>
      <c r="X27" s="288">
        <v>1</v>
      </c>
      <c r="Y27" s="42"/>
      <c r="Z27" s="42"/>
      <c r="AA27" s="42"/>
    </row>
    <row r="28" spans="2:27" ht="12.6" thickBot="1">
      <c r="B28" s="5" t="s">
        <v>587</v>
      </c>
      <c r="C28" s="544">
        <v>2384398.4676415147</v>
      </c>
      <c r="D28" s="536">
        <v>2432136.5687655108</v>
      </c>
      <c r="E28" s="536">
        <v>2469719.3304586955</v>
      </c>
      <c r="F28" s="536">
        <v>2491839.8518867879</v>
      </c>
      <c r="G28" s="536">
        <v>2508040.1229318352</v>
      </c>
      <c r="H28" s="279">
        <f t="shared" si="3"/>
        <v>1.0296482080886182E-2</v>
      </c>
      <c r="I28" s="248"/>
      <c r="J28" s="306" t="s">
        <v>1352</v>
      </c>
      <c r="K28" s="306"/>
      <c r="L28" s="306"/>
      <c r="M28" s="306"/>
      <c r="N28" s="266"/>
      <c r="O28" s="266"/>
      <c r="P28" s="266"/>
      <c r="Q28" s="5"/>
      <c r="S28" s="88"/>
      <c r="T28" s="42"/>
      <c r="U28" s="42"/>
      <c r="V28" s="147" t="s">
        <v>461</v>
      </c>
      <c r="W28" s="288">
        <f t="shared" si="5"/>
        <v>0.99015836840840099</v>
      </c>
      <c r="X28" s="288">
        <v>1</v>
      </c>
      <c r="Y28" s="42"/>
      <c r="Z28" s="42"/>
      <c r="AA28" s="42"/>
    </row>
    <row r="29" spans="2:27" ht="12.6" thickTop="1">
      <c r="B29" s="5" t="s">
        <v>583</v>
      </c>
      <c r="C29" s="544">
        <v>60906.965918107846</v>
      </c>
      <c r="D29" s="536">
        <v>116974.3595591778</v>
      </c>
      <c r="E29" s="536">
        <v>157172.43356185395</v>
      </c>
      <c r="F29" s="536">
        <v>205272.29887868263</v>
      </c>
      <c r="G29" s="536">
        <v>241379.47826051168</v>
      </c>
      <c r="H29" s="279">
        <f t="shared" si="3"/>
        <v>0.2731216083954402</v>
      </c>
      <c r="I29" s="252"/>
      <c r="J29" s="249"/>
      <c r="K29" s="249"/>
      <c r="L29" s="249"/>
      <c r="M29" s="249"/>
      <c r="N29" s="249"/>
      <c r="O29" s="251"/>
      <c r="Q29" s="5"/>
      <c r="S29" s="88"/>
      <c r="T29" s="42"/>
      <c r="U29" s="42"/>
      <c r="V29" s="147" t="s">
        <v>525</v>
      </c>
      <c r="W29" s="288">
        <f t="shared" si="5"/>
        <v>0.37044981340267874</v>
      </c>
      <c r="X29" s="288">
        <v>1</v>
      </c>
      <c r="Y29" s="42"/>
      <c r="Z29" s="42"/>
      <c r="AA29" s="42"/>
    </row>
    <row r="30" spans="2:27">
      <c r="B30" s="5" t="s">
        <v>584</v>
      </c>
      <c r="C30" s="545">
        <v>133865.39037920092</v>
      </c>
      <c r="D30" s="536">
        <v>164712.46068317417</v>
      </c>
      <c r="E30" s="536">
        <v>194755.19525503891</v>
      </c>
      <c r="F30" s="536">
        <v>227392.82030677507</v>
      </c>
      <c r="G30" s="536">
        <v>257579.74930555923</v>
      </c>
      <c r="H30" s="279">
        <f t="shared" si="3"/>
        <v>0.16072254598340718</v>
      </c>
      <c r="I30" s="254"/>
      <c r="J30" s="248"/>
      <c r="K30" s="248"/>
      <c r="L30" s="248"/>
      <c r="M30" s="248"/>
      <c r="N30" s="248"/>
      <c r="O30" s="5"/>
      <c r="Q30" s="5"/>
      <c r="S30" s="88"/>
      <c r="T30" s="42"/>
      <c r="U30" s="42"/>
      <c r="V30" s="147" t="s">
        <v>588</v>
      </c>
      <c r="W30" s="288">
        <f t="shared" si="5"/>
        <v>0.69085844562318344</v>
      </c>
      <c r="X30" s="288">
        <v>1</v>
      </c>
      <c r="Y30" s="42"/>
      <c r="Z30" s="42"/>
      <c r="AA30" s="42"/>
    </row>
    <row r="31" spans="2:27">
      <c r="B31" s="5" t="s">
        <v>585</v>
      </c>
      <c r="C31" s="545">
        <v>22436.78246875</v>
      </c>
      <c r="D31" s="536">
        <v>25802.299839062496</v>
      </c>
      <c r="E31" s="536">
        <v>28382.529822968751</v>
      </c>
      <c r="F31" s="536">
        <v>31220.782805265626</v>
      </c>
      <c r="G31" s="536">
        <v>34342.861085792196</v>
      </c>
      <c r="H31" s="279">
        <f t="shared" si="3"/>
        <v>0.10000000000000009</v>
      </c>
      <c r="I31" s="254"/>
      <c r="J31" s="252"/>
      <c r="K31" s="252"/>
      <c r="L31" s="252"/>
      <c r="M31" s="252"/>
      <c r="N31" s="252"/>
      <c r="O31" s="5"/>
      <c r="Q31" s="5"/>
      <c r="S31" s="88"/>
      <c r="T31" s="42"/>
      <c r="U31" s="42"/>
      <c r="V31" s="147" t="s">
        <v>470</v>
      </c>
      <c r="W31" s="288">
        <f t="shared" si="5"/>
        <v>0.70586976755002151</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0.43920342991570294</v>
      </c>
      <c r="X32" s="288">
        <v>1</v>
      </c>
      <c r="Y32" s="42"/>
      <c r="Z32" s="42"/>
      <c r="AA32" s="42"/>
    </row>
    <row r="33" spans="2:27">
      <c r="B33" s="5" t="s">
        <v>5</v>
      </c>
      <c r="C33" s="545">
        <v>101760.78073112207</v>
      </c>
      <c r="D33" s="536">
        <v>97840.086961639885</v>
      </c>
      <c r="E33" s="536">
        <v>91187.907250977165</v>
      </c>
      <c r="F33" s="536">
        <v>82029.253105760901</v>
      </c>
      <c r="G33" s="536">
        <v>76765.515932176888</v>
      </c>
      <c r="H33" s="279">
        <f>IF(D33=0,"nm",IF(G33=0,"nm",(G33/D33)^(1/3)-1))</f>
        <v>-7.7676839512281659E-2</v>
      </c>
      <c r="I33" s="5"/>
      <c r="J33" s="254"/>
      <c r="K33" s="254"/>
      <c r="L33" s="254"/>
      <c r="M33" s="254"/>
      <c r="N33" s="254"/>
      <c r="O33" s="251"/>
      <c r="Q33" s="5"/>
      <c r="S33" s="88"/>
      <c r="T33" s="42"/>
      <c r="U33" s="42"/>
      <c r="V33" s="147" t="s">
        <v>575</v>
      </c>
      <c r="W33" s="288">
        <f t="shared" si="5"/>
        <v>0.86388506730001924</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1.4166919252978698</v>
      </c>
      <c r="X34" s="288">
        <v>1</v>
      </c>
      <c r="Y34" s="288"/>
      <c r="Z34" s="288"/>
      <c r="AA34" s="42"/>
    </row>
    <row r="35" spans="2:27" ht="12.6" thickBot="1">
      <c r="B35" s="306" t="s">
        <v>631</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1.0598219861315326</v>
      </c>
      <c r="E37" s="525">
        <f t="shared" ref="E37:G41" si="7">E$18/E23</f>
        <v>0.96356900335096074</v>
      </c>
      <c r="F37" s="525">
        <f t="shared" si="7"/>
        <v>0.835120036491109</v>
      </c>
      <c r="G37" s="525">
        <f t="shared" si="7"/>
        <v>0.68088806761069565</v>
      </c>
      <c r="H37" s="17">
        <f t="shared" ref="H37:H45" si="8">H23</f>
        <v>2.8359304202485891E-2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3.5070394142417114</v>
      </c>
      <c r="E38" s="525">
        <f t="shared" si="7"/>
        <v>3.0758506657665134</v>
      </c>
      <c r="F38" s="525">
        <f t="shared" si="7"/>
        <v>2.5788549421628835</v>
      </c>
      <c r="G38" s="525">
        <f t="shared" si="7"/>
        <v>2.0406628825403987</v>
      </c>
      <c r="H38" s="17">
        <f t="shared" si="8"/>
        <v>6.28752032525417E-2</v>
      </c>
      <c r="I38" s="259"/>
      <c r="J38" s="17"/>
      <c r="K38" s="17"/>
      <c r="L38" s="17"/>
      <c r="M38" s="17"/>
      <c r="N38" s="17"/>
      <c r="O38" s="5"/>
      <c r="Q38" s="5"/>
      <c r="R38" s="5"/>
      <c r="S38" s="42"/>
      <c r="T38" s="42"/>
      <c r="U38" s="42"/>
      <c r="V38" s="42"/>
      <c r="W38" s="42"/>
      <c r="X38" s="42"/>
      <c r="Y38" s="42"/>
      <c r="Z38" s="42"/>
      <c r="AA38" s="42"/>
    </row>
    <row r="39" spans="2:27">
      <c r="B39" s="5" t="s">
        <v>181</v>
      </c>
      <c r="C39" s="247"/>
      <c r="D39" s="525">
        <f>D$18/D25</f>
        <v>8.7434760913099705</v>
      </c>
      <c r="E39" s="525">
        <f t="shared" si="7"/>
        <v>7.0242308098617379</v>
      </c>
      <c r="F39" s="525">
        <f t="shared" si="7"/>
        <v>5.4009589455999958</v>
      </c>
      <c r="G39" s="525">
        <f t="shared" si="7"/>
        <v>4.0744485404539921</v>
      </c>
      <c r="H39" s="17">
        <f t="shared" si="8"/>
        <v>0.1445398311886632</v>
      </c>
      <c r="I39" s="17"/>
      <c r="J39" s="5"/>
      <c r="K39" s="5"/>
      <c r="L39" s="5"/>
      <c r="M39" s="5"/>
      <c r="N39" s="5"/>
      <c r="O39" s="5"/>
      <c r="Q39" s="5"/>
      <c r="R39" s="5"/>
      <c r="S39" s="42"/>
      <c r="T39" s="42"/>
      <c r="U39" s="42"/>
      <c r="V39" s="42"/>
      <c r="W39" s="42"/>
      <c r="X39" s="42"/>
      <c r="Y39" s="42"/>
      <c r="Z39" s="42"/>
      <c r="AA39" s="42"/>
    </row>
    <row r="40" spans="2:27">
      <c r="B40" s="5" t="s">
        <v>461</v>
      </c>
      <c r="C40" s="247"/>
      <c r="D40" s="525">
        <f>D$18/D26</f>
        <v>11.977364508643795</v>
      </c>
      <c r="E40" s="525">
        <f t="shared" si="7"/>
        <v>9.6222339861119703</v>
      </c>
      <c r="F40" s="525">
        <f t="shared" si="7"/>
        <v>7.3985738980821862</v>
      </c>
      <c r="G40" s="525">
        <f t="shared" si="7"/>
        <v>5.5814363567862904</v>
      </c>
      <c r="H40" s="17">
        <f t="shared" si="8"/>
        <v>0.1445398311886632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0.7087735941868557</v>
      </c>
      <c r="E41" s="525">
        <f t="shared" si="7"/>
        <v>0.65439575068581235</v>
      </c>
      <c r="F41" s="525">
        <f t="shared" si="7"/>
        <v>0.57955355032008893</v>
      </c>
      <c r="G41" s="525">
        <f t="shared" si="7"/>
        <v>0.48439575487588976</v>
      </c>
      <c r="H41" s="17">
        <f t="shared" si="8"/>
        <v>7.3836120578982811E-3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0.99126287848232431</v>
      </c>
      <c r="E42" s="525">
        <f>E18/E28</f>
        <v>0.91124321132113906</v>
      </c>
      <c r="F42" s="525">
        <f>F18/F28</f>
        <v>0.80500646287046729</v>
      </c>
      <c r="G42" s="525">
        <f>G18/G28</f>
        <v>0.67161403670428033</v>
      </c>
      <c r="H42" s="17">
        <f t="shared" si="8"/>
        <v>1.0296482080886182E-2</v>
      </c>
      <c r="I42" s="248"/>
      <c r="J42" s="5"/>
      <c r="K42" s="5"/>
      <c r="L42" s="5"/>
      <c r="M42" s="5"/>
      <c r="N42" s="5"/>
      <c r="O42" s="5"/>
      <c r="Q42" s="5"/>
      <c r="R42" s="5"/>
      <c r="S42" s="42"/>
      <c r="T42" s="42"/>
      <c r="U42" s="42"/>
      <c r="V42" s="42"/>
      <c r="W42" s="288"/>
      <c r="X42" s="288"/>
      <c r="Y42" s="288"/>
      <c r="Z42" s="288"/>
      <c r="AA42" s="42"/>
    </row>
    <row r="43" spans="2:27">
      <c r="B43" s="5" t="s">
        <v>470</v>
      </c>
      <c r="C43" s="247"/>
      <c r="D43" s="525">
        <f>L26/D29</f>
        <v>8.9621216301417483</v>
      </c>
      <c r="E43" s="525">
        <f>M26/E29</f>
        <v>7.282472375606388</v>
      </c>
      <c r="F43" s="525">
        <f>N26/F29</f>
        <v>6.0061774125167773</v>
      </c>
      <c r="G43" s="525">
        <f>O26/G29</f>
        <v>5.4565901754816482</v>
      </c>
      <c r="H43" s="17">
        <f t="shared" si="8"/>
        <v>0.2731216083954402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5.2847071125622467</v>
      </c>
      <c r="E44" s="525">
        <f>E11/E30</f>
        <v>4.4694936705544883</v>
      </c>
      <c r="F44" s="525">
        <f>F11/F30</f>
        <v>3.8279885500591817</v>
      </c>
      <c r="G44" s="525">
        <f>G11/G30</f>
        <v>3.379369359768273</v>
      </c>
      <c r="H44" s="17">
        <f t="shared" si="8"/>
        <v>0.16072254598340718</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2.9642241379310343E-2</v>
      </c>
      <c r="E45" s="248">
        <f>E31/E11</f>
        <v>3.2606465517241383E-2</v>
      </c>
      <c r="F45" s="248">
        <f>F31/F11</f>
        <v>3.586711206896552E-2</v>
      </c>
      <c r="G45" s="248">
        <f>G31/G11</f>
        <v>3.9453823275862082E-2</v>
      </c>
      <c r="H45" s="17">
        <f t="shared" si="8"/>
        <v>0.10000000000000009</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2.9642241379310343E-2</v>
      </c>
      <c r="E46" s="248">
        <f>(E31+E32)/E11</f>
        <v>3.2606465517241383E-2</v>
      </c>
      <c r="F46" s="248">
        <f>(F31+F32)/F11</f>
        <v>3.586711206896552E-2</v>
      </c>
      <c r="G46" s="248">
        <f>(G31+G32)/G11</f>
        <v>3.9453823275862082E-2</v>
      </c>
      <c r="H46" s="279">
        <f>((G31+G32)/(D31+D32))^(1/3)-1</f>
        <v>0.10000000000000009</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0.1115807217608788</v>
      </c>
      <c r="E47" s="248">
        <f>1/E43</f>
        <v>0.13731600319551274</v>
      </c>
      <c r="F47" s="248">
        <f>1/F43</f>
        <v>0.16649524836146465</v>
      </c>
      <c r="G47" s="248">
        <f>1/G43</f>
        <v>0.18326463374386201</v>
      </c>
      <c r="H47" s="17">
        <f>H29</f>
        <v>0.2731216083954402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0.22058081733723028</v>
      </c>
      <c r="E48" s="305">
        <f>E31/E29</f>
        <v>0.18058211086869144</v>
      </c>
      <c r="F48" s="305">
        <f>F31/F29</f>
        <v>0.15209447634099585</v>
      </c>
      <c r="G48" s="305">
        <f>G31/G29</f>
        <v>0.14227746838000557</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336</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340</v>
      </c>
      <c r="C9" s="287">
        <f>Prices!C85</f>
        <v>91.9</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44">
      <c r="B10" s="5" t="s">
        <v>269</v>
      </c>
      <c r="C10" s="5"/>
      <c r="D10" s="527">
        <v>3258</v>
      </c>
      <c r="E10" s="527">
        <v>3258</v>
      </c>
      <c r="F10" s="527">
        <v>3258</v>
      </c>
      <c r="G10" s="527">
        <v>3258</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44">
      <c r="B11" s="41" t="s">
        <v>270</v>
      </c>
      <c r="C11" s="5"/>
      <c r="D11" s="528">
        <f>$C$9*D10</f>
        <v>299410.2</v>
      </c>
      <c r="E11" s="528">
        <f>$C$9*E10</f>
        <v>299410.2</v>
      </c>
      <c r="F11" s="528">
        <f>$C$9*F10</f>
        <v>299410.2</v>
      </c>
      <c r="G11" s="528">
        <f>$C$9*G10</f>
        <v>299410.2</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44">
      <c r="B12" s="5" t="s">
        <v>24</v>
      </c>
      <c r="C12" s="249"/>
      <c r="D12" s="529">
        <v>72874.292113621952</v>
      </c>
      <c r="E12" s="529">
        <v>70398.689085324935</v>
      </c>
      <c r="F12" s="529">
        <v>67987.58948612021</v>
      </c>
      <c r="G12" s="529">
        <v>65625.980211614486</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44">
      <c r="B15" s="5" t="s">
        <v>526</v>
      </c>
      <c r="C15" s="274"/>
      <c r="D15" s="529">
        <v>0</v>
      </c>
      <c r="E15" s="529">
        <f t="shared" si="2"/>
        <v>0</v>
      </c>
      <c r="F15" s="529">
        <f t="shared" si="2"/>
        <v>0</v>
      </c>
      <c r="G15" s="529">
        <f t="shared" si="2"/>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44">
      <c r="B16" s="5" t="s">
        <v>529</v>
      </c>
      <c r="C16" s="257"/>
      <c r="D16" s="529">
        <v>41651.697375000003</v>
      </c>
      <c r="E16" s="529">
        <v>52528.077309375003</v>
      </c>
      <c r="F16" s="529">
        <v>63676.366742109371</v>
      </c>
      <c r="G16" s="529">
        <v>75103.363410662103</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330632.79473862197</v>
      </c>
      <c r="E18" s="530">
        <f>E11+E12+E13-E14+E15-E16-E17</f>
        <v>317280.81177594996</v>
      </c>
      <c r="F18" s="530">
        <f>F11+F12+F13-F14+F15-F16-F17</f>
        <v>303721.42274401087</v>
      </c>
      <c r="G18" s="530">
        <f>G11+G12+G13-G14+G15-G16-G17</f>
        <v>289932.81680095237</v>
      </c>
      <c r="H18" s="276">
        <f>IF(D18=0,"nm",IF(G18=0,"nm",(G18/D18)^(1/3)-1))</f>
        <v>-4.284159879164795E-2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924</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84790.394314910794</v>
      </c>
      <c r="D23" s="536">
        <v>86766.01676563191</v>
      </c>
      <c r="E23" s="536">
        <v>89054.746945292252</v>
      </c>
      <c r="F23" s="536">
        <v>91442.504266707576</v>
      </c>
      <c r="G23" s="536">
        <v>93933.702262604129</v>
      </c>
      <c r="H23" s="279">
        <f t="shared" ref="H23:H32" si="4">IF(D23=0,"nm",IF(G23=0,"nm",(G23/D23)^(1/3)-1))</f>
        <v>2.6811190545072972E-2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28893.068981070959</v>
      </c>
      <c r="D24" s="536">
        <v>29327.072503634168</v>
      </c>
      <c r="E24" s="536">
        <v>29853.060560922397</v>
      </c>
      <c r="F24" s="536">
        <v>30395.288142723537</v>
      </c>
      <c r="G24" s="536">
        <v>30954.240004920895</v>
      </c>
      <c r="H24" s="279">
        <f t="shared" si="4"/>
        <v>1.8162609649959416E-2</v>
      </c>
      <c r="I24" s="249"/>
      <c r="J24" s="17"/>
      <c r="K24" s="17"/>
      <c r="L24" s="17"/>
      <c r="M24" s="17"/>
      <c r="N24" s="17"/>
      <c r="O24" s="248"/>
      <c r="S24" s="88"/>
      <c r="T24" s="42"/>
      <c r="U24" s="42"/>
      <c r="V24" s="42"/>
      <c r="W24" s="42" t="s">
        <v>342</v>
      </c>
      <c r="X24" s="42" t="s">
        <v>252</v>
      </c>
      <c r="Y24" s="42"/>
      <c r="Z24" s="42"/>
      <c r="AA24" s="42"/>
    </row>
    <row r="25" spans="2:27">
      <c r="B25" s="5" t="s">
        <v>179</v>
      </c>
      <c r="C25" s="544">
        <v>18718.221663281663</v>
      </c>
      <c r="D25" s="536">
        <v>20650.470827070974</v>
      </c>
      <c r="E25" s="536">
        <v>21392.859601119635</v>
      </c>
      <c r="F25" s="536">
        <v>21708.250237386317</v>
      </c>
      <c r="G25" s="536">
        <v>22030.538289973505</v>
      </c>
      <c r="H25" s="279">
        <f t="shared" si="4"/>
        <v>2.1798004661201187E-2</v>
      </c>
      <c r="I25" s="248"/>
      <c r="J25" s="247" t="s">
        <v>10</v>
      </c>
      <c r="K25" s="247"/>
      <c r="L25" s="321">
        <v>0</v>
      </c>
      <c r="M25" s="321">
        <v>0</v>
      </c>
      <c r="N25" s="321">
        <v>0</v>
      </c>
      <c r="O25" s="321">
        <v>0</v>
      </c>
      <c r="P25" s="279" t="str">
        <f>IF(L25=0,"nm",IF(O25=0,"nm",(O25/L25)^(1/3)-1))</f>
        <v>nm</v>
      </c>
      <c r="S25" s="88"/>
      <c r="T25" s="42"/>
      <c r="U25" s="42"/>
      <c r="V25" s="147" t="s">
        <v>268</v>
      </c>
      <c r="W25" s="288">
        <f>D37/L9</f>
        <v>1.7700596493663618</v>
      </c>
      <c r="X25" s="288">
        <v>1</v>
      </c>
      <c r="Y25" s="42"/>
      <c r="Z25" s="42"/>
      <c r="AA25" s="42"/>
    </row>
    <row r="26" spans="2:27">
      <c r="B26" s="5" t="s">
        <v>581</v>
      </c>
      <c r="C26" s="544">
        <v>15348.941763890965</v>
      </c>
      <c r="D26" s="536">
        <v>16933.3860781982</v>
      </c>
      <c r="E26" s="536">
        <v>17542.144872918103</v>
      </c>
      <c r="F26" s="536">
        <v>17800.765194656782</v>
      </c>
      <c r="G26" s="536">
        <v>18065.041397778274</v>
      </c>
      <c r="H26" s="279">
        <f t="shared" si="4"/>
        <v>2.1798004661201187E-2</v>
      </c>
      <c r="I26" s="249"/>
      <c r="J26" s="249" t="s">
        <v>11</v>
      </c>
      <c r="K26" s="249"/>
      <c r="L26" s="281">
        <f>D11+L25</f>
        <v>299410.2</v>
      </c>
      <c r="M26" s="281">
        <f>E11+M25</f>
        <v>299410.2</v>
      </c>
      <c r="N26" s="281">
        <f>F11+N25</f>
        <v>299410.2</v>
      </c>
      <c r="O26" s="281">
        <f>G11+O25</f>
        <v>299410.2</v>
      </c>
      <c r="P26" s="279">
        <f>IF(L26=0,"nm",IF(O26=0,"nm",(O26/L26)^(1/3)-1))</f>
        <v>0</v>
      </c>
      <c r="Q26" s="5"/>
      <c r="S26" s="88"/>
      <c r="T26" s="42"/>
      <c r="U26" s="42"/>
      <c r="V26" s="147" t="s">
        <v>180</v>
      </c>
      <c r="W26" s="288">
        <f t="shared" ref="W26:W33" si="6">D38/L10</f>
        <v>1.708913147033984</v>
      </c>
      <c r="X26" s="288">
        <v>1</v>
      </c>
      <c r="Y26" s="42"/>
      <c r="Z26" s="42"/>
      <c r="AA26" s="42"/>
    </row>
    <row r="27" spans="2:27">
      <c r="B27" s="5" t="s">
        <v>582</v>
      </c>
      <c r="C27" s="545">
        <v>128283.76226142133</v>
      </c>
      <c r="D27" s="536">
        <v>124673.12402066632</v>
      </c>
      <c r="E27" s="536">
        <v>121016.65009702384</v>
      </c>
      <c r="F27" s="536">
        <v>117769.48470420385</v>
      </c>
      <c r="G27" s="536">
        <v>114840.16232513895</v>
      </c>
      <c r="H27" s="279">
        <f t="shared" si="4"/>
        <v>-2.7013117648623908E-2</v>
      </c>
      <c r="I27" s="249"/>
      <c r="J27" s="248"/>
      <c r="K27" s="248"/>
      <c r="L27" s="248"/>
      <c r="M27" s="248"/>
      <c r="N27" s="248"/>
      <c r="O27" s="248"/>
      <c r="Q27" s="41"/>
      <c r="S27" s="88"/>
      <c r="T27" s="42"/>
      <c r="U27" s="42"/>
      <c r="V27" s="147" t="s">
        <v>181</v>
      </c>
      <c r="W27" s="288">
        <f t="shared" si="6"/>
        <v>1.2592666010829634</v>
      </c>
      <c r="X27" s="288">
        <v>1</v>
      </c>
      <c r="Y27" s="42"/>
      <c r="Z27" s="42"/>
      <c r="AA27" s="42"/>
    </row>
    <row r="28" spans="2:27" ht="12.6" thickBot="1">
      <c r="B28" s="5" t="s">
        <v>587</v>
      </c>
      <c r="C28" s="544">
        <v>41701.413424392318</v>
      </c>
      <c r="D28" s="536">
        <v>40135.034608821181</v>
      </c>
      <c r="E28" s="536">
        <v>38535.811042660731</v>
      </c>
      <c r="F28" s="536">
        <v>37367.138794820872</v>
      </c>
      <c r="G28" s="536">
        <v>36538.986556984601</v>
      </c>
      <c r="H28" s="279">
        <f t="shared" si="4"/>
        <v>-3.0805475439947272E-2</v>
      </c>
      <c r="I28" s="248"/>
      <c r="J28" s="306" t="s">
        <v>1352</v>
      </c>
      <c r="K28" s="306"/>
      <c r="L28" s="306"/>
      <c r="M28" s="306"/>
      <c r="N28" s="266"/>
      <c r="O28" s="266"/>
      <c r="P28" s="266"/>
      <c r="Q28" s="5"/>
      <c r="S28" s="88"/>
      <c r="T28" s="42"/>
      <c r="U28" s="42"/>
      <c r="V28" s="147" t="s">
        <v>461</v>
      </c>
      <c r="W28" s="288">
        <f t="shared" si="6"/>
        <v>1.1794719012486341</v>
      </c>
      <c r="X28" s="288">
        <v>1</v>
      </c>
      <c r="Y28" s="42"/>
      <c r="Z28" s="42"/>
      <c r="AA28" s="42"/>
    </row>
    <row r="29" spans="2:27" ht="12.6" thickTop="1">
      <c r="B29" s="5" t="s">
        <v>583</v>
      </c>
      <c r="C29" s="544">
        <v>14109.469557250661</v>
      </c>
      <c r="D29" s="536">
        <v>16027.759076233278</v>
      </c>
      <c r="E29" s="536">
        <v>16680.131776102346</v>
      </c>
      <c r="F29" s="536">
        <v>16901.720780877415</v>
      </c>
      <c r="G29" s="536">
        <v>17144.108684451785</v>
      </c>
      <c r="H29" s="279">
        <f t="shared" si="4"/>
        <v>2.2697910262943655E-2</v>
      </c>
      <c r="I29" s="252"/>
      <c r="J29" s="249"/>
      <c r="K29" s="249"/>
      <c r="L29" s="249"/>
      <c r="M29" s="249"/>
      <c r="N29" s="249"/>
      <c r="O29" s="251"/>
      <c r="Q29" s="5"/>
      <c r="S29" s="88"/>
      <c r="T29" s="42"/>
      <c r="U29" s="42"/>
      <c r="V29" s="147" t="s">
        <v>525</v>
      </c>
      <c r="W29" s="288">
        <f t="shared" si="6"/>
        <v>1.7884179243166134</v>
      </c>
      <c r="X29" s="288">
        <v>1</v>
      </c>
      <c r="Y29" s="42"/>
      <c r="Z29" s="42"/>
      <c r="AA29" s="42"/>
    </row>
    <row r="30" spans="2:27">
      <c r="B30" s="5" t="s">
        <v>584</v>
      </c>
      <c r="C30" s="545">
        <v>12616.66924686012</v>
      </c>
      <c r="D30" s="536">
        <v>12788.507533704391</v>
      </c>
      <c r="E30" s="536">
        <v>13408.035483880756</v>
      </c>
      <c r="F30" s="536">
        <v>14060.17580939763</v>
      </c>
      <c r="G30" s="536">
        <v>14643.083728481855</v>
      </c>
      <c r="H30" s="279">
        <f t="shared" si="4"/>
        <v>4.6174734223593417E-2</v>
      </c>
      <c r="I30" s="254"/>
      <c r="J30" s="248"/>
      <c r="K30" s="248"/>
      <c r="L30" s="248"/>
      <c r="M30" s="248"/>
      <c r="N30" s="248"/>
      <c r="O30" s="5"/>
      <c r="Q30" s="5"/>
      <c r="S30" s="88"/>
      <c r="T30" s="42"/>
      <c r="U30" s="42"/>
      <c r="V30" s="147" t="s">
        <v>588</v>
      </c>
      <c r="W30" s="288">
        <f t="shared" si="6"/>
        <v>2.7075945005776898</v>
      </c>
      <c r="X30" s="288">
        <v>1</v>
      </c>
      <c r="Y30" s="42"/>
      <c r="Z30" s="42"/>
      <c r="AA30" s="42"/>
    </row>
    <row r="31" spans="2:27">
      <c r="B31" s="5" t="s">
        <v>585</v>
      </c>
      <c r="C31" s="545">
        <v>10611.102374999999</v>
      </c>
      <c r="D31" s="536">
        <v>10876.379934374998</v>
      </c>
      <c r="E31" s="536">
        <v>11148.289432734371</v>
      </c>
      <c r="F31" s="536">
        <v>11426.996668552731</v>
      </c>
      <c r="G31" s="536">
        <v>11712.671585266547</v>
      </c>
      <c r="H31" s="279">
        <f t="shared" si="4"/>
        <v>2.4999999999999911E-2</v>
      </c>
      <c r="I31" s="254"/>
      <c r="J31" s="252"/>
      <c r="K31" s="252"/>
      <c r="L31" s="252"/>
      <c r="M31" s="252"/>
      <c r="N31" s="252"/>
      <c r="O31" s="5"/>
      <c r="Q31" s="5"/>
      <c r="S31" s="88"/>
      <c r="T31" s="42"/>
      <c r="U31" s="42"/>
      <c r="V31" s="147" t="s">
        <v>470</v>
      </c>
      <c r="W31" s="288">
        <f t="shared" si="6"/>
        <v>0.94892397927390582</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1.0941709467156147</v>
      </c>
      <c r="X32" s="288">
        <v>1</v>
      </c>
      <c r="Y32" s="42"/>
      <c r="Z32" s="42"/>
      <c r="AA32" s="42"/>
    </row>
    <row r="33" spans="2:27">
      <c r="B33" s="5" t="s">
        <v>5</v>
      </c>
      <c r="C33" s="545">
        <v>-1693.1113506430709</v>
      </c>
      <c r="D33" s="536">
        <v>-1663.7290891725713</v>
      </c>
      <c r="E33" s="536">
        <v>-1612.1254402240502</v>
      </c>
      <c r="F33" s="536">
        <v>-1557.1396510433729</v>
      </c>
      <c r="G33" s="536">
        <v>-1503.4365308401782</v>
      </c>
      <c r="H33" s="279">
        <f>IF(D33=0,"nm",IF(G33=0,"nm",(G33/D33)^(1/3)-1))</f>
        <v>-3.3205518290544411E-2</v>
      </c>
      <c r="I33" s="5"/>
      <c r="J33" s="254"/>
      <c r="K33" s="254"/>
      <c r="L33" s="254"/>
      <c r="M33" s="254"/>
      <c r="N33" s="254"/>
      <c r="O33" s="251"/>
      <c r="Q33" s="5"/>
      <c r="S33" s="88"/>
      <c r="T33" s="42"/>
      <c r="U33" s="42"/>
      <c r="V33" s="147" t="s">
        <v>575</v>
      </c>
      <c r="W33" s="288">
        <f t="shared" si="6"/>
        <v>0.92113843280367547</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1.0538251976361441</v>
      </c>
      <c r="X34" s="288">
        <v>1</v>
      </c>
      <c r="Y34" s="288"/>
      <c r="Z34" s="288"/>
      <c r="AA34" s="42"/>
    </row>
    <row r="35" spans="2:27" ht="12.6" thickBot="1">
      <c r="B35" s="306" t="s">
        <v>341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3.8106254852255232</v>
      </c>
      <c r="E37" s="525">
        <f t="shared" ref="E37:G41" si="8">E$18/E23</f>
        <v>3.5627613648810952</v>
      </c>
      <c r="F37" s="525">
        <f t="shared" si="8"/>
        <v>3.3214469045834072</v>
      </c>
      <c r="G37" s="525">
        <f t="shared" si="8"/>
        <v>3.0865686097456981</v>
      </c>
      <c r="H37" s="17">
        <f t="shared" ref="H37:H45" si="9">H23</f>
        <v>2.6811190545072972E-2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11.273978836368698</v>
      </c>
      <c r="E38" s="525">
        <f t="shared" si="8"/>
        <v>10.628083212053305</v>
      </c>
      <c r="F38" s="525">
        <f t="shared" si="8"/>
        <v>9.9923850472435838</v>
      </c>
      <c r="G38" s="525">
        <f t="shared" si="8"/>
        <v>9.3664976673586828</v>
      </c>
      <c r="H38" s="17">
        <f t="shared" si="9"/>
        <v>1.8162609649959416E-2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16.010908298768232</v>
      </c>
      <c r="E39" s="525">
        <f t="shared" si="8"/>
        <v>14.831154772751582</v>
      </c>
      <c r="F39" s="525">
        <f t="shared" si="8"/>
        <v>13.991059593598045</v>
      </c>
      <c r="G39" s="525">
        <f t="shared" si="8"/>
        <v>13.16049626136035</v>
      </c>
      <c r="H39" s="17">
        <f t="shared" si="9"/>
        <v>2.1798004661201187E-2</v>
      </c>
      <c r="I39" s="17"/>
      <c r="J39" s="5"/>
      <c r="K39" s="5"/>
      <c r="L39" s="5"/>
      <c r="M39" s="5"/>
      <c r="N39" s="5"/>
      <c r="O39" s="5"/>
      <c r="Q39" s="5"/>
      <c r="R39" s="5"/>
      <c r="S39" s="42"/>
      <c r="T39" s="42"/>
      <c r="U39" s="42"/>
      <c r="V39" s="42"/>
      <c r="W39" s="42"/>
      <c r="X39" s="42"/>
      <c r="Y39" s="42"/>
      <c r="Z39" s="42"/>
      <c r="AA39" s="42"/>
    </row>
    <row r="40" spans="2:27">
      <c r="B40" s="5" t="s">
        <v>461</v>
      </c>
      <c r="C40" s="247"/>
      <c r="D40" s="525">
        <f>D$18/D26</f>
        <v>19.525497925327112</v>
      </c>
      <c r="E40" s="525">
        <f t="shared" si="8"/>
        <v>18.08677411311168</v>
      </c>
      <c r="F40" s="525">
        <f t="shared" si="8"/>
        <v>17.062267797070785</v>
      </c>
      <c r="G40" s="525">
        <f t="shared" si="8"/>
        <v>16.049385684585793</v>
      </c>
      <c r="H40" s="17">
        <f t="shared" si="9"/>
        <v>2.1798004661201187E-2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2.6519973517613544</v>
      </c>
      <c r="E41" s="525">
        <f t="shared" si="8"/>
        <v>2.6217946995026997</v>
      </c>
      <c r="F41" s="525">
        <f t="shared" si="8"/>
        <v>2.5789483880892736</v>
      </c>
      <c r="G41" s="525">
        <f t="shared" si="8"/>
        <v>2.5246639410007603</v>
      </c>
      <c r="H41" s="17">
        <f t="shared" si="9"/>
        <v>-2.7013117648623908E-2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8.2380094588470349</v>
      </c>
      <c r="E42" s="525">
        <f>E18/E28</f>
        <v>8.2334016903058558</v>
      </c>
      <c r="F42" s="525">
        <f>F18/F28</f>
        <v>8.1280352882171165</v>
      </c>
      <c r="G42" s="525">
        <f>G18/G28</f>
        <v>7.9348893913296106</v>
      </c>
      <c r="H42" s="17">
        <f t="shared" si="9"/>
        <v>-3.0805475439947272E-2</v>
      </c>
      <c r="I42" s="248"/>
      <c r="J42" s="5"/>
      <c r="K42" s="5"/>
      <c r="L42" s="5"/>
      <c r="M42" s="5"/>
      <c r="N42" s="5"/>
      <c r="O42" s="5"/>
      <c r="Q42" s="5"/>
      <c r="R42" s="5"/>
      <c r="S42" s="42"/>
      <c r="T42" s="42"/>
      <c r="U42" s="42"/>
      <c r="V42" s="42"/>
      <c r="W42" s="288"/>
      <c r="X42" s="288"/>
      <c r="Y42" s="288"/>
      <c r="Z42" s="288"/>
      <c r="AA42" s="42"/>
    </row>
    <row r="43" spans="2:27">
      <c r="B43" s="5" t="s">
        <v>470</v>
      </c>
      <c r="C43" s="247"/>
      <c r="D43" s="525">
        <f>L26/D29</f>
        <v>18.680727516298873</v>
      </c>
      <c r="E43" s="525">
        <f>M26/E29</f>
        <v>17.950109988277521</v>
      </c>
      <c r="F43" s="525">
        <f>N26/F29</f>
        <v>17.714776139169942</v>
      </c>
      <c r="G43" s="525">
        <f>O26/G29</f>
        <v>17.464319989498144</v>
      </c>
      <c r="H43" s="17">
        <f t="shared" si="9"/>
        <v>2.2697910262943655E-2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23.412442711621971</v>
      </c>
      <c r="E44" s="525">
        <f>E11/E30</f>
        <v>22.33065390973594</v>
      </c>
      <c r="F44" s="525">
        <f>F11/F30</f>
        <v>21.294911533032064</v>
      </c>
      <c r="G44" s="525">
        <f>G11/G30</f>
        <v>20.447209450672304</v>
      </c>
      <c r="H44" s="17">
        <f t="shared" si="9"/>
        <v>4.6174734223593417E-2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3.632601673014145E-2</v>
      </c>
      <c r="E45" s="248">
        <f>E31/E11</f>
        <v>3.7234167148394982E-2</v>
      </c>
      <c r="F45" s="248">
        <f>F31/F11</f>
        <v>3.8165021327104857E-2</v>
      </c>
      <c r="G45" s="248">
        <f>G31/G11</f>
        <v>3.9119146860282471E-2</v>
      </c>
      <c r="H45" s="17">
        <f t="shared" si="9"/>
        <v>2.4999999999999911E-2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3.632601673014145E-2</v>
      </c>
      <c r="E46" s="248">
        <f>(E31+E32)/E11</f>
        <v>3.7234167148394982E-2</v>
      </c>
      <c r="F46" s="248">
        <f>(F31+F32)/F11</f>
        <v>3.8165021327104857E-2</v>
      </c>
      <c r="G46" s="248">
        <f>(G31+G32)/G11</f>
        <v>3.9119146860282471E-2</v>
      </c>
      <c r="H46" s="279">
        <f>((G31+G32)/(D31+D32))^(1/3)-1</f>
        <v>2.4999999999999911E-2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5.3531105741331721E-2</v>
      </c>
      <c r="E47" s="248">
        <f>1/E43</f>
        <v>5.5709965044952868E-2</v>
      </c>
      <c r="F47" s="248">
        <f>1/F43</f>
        <v>5.6450050068025122E-2</v>
      </c>
      <c r="G47" s="248">
        <f>1/G43</f>
        <v>5.7259601324376332E-2</v>
      </c>
      <c r="H47" s="17">
        <f>H29</f>
        <v>2.2697910262943655E-2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0.67859642028828659</v>
      </c>
      <c r="E48" s="305">
        <f>E31/E29</f>
        <v>0.66835739563559959</v>
      </c>
      <c r="F48" s="305">
        <f>F31/F29</f>
        <v>0.67608480915630909</v>
      </c>
      <c r="G48" s="305">
        <f>G31/G29</f>
        <v>0.68318929848414467</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0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828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830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835</v>
      </c>
      <c r="C9" s="285">
        <f>Prices!C68</f>
        <v>2.67</v>
      </c>
      <c r="D9" s="526">
        <v>0</v>
      </c>
      <c r="E9" s="526">
        <v>0</v>
      </c>
      <c r="F9" s="526">
        <v>0</v>
      </c>
      <c r="G9" s="526">
        <v>0</v>
      </c>
      <c r="H9" s="249"/>
      <c r="I9" s="249"/>
      <c r="J9" s="5" t="s">
        <v>268</v>
      </c>
      <c r="L9" s="525">
        <v>4.7994619717954237</v>
      </c>
      <c r="M9" s="525">
        <v>3.903327210355731</v>
      </c>
      <c r="N9" s="525">
        <v>3.3479234241965061</v>
      </c>
      <c r="O9" s="525">
        <v>2.846349535283093</v>
      </c>
      <c r="P9" s="286">
        <v>0.11349924841093761</v>
      </c>
      <c r="S9" s="88"/>
      <c r="T9" s="42"/>
      <c r="U9" s="42"/>
      <c r="V9" s="42"/>
      <c r="W9" s="42"/>
      <c r="X9" s="42"/>
      <c r="Y9" s="42"/>
      <c r="Z9" s="42"/>
      <c r="AA9" s="42"/>
    </row>
    <row r="10" spans="2:44">
      <c r="B10" s="5" t="s">
        <v>269</v>
      </c>
      <c r="C10" s="5"/>
      <c r="D10" s="527">
        <v>1538.914901724138</v>
      </c>
      <c r="E10" s="527">
        <v>1538.914901724138</v>
      </c>
      <c r="F10" s="527">
        <v>1538.914901724138</v>
      </c>
      <c r="G10" s="527">
        <v>1538.914901724138</v>
      </c>
      <c r="H10" s="249"/>
      <c r="I10" s="247"/>
      <c r="J10" s="5" t="s">
        <v>180</v>
      </c>
      <c r="L10" s="525">
        <v>11.923965387429364</v>
      </c>
      <c r="M10" s="525">
        <v>9.4982417751711701</v>
      </c>
      <c r="N10" s="525">
        <v>7.9778553837478272</v>
      </c>
      <c r="O10" s="525">
        <v>6.6407224347584357</v>
      </c>
      <c r="P10" s="286">
        <v>0.13707805962491371</v>
      </c>
      <c r="S10" s="88"/>
      <c r="T10" s="42"/>
      <c r="U10" s="42"/>
      <c r="V10" s="42"/>
      <c r="W10" s="288"/>
      <c r="X10" s="288"/>
      <c r="Y10" s="288"/>
      <c r="Z10" s="288"/>
      <c r="AA10" s="42"/>
    </row>
    <row r="11" spans="2:44">
      <c r="B11" s="41" t="s">
        <v>309</v>
      </c>
      <c r="C11" s="5"/>
      <c r="D11" s="528">
        <f>($C$9*D10)</f>
        <v>4108.9027876034479</v>
      </c>
      <c r="E11" s="528">
        <f>($C$9*E10)</f>
        <v>4108.9027876034479</v>
      </c>
      <c r="F11" s="528">
        <f>($C$9*F10)</f>
        <v>4108.9027876034479</v>
      </c>
      <c r="G11" s="528">
        <f>($C$9*G10)</f>
        <v>4108.9027876034479</v>
      </c>
      <c r="H11" s="249"/>
      <c r="I11" s="249"/>
      <c r="J11" s="5" t="s">
        <v>181</v>
      </c>
      <c r="L11" s="525">
        <v>19.757952140183111</v>
      </c>
      <c r="M11" s="525">
        <v>15.130826512191861</v>
      </c>
      <c r="N11" s="525">
        <v>11.728688015717669</v>
      </c>
      <c r="O11" s="525">
        <v>9.4769800418991377</v>
      </c>
      <c r="P11" s="286">
        <v>0.19512264272148294</v>
      </c>
      <c r="S11" s="88"/>
      <c r="T11" s="42"/>
      <c r="U11" s="42"/>
      <c r="V11" s="42"/>
      <c r="W11" s="288"/>
      <c r="X11" s="288"/>
      <c r="Y11" s="288"/>
      <c r="Z11" s="288"/>
      <c r="AA11" s="42"/>
    </row>
    <row r="12" spans="2:44">
      <c r="B12" s="5" t="s">
        <v>24</v>
      </c>
      <c r="C12" s="249"/>
      <c r="D12" s="529">
        <v>11083.829019784915</v>
      </c>
      <c r="E12" s="529">
        <v>11004.292244507285</v>
      </c>
      <c r="F12" s="529">
        <v>10947.993888430483</v>
      </c>
      <c r="G12" s="529">
        <v>10847.948800360113</v>
      </c>
      <c r="H12" s="247"/>
      <c r="I12" s="247"/>
      <c r="J12" s="5" t="s">
        <v>461</v>
      </c>
      <c r="L12" s="525">
        <v>24.697440175228884</v>
      </c>
      <c r="M12" s="525">
        <v>18.913533140239828</v>
      </c>
      <c r="N12" s="525">
        <v>14.660860019647085</v>
      </c>
      <c r="O12" s="525">
        <v>11.846225052373923</v>
      </c>
      <c r="P12" s="286">
        <v>0.19512264272148294</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v>2.5872815779914995</v>
      </c>
      <c r="M13" s="525">
        <v>2.7018374749487801</v>
      </c>
      <c r="N13" s="525">
        <v>2.6133368515775306</v>
      </c>
      <c r="O13" s="525">
        <v>2.4728123976242489</v>
      </c>
      <c r="P13" s="286">
        <v>-5.0257230642949624E-2</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v>5.6569258563903331</v>
      </c>
      <c r="M14" s="525">
        <v>5.1637585378336448</v>
      </c>
      <c r="N14" s="525">
        <v>4.8591807670388789</v>
      </c>
      <c r="O14" s="525">
        <v>4.4699445368536619</v>
      </c>
      <c r="P14" s="286">
        <v>1.1924096340950152E-2</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v>32.444347205339341</v>
      </c>
      <c r="M15" s="525">
        <v>20.615333376119054</v>
      </c>
      <c r="N15" s="525">
        <v>15.22605019621888</v>
      </c>
      <c r="O15" s="525">
        <v>12.832038789785191</v>
      </c>
      <c r="P15" s="286">
        <v>0.36232625197733515</v>
      </c>
      <c r="S15" s="88"/>
      <c r="T15" s="42"/>
      <c r="U15" s="42"/>
      <c r="V15" s="42"/>
      <c r="W15" s="42"/>
      <c r="X15" s="42"/>
      <c r="Y15" s="42"/>
      <c r="Z15" s="42"/>
      <c r="AA15" s="42"/>
    </row>
    <row r="16" spans="2:44">
      <c r="B16" s="5" t="s">
        <v>529</v>
      </c>
      <c r="C16" s="257"/>
      <c r="D16" s="529">
        <v>3760.8878059850676</v>
      </c>
      <c r="E16" s="529">
        <v>5282.3060471232056</v>
      </c>
      <c r="F16" s="529">
        <v>6897.1969784846742</v>
      </c>
      <c r="G16" s="529">
        <v>8582.6008991675608</v>
      </c>
      <c r="H16" s="247"/>
      <c r="I16" s="247"/>
      <c r="J16" s="5" t="s">
        <v>528</v>
      </c>
      <c r="L16" s="525">
        <v>33.016706571912756</v>
      </c>
      <c r="M16" s="525">
        <v>19.211289421330676</v>
      </c>
      <c r="N16" s="525">
        <v>14.913078679515767</v>
      </c>
      <c r="O16" s="525">
        <v>12.303926922546617</v>
      </c>
      <c r="P16" s="286">
        <v>0.38962196134715321</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v>1.1336941535745116E-2</v>
      </c>
      <c r="M17" s="248">
        <v>2.8684808800633229E-2</v>
      </c>
      <c r="N17" s="248">
        <v>4.0868616437691449E-2</v>
      </c>
      <c r="O17" s="248">
        <v>5.2381391635972017E-2</v>
      </c>
      <c r="P17" s="286">
        <v>0.66556035591055229</v>
      </c>
      <c r="S17" s="88"/>
      <c r="T17" s="42"/>
      <c r="U17" s="42"/>
      <c r="V17" s="42"/>
      <c r="W17" s="42"/>
      <c r="X17" s="42"/>
      <c r="Y17" s="42"/>
      <c r="Z17" s="42"/>
      <c r="AA17" s="42"/>
    </row>
    <row r="18" spans="2:27" ht="12.6" thickBot="1">
      <c r="B18" s="41" t="s">
        <v>578</v>
      </c>
      <c r="C18" s="249"/>
      <c r="D18" s="530">
        <f>D11+D12+D13-D14+D15-D16-D17</f>
        <v>11431.844001403293</v>
      </c>
      <c r="E18" s="530">
        <f>E11+E12+E13-E14+E15-E16-E17</f>
        <v>9830.8889849875268</v>
      </c>
      <c r="F18" s="530">
        <f>F11+F12+F13-F14+F15-F16-F17</f>
        <v>8159.6996975492575</v>
      </c>
      <c r="G18" s="530">
        <f>G11+G12+G13-G14+G15-G16-G17</f>
        <v>6374.2506887959989</v>
      </c>
      <c r="H18" s="276">
        <f>IF(D18=0,"nm",IF(G18=0,"nm",(G18/D18)^(1/3)-1))</f>
        <v>-0.17692839992159193</v>
      </c>
      <c r="I18" s="254"/>
      <c r="J18" s="5" t="s">
        <v>36</v>
      </c>
      <c r="L18" s="248">
        <v>1.1336941535745116E-2</v>
      </c>
      <c r="M18" s="248">
        <v>2.8684808800633229E-2</v>
      </c>
      <c r="N18" s="248">
        <v>4.0868616437691449E-2</v>
      </c>
      <c r="O18" s="248">
        <v>5.2381391635972017E-2</v>
      </c>
      <c r="P18" s="286">
        <v>0.66556035591055229</v>
      </c>
      <c r="S18" s="88"/>
      <c r="T18" s="42"/>
      <c r="U18" s="42"/>
      <c r="V18" s="42"/>
      <c r="W18" s="42"/>
      <c r="X18" s="42"/>
      <c r="Y18" s="42"/>
      <c r="Z18" s="42"/>
      <c r="AA18" s="42"/>
    </row>
    <row r="19" spans="2:27" ht="12.6" thickTop="1">
      <c r="B19" s="41"/>
      <c r="C19" s="249"/>
      <c r="D19" s="229"/>
      <c r="E19" s="229"/>
      <c r="F19" s="229"/>
      <c r="G19" s="229"/>
      <c r="H19" s="276"/>
      <c r="I19" s="254"/>
      <c r="J19" s="5" t="s">
        <v>576</v>
      </c>
      <c r="L19" s="248">
        <v>3.0822010184733531E-2</v>
      </c>
      <c r="M19" s="248">
        <v>4.8507583251523205E-2</v>
      </c>
      <c r="N19" s="248">
        <v>6.5676914702956404E-2</v>
      </c>
      <c r="O19" s="248">
        <v>7.7929938989589054E-2</v>
      </c>
      <c r="P19" s="286">
        <v>0.36232625197733515</v>
      </c>
      <c r="S19" s="88"/>
      <c r="T19" s="42"/>
      <c r="U19" s="42"/>
      <c r="V19" s="42"/>
      <c r="W19" s="42"/>
      <c r="X19" s="42"/>
      <c r="Y19" s="42"/>
      <c r="Z19" s="42"/>
      <c r="AA19" s="42"/>
    </row>
    <row r="20" spans="2:27">
      <c r="H20" s="277"/>
      <c r="I20" s="17"/>
      <c r="J20" s="5" t="s">
        <v>599</v>
      </c>
      <c r="L20" s="305">
        <v>0.36781966743234756</v>
      </c>
      <c r="M20" s="305">
        <v>0.5913468962552878</v>
      </c>
      <c r="N20" s="305">
        <v>0.62226760533030601</v>
      </c>
      <c r="O20" s="305">
        <v>0.67216004933572249</v>
      </c>
      <c r="P20" s="286" t="s">
        <v>602</v>
      </c>
      <c r="S20" s="88"/>
      <c r="T20" s="42"/>
      <c r="U20" s="42"/>
      <c r="V20" s="42"/>
      <c r="W20" s="42"/>
      <c r="X20" s="42"/>
      <c r="Y20" s="42"/>
      <c r="Z20" s="42"/>
      <c r="AA20" s="42"/>
    </row>
    <row r="21" spans="2:27" ht="12.6" thickBot="1">
      <c r="B21" s="306" t="s">
        <v>930</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R21" s="5"/>
      <c r="S21" s="42"/>
      <c r="T21" s="42"/>
      <c r="U21" s="42"/>
      <c r="V21" s="42"/>
      <c r="W21" s="42"/>
      <c r="X21" s="42"/>
      <c r="Y21" s="42"/>
      <c r="Z21" s="42"/>
      <c r="AA21" s="42"/>
    </row>
    <row r="22" spans="2:27" ht="12.6" thickTop="1">
      <c r="B22" s="5"/>
      <c r="C22" s="257"/>
      <c r="D22" s="17"/>
      <c r="E22" s="17"/>
      <c r="F22" s="17"/>
      <c r="G22" s="17"/>
      <c r="H22" s="17"/>
      <c r="I22" s="17"/>
      <c r="P22" s="277"/>
      <c r="R22" s="5"/>
      <c r="S22" s="42"/>
      <c r="T22" s="42"/>
      <c r="U22" s="42"/>
      <c r="V22" s="42"/>
      <c r="W22" s="42"/>
      <c r="X22" s="42"/>
      <c r="Y22" s="42"/>
      <c r="Z22" s="42"/>
      <c r="AA22" s="42"/>
    </row>
    <row r="23" spans="2:27" ht="12.6" thickBot="1">
      <c r="B23" s="5" t="s">
        <v>579</v>
      </c>
      <c r="C23" s="544">
        <v>10955.145341281739</v>
      </c>
      <c r="D23" s="536">
        <v>11351.235827260976</v>
      </c>
      <c r="E23" s="536">
        <v>11745.997095869123</v>
      </c>
      <c r="F23" s="536">
        <v>12137.58780146778</v>
      </c>
      <c r="G23" s="536">
        <v>12524.008022020535</v>
      </c>
      <c r="H23" s="279">
        <f t="shared" ref="H23:H32" si="3">IF(D23=0,"nm",IF(G23=0,"nm",(G23/D23)^(1/3)-1))</f>
        <v>3.3316577648039525E-2</v>
      </c>
      <c r="I23" s="247"/>
      <c r="J23" s="306" t="s">
        <v>9</v>
      </c>
      <c r="K23" s="306"/>
      <c r="L23" s="265" t="str">
        <f>D21</f>
        <v>2023E</v>
      </c>
      <c r="M23" s="265" t="str">
        <f t="shared" ref="M23:P23" si="4">E21</f>
        <v>2024E</v>
      </c>
      <c r="N23" s="265" t="str">
        <f t="shared" si="4"/>
        <v>2025E</v>
      </c>
      <c r="O23" s="265" t="str">
        <f t="shared" si="4"/>
        <v>2026E</v>
      </c>
      <c r="P23" s="265" t="str">
        <f t="shared" si="4"/>
        <v>23E-26E</v>
      </c>
      <c r="R23" s="5"/>
      <c r="S23" s="42"/>
      <c r="T23" s="42"/>
      <c r="U23" s="42"/>
      <c r="V23" s="42"/>
      <c r="W23" s="42"/>
      <c r="X23" s="42"/>
      <c r="Y23" s="42"/>
      <c r="Z23" s="42"/>
      <c r="AA23" s="42"/>
    </row>
    <row r="24" spans="2:27" ht="12.6" thickTop="1">
      <c r="B24" s="5" t="s">
        <v>478</v>
      </c>
      <c r="C24" s="545">
        <v>3040.052832205683</v>
      </c>
      <c r="D24" s="536">
        <v>3206.7241212012264</v>
      </c>
      <c r="E24" s="536">
        <v>3318.2441795830277</v>
      </c>
      <c r="F24" s="536">
        <v>3428.8685539146481</v>
      </c>
      <c r="G24" s="536">
        <v>3538.0322662208014</v>
      </c>
      <c r="H24" s="279">
        <f t="shared" si="3"/>
        <v>3.3316577648039525E-2</v>
      </c>
      <c r="I24" s="249"/>
      <c r="J24" s="17"/>
      <c r="K24" s="17"/>
      <c r="L24" s="17"/>
      <c r="M24" s="17"/>
      <c r="N24" s="17"/>
      <c r="O24" s="248"/>
      <c r="R24" s="5"/>
      <c r="S24" s="42"/>
      <c r="T24" s="42"/>
      <c r="U24" s="42"/>
      <c r="V24" s="42"/>
      <c r="W24" s="42" t="s">
        <v>828</v>
      </c>
      <c r="X24" s="42"/>
      <c r="Y24" s="42"/>
      <c r="Z24" s="42"/>
      <c r="AA24" s="42"/>
    </row>
    <row r="25" spans="2:27">
      <c r="B25" s="5" t="s">
        <v>179</v>
      </c>
      <c r="C25" s="544">
        <v>2433.8953099663368</v>
      </c>
      <c r="D25" s="536">
        <v>2568.3417523042735</v>
      </c>
      <c r="E25" s="536">
        <v>2688.6462832905058</v>
      </c>
      <c r="F25" s="536">
        <v>2767.2640194917722</v>
      </c>
      <c r="G25" s="536">
        <v>2889.8395853509401</v>
      </c>
      <c r="H25" s="279">
        <f t="shared" si="3"/>
        <v>4.009651517345092E-2</v>
      </c>
      <c r="I25" s="248"/>
      <c r="J25" s="247" t="s">
        <v>10</v>
      </c>
      <c r="K25" s="247"/>
      <c r="L25" s="321">
        <v>0</v>
      </c>
      <c r="M25" s="321">
        <v>0</v>
      </c>
      <c r="N25" s="321">
        <v>0</v>
      </c>
      <c r="O25" s="321">
        <v>0</v>
      </c>
      <c r="P25" s="279" t="str">
        <f>IF(L25=0,"nm",IF(O25=0,"nm",(O25/L25)^(1/3)-1))</f>
        <v>nm</v>
      </c>
      <c r="R25" s="5"/>
      <c r="S25" s="42"/>
      <c r="T25" s="42"/>
      <c r="U25" s="42"/>
      <c r="V25" s="147" t="s">
        <v>268</v>
      </c>
      <c r="W25" s="288">
        <f>D37/L9</f>
        <v>0.20983628466738807</v>
      </c>
      <c r="X25" s="288">
        <v>1</v>
      </c>
      <c r="Y25" s="42"/>
      <c r="Z25" s="42"/>
      <c r="AA25" s="42"/>
    </row>
    <row r="26" spans="2:27">
      <c r="B26" s="5" t="s">
        <v>581</v>
      </c>
      <c r="C26" s="544">
        <v>2032.3025838218912</v>
      </c>
      <c r="D26" s="536">
        <v>2144.5653631740684</v>
      </c>
      <c r="E26" s="536">
        <v>2245.0196465475724</v>
      </c>
      <c r="F26" s="536">
        <v>2310.6654562756298</v>
      </c>
      <c r="G26" s="536">
        <v>2413.0160537680349</v>
      </c>
      <c r="H26" s="279">
        <f t="shared" si="3"/>
        <v>4.009651517345092E-2</v>
      </c>
      <c r="I26" s="249"/>
      <c r="J26" s="249" t="s">
        <v>11</v>
      </c>
      <c r="K26" s="249"/>
      <c r="L26" s="281">
        <f>D11+L25</f>
        <v>4108.9027876034479</v>
      </c>
      <c r="M26" s="281">
        <f>E11+M25</f>
        <v>4108.9027876034479</v>
      </c>
      <c r="N26" s="281">
        <f>F11+N25</f>
        <v>4108.9027876034479</v>
      </c>
      <c r="O26" s="281">
        <f>G11+O25</f>
        <v>4108.9027876034479</v>
      </c>
      <c r="P26" s="279">
        <f>IF(L26=0,"nm",IF(O26=0,"nm",(O26/L26)^(1/3)-1))</f>
        <v>0</v>
      </c>
      <c r="Q26" s="5"/>
      <c r="R26" s="5"/>
      <c r="S26" s="42"/>
      <c r="T26" s="42"/>
      <c r="U26" s="42"/>
      <c r="V26" s="147" t="s">
        <v>180</v>
      </c>
      <c r="W26" s="288">
        <f t="shared" ref="W26:W33" si="5">D38/L10</f>
        <v>0.29897438703257306</v>
      </c>
      <c r="X26" s="288">
        <v>1</v>
      </c>
      <c r="Y26" s="42"/>
      <c r="Z26" s="42"/>
      <c r="AA26" s="42"/>
    </row>
    <row r="27" spans="2:27">
      <c r="B27" s="5" t="s">
        <v>582</v>
      </c>
      <c r="C27" s="545">
        <v>15289.725392769029</v>
      </c>
      <c r="D27" s="536">
        <v>14047.681514008114</v>
      </c>
      <c r="E27" s="536">
        <v>12754.231565874934</v>
      </c>
      <c r="F27" s="536">
        <v>11453.667472345143</v>
      </c>
      <c r="G27" s="536">
        <v>10101.103794344775</v>
      </c>
      <c r="H27" s="279">
        <f t="shared" si="3"/>
        <v>-0.10410992137637043</v>
      </c>
      <c r="I27" s="249"/>
      <c r="J27" s="248"/>
      <c r="K27" s="248"/>
      <c r="L27" s="248"/>
      <c r="M27" s="248"/>
      <c r="N27" s="248"/>
      <c r="O27" s="248"/>
      <c r="Q27" s="41"/>
      <c r="R27" s="5"/>
      <c r="S27" s="42"/>
      <c r="T27" s="42"/>
      <c r="U27" s="42"/>
      <c r="V27" s="147" t="s">
        <v>181</v>
      </c>
      <c r="W27" s="288">
        <f t="shared" si="5"/>
        <v>0.22527943507871273</v>
      </c>
      <c r="X27" s="288">
        <v>1</v>
      </c>
      <c r="Y27" s="42"/>
      <c r="Z27" s="42"/>
      <c r="AA27" s="42"/>
    </row>
    <row r="28" spans="2:27" ht="12.6" thickBot="1">
      <c r="B28" s="5" t="s">
        <v>587</v>
      </c>
      <c r="C28" s="544">
        <v>4219.917771056922</v>
      </c>
      <c r="D28" s="536">
        <v>3750.4983702414302</v>
      </c>
      <c r="E28" s="536">
        <v>3278.7244318765152</v>
      </c>
      <c r="F28" s="536">
        <v>2847.8937827008813</v>
      </c>
      <c r="G28" s="536">
        <v>2412.127707976475</v>
      </c>
      <c r="H28" s="279">
        <f t="shared" si="3"/>
        <v>-0.13681522394659529</v>
      </c>
      <c r="I28" s="248"/>
      <c r="J28" s="306" t="s">
        <v>1352</v>
      </c>
      <c r="K28" s="306"/>
      <c r="L28" s="306"/>
      <c r="M28" s="306"/>
      <c r="N28" s="266"/>
      <c r="O28" s="266"/>
      <c r="P28" s="266"/>
      <c r="Q28" s="5"/>
      <c r="R28" s="5"/>
      <c r="S28" s="42"/>
      <c r="T28" s="42"/>
      <c r="U28" s="42"/>
      <c r="V28" s="147" t="s">
        <v>461</v>
      </c>
      <c r="W28" s="288">
        <f t="shared" si="5"/>
        <v>0.21583658450655116</v>
      </c>
      <c r="X28" s="288">
        <v>1</v>
      </c>
      <c r="Y28" s="42"/>
      <c r="Z28" s="42"/>
      <c r="AA28" s="42"/>
    </row>
    <row r="29" spans="2:27" ht="12.6" thickTop="1">
      <c r="B29" s="5" t="s">
        <v>583</v>
      </c>
      <c r="C29" s="544">
        <v>1869.6823683653115</v>
      </c>
      <c r="D29" s="536">
        <v>2005.6595701900183</v>
      </c>
      <c r="E29" s="536">
        <v>2114.1479010039757</v>
      </c>
      <c r="F29" s="536">
        <v>2180.1781886856315</v>
      </c>
      <c r="G29" s="536">
        <v>2290.5164404911093</v>
      </c>
      <c r="H29" s="279">
        <f t="shared" si="3"/>
        <v>4.5262567078461435E-2</v>
      </c>
      <c r="I29" s="252"/>
      <c r="J29" s="249"/>
      <c r="K29" s="249"/>
      <c r="L29" s="249"/>
      <c r="M29" s="249"/>
      <c r="N29" s="249"/>
      <c r="O29" s="251"/>
      <c r="Q29" s="5"/>
      <c r="R29" s="5"/>
      <c r="S29" s="42"/>
      <c r="T29" s="42"/>
      <c r="U29" s="42"/>
      <c r="V29" s="147" t="s">
        <v>525</v>
      </c>
      <c r="W29" s="288">
        <f t="shared" si="5"/>
        <v>0.31453424824158221</v>
      </c>
      <c r="X29" s="288">
        <v>1</v>
      </c>
      <c r="Y29" s="42"/>
      <c r="Z29" s="42"/>
      <c r="AA29" s="42"/>
    </row>
    <row r="30" spans="2:27">
      <c r="B30" s="5" t="s">
        <v>584</v>
      </c>
      <c r="C30" s="545">
        <v>365.88417132859536</v>
      </c>
      <c r="D30" s="536">
        <v>500.14201331738337</v>
      </c>
      <c r="E30" s="536">
        <v>564.61727951791829</v>
      </c>
      <c r="F30" s="536">
        <v>630.76549986613429</v>
      </c>
      <c r="G30" s="536">
        <v>696.15947673057428</v>
      </c>
      <c r="H30" s="279">
        <f t="shared" si="3"/>
        <v>0.1165336092763567</v>
      </c>
      <c r="I30" s="254"/>
      <c r="J30" s="248"/>
      <c r="K30" s="248"/>
      <c r="L30" s="248"/>
      <c r="M30" s="248"/>
      <c r="N30" s="248"/>
      <c r="O30" s="5"/>
      <c r="Q30" s="5"/>
      <c r="R30" s="5"/>
      <c r="S30" s="42"/>
      <c r="T30" s="42"/>
      <c r="U30" s="42"/>
      <c r="V30" s="147" t="s">
        <v>588</v>
      </c>
      <c r="W30" s="288">
        <f t="shared" si="5"/>
        <v>0.53882386374514502</v>
      </c>
      <c r="X30" s="288">
        <v>1</v>
      </c>
      <c r="Y30" s="42"/>
      <c r="Z30" s="42"/>
      <c r="AA30" s="42"/>
    </row>
    <row r="31" spans="2:27">
      <c r="B31" s="5" t="s">
        <v>585</v>
      </c>
      <c r="C31" s="545">
        <v>1414.7966261753495</v>
      </c>
      <c r="D31" s="536">
        <v>1548.6157113880918</v>
      </c>
      <c r="E31" s="536">
        <v>1665.9062187283275</v>
      </c>
      <c r="F31" s="536">
        <v>1738.9899141879225</v>
      </c>
      <c r="G31" s="536">
        <v>1857.8851850337901</v>
      </c>
      <c r="H31" s="279">
        <f t="shared" si="3"/>
        <v>6.2572087987454283E-2</v>
      </c>
      <c r="I31" s="254"/>
      <c r="J31" s="252"/>
      <c r="K31" s="252"/>
      <c r="L31" s="252"/>
      <c r="M31" s="252"/>
      <c r="N31" s="252"/>
      <c r="O31" s="5"/>
      <c r="Q31" s="5"/>
      <c r="R31" s="5"/>
      <c r="S31" s="42"/>
      <c r="T31" s="42"/>
      <c r="U31" s="42"/>
      <c r="V31" s="147" t="s">
        <v>470</v>
      </c>
      <c r="W31" s="288">
        <f t="shared" si="5"/>
        <v>6.3143638855718179E-2</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R32" s="5"/>
      <c r="S32" s="42"/>
      <c r="T32" s="42"/>
      <c r="U32" s="42"/>
      <c r="V32" s="147" t="s">
        <v>528</v>
      </c>
      <c r="W32" s="288">
        <f t="shared" si="5"/>
        <v>0.24882773042192233</v>
      </c>
      <c r="X32" s="288">
        <v>1</v>
      </c>
      <c r="Y32" s="42"/>
      <c r="Z32" s="42"/>
      <c r="AA32" s="42"/>
    </row>
    <row r="33" spans="2:27">
      <c r="B33" s="5" t="s">
        <v>5</v>
      </c>
      <c r="C33" s="545">
        <v>377.27045977884671</v>
      </c>
      <c r="D33" s="536">
        <v>352.26462994311999</v>
      </c>
      <c r="E33" s="536">
        <v>351.56894677620789</v>
      </c>
      <c r="F33" s="536">
        <v>351.03366058400212</v>
      </c>
      <c r="G33" s="536">
        <v>350.41755717938645</v>
      </c>
      <c r="H33" s="279">
        <f>IF(D33=0,"nm",IF(G33=0,"nm",(G33/D33)^(1/3)-1))</f>
        <v>-1.7508717141235808E-3</v>
      </c>
      <c r="I33" s="5"/>
      <c r="J33" s="254"/>
      <c r="K33" s="254"/>
      <c r="L33" s="254"/>
      <c r="M33" s="254"/>
      <c r="N33" s="254"/>
      <c r="O33" s="251"/>
      <c r="Q33" s="5"/>
      <c r="R33" s="5"/>
      <c r="S33" s="42"/>
      <c r="T33" s="42"/>
      <c r="U33" s="42"/>
      <c r="V33" s="147" t="s">
        <v>575</v>
      </c>
      <c r="W33" s="288">
        <f t="shared" si="5"/>
        <v>33.244659383319849</v>
      </c>
      <c r="X33" s="288">
        <v>1</v>
      </c>
      <c r="Y33" s="42"/>
      <c r="Z33" s="42"/>
      <c r="AA33" s="42"/>
    </row>
    <row r="34" spans="2:27">
      <c r="H34" s="277"/>
      <c r="I34" s="49"/>
      <c r="J34" s="254"/>
      <c r="K34" s="254"/>
      <c r="L34" s="254"/>
      <c r="M34" s="254"/>
      <c r="N34" s="254"/>
      <c r="O34" s="251"/>
      <c r="Q34" s="5"/>
      <c r="R34" s="5"/>
      <c r="S34" s="42"/>
      <c r="T34" s="42"/>
      <c r="U34" s="42"/>
      <c r="V34" s="147" t="s">
        <v>576</v>
      </c>
      <c r="W34" s="288">
        <f>D47/L19</f>
        <v>15.836908010401142</v>
      </c>
      <c r="X34" s="288">
        <v>1</v>
      </c>
      <c r="Y34" s="288"/>
      <c r="Z34" s="288"/>
      <c r="AA34" s="42"/>
    </row>
    <row r="35" spans="2:27" ht="12.6" thickBot="1">
      <c r="B35" s="306" t="s">
        <v>829</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R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R36" s="5"/>
      <c r="S36" s="42"/>
      <c r="T36" s="42"/>
      <c r="U36" s="42"/>
      <c r="V36" s="42"/>
      <c r="W36" s="42"/>
      <c r="X36" s="42"/>
      <c r="Y36" s="288"/>
      <c r="Z36" s="288"/>
      <c r="AA36" s="42"/>
    </row>
    <row r="37" spans="2:27">
      <c r="B37" s="5" t="s">
        <v>268</v>
      </c>
      <c r="C37" s="247"/>
      <c r="D37" s="525">
        <f>D$18/D23</f>
        <v>1.0071012685639682</v>
      </c>
      <c r="E37" s="525">
        <f t="shared" ref="E37:G41" si="7">E$18/E23</f>
        <v>0.83695653121222813</v>
      </c>
      <c r="F37" s="525">
        <f t="shared" si="7"/>
        <v>0.67226699662370459</v>
      </c>
      <c r="G37" s="525">
        <f t="shared" si="7"/>
        <v>0.50896252043182755</v>
      </c>
      <c r="H37" s="17">
        <f t="shared" ref="H37:H45" si="8">H23</f>
        <v>3.3316577648039525E-2</v>
      </c>
      <c r="I37" s="5"/>
      <c r="J37" s="259"/>
      <c r="K37" s="259"/>
      <c r="L37" s="259"/>
      <c r="M37" s="259"/>
      <c r="N37" s="259"/>
      <c r="O37" s="18"/>
      <c r="Q37" s="5"/>
      <c r="R37" s="5"/>
      <c r="S37" s="42"/>
      <c r="T37" s="42"/>
      <c r="U37" s="42"/>
      <c r="V37" s="42"/>
      <c r="W37" s="288"/>
      <c r="X37" s="288"/>
      <c r="Y37" s="42"/>
      <c r="Z37" s="42"/>
      <c r="AA37" s="42"/>
    </row>
    <row r="38" spans="2:27">
      <c r="B38" s="5" t="s">
        <v>180</v>
      </c>
      <c r="C38" s="247"/>
      <c r="D38" s="525">
        <f>D$18/D24</f>
        <v>3.5649602427043114</v>
      </c>
      <c r="E38" s="525">
        <f t="shared" si="7"/>
        <v>2.9626779865919577</v>
      </c>
      <c r="F38" s="525">
        <f t="shared" si="7"/>
        <v>2.3797061827387771</v>
      </c>
      <c r="G38" s="525">
        <f t="shared" si="7"/>
        <v>1.8016372404666461</v>
      </c>
      <c r="H38" s="17">
        <f t="shared" si="8"/>
        <v>3.3316577648039525E-2</v>
      </c>
      <c r="I38" s="259"/>
      <c r="J38" s="17"/>
      <c r="K38" s="17"/>
      <c r="L38" s="17"/>
      <c r="M38" s="17"/>
      <c r="N38" s="17"/>
      <c r="O38" s="5"/>
      <c r="Q38" s="5"/>
      <c r="R38" s="5"/>
      <c r="S38" s="42"/>
      <c r="T38" s="42"/>
      <c r="U38" s="42"/>
      <c r="V38" s="42"/>
      <c r="W38" s="288"/>
      <c r="X38" s="288"/>
      <c r="Y38" s="42"/>
      <c r="Z38" s="42"/>
      <c r="AA38" s="42"/>
    </row>
    <row r="39" spans="2:27">
      <c r="B39" s="5" t="s">
        <v>181</v>
      </c>
      <c r="C39" s="247"/>
      <c r="D39" s="525">
        <f>D$18/D25</f>
        <v>4.4510602964526944</v>
      </c>
      <c r="E39" s="525">
        <f t="shared" si="7"/>
        <v>3.6564456418402389</v>
      </c>
      <c r="F39" s="525">
        <f t="shared" si="7"/>
        <v>2.9486524018217262</v>
      </c>
      <c r="G39" s="525">
        <f t="shared" si="7"/>
        <v>2.2057455095805651</v>
      </c>
      <c r="H39" s="17">
        <f t="shared" si="8"/>
        <v>4.009651517345092E-2</v>
      </c>
      <c r="I39" s="17"/>
      <c r="J39" s="5"/>
      <c r="K39" s="5"/>
      <c r="L39" s="5"/>
      <c r="M39" s="5"/>
      <c r="N39" s="5"/>
      <c r="O39" s="5"/>
      <c r="Q39" s="5"/>
      <c r="R39" s="5"/>
      <c r="S39" s="42"/>
      <c r="T39" s="42"/>
      <c r="U39" s="42"/>
      <c r="V39" s="42"/>
      <c r="W39" s="288"/>
      <c r="X39" s="288"/>
      <c r="Y39" s="42"/>
      <c r="Z39" s="42"/>
      <c r="AA39" s="42"/>
    </row>
    <row r="40" spans="2:27">
      <c r="B40" s="5" t="s">
        <v>461</v>
      </c>
      <c r="C40" s="247"/>
      <c r="D40" s="525">
        <f>D$18/D26</f>
        <v>5.3306111334762809</v>
      </c>
      <c r="E40" s="525">
        <f t="shared" si="7"/>
        <v>4.3789768165751362</v>
      </c>
      <c r="F40" s="525">
        <f t="shared" si="7"/>
        <v>3.5313202417026659</v>
      </c>
      <c r="G40" s="525">
        <f t="shared" si="7"/>
        <v>2.6416113887192401</v>
      </c>
      <c r="H40" s="17">
        <f t="shared" si="8"/>
        <v>4.009651517345092E-2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0.81378866612285083</v>
      </c>
      <c r="E41" s="525">
        <f t="shared" si="7"/>
        <v>0.77079429946143785</v>
      </c>
      <c r="F41" s="525">
        <f t="shared" si="7"/>
        <v>0.71240934113469212</v>
      </c>
      <c r="G41" s="525">
        <f t="shared" si="7"/>
        <v>0.63104496484480244</v>
      </c>
      <c r="H41" s="17">
        <f t="shared" si="8"/>
        <v>-0.10410992137637043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3.0480866468600527</v>
      </c>
      <c r="E42" s="525">
        <f>E18/E28</f>
        <v>2.9983883029050435</v>
      </c>
      <c r="F42" s="525">
        <f>F18/F28</f>
        <v>2.8651699537090085</v>
      </c>
      <c r="G42" s="525">
        <f>G18/G28</f>
        <v>2.6425842494646914</v>
      </c>
      <c r="H42" s="17">
        <f t="shared" si="8"/>
        <v>-0.13681522394659529</v>
      </c>
      <c r="I42" s="248"/>
      <c r="J42" s="5"/>
      <c r="K42" s="5"/>
      <c r="L42" s="5"/>
      <c r="M42" s="5"/>
      <c r="N42" s="5"/>
      <c r="O42" s="5"/>
      <c r="Q42" s="5"/>
      <c r="R42" s="5"/>
      <c r="S42" s="42"/>
      <c r="T42" s="42"/>
      <c r="U42" s="42"/>
      <c r="V42" s="42"/>
      <c r="W42" s="288"/>
      <c r="X42" s="288"/>
      <c r="Y42" s="288"/>
      <c r="Z42" s="288"/>
      <c r="AA42" s="42"/>
    </row>
    <row r="43" spans="2:27">
      <c r="B43" s="5" t="s">
        <v>470</v>
      </c>
      <c r="C43" s="247"/>
      <c r="D43" s="525">
        <f>L26/D29</f>
        <v>2.0486541428434766</v>
      </c>
      <c r="E43" s="525">
        <f>M26/E29</f>
        <v>1.9435266499813917</v>
      </c>
      <c r="F43" s="525">
        <f>N26/F29</f>
        <v>1.8846637439669969</v>
      </c>
      <c r="G43" s="525">
        <f>O26/G29</f>
        <v>1.7938761385718143</v>
      </c>
      <c r="H43" s="17">
        <f t="shared" si="8"/>
        <v>4.5262567078461435E-2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8.2154721622956188</v>
      </c>
      <c r="E44" s="525">
        <f>E11/E30</f>
        <v>7.2773238380371792</v>
      </c>
      <c r="F44" s="525">
        <f>F11/F30</f>
        <v>6.5141527056813819</v>
      </c>
      <c r="G44" s="525">
        <f>G11/G30</f>
        <v>5.9022435590482729</v>
      </c>
      <c r="H44" s="17">
        <f t="shared" si="8"/>
        <v>0.1165336092763567</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0.37689275980445741</v>
      </c>
      <c r="E45" s="248">
        <f>E31/E11</f>
        <v>0.40543821668265395</v>
      </c>
      <c r="F45" s="248">
        <f>F31/F11</f>
        <v>0.42322488607772663</v>
      </c>
      <c r="G45" s="248">
        <f>G31/G11</f>
        <v>0.45216090062754133</v>
      </c>
      <c r="H45" s="17">
        <f t="shared" si="8"/>
        <v>6.2572087987454283E-2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0.37689275980445741</v>
      </c>
      <c r="E46" s="248">
        <f>(E31+E32)/E11</f>
        <v>0.40543821668265395</v>
      </c>
      <c r="F46" s="248">
        <f>(F31+F32)/F11</f>
        <v>0.42322488607772663</v>
      </c>
      <c r="G46" s="248">
        <f>(G31+G32)/G11</f>
        <v>0.45216090062754133</v>
      </c>
      <c r="H46" s="279">
        <f>((G31+G32)/(D31+D32))^(1/3)-1</f>
        <v>6.2572087987454283E-2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0.48812533999127206</v>
      </c>
      <c r="E47" s="248">
        <f>1/E43</f>
        <v>0.5145285761888444</v>
      </c>
      <c r="F47" s="248">
        <f>1/F43</f>
        <v>0.53059862970309857</v>
      </c>
      <c r="G47" s="248">
        <f>1/G43</f>
        <v>0.55745208852387385</v>
      </c>
      <c r="H47" s="17">
        <f>H29</f>
        <v>4.5262567078461435E-2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0.77212291378111308</v>
      </c>
      <c r="E48" s="305">
        <f>E31/E29</f>
        <v>0.78797997904366801</v>
      </c>
      <c r="F48" s="305">
        <f>F31/F29</f>
        <v>0.79763659833525391</v>
      </c>
      <c r="G48" s="305">
        <f>G31/G29</f>
        <v>0.81112065043088766</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247"/>
      <c r="D60" s="249"/>
      <c r="E60" s="249"/>
      <c r="F60" s="249"/>
      <c r="G60" s="249"/>
      <c r="H60" s="249"/>
      <c r="I60" s="249"/>
      <c r="J60" s="17"/>
      <c r="K60" s="17"/>
      <c r="L60" s="17"/>
      <c r="M60" s="17"/>
      <c r="N60" s="17"/>
      <c r="O60" s="251"/>
      <c r="Q60" s="5"/>
      <c r="R60" s="5"/>
      <c r="S60" s="5"/>
    </row>
    <row r="61" spans="2:27">
      <c r="B61" s="5"/>
      <c r="C61" s="249"/>
      <c r="D61" s="249"/>
      <c r="E61" s="249"/>
      <c r="F61" s="249"/>
      <c r="G61" s="249"/>
      <c r="H61" s="249"/>
      <c r="I61" s="5"/>
      <c r="J61" s="5"/>
      <c r="K61" s="5"/>
      <c r="L61" s="5"/>
      <c r="M61" s="5"/>
      <c r="N61" s="5"/>
      <c r="O61" s="5"/>
      <c r="Q61" s="41"/>
      <c r="R61" s="5"/>
      <c r="S61" s="5"/>
    </row>
    <row r="62" spans="2:27">
      <c r="B62" s="41"/>
      <c r="C62" s="247"/>
      <c r="D62" s="249"/>
      <c r="E62" s="249"/>
      <c r="F62" s="249"/>
      <c r="G62" s="249"/>
      <c r="H62" s="249"/>
      <c r="I62" s="5"/>
      <c r="J62" s="249"/>
      <c r="K62" s="249"/>
      <c r="L62" s="249"/>
      <c r="M62" s="249"/>
      <c r="N62" s="249"/>
      <c r="O62" s="251"/>
      <c r="Q62" s="5"/>
      <c r="R62" s="5"/>
      <c r="S62" s="5"/>
    </row>
    <row r="63" spans="2:27">
      <c r="B63" s="5"/>
      <c r="C63" s="247"/>
      <c r="D63" s="249"/>
      <c r="E63" s="249"/>
      <c r="F63" s="249"/>
      <c r="G63" s="249"/>
      <c r="H63" s="249"/>
      <c r="I63" s="254"/>
      <c r="J63" s="5"/>
      <c r="K63" s="5"/>
      <c r="L63" s="5"/>
      <c r="M63" s="5"/>
      <c r="N63" s="5"/>
      <c r="O63" s="5"/>
      <c r="Q63" s="5"/>
      <c r="R63" s="5"/>
      <c r="S63" s="5"/>
    </row>
    <row r="64" spans="2:27">
      <c r="B64" s="5"/>
      <c r="C64" s="249"/>
      <c r="D64" s="249"/>
      <c r="E64" s="249"/>
      <c r="F64" s="249"/>
      <c r="G64" s="249"/>
      <c r="H64" s="249"/>
      <c r="I64" s="17"/>
      <c r="J64" s="5"/>
      <c r="K64" s="5"/>
      <c r="L64" s="5"/>
      <c r="M64" s="5"/>
      <c r="N64" s="5"/>
      <c r="O64" s="5"/>
      <c r="Q64" s="5"/>
      <c r="R64" s="5"/>
      <c r="S64" s="5"/>
    </row>
    <row r="65" spans="2:26">
      <c r="B65" s="41"/>
      <c r="C65" s="247"/>
      <c r="D65" s="249"/>
      <c r="E65" s="249"/>
      <c r="F65" s="249"/>
      <c r="G65" s="249"/>
      <c r="H65" s="249"/>
      <c r="I65" s="254"/>
      <c r="J65" s="254"/>
      <c r="K65" s="254"/>
      <c r="L65" s="254"/>
      <c r="M65" s="254"/>
      <c r="N65" s="254"/>
      <c r="O65" s="251"/>
      <c r="Q65" s="5"/>
      <c r="R65" s="5"/>
      <c r="S65" s="5"/>
    </row>
    <row r="66" spans="2:26">
      <c r="B66" s="5"/>
      <c r="C66" s="247"/>
      <c r="D66" s="249"/>
      <c r="E66" s="249"/>
      <c r="F66" s="249"/>
      <c r="G66" s="249"/>
      <c r="H66" s="249"/>
      <c r="I66" s="248"/>
      <c r="J66" s="17"/>
      <c r="K66" s="17"/>
      <c r="L66" s="17"/>
      <c r="M66" s="17"/>
      <c r="N66" s="17"/>
      <c r="O66" s="5"/>
      <c r="Q66" s="5"/>
      <c r="R66" s="5"/>
      <c r="S66" s="5"/>
    </row>
    <row r="67" spans="2:26">
      <c r="B67" s="41"/>
      <c r="C67" s="249"/>
      <c r="D67" s="249"/>
      <c r="E67" s="249"/>
      <c r="F67" s="249"/>
      <c r="G67" s="249"/>
      <c r="H67" s="249"/>
      <c r="I67" s="5"/>
      <c r="J67" s="254"/>
      <c r="K67" s="254"/>
      <c r="L67" s="254"/>
      <c r="M67" s="254"/>
      <c r="N67" s="254"/>
      <c r="O67" s="251"/>
      <c r="Q67" s="41"/>
      <c r="R67" s="5"/>
      <c r="S67" s="5"/>
    </row>
    <row r="68" spans="2:26">
      <c r="B68" s="5"/>
      <c r="C68" s="249"/>
      <c r="D68" s="249"/>
      <c r="E68" s="249"/>
      <c r="F68" s="249"/>
      <c r="G68" s="249"/>
      <c r="H68" s="249"/>
      <c r="I68" s="245"/>
      <c r="J68" s="248"/>
      <c r="K68" s="248"/>
      <c r="L68" s="248"/>
      <c r="M68" s="248"/>
      <c r="N68" s="248"/>
      <c r="O68" s="5"/>
      <c r="Q68" s="5"/>
      <c r="R68" s="5"/>
      <c r="S68" s="5"/>
    </row>
    <row r="69" spans="2:26">
      <c r="B69" s="41"/>
      <c r="D69" s="249"/>
      <c r="E69" s="249"/>
      <c r="F69" s="249"/>
      <c r="G69" s="249"/>
      <c r="H69" s="249"/>
      <c r="I69" s="248"/>
      <c r="J69" s="5"/>
      <c r="K69" s="5"/>
      <c r="L69" s="5"/>
      <c r="M69" s="5"/>
      <c r="N69" s="5"/>
      <c r="O69" s="5"/>
      <c r="Q69" s="5"/>
      <c r="R69" s="5"/>
      <c r="S69" s="5"/>
    </row>
    <row r="70" spans="2:26">
      <c r="B70" s="41"/>
      <c r="C70" s="249"/>
      <c r="D70" s="249"/>
      <c r="E70" s="249"/>
      <c r="F70" s="249"/>
      <c r="G70" s="249"/>
      <c r="H70" s="249"/>
      <c r="I70" s="5"/>
      <c r="J70" s="245"/>
      <c r="K70" s="245"/>
      <c r="L70" s="245"/>
      <c r="M70" s="245"/>
      <c r="N70" s="245"/>
      <c r="O70" s="251"/>
      <c r="Q70" s="5"/>
      <c r="R70" s="5"/>
      <c r="S70" s="5"/>
      <c r="W70" s="76"/>
      <c r="X70" s="76"/>
    </row>
    <row r="71" spans="2:26">
      <c r="B71" s="5"/>
      <c r="C71" s="5"/>
      <c r="D71" s="249"/>
      <c r="E71" s="249"/>
      <c r="F71" s="249"/>
      <c r="G71" s="249"/>
      <c r="H71" s="249"/>
      <c r="I71" s="245"/>
      <c r="J71" s="248"/>
      <c r="K71" s="248"/>
      <c r="L71" s="248"/>
      <c r="M71" s="248"/>
      <c r="N71" s="248"/>
      <c r="O71" s="5"/>
      <c r="Q71" s="5"/>
      <c r="R71" s="5"/>
      <c r="S71" s="5"/>
      <c r="W71" s="76"/>
      <c r="X71" s="76"/>
      <c r="Y71" s="76"/>
      <c r="Z71" s="76"/>
    </row>
    <row r="72" spans="2:26">
      <c r="B72" s="41"/>
      <c r="C72" s="5"/>
      <c r="D72" s="249"/>
      <c r="E72" s="249"/>
      <c r="F72" s="249"/>
      <c r="G72" s="249"/>
      <c r="H72" s="249"/>
      <c r="I72" s="18"/>
      <c r="J72" s="5"/>
      <c r="K72" s="5"/>
      <c r="L72" s="5"/>
      <c r="M72" s="5"/>
      <c r="N72" s="5"/>
      <c r="O72" s="5"/>
      <c r="Q72" s="5"/>
      <c r="R72" s="5"/>
      <c r="S72" s="5"/>
      <c r="Y72" s="76"/>
      <c r="Z72" s="76"/>
    </row>
    <row r="73" spans="2:26">
      <c r="B73" s="41"/>
      <c r="C73" s="245"/>
      <c r="D73" s="249"/>
      <c r="E73" s="249"/>
      <c r="F73" s="249"/>
      <c r="G73" s="249"/>
      <c r="H73" s="249"/>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1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86</v>
      </c>
      <c r="C9" s="285">
        <f>Prices!C86</f>
        <v>13.36</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42"/>
      <c r="T9" s="42"/>
      <c r="U9" s="42"/>
      <c r="V9" s="42"/>
      <c r="W9" s="42"/>
      <c r="X9" s="42"/>
      <c r="Y9" s="42"/>
      <c r="Z9" s="42"/>
      <c r="AA9" s="42"/>
    </row>
    <row r="10" spans="2:44">
      <c r="B10" s="5" t="s">
        <v>269</v>
      </c>
      <c r="C10" s="5"/>
      <c r="D10" s="527">
        <v>50119.8</v>
      </c>
      <c r="E10" s="527">
        <v>69167.419047619042</v>
      </c>
      <c r="F10" s="527">
        <v>69167.419047619042</v>
      </c>
      <c r="G10" s="527">
        <v>69167.419047619042</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42"/>
      <c r="T10" s="42"/>
      <c r="U10" s="42"/>
      <c r="V10" s="42"/>
      <c r="W10" s="288"/>
      <c r="X10" s="288"/>
      <c r="Y10" s="288"/>
      <c r="Z10" s="288"/>
      <c r="AA10" s="42"/>
    </row>
    <row r="11" spans="2:44">
      <c r="B11" s="41" t="s">
        <v>270</v>
      </c>
      <c r="C11" s="5"/>
      <c r="D11" s="528">
        <f>$C$9*D10</f>
        <v>669600.52800000005</v>
      </c>
      <c r="E11" s="528">
        <f>$C$9*E10</f>
        <v>924076.71847619035</v>
      </c>
      <c r="F11" s="528">
        <f>$C$9*F10</f>
        <v>924076.71847619035</v>
      </c>
      <c r="G11" s="528">
        <f>$C$9*G10</f>
        <v>924076.71847619035</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42"/>
      <c r="T11" s="42"/>
      <c r="U11" s="42"/>
      <c r="V11" s="42"/>
      <c r="W11" s="288"/>
      <c r="X11" s="288"/>
      <c r="Y11" s="288"/>
      <c r="Z11" s="288"/>
      <c r="AA11" s="42"/>
    </row>
    <row r="12" spans="2:44">
      <c r="B12" s="5" t="s">
        <v>24</v>
      </c>
      <c r="C12" s="249"/>
      <c r="D12" s="529">
        <v>2074622.0000000002</v>
      </c>
      <c r="E12" s="529">
        <v>2132299.8546389351</v>
      </c>
      <c r="F12" s="529">
        <v>2361695.0660922104</v>
      </c>
      <c r="G12" s="529">
        <v>2496992.6424637493</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42"/>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42"/>
      <c r="T13" s="42"/>
      <c r="U13" s="42"/>
      <c r="V13" s="42"/>
      <c r="W13" s="42"/>
      <c r="X13" s="42"/>
      <c r="Y13" s="42"/>
      <c r="Z13" s="42"/>
      <c r="AA13" s="42"/>
    </row>
    <row r="14" spans="2:44">
      <c r="B14" s="5" t="s">
        <v>527</v>
      </c>
      <c r="C14" s="257"/>
      <c r="D14" s="529">
        <f>IDEASOP!R15</f>
        <v>0</v>
      </c>
      <c r="E14" s="529">
        <f t="shared" ref="E14:G15" si="2">D14</f>
        <v>0</v>
      </c>
      <c r="F14" s="529">
        <f t="shared" si="2"/>
        <v>0</v>
      </c>
      <c r="G14" s="529">
        <f t="shared" si="2"/>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42"/>
      <c r="T14" s="42"/>
      <c r="U14" s="42"/>
      <c r="V14" s="42"/>
      <c r="W14" s="42"/>
      <c r="X14" s="42"/>
      <c r="Y14" s="42"/>
      <c r="Z14" s="42"/>
      <c r="AA14" s="42"/>
    </row>
    <row r="15" spans="2:44">
      <c r="B15" s="5" t="s">
        <v>526</v>
      </c>
      <c r="C15" s="274"/>
      <c r="D15" s="529">
        <f>IDEASOP!$T$11</f>
        <v>0</v>
      </c>
      <c r="E15" s="529">
        <f t="shared" si="2"/>
        <v>0</v>
      </c>
      <c r="F15" s="529">
        <f t="shared" si="2"/>
        <v>0</v>
      </c>
      <c r="G15" s="529">
        <f t="shared" si="2"/>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42"/>
      <c r="T15" s="42"/>
      <c r="U15" s="42"/>
      <c r="V15" s="42"/>
      <c r="W15" s="42"/>
      <c r="X15" s="42"/>
      <c r="Y15" s="42"/>
      <c r="Z15" s="42"/>
      <c r="AA15" s="42"/>
    </row>
    <row r="16" spans="2:44">
      <c r="B16" s="5" t="s">
        <v>529</v>
      </c>
      <c r="C16" s="257"/>
      <c r="D16" s="529">
        <v>0</v>
      </c>
      <c r="E16" s="529">
        <v>0</v>
      </c>
      <c r="F16" s="529">
        <v>0</v>
      </c>
      <c r="G16" s="529">
        <v>0</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42"/>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42"/>
      <c r="T17" s="42"/>
      <c r="U17" s="42"/>
      <c r="V17" s="42"/>
      <c r="W17" s="42"/>
      <c r="X17" s="42"/>
      <c r="Y17" s="42"/>
      <c r="Z17" s="42"/>
      <c r="AA17" s="42"/>
    </row>
    <row r="18" spans="2:27" ht="12.6" thickBot="1">
      <c r="B18" s="41" t="s">
        <v>578</v>
      </c>
      <c r="C18" s="249"/>
      <c r="D18" s="530">
        <f>D11+D12+D13-D14+D15-D16-D17</f>
        <v>2744222.5280000004</v>
      </c>
      <c r="E18" s="530">
        <f>E11+E12+E13-E14+E15-E16-E17</f>
        <v>3056376.5731151253</v>
      </c>
      <c r="F18" s="530">
        <f>F11+F12+F13-F14+F15-F16-F17</f>
        <v>3285771.7845684006</v>
      </c>
      <c r="G18" s="530">
        <f>G11+G12+G13-G14+G15-G16-G17</f>
        <v>3421069.3609399395</v>
      </c>
      <c r="H18" s="276">
        <f>IF(D18=0,"nm",IF(G18=0,"nm",(G18/D18)^(1/3)-1))</f>
        <v>7.6252528391642427E-2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42"/>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42"/>
      <c r="T20" s="42"/>
      <c r="U20" s="42"/>
      <c r="V20" s="42"/>
      <c r="W20" s="42"/>
      <c r="X20" s="42"/>
      <c r="Y20" s="42"/>
      <c r="Z20" s="42"/>
      <c r="AA20" s="42"/>
    </row>
    <row r="21" spans="2:27" ht="12.6" thickBot="1">
      <c r="B21" s="306" t="s">
        <v>921</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421772</v>
      </c>
      <c r="D23" s="536">
        <v>426517</v>
      </c>
      <c r="E23" s="536">
        <v>463320.15807621344</v>
      </c>
      <c r="F23" s="536">
        <v>528412.17688102927</v>
      </c>
      <c r="G23" s="536">
        <v>578203.38773285283</v>
      </c>
      <c r="H23" s="279">
        <f t="shared" ref="H23:H32" si="4">IF(D23=0,"nm",IF(G23=0,"nm",(G23/D23)^(1/3)-1))</f>
        <v>0.10674634231514601</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478</v>
      </c>
      <c r="C24" s="545">
        <v>168170</v>
      </c>
      <c r="D24" s="536">
        <v>171260</v>
      </c>
      <c r="E24" s="536">
        <v>189563.24908512644</v>
      </c>
      <c r="F24" s="536">
        <v>222950.74835976819</v>
      </c>
      <c r="G24" s="536">
        <v>248338.65659913258</v>
      </c>
      <c r="H24" s="279">
        <f t="shared" si="4"/>
        <v>0.13186890558136688</v>
      </c>
      <c r="I24" s="249"/>
      <c r="J24" s="17"/>
      <c r="K24" s="17"/>
      <c r="L24" s="17"/>
      <c r="M24" s="17"/>
      <c r="N24" s="17"/>
      <c r="O24" s="248"/>
      <c r="S24" s="42"/>
      <c r="T24" s="42"/>
      <c r="U24" s="42"/>
      <c r="V24" s="42"/>
      <c r="W24" s="42" t="s">
        <v>207</v>
      </c>
      <c r="X24" s="42" t="s">
        <v>252</v>
      </c>
      <c r="Y24" s="42"/>
      <c r="Z24" s="42"/>
      <c r="AA24" s="42"/>
    </row>
    <row r="25" spans="2:27">
      <c r="B25" s="5" t="s">
        <v>179</v>
      </c>
      <c r="C25" s="544">
        <v>134570</v>
      </c>
      <c r="D25" s="536">
        <v>152760</v>
      </c>
      <c r="E25" s="536">
        <v>13501.589016165322</v>
      </c>
      <c r="F25" s="536">
        <v>22154.121144977049</v>
      </c>
      <c r="G25" s="536">
        <v>132697.979052562</v>
      </c>
      <c r="H25" s="279">
        <f t="shared" si="4"/>
        <v>-4.5846561559431231E-2</v>
      </c>
      <c r="I25" s="248"/>
      <c r="J25" s="247" t="s">
        <v>10</v>
      </c>
      <c r="K25" s="247"/>
      <c r="L25" s="321">
        <v>0</v>
      </c>
      <c r="M25" s="321">
        <v>0</v>
      </c>
      <c r="N25" s="321">
        <v>0</v>
      </c>
      <c r="O25" s="321">
        <v>0</v>
      </c>
      <c r="P25" s="279" t="str">
        <f>IF(L25=0,"nm",IF(O25=0,"nm",(O25/L25)^(1/3)-1))</f>
        <v>nm</v>
      </c>
      <c r="S25" s="42"/>
      <c r="T25" s="42"/>
      <c r="U25" s="42"/>
      <c r="V25" s="147" t="s">
        <v>268</v>
      </c>
      <c r="W25" s="288">
        <f>D37/L9</f>
        <v>2.9886469428917932</v>
      </c>
      <c r="X25" s="288">
        <v>1</v>
      </c>
      <c r="Y25" s="42"/>
      <c r="Z25" s="42"/>
      <c r="AA25" s="42"/>
    </row>
    <row r="26" spans="2:27">
      <c r="B26" s="5" t="s">
        <v>581</v>
      </c>
      <c r="C26" s="544">
        <v>96890.4</v>
      </c>
      <c r="D26" s="536">
        <v>109987.2</v>
      </c>
      <c r="E26" s="536">
        <v>9721.1440916390311</v>
      </c>
      <c r="F26" s="536">
        <v>15950.967224383474</v>
      </c>
      <c r="G26" s="536">
        <v>95542.544917844643</v>
      </c>
      <c r="H26" s="279">
        <f t="shared" si="4"/>
        <v>-4.5846561559431231E-2</v>
      </c>
      <c r="I26" s="249"/>
      <c r="J26" s="249" t="s">
        <v>11</v>
      </c>
      <c r="K26" s="249"/>
      <c r="L26" s="281">
        <f>D11+L25</f>
        <v>669600.52800000005</v>
      </c>
      <c r="M26" s="281">
        <f>E11+M25</f>
        <v>924076.71847619035</v>
      </c>
      <c r="N26" s="281">
        <f>F11+N25</f>
        <v>924076.71847619035</v>
      </c>
      <c r="O26" s="281">
        <f>G11+O25</f>
        <v>924076.71847619035</v>
      </c>
      <c r="P26" s="279">
        <f>IF(L26=0,"nm",IF(O26=0,"nm",(O26/L26)^(1/3)-1))</f>
        <v>0.11334752255350278</v>
      </c>
      <c r="Q26" s="5"/>
      <c r="S26" s="42"/>
      <c r="T26" s="42"/>
      <c r="U26" s="42"/>
      <c r="V26" s="147" t="s">
        <v>180</v>
      </c>
      <c r="W26" s="288">
        <f t="shared" ref="W26:W33" si="6">D38/L10</f>
        <v>2.4288805729235778</v>
      </c>
      <c r="X26" s="288">
        <v>1</v>
      </c>
      <c r="Y26" s="42"/>
      <c r="Z26" s="42"/>
      <c r="AA26" s="42"/>
    </row>
    <row r="27" spans="2:27">
      <c r="B27" s="5" t="s">
        <v>582</v>
      </c>
      <c r="C27" s="545">
        <v>1346709</v>
      </c>
      <c r="D27" s="536">
        <v>1032954.0000000002</v>
      </c>
      <c r="E27" s="536">
        <v>837902.58466197783</v>
      </c>
      <c r="F27" s="536">
        <v>833911.30761648505</v>
      </c>
      <c r="G27" s="536">
        <v>730873.23768286966</v>
      </c>
      <c r="H27" s="279">
        <f t="shared" si="4"/>
        <v>-0.10891248401383624</v>
      </c>
      <c r="I27" s="249"/>
      <c r="J27" s="248"/>
      <c r="K27" s="248"/>
      <c r="L27" s="248"/>
      <c r="M27" s="248"/>
      <c r="N27" s="248"/>
      <c r="O27" s="248"/>
      <c r="Q27" s="41"/>
      <c r="S27" s="42"/>
      <c r="T27" s="42"/>
      <c r="U27" s="42"/>
      <c r="V27" s="147" t="s">
        <v>181</v>
      </c>
      <c r="W27" s="288">
        <f t="shared" si="6"/>
        <v>1.4128998867887341</v>
      </c>
      <c r="X27" s="288">
        <v>1</v>
      </c>
      <c r="Y27" s="42"/>
      <c r="Z27" s="42"/>
      <c r="AA27" s="42"/>
    </row>
    <row r="28" spans="2:27" ht="12.6" thickBot="1">
      <c r="B28" s="5" t="s">
        <v>587</v>
      </c>
      <c r="C28" s="544">
        <v>1562552</v>
      </c>
      <c r="D28" s="536">
        <v>1401248</v>
      </c>
      <c r="E28" s="536">
        <v>1345661.6722461358</v>
      </c>
      <c r="F28" s="536">
        <v>1358718.6324967574</v>
      </c>
      <c r="G28" s="536">
        <v>1268721.3683861741</v>
      </c>
      <c r="H28" s="279">
        <f t="shared" si="4"/>
        <v>-3.2575497241350004E-2</v>
      </c>
      <c r="I28" s="248"/>
      <c r="J28" s="306" t="s">
        <v>1352</v>
      </c>
      <c r="K28" s="306"/>
      <c r="L28" s="306"/>
      <c r="M28" s="306"/>
      <c r="N28" s="266"/>
      <c r="O28" s="266"/>
      <c r="P28" s="266"/>
      <c r="Q28" s="5"/>
      <c r="S28" s="42"/>
      <c r="T28" s="42"/>
      <c r="U28" s="42"/>
      <c r="V28" s="147" t="s">
        <v>461</v>
      </c>
      <c r="W28" s="288">
        <f t="shared" si="6"/>
        <v>1.5071714556969686</v>
      </c>
      <c r="X28" s="288">
        <v>1</v>
      </c>
      <c r="Y28" s="42"/>
      <c r="Z28" s="42"/>
      <c r="AA28" s="42"/>
    </row>
    <row r="29" spans="2:27" ht="12.6" thickTop="1">
      <c r="B29" s="5" t="s">
        <v>583</v>
      </c>
      <c r="C29" s="544">
        <v>-98032</v>
      </c>
      <c r="D29" s="536">
        <v>-104473</v>
      </c>
      <c r="E29" s="536">
        <v>-249843.80457612881</v>
      </c>
      <c r="F29" s="536">
        <v>-256593.0384984109</v>
      </c>
      <c r="G29" s="536">
        <v>-165599.98111793053</v>
      </c>
      <c r="H29" s="279">
        <f t="shared" si="4"/>
        <v>0.16596470933997254</v>
      </c>
      <c r="I29" s="252"/>
      <c r="J29" s="249"/>
      <c r="K29" s="249"/>
      <c r="L29" s="249"/>
      <c r="M29" s="249"/>
      <c r="N29" s="249"/>
      <c r="O29" s="251"/>
      <c r="Q29" s="5"/>
      <c r="S29" s="42"/>
      <c r="T29" s="42"/>
      <c r="U29" s="42"/>
      <c r="V29" s="147" t="s">
        <v>525</v>
      </c>
      <c r="W29" s="288">
        <f t="shared" si="6"/>
        <v>1.7915720206428596</v>
      </c>
      <c r="X29" s="288">
        <v>1</v>
      </c>
      <c r="Y29" s="42"/>
      <c r="Z29" s="42"/>
      <c r="AA29" s="42"/>
    </row>
    <row r="30" spans="2:27">
      <c r="B30" s="5" t="s">
        <v>584</v>
      </c>
      <c r="C30" s="545">
        <v>-294929</v>
      </c>
      <c r="D30" s="536">
        <v>-312308</v>
      </c>
      <c r="E30" s="536">
        <v>-258899.13232999275</v>
      </c>
      <c r="F30" s="536">
        <v>-243536.07824778918</v>
      </c>
      <c r="G30" s="536">
        <v>-255597.2452285139</v>
      </c>
      <c r="H30" s="279">
        <f t="shared" si="4"/>
        <v>-6.4613667498900407E-2</v>
      </c>
      <c r="I30" s="254"/>
      <c r="J30" s="248"/>
      <c r="K30" s="248"/>
      <c r="L30" s="248"/>
      <c r="M30" s="248"/>
      <c r="N30" s="248"/>
      <c r="O30" s="5"/>
      <c r="Q30" s="5"/>
      <c r="S30" s="42"/>
      <c r="T30" s="42"/>
      <c r="U30" s="42"/>
      <c r="V30" s="147" t="s">
        <v>588</v>
      </c>
      <c r="W30" s="288">
        <f t="shared" si="6"/>
        <v>0.64367353992736942</v>
      </c>
      <c r="X30" s="288">
        <v>1</v>
      </c>
      <c r="Y30" s="42"/>
      <c r="Z30" s="42"/>
      <c r="AA30" s="42"/>
    </row>
    <row r="31" spans="2:27">
      <c r="B31" s="5" t="s">
        <v>585</v>
      </c>
      <c r="C31" s="545">
        <v>0</v>
      </c>
      <c r="D31" s="536">
        <v>0</v>
      </c>
      <c r="E31" s="536">
        <v>0</v>
      </c>
      <c r="F31" s="536">
        <v>0</v>
      </c>
      <c r="G31" s="536">
        <v>0</v>
      </c>
      <c r="H31" s="279" t="str">
        <f t="shared" si="4"/>
        <v>nm</v>
      </c>
      <c r="I31" s="254"/>
      <c r="J31" s="252"/>
      <c r="K31" s="252"/>
      <c r="L31" s="252"/>
      <c r="M31" s="252"/>
      <c r="N31" s="252"/>
      <c r="O31" s="5"/>
      <c r="Q31" s="5"/>
      <c r="S31" s="42"/>
      <c r="T31" s="42"/>
      <c r="U31" s="42"/>
      <c r="V31" s="147" t="s">
        <v>470</v>
      </c>
      <c r="W31" s="288">
        <f t="shared" si="6"/>
        <v>-0.32557373155827185</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42"/>
      <c r="T32" s="42"/>
      <c r="U32" s="42"/>
      <c r="V32" s="147" t="s">
        <v>528</v>
      </c>
      <c r="W32" s="288">
        <f t="shared" si="6"/>
        <v>-0.10020078627697522</v>
      </c>
      <c r="X32" s="288">
        <v>1</v>
      </c>
      <c r="Y32" s="42"/>
      <c r="Z32" s="42"/>
      <c r="AA32" s="42"/>
    </row>
    <row r="33" spans="2:27">
      <c r="B33" s="5" t="s">
        <v>5</v>
      </c>
      <c r="C33" s="545">
        <v>232602</v>
      </c>
      <c r="D33" s="536">
        <v>245759.97841327041</v>
      </c>
      <c r="E33" s="536">
        <v>257175.53123925856</v>
      </c>
      <c r="F33" s="536">
        <v>268597.56989436678</v>
      </c>
      <c r="G33" s="536">
        <v>281036.36124713288</v>
      </c>
      <c r="H33" s="279">
        <f>IF(D33=0,"nm",IF(G33=0,"nm",(G33/D33)^(1/3)-1))</f>
        <v>4.5724102069268024E-2</v>
      </c>
      <c r="I33" s="5"/>
      <c r="J33" s="254"/>
      <c r="K33" s="254"/>
      <c r="L33" s="254"/>
      <c r="M33" s="254"/>
      <c r="N33" s="254"/>
      <c r="O33" s="251"/>
      <c r="Q33" s="5"/>
      <c r="S33" s="42"/>
      <c r="T33" s="42"/>
      <c r="U33" s="42"/>
      <c r="V33" s="147" t="s">
        <v>575</v>
      </c>
      <c r="W33" s="288">
        <f t="shared" si="6"/>
        <v>0</v>
      </c>
      <c r="X33" s="288">
        <v>1</v>
      </c>
      <c r="Y33" s="42"/>
      <c r="Z33" s="42"/>
      <c r="AA33" s="42"/>
    </row>
    <row r="34" spans="2:27">
      <c r="D34" s="5"/>
      <c r="E34" s="5"/>
      <c r="F34" s="5"/>
      <c r="G34" s="5"/>
      <c r="I34" s="49"/>
      <c r="J34" s="254"/>
      <c r="K34" s="254"/>
      <c r="L34" s="254"/>
      <c r="M34" s="254"/>
      <c r="N34" s="254"/>
      <c r="O34" s="251"/>
      <c r="Q34" s="5"/>
      <c r="S34" s="42"/>
      <c r="T34" s="42"/>
      <c r="U34" s="42"/>
      <c r="V34" s="147" t="s">
        <v>576</v>
      </c>
      <c r="W34" s="288">
        <f>D47/L19</f>
        <v>-3.0715008708281428</v>
      </c>
      <c r="X34" s="288">
        <v>1</v>
      </c>
      <c r="Y34" s="288"/>
      <c r="Z34" s="288"/>
      <c r="AA34" s="42"/>
    </row>
    <row r="35" spans="2:27" ht="12.6" thickBot="1">
      <c r="B35" s="306" t="s">
        <v>230</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6.4340284865550501</v>
      </c>
      <c r="E37" s="525">
        <f t="shared" ref="E37:G41" si="8">E$18/E23</f>
        <v>6.5966837829930318</v>
      </c>
      <c r="F37" s="525">
        <f t="shared" si="8"/>
        <v>6.2181984600786064</v>
      </c>
      <c r="G37" s="525">
        <f t="shared" si="8"/>
        <v>5.9167231350096747</v>
      </c>
      <c r="H37" s="17">
        <f t="shared" ref="H37:H45" si="9">H23</f>
        <v>0.10674634231514601</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16.023721406049283</v>
      </c>
      <c r="E38" s="525">
        <f>E$18/E24</f>
        <v>16.123254839035862</v>
      </c>
      <c r="F38" s="525">
        <f t="shared" si="8"/>
        <v>14.737657571197117</v>
      </c>
      <c r="G38" s="525">
        <f t="shared" si="8"/>
        <v>13.77582293385044</v>
      </c>
      <c r="H38" s="17">
        <f t="shared" si="9"/>
        <v>0.13186890558136688</v>
      </c>
      <c r="I38" s="259"/>
      <c r="J38" s="17"/>
      <c r="K38" s="17"/>
      <c r="L38" s="17"/>
      <c r="M38" s="17"/>
      <c r="N38" s="17"/>
      <c r="O38" s="5"/>
      <c r="Q38" s="5"/>
      <c r="R38" s="5"/>
      <c r="S38" s="42"/>
      <c r="T38" s="42"/>
      <c r="U38" s="42"/>
      <c r="V38" s="42"/>
      <c r="W38" s="42"/>
      <c r="X38" s="42"/>
      <c r="Y38" s="42"/>
      <c r="Z38" s="42"/>
      <c r="AA38" s="42"/>
    </row>
    <row r="39" spans="2:27">
      <c r="B39" s="5" t="s">
        <v>181</v>
      </c>
      <c r="C39" s="247"/>
      <c r="D39" s="525">
        <f>D$18/D25</f>
        <v>17.964274207907831</v>
      </c>
      <c r="E39" s="525">
        <f t="shared" si="8"/>
        <v>226.37161962608661</v>
      </c>
      <c r="F39" s="525">
        <f t="shared" si="8"/>
        <v>148.31424650367481</v>
      </c>
      <c r="G39" s="525">
        <f t="shared" si="8"/>
        <v>25.780870103416159</v>
      </c>
      <c r="H39" s="17">
        <f t="shared" si="9"/>
        <v>-4.5846561559431231E-2</v>
      </c>
      <c r="I39" s="17"/>
      <c r="J39" s="5"/>
      <c r="K39" s="5"/>
      <c r="L39" s="5"/>
      <c r="M39" s="5"/>
      <c r="N39" s="5"/>
      <c r="O39" s="5"/>
      <c r="Q39" s="5"/>
      <c r="R39" s="5"/>
      <c r="S39" s="42"/>
      <c r="T39" s="42"/>
      <c r="U39" s="42"/>
      <c r="V39" s="42"/>
      <c r="W39" s="42"/>
      <c r="X39" s="42"/>
      <c r="Y39" s="42"/>
      <c r="Z39" s="42"/>
      <c r="AA39" s="42"/>
    </row>
    <row r="40" spans="2:27">
      <c r="B40" s="5" t="s">
        <v>461</v>
      </c>
      <c r="C40" s="247"/>
      <c r="D40" s="525">
        <f>D$18/D26</f>
        <v>24.950380844316435</v>
      </c>
      <c r="E40" s="525">
        <f t="shared" si="8"/>
        <v>314.40502725845369</v>
      </c>
      <c r="F40" s="525">
        <f t="shared" si="8"/>
        <v>205.9920090328817</v>
      </c>
      <c r="G40" s="525">
        <f t="shared" si="8"/>
        <v>35.806764032522445</v>
      </c>
      <c r="H40" s="17">
        <f t="shared" si="9"/>
        <v>-4.5846561559431231E-2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2.6566744772758515</v>
      </c>
      <c r="E41" s="525">
        <f t="shared" si="8"/>
        <v>3.6476514442882548</v>
      </c>
      <c r="F41" s="525">
        <f t="shared" si="8"/>
        <v>3.9401933449732325</v>
      </c>
      <c r="G41" s="525">
        <f t="shared" si="8"/>
        <v>4.6807971403987327</v>
      </c>
      <c r="H41" s="17">
        <f t="shared" si="9"/>
        <v>-0.10891248401383624</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1.9584131631231592</v>
      </c>
      <c r="E42" s="525">
        <f>E18/E28</f>
        <v>2.271281582995166</v>
      </c>
      <c r="F42" s="525">
        <f>F18/F28</f>
        <v>2.4182871317003465</v>
      </c>
      <c r="G42" s="525">
        <f>G18/G28</f>
        <v>2.6964701991987199</v>
      </c>
      <c r="H42" s="17">
        <f t="shared" si="9"/>
        <v>-3.2575497241350004E-2</v>
      </c>
      <c r="I42" s="248"/>
      <c r="J42" s="5"/>
      <c r="K42" s="5"/>
      <c r="L42" s="5"/>
      <c r="M42" s="5"/>
      <c r="N42" s="5"/>
      <c r="O42" s="5"/>
      <c r="Q42" s="5"/>
      <c r="R42" s="5"/>
      <c r="S42" s="42"/>
      <c r="T42" s="42"/>
      <c r="U42" s="42"/>
      <c r="V42" s="42"/>
      <c r="W42" s="288"/>
      <c r="X42" s="288"/>
      <c r="Y42" s="288"/>
      <c r="Z42" s="288"/>
      <c r="AA42" s="42"/>
    </row>
    <row r="43" spans="2:27">
      <c r="B43" s="5" t="s">
        <v>470</v>
      </c>
      <c r="C43" s="247"/>
      <c r="D43" s="525">
        <f>L26/D29</f>
        <v>-6.4093165506877376</v>
      </c>
      <c r="E43" s="525">
        <f>M26/E29</f>
        <v>-3.6986177025439066</v>
      </c>
      <c r="F43" s="525">
        <f>N26/F29</f>
        <v>-3.6013319920287441</v>
      </c>
      <c r="G43" s="525">
        <f>O26/G29</f>
        <v>-5.5801740570134335</v>
      </c>
      <c r="H43" s="17">
        <f t="shared" si="9"/>
        <v>0.16596470933997254</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-2.1440389871537073</v>
      </c>
      <c r="E44" s="525">
        <f>E11/E30</f>
        <v>-3.5692538254564812</v>
      </c>
      <c r="F44" s="525">
        <f>F11/F30</f>
        <v>-3.794414056121802</v>
      </c>
      <c r="G44" s="525">
        <f>G11/G30</f>
        <v>-3.6153625898824915</v>
      </c>
      <c r="H44" s="17">
        <f t="shared" si="9"/>
        <v>-6.4613667498900407E-2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-0.15602287577646592</v>
      </c>
      <c r="E47" s="248">
        <f>1/E43</f>
        <v>-0.27037127933287097</v>
      </c>
      <c r="F47" s="248">
        <f>1/F43</f>
        <v>-0.27767503862832388</v>
      </c>
      <c r="G47" s="248">
        <f>1/G43</f>
        <v>-0.1792058795626906</v>
      </c>
      <c r="H47" s="17">
        <f>H29</f>
        <v>0.16596470933997254</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hyperlinks>
    <hyperlink ref="C2" location="IDEASOP!A1" display="Jump to IDEA SOP" xr:uid="{00000000-0004-0000-2B00-000001000000}"/>
  </hyperlinks>
  <pageMargins left="0.75" right="0.75" top="1" bottom="1" header="0.5" footer="0.5"/>
  <pageSetup scale="70"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77201-061A-4438-9BB7-FD5993DCBEB5}">
  <sheetPr codeName="Sheet136">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1386</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1388</v>
      </c>
      <c r="C9" s="285">
        <f>Prices!$C$120</f>
        <v>3.19</v>
      </c>
      <c r="D9" s="531">
        <v>0</v>
      </c>
      <c r="E9" s="532">
        <v>0</v>
      </c>
      <c r="F9" s="532">
        <v>0</v>
      </c>
      <c r="G9" s="532">
        <v>0</v>
      </c>
      <c r="H9" s="249"/>
      <c r="I9" s="249"/>
      <c r="J9" s="5" t="s">
        <v>268</v>
      </c>
      <c r="L9" s="525">
        <f>'EM TOWERS'!D37</f>
        <v>3.1620526700243352</v>
      </c>
      <c r="M9" s="525">
        <f>'EM TOWERS'!E37</f>
        <v>2.9424000564542334</v>
      </c>
      <c r="N9" s="525">
        <f>'EM TOWERS'!F37</f>
        <v>2.5659911609656558</v>
      </c>
      <c r="O9" s="525">
        <f>'EM TOWERS'!G37</f>
        <v>2.2128014874226967</v>
      </c>
      <c r="P9" s="286">
        <f>'EM TOWERS'!H37</f>
        <v>5.2839276228291432E-2</v>
      </c>
      <c r="S9" s="88"/>
      <c r="T9" s="42"/>
      <c r="U9" s="42"/>
      <c r="V9" s="42"/>
      <c r="W9" s="42"/>
      <c r="X9" s="42"/>
      <c r="Y9" s="42"/>
      <c r="Z9" s="42"/>
      <c r="AA9" s="42"/>
    </row>
    <row r="10" spans="2:27">
      <c r="B10" s="5" t="s">
        <v>269</v>
      </c>
      <c r="C10" s="5"/>
      <c r="D10" s="527">
        <v>333.17599999999999</v>
      </c>
      <c r="E10" s="527">
        <v>329.17599999999999</v>
      </c>
      <c r="F10" s="527">
        <v>326.67599999999999</v>
      </c>
      <c r="G10" s="527">
        <v>326.67599999999999</v>
      </c>
      <c r="H10" s="247"/>
      <c r="I10" s="247"/>
      <c r="J10" s="5" t="s">
        <v>180</v>
      </c>
      <c r="L10" s="525">
        <f>'EM TOWERS'!D38</f>
        <v>4.925565476585744</v>
      </c>
      <c r="M10" s="525">
        <f>'EM TOWERS'!E38</f>
        <v>4.5370192974808798</v>
      </c>
      <c r="N10" s="525">
        <f>'EM TOWERS'!F38</f>
        <v>3.9348737497172284</v>
      </c>
      <c r="O10" s="525">
        <f>'EM TOWERS'!G38</f>
        <v>3.3927175182471632</v>
      </c>
      <c r="P10" s="286">
        <f>'EM TOWERS'!H38</f>
        <v>5.841502106121288E-2</v>
      </c>
      <c r="S10" s="88"/>
      <c r="T10" s="42"/>
      <c r="U10" s="42"/>
      <c r="V10" s="42"/>
      <c r="W10" s="288"/>
      <c r="X10" s="288"/>
      <c r="Y10" s="288"/>
      <c r="Z10" s="288"/>
      <c r="AA10" s="42"/>
    </row>
    <row r="11" spans="2:27">
      <c r="B11" s="41" t="s">
        <v>270</v>
      </c>
      <c r="C11" s="5"/>
      <c r="D11" s="528">
        <f>$C$9*D10</f>
        <v>1062.8314399999999</v>
      </c>
      <c r="E11" s="528">
        <f>$C$9*E10</f>
        <v>1050.0714399999999</v>
      </c>
      <c r="F11" s="528">
        <f>$C$9*F10</f>
        <v>1042.09644</v>
      </c>
      <c r="G11" s="528">
        <f>$C$9*G10</f>
        <v>1042.09644</v>
      </c>
      <c r="H11" s="249"/>
      <c r="I11" s="249"/>
      <c r="J11" s="5" t="s">
        <v>181</v>
      </c>
      <c r="L11" s="525">
        <f>'EM TOWERS'!D39</f>
        <v>9.3696948912200728</v>
      </c>
      <c r="M11" s="525">
        <f>'EM TOWERS'!E39</f>
        <v>6.8594503743264976</v>
      </c>
      <c r="N11" s="525">
        <f>'EM TOWERS'!F39</f>
        <v>5.8273489357381703</v>
      </c>
      <c r="O11" s="525">
        <f>'EM TOWERS'!G39</f>
        <v>4.9434351005636117</v>
      </c>
      <c r="P11" s="286">
        <f>'EM TOWERS'!H39</f>
        <v>0.15678345110080794</v>
      </c>
      <c r="S11" s="88"/>
      <c r="T11" s="42"/>
      <c r="U11" s="42"/>
      <c r="V11" s="42"/>
      <c r="W11" s="288"/>
      <c r="X11" s="288"/>
      <c r="Y11" s="288"/>
      <c r="Z11" s="288"/>
      <c r="AA11" s="42"/>
    </row>
    <row r="12" spans="2:27">
      <c r="B12" s="5" t="s">
        <v>24</v>
      </c>
      <c r="C12" s="249"/>
      <c r="D12" s="529">
        <v>3819.0180000000005</v>
      </c>
      <c r="E12" s="529">
        <v>3733.8878699882421</v>
      </c>
      <c r="F12" s="529">
        <v>3565.722323948627</v>
      </c>
      <c r="G12" s="529">
        <v>3284.7741996831919</v>
      </c>
      <c r="H12" s="247"/>
      <c r="I12" s="247"/>
      <c r="J12" s="5" t="s">
        <v>461</v>
      </c>
      <c r="L12" s="525">
        <f>'EM TOWERS'!D40</f>
        <v>12.097154573967106</v>
      </c>
      <c r="M12" s="525">
        <f>'EM TOWERS'!E40</f>
        <v>8.2078607710351097</v>
      </c>
      <c r="N12" s="525">
        <f>'EM TOWERS'!F40</f>
        <v>6.4966647693535213</v>
      </c>
      <c r="O12" s="525">
        <f>'EM TOWERS'!G40</f>
        <v>5.4854068423881115</v>
      </c>
      <c r="P12" s="286">
        <f>'EM TOWERS'!H40</f>
        <v>0.21668454558802974</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'EM TOWERS'!D41</f>
        <v>1.2624385351891199</v>
      </c>
      <c r="M13" s="525">
        <f>'EM TOWERS'!E41</f>
        <v>1.2659168158606797</v>
      </c>
      <c r="N13" s="525">
        <f>'EM TOWERS'!F41</f>
        <v>1.2021862019111522</v>
      </c>
      <c r="O13" s="525">
        <f>'EM TOWERS'!G41</f>
        <v>1.0983319967969536</v>
      </c>
      <c r="P13" s="286">
        <f>'EM TOWERS'!H41</f>
        <v>-2.0858634191997183E-2</v>
      </c>
      <c r="S13" s="88"/>
      <c r="T13" s="42"/>
      <c r="U13" s="42"/>
      <c r="V13" s="42"/>
      <c r="W13" s="42"/>
      <c r="X13" s="42"/>
      <c r="Y13" s="42"/>
      <c r="Z13" s="42"/>
      <c r="AA13" s="42"/>
    </row>
    <row r="14" spans="2:27">
      <c r="B14" s="5" t="s">
        <v>527</v>
      </c>
      <c r="C14" s="257"/>
      <c r="D14" s="529">
        <v>0</v>
      </c>
      <c r="E14" s="529">
        <v>0</v>
      </c>
      <c r="F14" s="529">
        <v>0</v>
      </c>
      <c r="G14" s="529">
        <v>0</v>
      </c>
      <c r="H14" s="247"/>
      <c r="I14" s="247"/>
      <c r="J14" s="5" t="s">
        <v>588</v>
      </c>
      <c r="L14" s="525">
        <f>'EM TOWERS'!D42</f>
        <v>1.7465887360675805</v>
      </c>
      <c r="M14" s="525">
        <f>'EM TOWERS'!E42</f>
        <v>1.85806888290891</v>
      </c>
      <c r="N14" s="525">
        <f>'EM TOWERS'!F42</f>
        <v>1.9385154484894787</v>
      </c>
      <c r="O14" s="525">
        <f>'EM TOWERS'!G42</f>
        <v>1.9579432137545243</v>
      </c>
      <c r="P14" s="286">
        <f>'EM TOWERS'!H42</f>
        <v>-0.10019158430344766</v>
      </c>
      <c r="S14" s="88"/>
      <c r="T14" s="42"/>
      <c r="U14" s="42"/>
      <c r="V14" s="42"/>
      <c r="W14" s="42"/>
      <c r="X14" s="42"/>
      <c r="Y14" s="42"/>
      <c r="Z14" s="42"/>
      <c r="AA14" s="42"/>
    </row>
    <row r="15" spans="2:27">
      <c r="B15" s="5" t="s">
        <v>526</v>
      </c>
      <c r="C15" s="274"/>
      <c r="D15" s="529">
        <v>0</v>
      </c>
      <c r="E15" s="529">
        <v>0</v>
      </c>
      <c r="F15" s="529">
        <v>0</v>
      </c>
      <c r="G15" s="529">
        <v>0</v>
      </c>
      <c r="H15" s="247"/>
      <c r="I15" s="247"/>
      <c r="J15" s="5" t="s">
        <v>470</v>
      </c>
      <c r="L15" s="525">
        <f>'EM TOWERS'!D43</f>
        <v>9.7516598460327248</v>
      </c>
      <c r="M15" s="525">
        <f>'EM TOWERS'!E43</f>
        <v>6.513674430115775</v>
      </c>
      <c r="N15" s="525">
        <f>'EM TOWERS'!F43</f>
        <v>5.5078171276714709</v>
      </c>
      <c r="O15" s="525">
        <f>'EM TOWERS'!G43</f>
        <v>5.2100521422471591</v>
      </c>
      <c r="P15" s="286">
        <f>'EM TOWERS'!H43</f>
        <v>0.23024510578702229</v>
      </c>
      <c r="S15" s="88"/>
      <c r="T15" s="42"/>
      <c r="U15" s="42"/>
      <c r="V15" s="42"/>
      <c r="W15" s="42"/>
      <c r="X15" s="42"/>
      <c r="Y15" s="42"/>
      <c r="Z15" s="42"/>
      <c r="AA15" s="42"/>
    </row>
    <row r="16" spans="2:27">
      <c r="B16" s="5" t="s">
        <v>529</v>
      </c>
      <c r="C16" s="257"/>
      <c r="D16" s="529">
        <v>0</v>
      </c>
      <c r="E16" s="529">
        <v>0</v>
      </c>
      <c r="F16" s="529">
        <v>0</v>
      </c>
      <c r="G16" s="529">
        <v>0</v>
      </c>
      <c r="H16" s="247"/>
      <c r="I16" s="247"/>
      <c r="J16" s="5" t="s">
        <v>528</v>
      </c>
      <c r="L16" s="525">
        <f>'EM TOWERS'!D44</f>
        <v>16.675071508591021</v>
      </c>
      <c r="M16" s="525">
        <f>'EM TOWERS'!E44</f>
        <v>12.851369251759737</v>
      </c>
      <c r="N16" s="525">
        <f>'EM TOWERS'!F44</f>
        <v>10.194942053136637</v>
      </c>
      <c r="O16" s="525">
        <f>'EM TOWERS'!G44</f>
        <v>7.7971320939080435</v>
      </c>
      <c r="P16" s="286">
        <f>'EM TOWERS'!H44</f>
        <v>0.28614645680803363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'EM TOWERS'!D45</f>
        <v>2.3318770967946687E-2</v>
      </c>
      <c r="M17" s="248">
        <f>'EM TOWERS'!E45</f>
        <v>3.253951189440675E-2</v>
      </c>
      <c r="N17" s="248">
        <f>'EM TOWERS'!F45</f>
        <v>4.1886670508327097E-2</v>
      </c>
      <c r="O17" s="248">
        <f>'EM TOWERS'!G45</f>
        <v>5.866090554375173E-2</v>
      </c>
      <c r="P17" s="286">
        <f>'EM TOWERS'!H45</f>
        <v>0.35766885870880061</v>
      </c>
      <c r="S17" s="88"/>
      <c r="T17" s="42"/>
      <c r="U17" s="42"/>
      <c r="V17" s="42"/>
      <c r="W17" s="42"/>
      <c r="X17" s="42"/>
      <c r="Y17" s="42"/>
      <c r="Z17" s="42"/>
      <c r="AA17" s="42"/>
    </row>
    <row r="18" spans="2:27" ht="12.6" thickBot="1">
      <c r="B18" s="41" t="s">
        <v>578</v>
      </c>
      <c r="C18" s="249"/>
      <c r="D18" s="530">
        <f>D11+D12+D13-D14+D15-D16-D17</f>
        <v>4881.84944</v>
      </c>
      <c r="E18" s="530">
        <f>E11+E12+E13-E14+E15-E16-E17</f>
        <v>4783.9593099882422</v>
      </c>
      <c r="F18" s="530">
        <f>F11+F12+F13-F14+F15-F16-F17</f>
        <v>4607.8187639486268</v>
      </c>
      <c r="G18" s="530">
        <f>G11+G12+G13-G14+G15-G16-G17</f>
        <v>4326.8706396831922</v>
      </c>
      <c r="H18" s="276">
        <f>IF(D18=0,"nm",IF(G18=0,"nm",(G18/D18)^(1/3)-1))</f>
        <v>-3.9428176450435171E-2</v>
      </c>
      <c r="I18" s="254"/>
      <c r="J18" s="5" t="s">
        <v>36</v>
      </c>
      <c r="L18" s="248">
        <f>'EM TOWERS'!D46</f>
        <v>1.9474450052594346E-2</v>
      </c>
      <c r="M18" s="248">
        <f>'EM TOWERS'!E46</f>
        <v>2.8141352347676236E-2</v>
      </c>
      <c r="N18" s="248">
        <f>'EM TOWERS'!F46</f>
        <v>3.7027360214756909E-2</v>
      </c>
      <c r="O18" s="248">
        <f>'EM TOWERS'!G46</f>
        <v>5.3633582434496278E-2</v>
      </c>
      <c r="P18" s="286">
        <f>'EM TOWERS'!H46</f>
        <v>0.3992759054986339</v>
      </c>
      <c r="S18" s="88"/>
      <c r="T18" s="42"/>
      <c r="U18" s="42"/>
      <c r="V18" s="42"/>
      <c r="W18" s="42"/>
      <c r="X18" s="42"/>
      <c r="Y18" s="42"/>
      <c r="Z18" s="42"/>
      <c r="AA18" s="42"/>
    </row>
    <row r="19" spans="2:27" ht="12.6" thickTop="1">
      <c r="B19" s="41"/>
      <c r="C19" s="249"/>
      <c r="D19" s="229"/>
      <c r="E19" s="229"/>
      <c r="F19" s="229"/>
      <c r="G19" s="229"/>
      <c r="H19" s="276"/>
      <c r="I19" s="254"/>
      <c r="J19" s="5" t="s">
        <v>576</v>
      </c>
      <c r="L19" s="248">
        <f>'EM TOWERS'!D47</f>
        <v>0.10254664495981479</v>
      </c>
      <c r="M19" s="248">
        <f>'EM TOWERS'!E47</f>
        <v>0.1535231781583265</v>
      </c>
      <c r="N19" s="248">
        <f>'EM TOWERS'!F47</f>
        <v>0.18156013114087688</v>
      </c>
      <c r="O19" s="248">
        <f>'EM TOWERS'!G47</f>
        <v>0.19193665873153581</v>
      </c>
      <c r="P19" s="286">
        <f>'EM TOWERS'!H47</f>
        <v>0.23024510578702229</v>
      </c>
      <c r="S19" s="88"/>
      <c r="T19" s="42"/>
      <c r="U19" s="42"/>
      <c r="V19" s="42"/>
      <c r="W19" s="42"/>
      <c r="X19" s="42"/>
      <c r="Y19" s="42"/>
      <c r="Z19" s="42"/>
      <c r="AA19" s="42"/>
    </row>
    <row r="20" spans="2:27">
      <c r="H20" s="277"/>
      <c r="I20" s="17"/>
      <c r="J20" s="5" t="s">
        <v>599</v>
      </c>
      <c r="L20" s="305">
        <f>'EM TOWERS'!D48</f>
        <v>0.22739672250695939</v>
      </c>
      <c r="M20" s="305">
        <f>'EM TOWERS'!E48</f>
        <v>0.21195178659504538</v>
      </c>
      <c r="N20" s="305">
        <f>'EM TOWERS'!F48</f>
        <v>0.23070412124689543</v>
      </c>
      <c r="O20" s="305">
        <f>'EM TOWERS'!G48</f>
        <v>0.30562637659438197</v>
      </c>
      <c r="P20" s="286" t="str">
        <f>'EM TOWERS'!H48</f>
        <v>nm</v>
      </c>
      <c r="S20" s="88"/>
      <c r="T20" s="42"/>
      <c r="U20" s="42"/>
      <c r="V20" s="42"/>
      <c r="W20" s="42"/>
      <c r="X20" s="42"/>
      <c r="Y20" s="42"/>
      <c r="Z20" s="42"/>
      <c r="AA20" s="42"/>
    </row>
    <row r="21" spans="2:27" ht="12.6" thickBot="1">
      <c r="B21" s="306" t="s">
        <v>1389</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1961.2990000000002</v>
      </c>
      <c r="D23" s="536">
        <v>2125.5389999999998</v>
      </c>
      <c r="E23" s="536">
        <v>1797.8200944207349</v>
      </c>
      <c r="F23" s="536">
        <v>1963.8900132550586</v>
      </c>
      <c r="G23" s="536">
        <v>2181.096296898234</v>
      </c>
      <c r="H23" s="279">
        <f t="shared" ref="H23:H32" si="3">IF(D23=0,"nm",IF(G23=0,"nm",(G23/D23)^(1/3)-1))</f>
        <v>8.6378331700502908E-3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1031.386</v>
      </c>
      <c r="D24" s="536">
        <v>1132.5350000000001</v>
      </c>
      <c r="E24" s="536">
        <v>996.57233106268018</v>
      </c>
      <c r="F24" s="536">
        <v>1096.6074587663193</v>
      </c>
      <c r="G24" s="536">
        <v>1225.8932974495447</v>
      </c>
      <c r="H24" s="279">
        <f t="shared" si="3"/>
        <v>2.6755440458969604E-2</v>
      </c>
      <c r="I24" s="249"/>
      <c r="J24" s="17"/>
      <c r="K24" s="17"/>
      <c r="L24" s="17"/>
      <c r="M24" s="17"/>
      <c r="N24" s="17"/>
      <c r="O24" s="248"/>
      <c r="S24" s="88"/>
      <c r="T24" s="42"/>
      <c r="U24" s="42"/>
      <c r="V24" s="42"/>
      <c r="W24" s="42" t="s">
        <v>1386</v>
      </c>
      <c r="X24" s="42" t="s">
        <v>252</v>
      </c>
      <c r="Y24" s="42"/>
      <c r="Z24" s="42"/>
      <c r="AA24" s="42"/>
    </row>
    <row r="25" spans="2:27">
      <c r="B25" s="5" t="s">
        <v>179</v>
      </c>
      <c r="C25" s="544">
        <v>397.38599999999997</v>
      </c>
      <c r="D25" s="536">
        <v>546.53500000000008</v>
      </c>
      <c r="E25" s="536">
        <v>645.99741265063687</v>
      </c>
      <c r="F25" s="536">
        <v>743.10725638040867</v>
      </c>
      <c r="G25" s="536">
        <v>855.10692697684487</v>
      </c>
      <c r="H25" s="279">
        <f t="shared" si="3"/>
        <v>0.16091604891172118</v>
      </c>
      <c r="I25" s="248"/>
      <c r="J25" s="247" t="s">
        <v>10</v>
      </c>
      <c r="K25" s="247"/>
      <c r="L25" s="321">
        <v>0</v>
      </c>
      <c r="M25" s="321">
        <v>0</v>
      </c>
      <c r="N25" s="321">
        <v>0</v>
      </c>
      <c r="O25" s="321">
        <v>0</v>
      </c>
      <c r="P25" s="279" t="str">
        <f>IF(L25=0,"nm",IF(O25=0,"nm",(O25/L25)^(1/3)-1))</f>
        <v>nm</v>
      </c>
      <c r="S25" s="88"/>
      <c r="T25" s="42"/>
      <c r="U25" s="42"/>
      <c r="V25" s="147" t="s">
        <v>268</v>
      </c>
      <c r="W25" s="288">
        <f>D37/L9</f>
        <v>0.7263504396098408</v>
      </c>
      <c r="X25" s="288">
        <v>1</v>
      </c>
      <c r="Y25" s="42"/>
      <c r="Z25" s="42"/>
      <c r="AA25" s="42"/>
    </row>
    <row r="26" spans="2:27">
      <c r="B26" s="5" t="s">
        <v>581</v>
      </c>
      <c r="C26" s="544">
        <v>278.17019999999997</v>
      </c>
      <c r="D26" s="536">
        <v>382.57450000000006</v>
      </c>
      <c r="E26" s="536">
        <v>452.19818885544578</v>
      </c>
      <c r="F26" s="536">
        <v>520.17507946628609</v>
      </c>
      <c r="G26" s="536">
        <v>598.57484888379133</v>
      </c>
      <c r="H26" s="279">
        <f t="shared" si="3"/>
        <v>0.16091604891172118</v>
      </c>
      <c r="I26" s="249"/>
      <c r="J26" s="249" t="s">
        <v>11</v>
      </c>
      <c r="K26" s="249"/>
      <c r="L26" s="281">
        <f>D11+L25</f>
        <v>1062.8314399999999</v>
      </c>
      <c r="M26" s="281">
        <f>E11+M25</f>
        <v>1050.0714399999999</v>
      </c>
      <c r="N26" s="281">
        <f>F11+N25</f>
        <v>1042.09644</v>
      </c>
      <c r="O26" s="281">
        <f>G11+O25</f>
        <v>1042.09644</v>
      </c>
      <c r="P26" s="279">
        <f>IF(L26=0,"nm",IF(O26=0,"nm",(O26/L26)^(1/3)-1))</f>
        <v>-6.5458237661556451E-3</v>
      </c>
      <c r="Q26" s="5"/>
      <c r="S26" s="88"/>
      <c r="T26" s="42"/>
      <c r="U26" s="42"/>
      <c r="V26" s="147" t="s">
        <v>180</v>
      </c>
      <c r="W26" s="288">
        <f t="shared" ref="W26:W33" si="5">D38/L10</f>
        <v>0.87513822216362969</v>
      </c>
      <c r="X26" s="288">
        <v>1</v>
      </c>
      <c r="Y26" s="42"/>
      <c r="Z26" s="42"/>
      <c r="AA26" s="42"/>
    </row>
    <row r="27" spans="2:27">
      <c r="B27" s="5" t="s">
        <v>582</v>
      </c>
      <c r="C27" s="545">
        <v>5023.1609999999991</v>
      </c>
      <c r="D27" s="536">
        <v>4403.8780000000006</v>
      </c>
      <c r="E27" s="536">
        <v>4407.4524696243952</v>
      </c>
      <c r="F27" s="536">
        <v>4392.1649899253571</v>
      </c>
      <c r="G27" s="536">
        <v>4380.9131476120492</v>
      </c>
      <c r="H27" s="279">
        <f t="shared" si="3"/>
        <v>-1.7412597579603561E-3</v>
      </c>
      <c r="I27" s="249"/>
      <c r="J27" s="248"/>
      <c r="K27" s="248"/>
      <c r="L27" s="248"/>
      <c r="M27" s="248"/>
      <c r="N27" s="248"/>
      <c r="O27" s="248"/>
      <c r="Q27" s="41"/>
      <c r="S27" s="88"/>
      <c r="T27" s="42"/>
      <c r="U27" s="42"/>
      <c r="V27" s="147" t="s">
        <v>181</v>
      </c>
      <c r="W27" s="288">
        <f t="shared" si="5"/>
        <v>0.95332493602438184</v>
      </c>
      <c r="X27" s="288">
        <v>1</v>
      </c>
      <c r="Y27" s="42"/>
      <c r="Z27" s="42"/>
      <c r="AA27" s="42"/>
    </row>
    <row r="28" spans="2:27">
      <c r="B28" s="5" t="s">
        <v>587</v>
      </c>
      <c r="C28" s="544">
        <v>2075.4409999999998</v>
      </c>
      <c r="D28" s="536">
        <v>1740.2349999999999</v>
      </c>
      <c r="E28" s="536">
        <v>1718.9862900747271</v>
      </c>
      <c r="F28" s="536">
        <v>1688.6531492639801</v>
      </c>
      <c r="G28" s="536">
        <v>1656.1064163384935</v>
      </c>
      <c r="H28" s="279">
        <f t="shared" si="3"/>
        <v>-1.6381291974868484E-2</v>
      </c>
      <c r="I28" s="248"/>
      <c r="Q28" s="5"/>
      <c r="S28" s="88"/>
      <c r="T28" s="42"/>
      <c r="U28" s="42"/>
      <c r="V28" s="147" t="s">
        <v>461</v>
      </c>
      <c r="W28" s="288">
        <f t="shared" si="5"/>
        <v>1.0548364585742767</v>
      </c>
      <c r="X28" s="288">
        <v>1</v>
      </c>
      <c r="Y28" s="42"/>
      <c r="Z28" s="42"/>
      <c r="AA28" s="42"/>
    </row>
    <row r="29" spans="2:27" ht="12.6" thickBot="1">
      <c r="B29" s="5" t="s">
        <v>583</v>
      </c>
      <c r="C29" s="544">
        <v>-148.4500000000001</v>
      </c>
      <c r="D29" s="536">
        <v>-246.73699999999982</v>
      </c>
      <c r="E29" s="536">
        <v>11.938056111538174</v>
      </c>
      <c r="F29" s="536">
        <v>95.254941516347159</v>
      </c>
      <c r="G29" s="536">
        <v>176.32851059742873</v>
      </c>
      <c r="H29" s="279">
        <f t="shared" si="3"/>
        <v>-1.8940519465182128</v>
      </c>
      <c r="I29" s="252"/>
      <c r="J29" s="306" t="s">
        <v>1353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525</v>
      </c>
      <c r="W29" s="288">
        <f t="shared" si="5"/>
        <v>0.87808965246069859</v>
      </c>
      <c r="X29" s="288">
        <v>1</v>
      </c>
      <c r="Y29" s="42"/>
      <c r="Z29" s="42"/>
      <c r="AA29" s="42"/>
    </row>
    <row r="30" spans="2:27" ht="12.6" thickTop="1">
      <c r="B30" s="5" t="s">
        <v>584</v>
      </c>
      <c r="C30" s="545">
        <v>343.30599999999993</v>
      </c>
      <c r="D30" s="536">
        <v>189.1690000000001</v>
      </c>
      <c r="E30" s="536">
        <v>202.14640403629818</v>
      </c>
      <c r="F30" s="536">
        <v>296.88758861357053</v>
      </c>
      <c r="G30" s="536">
        <v>384.24191549960511</v>
      </c>
      <c r="H30" s="279">
        <f t="shared" si="3"/>
        <v>0.26644088779461028</v>
      </c>
      <c r="I30" s="254"/>
      <c r="J30" s="248"/>
      <c r="K30" s="248"/>
      <c r="L30" s="248"/>
      <c r="M30" s="248"/>
      <c r="N30" s="248"/>
      <c r="O30" s="5"/>
      <c r="Q30" s="5"/>
      <c r="S30" s="88"/>
      <c r="T30" s="42"/>
      <c r="U30" s="42"/>
      <c r="V30" s="147" t="s">
        <v>588</v>
      </c>
      <c r="W30" s="288">
        <f t="shared" si="5"/>
        <v>1.606148983739268</v>
      </c>
      <c r="X30" s="288">
        <v>1</v>
      </c>
      <c r="Y30" s="42"/>
      <c r="Z30" s="42"/>
      <c r="AA30" s="42"/>
    </row>
    <row r="31" spans="2:27">
      <c r="B31" s="5" t="s">
        <v>585</v>
      </c>
      <c r="C31" s="545">
        <v>0</v>
      </c>
      <c r="D31" s="536">
        <v>0</v>
      </c>
      <c r="E31" s="536">
        <v>0</v>
      </c>
      <c r="F31" s="536">
        <v>0</v>
      </c>
      <c r="G31" s="536">
        <v>0</v>
      </c>
      <c r="H31" s="279" t="str">
        <f t="shared" si="3"/>
        <v>nm</v>
      </c>
      <c r="I31" s="254"/>
      <c r="J31" s="5" t="s">
        <v>731</v>
      </c>
      <c r="K31" s="247"/>
      <c r="L31" s="322">
        <v>34384</v>
      </c>
      <c r="M31" s="322">
        <v>35570.511807850002</v>
      </c>
      <c r="N31" s="322">
        <v>36542.277286516473</v>
      </c>
      <c r="O31" s="322">
        <v>37616.22416318459</v>
      </c>
      <c r="Q31" s="5"/>
      <c r="S31" s="88"/>
      <c r="T31" s="42"/>
      <c r="U31" s="42"/>
      <c r="V31" s="147" t="s">
        <v>470</v>
      </c>
      <c r="W31" s="288">
        <f t="shared" si="5"/>
        <v>-0.4417245825709511</v>
      </c>
      <c r="X31" s="288">
        <v>1</v>
      </c>
      <c r="Y31" s="42"/>
      <c r="Z31" s="42"/>
      <c r="AA31" s="42"/>
    </row>
    <row r="32" spans="2:27">
      <c r="B32" s="5" t="s">
        <v>601</v>
      </c>
      <c r="C32" s="546">
        <v>0</v>
      </c>
      <c r="D32" s="536">
        <v>-10.037000000000001</v>
      </c>
      <c r="E32" s="536">
        <v>-20</v>
      </c>
      <c r="F32" s="536">
        <v>-20</v>
      </c>
      <c r="G32" s="536">
        <v>0</v>
      </c>
      <c r="H32" s="279" t="str">
        <f t="shared" si="3"/>
        <v>nm</v>
      </c>
      <c r="I32" s="254"/>
      <c r="J32" s="5" t="s">
        <v>1351</v>
      </c>
      <c r="K32" s="254"/>
      <c r="L32" s="322">
        <v>52476</v>
      </c>
      <c r="M32" s="322">
        <v>53729.124548904423</v>
      </c>
      <c r="N32" s="322">
        <v>56159.492309100075</v>
      </c>
      <c r="O32" s="322">
        <v>58122.420242588734</v>
      </c>
      <c r="Q32" s="5"/>
      <c r="S32" s="88"/>
      <c r="T32" s="42"/>
      <c r="U32" s="42"/>
      <c r="V32" s="147" t="s">
        <v>528</v>
      </c>
      <c r="W32" s="288">
        <f t="shared" si="5"/>
        <v>0.33693546014512693</v>
      </c>
      <c r="X32" s="288">
        <v>1</v>
      </c>
      <c r="Y32" s="42"/>
      <c r="Z32" s="42"/>
      <c r="AA32" s="42"/>
    </row>
    <row r="33" spans="2:27">
      <c r="B33" s="5" t="s">
        <v>5</v>
      </c>
      <c r="C33" s="545">
        <v>308.44200000000001</v>
      </c>
      <c r="D33" s="536">
        <v>423.99799999999999</v>
      </c>
      <c r="E33" s="536">
        <v>432.56341271922753</v>
      </c>
      <c r="F33" s="536">
        <v>411.99920771922751</v>
      </c>
      <c r="G33" s="536">
        <v>391.4350027192275</v>
      </c>
      <c r="H33" s="279">
        <f>IF(D33=0,"nm",IF(G33=0,"nm",(G33/D33)^(1/3)-1))</f>
        <v>-2.6284798720690117E-2</v>
      </c>
      <c r="I33" s="5"/>
      <c r="Q33" s="5"/>
      <c r="S33" s="88"/>
      <c r="T33" s="42"/>
      <c r="U33" s="42"/>
      <c r="V33" s="147" t="s">
        <v>575</v>
      </c>
      <c r="W33" s="288">
        <f t="shared" si="5"/>
        <v>0</v>
      </c>
      <c r="X33" s="288">
        <v>1</v>
      </c>
      <c r="Y33" s="42"/>
      <c r="Z33" s="42"/>
      <c r="AA33" s="42"/>
    </row>
    <row r="34" spans="2:27">
      <c r="H34" s="277"/>
      <c r="I34" s="49"/>
      <c r="Q34" s="5"/>
      <c r="S34" s="88"/>
      <c r="T34" s="42"/>
      <c r="U34" s="42"/>
      <c r="V34" s="147" t="s">
        <v>576</v>
      </c>
      <c r="W34" s="288">
        <f>D47/L19</f>
        <v>-2.2638540834194507</v>
      </c>
      <c r="X34" s="288">
        <v>1</v>
      </c>
      <c r="Y34" s="288"/>
      <c r="Z34" s="288"/>
      <c r="AA34" s="42"/>
    </row>
    <row r="35" spans="2:27" ht="12.6" thickBot="1">
      <c r="B35" s="306" t="s">
        <v>758</v>
      </c>
      <c r="C35" s="265"/>
      <c r="D35" s="265" t="str">
        <f>D5</f>
        <v>2023E</v>
      </c>
      <c r="E35" s="265" t="str">
        <f t="shared" ref="E35:H35" si="7">E5</f>
        <v>2024E</v>
      </c>
      <c r="F35" s="265" t="str">
        <f t="shared" si="7"/>
        <v>2025E</v>
      </c>
      <c r="G35" s="265" t="str">
        <f t="shared" si="7"/>
        <v>2026E</v>
      </c>
      <c r="H35" s="265" t="str">
        <f t="shared" si="7"/>
        <v>23E-26E</v>
      </c>
      <c r="I35" s="254"/>
      <c r="J35" s="306" t="s">
        <v>1352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D$18/D23</f>
        <v>2.2967583469416466</v>
      </c>
      <c r="E37" s="525">
        <f t="shared" ref="E37:G41" si="8">E$18/E23</f>
        <v>2.6609777723780832</v>
      </c>
      <c r="F37" s="525">
        <f t="shared" si="8"/>
        <v>2.3462712946492235</v>
      </c>
      <c r="G37" s="525">
        <f t="shared" si="8"/>
        <v>1.9838054128267937</v>
      </c>
      <c r="H37" s="17">
        <f t="shared" ref="H37:H45" si="9">H23</f>
        <v>8.6378331700502908E-3</v>
      </c>
      <c r="I37" s="5"/>
      <c r="J37" s="248"/>
      <c r="K37" s="248"/>
      <c r="L37" s="248"/>
      <c r="M37" s="248"/>
      <c r="N37" s="248"/>
      <c r="O37" s="5"/>
      <c r="Q37" s="5"/>
      <c r="R37" s="5"/>
      <c r="S37" s="42"/>
      <c r="T37" s="42"/>
      <c r="U37" s="42"/>
      <c r="V37" s="42"/>
      <c r="W37" s="42"/>
      <c r="X37" s="42"/>
      <c r="Y37" s="42"/>
      <c r="Z37" s="42"/>
      <c r="AA37" s="42"/>
    </row>
    <row r="38" spans="2:27">
      <c r="B38" s="5" t="s">
        <v>180</v>
      </c>
      <c r="C38" s="247"/>
      <c r="D38" s="525">
        <f>D$18/D24</f>
        <v>4.3105506143297996</v>
      </c>
      <c r="E38" s="525">
        <f>E$18/E24</f>
        <v>4.800413538359968</v>
      </c>
      <c r="F38" s="525">
        <f t="shared" si="8"/>
        <v>4.2018853028160246</v>
      </c>
      <c r="G38" s="525">
        <f t="shared" si="8"/>
        <v>3.5295654594777468</v>
      </c>
      <c r="H38" s="17">
        <f t="shared" si="9"/>
        <v>2.6755440458969604E-2</v>
      </c>
      <c r="I38" s="259"/>
      <c r="J38" s="252"/>
      <c r="K38" s="252"/>
      <c r="L38" s="252"/>
      <c r="M38" s="252"/>
      <c r="N38" s="252"/>
      <c r="O38" s="5"/>
      <c r="Q38" s="5"/>
      <c r="R38" s="5"/>
      <c r="S38" s="42"/>
      <c r="T38" s="42"/>
      <c r="U38" s="42"/>
      <c r="V38" s="42"/>
      <c r="W38" s="42"/>
      <c r="X38" s="42"/>
      <c r="Y38" s="42"/>
      <c r="Z38" s="42"/>
      <c r="AA38" s="42"/>
    </row>
    <row r="39" spans="2:27">
      <c r="B39" s="5" t="s">
        <v>181</v>
      </c>
      <c r="C39" s="247"/>
      <c r="D39" s="525">
        <f>D$18/D25</f>
        <v>8.932363782740353</v>
      </c>
      <c r="E39" s="525">
        <f t="shared" si="8"/>
        <v>7.4055394283374083</v>
      </c>
      <c r="F39" s="525">
        <f t="shared" si="8"/>
        <v>6.2007452146178608</v>
      </c>
      <c r="G39" s="525">
        <f t="shared" si="8"/>
        <v>5.0600346029010215</v>
      </c>
      <c r="H39" s="17">
        <f t="shared" si="9"/>
        <v>0.16091604891172118</v>
      </c>
      <c r="I39" s="17"/>
      <c r="J39" s="259"/>
      <c r="K39" s="259"/>
      <c r="L39" s="259"/>
      <c r="M39" s="259"/>
      <c r="N39" s="259"/>
      <c r="O39" s="18"/>
      <c r="Q39" s="5"/>
      <c r="R39" s="5"/>
      <c r="S39" s="42"/>
      <c r="T39" s="42"/>
      <c r="U39" s="42"/>
      <c r="V39" s="42"/>
      <c r="W39" s="42"/>
      <c r="X39" s="42"/>
      <c r="Y39" s="42"/>
      <c r="Z39" s="42"/>
      <c r="AA39" s="42"/>
    </row>
    <row r="40" spans="2:27">
      <c r="B40" s="5" t="s">
        <v>461</v>
      </c>
      <c r="C40" s="247"/>
      <c r="D40" s="525">
        <f>D$18/D26</f>
        <v>12.760519689629076</v>
      </c>
      <c r="E40" s="525">
        <f t="shared" si="8"/>
        <v>10.579342040482013</v>
      </c>
      <c r="F40" s="525">
        <f t="shared" si="8"/>
        <v>8.8582074494540866</v>
      </c>
      <c r="G40" s="525">
        <f t="shared" si="8"/>
        <v>7.2286208612871743</v>
      </c>
      <c r="H40" s="17">
        <f t="shared" si="9"/>
        <v>0.16091604891172118</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1.1085342146172077</v>
      </c>
      <c r="E41" s="525">
        <f t="shared" si="8"/>
        <v>1.0854250483604042</v>
      </c>
      <c r="F41" s="525">
        <f t="shared" si="8"/>
        <v>1.0490996523395482</v>
      </c>
      <c r="G41" s="525">
        <f t="shared" si="8"/>
        <v>0.98766409967330338</v>
      </c>
      <c r="H41" s="17">
        <f t="shared" si="9"/>
        <v>-1.7412597579603561E-3</v>
      </c>
      <c r="I41" s="247"/>
      <c r="J41" s="259"/>
      <c r="K41" s="259"/>
      <c r="L41" s="259"/>
      <c r="M41" s="259"/>
      <c r="N41" s="259"/>
      <c r="O41" s="18"/>
      <c r="Q41" s="5"/>
      <c r="R41" s="5"/>
      <c r="S41" s="42"/>
      <c r="T41" s="42"/>
      <c r="U41" s="42"/>
      <c r="V41" s="42"/>
      <c r="W41" s="288"/>
      <c r="X41" s="288"/>
      <c r="Y41" s="288"/>
      <c r="Z41" s="288"/>
      <c r="AA41" s="42"/>
    </row>
    <row r="42" spans="2:27">
      <c r="B42" s="5" t="s">
        <v>588</v>
      </c>
      <c r="C42" s="247"/>
      <c r="D42" s="525">
        <f>D18/D28</f>
        <v>2.8052817234453968</v>
      </c>
      <c r="E42" s="525">
        <f>E18/E28</f>
        <v>2.7830119051038364</v>
      </c>
      <c r="F42" s="525">
        <f>F18/F28</f>
        <v>2.7286946202996161</v>
      </c>
      <c r="G42" s="525">
        <f>G18/G28</f>
        <v>2.6126766957702663</v>
      </c>
      <c r="H42" s="17">
        <f t="shared" si="9"/>
        <v>-1.6381291974868484E-2</v>
      </c>
      <c r="I42" s="248"/>
      <c r="J42" s="5"/>
      <c r="K42" s="5"/>
      <c r="L42" s="5"/>
      <c r="M42" s="5"/>
      <c r="N42" s="5"/>
      <c r="O42" s="5"/>
      <c r="Q42" s="5"/>
      <c r="R42" s="5"/>
      <c r="S42" s="42"/>
      <c r="T42" s="42"/>
      <c r="U42" s="42"/>
      <c r="V42" s="42"/>
      <c r="W42" s="288"/>
      <c r="X42" s="288"/>
      <c r="Y42" s="288"/>
      <c r="Z42" s="288"/>
      <c r="AA42" s="42"/>
    </row>
    <row r="43" spans="2:27">
      <c r="B43" s="5" t="s">
        <v>470</v>
      </c>
      <c r="C43" s="247"/>
      <c r="D43" s="525">
        <f>L26/D29</f>
        <v>-4.3075478748627107</v>
      </c>
      <c r="E43" s="525">
        <f>M26/E29</f>
        <v>87.960002046321605</v>
      </c>
      <c r="F43" s="525">
        <f>N26/F29</f>
        <v>10.940077474313087</v>
      </c>
      <c r="G43" s="525">
        <f>O26/G29</f>
        <v>5.9099713169992381</v>
      </c>
      <c r="H43" s="17">
        <f t="shared" si="9"/>
        <v>-1.8940519465182128</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5.6184228917000114</v>
      </c>
      <c r="E44" s="525">
        <f>E11/E30</f>
        <v>5.1946085561405537</v>
      </c>
      <c r="F44" s="525">
        <f>F11/F30</f>
        <v>3.5100707472025543</v>
      </c>
      <c r="G44" s="525">
        <f>G11/G30</f>
        <v>2.7120842312193578</v>
      </c>
      <c r="H44" s="17">
        <f t="shared" si="9"/>
        <v>0.26644088779461028</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9"/>
        <v>nm</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-9.443642352168281E-3</v>
      </c>
      <c r="E46" s="248">
        <f>(E31+E32)/E11</f>
        <v>-1.9046323172069134E-2</v>
      </c>
      <c r="F46" s="248">
        <f>(F31+F32)/F11</f>
        <v>-1.9192081684877457E-2</v>
      </c>
      <c r="G46" s="248">
        <f>(G31+G32)/G11</f>
        <v>0</v>
      </c>
      <c r="H46" s="279">
        <f>((G31+G32)/(D31+D32))^(1/3)-1</f>
        <v>-1</v>
      </c>
      <c r="I46" s="247"/>
      <c r="J46" s="5"/>
      <c r="K46" s="5"/>
      <c r="L46" s="5"/>
      <c r="M46" s="5"/>
      <c r="N46" s="5"/>
      <c r="O46" s="5"/>
      <c r="Q46" s="5"/>
      <c r="R46" s="5"/>
      <c r="S46" s="42"/>
      <c r="T46" s="42"/>
      <c r="U46" s="42"/>
      <c r="V46" s="42"/>
      <c r="W46" s="42"/>
      <c r="X46" s="42"/>
      <c r="Y46" s="42"/>
      <c r="Z46" s="42"/>
      <c r="AA46" s="326"/>
    </row>
    <row r="47" spans="2:27">
      <c r="B47" s="5" t="s">
        <v>576</v>
      </c>
      <c r="C47" s="5"/>
      <c r="D47" s="248">
        <f>1/D43</f>
        <v>-0.23215064093324134</v>
      </c>
      <c r="E47" s="248">
        <f>1/E43</f>
        <v>1.1368803737332553E-2</v>
      </c>
      <c r="F47" s="248">
        <f>1/F43</f>
        <v>9.1407030923497973E-2</v>
      </c>
      <c r="G47" s="248">
        <f>1/G43</f>
        <v>0.16920555893793163</v>
      </c>
      <c r="H47" s="17">
        <f>H29</f>
        <v>-1.8940519465182128</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83">
    <pageSetUpPr fitToPage="1"/>
  </sheetPr>
  <dimension ref="A1:AR165"/>
  <sheetViews>
    <sheetView showGridLines="0" zoomScale="80" zoomScaleNormal="80" workbookViewId="0">
      <selection activeCell="D38" sqref="D38"/>
    </sheetView>
  </sheetViews>
  <sheetFormatPr defaultColWidth="8.886718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ustomWidth="1"/>
    <col min="45" max="16384" width="8.886718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841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854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900</v>
      </c>
      <c r="C9" s="267">
        <f>Prices!C36</f>
        <v>11.06</v>
      </c>
      <c r="D9" s="531">
        <v>0</v>
      </c>
      <c r="E9" s="532">
        <v>0</v>
      </c>
      <c r="F9" s="532">
        <v>0</v>
      </c>
      <c r="G9" s="532">
        <v>0</v>
      </c>
      <c r="H9" s="249"/>
      <c r="I9" s="249"/>
      <c r="J9" s="5" t="s">
        <v>268</v>
      </c>
      <c r="L9" s="525">
        <f>'W.EUR TOWER'!D37</f>
        <v>10.698660130397885</v>
      </c>
      <c r="M9" s="525">
        <f>'W.EUR TOWER'!E37</f>
        <v>10.519152796968434</v>
      </c>
      <c r="N9" s="525">
        <f>'W.EUR TOWER'!F37</f>
        <v>9.9401920953112164</v>
      </c>
      <c r="O9" s="525">
        <f>'W.EUR TOWER'!G37</f>
        <v>9.3728309808378025</v>
      </c>
      <c r="P9" s="286">
        <f>'W.EUR TOWER'!H37</f>
        <v>4.085109342861859E-2</v>
      </c>
      <c r="S9" s="88"/>
      <c r="T9" s="42"/>
      <c r="U9" s="42"/>
      <c r="V9" s="42"/>
      <c r="W9" s="42"/>
      <c r="X9" s="42"/>
      <c r="Y9" s="42"/>
      <c r="Z9" s="42"/>
      <c r="AA9" s="42"/>
    </row>
    <row r="10" spans="2:44">
      <c r="B10" s="5" t="s">
        <v>269</v>
      </c>
      <c r="C10" s="5"/>
      <c r="D10" s="527">
        <v>947.54477999999995</v>
      </c>
      <c r="E10" s="527">
        <v>931.16697999999997</v>
      </c>
      <c r="F10" s="527">
        <v>911.59750837573381</v>
      </c>
      <c r="G10" s="527">
        <v>911.59750837573381</v>
      </c>
      <c r="H10" s="247"/>
      <c r="I10" s="247"/>
      <c r="J10" s="5" t="s">
        <v>180</v>
      </c>
      <c r="L10" s="525">
        <f>'W.EUR TOWER'!D38</f>
        <v>21.129150097272184</v>
      </c>
      <c r="M10" s="525">
        <f>'W.EUR TOWER'!E38</f>
        <v>19.638962271825324</v>
      </c>
      <c r="N10" s="525">
        <f>'W.EUR TOWER'!F38</f>
        <v>18.198242716079569</v>
      </c>
      <c r="O10" s="525">
        <f>'W.EUR TOWER'!G38</f>
        <v>16.766414384119717</v>
      </c>
      <c r="P10" s="286">
        <f>'W.EUR TOWER'!H38</f>
        <v>7.5762361123245414E-2</v>
      </c>
      <c r="S10" s="88"/>
      <c r="T10" s="42"/>
      <c r="U10" s="42"/>
      <c r="V10" s="42"/>
      <c r="W10" s="288"/>
      <c r="X10" s="288"/>
      <c r="Y10" s="288"/>
      <c r="Z10" s="288"/>
      <c r="AA10" s="42"/>
    </row>
    <row r="11" spans="2:44">
      <c r="B11" s="41" t="s">
        <v>270</v>
      </c>
      <c r="C11" s="5"/>
      <c r="D11" s="528">
        <f>$C$9*D10</f>
        <v>10479.845266799999</v>
      </c>
      <c r="E11" s="528">
        <f>$C$9*E10</f>
        <v>10298.7067988</v>
      </c>
      <c r="F11" s="528">
        <f>$C$9*F10</f>
        <v>10082.268442635617</v>
      </c>
      <c r="G11" s="528">
        <f>$C$9*G10</f>
        <v>10082.268442635617</v>
      </c>
      <c r="H11" s="249"/>
      <c r="I11" s="249"/>
      <c r="J11" s="5" t="s">
        <v>181</v>
      </c>
      <c r="L11" s="525">
        <f>'W.EUR TOWER'!D39</f>
        <v>62.630765465664439</v>
      </c>
      <c r="M11" s="525">
        <f>'W.EUR TOWER'!E39</f>
        <v>48.805700538126537</v>
      </c>
      <c r="N11" s="525">
        <f>'W.EUR TOWER'!F39</f>
        <v>43.665787685808837</v>
      </c>
      <c r="O11" s="525">
        <f>'W.EUR TOWER'!G39</f>
        <v>31.614170258947773</v>
      </c>
      <c r="P11" s="286">
        <f>'W.EUR TOWER'!H39</f>
        <v>0.25084753805941973</v>
      </c>
      <c r="S11" s="88"/>
      <c r="T11" s="42"/>
      <c r="U11" s="42"/>
      <c r="V11" s="42"/>
      <c r="W11" s="288"/>
      <c r="X11" s="288"/>
      <c r="Y11" s="288"/>
      <c r="Z11" s="288"/>
      <c r="AA11" s="42"/>
    </row>
    <row r="12" spans="2:44">
      <c r="B12" s="5" t="s">
        <v>24</v>
      </c>
      <c r="C12" s="249"/>
      <c r="D12" s="529">
        <v>3225.1949999999997</v>
      </c>
      <c r="E12" s="529">
        <v>3493.976933619294</v>
      </c>
      <c r="F12" s="529">
        <v>3742.5564695068388</v>
      </c>
      <c r="G12" s="529">
        <v>3770.7125292758319</v>
      </c>
      <c r="H12" s="247"/>
      <c r="I12" s="247"/>
      <c r="J12" s="5" t="s">
        <v>461</v>
      </c>
      <c r="L12" s="525">
        <f>'W.EUR TOWER'!D40</f>
        <v>84.701699546230927</v>
      </c>
      <c r="M12" s="525">
        <f>'W.EUR TOWER'!E40</f>
        <v>65.838659639678482</v>
      </c>
      <c r="N12" s="525">
        <f>'W.EUR TOWER'!F40</f>
        <v>58.994919602209308</v>
      </c>
      <c r="O12" s="525">
        <f>'W.EUR TOWER'!G40</f>
        <v>42.525412289644201</v>
      </c>
      <c r="P12" s="286">
        <f>'W.EUR TOWER'!H40</f>
        <v>0.25309384872226159</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'W.EUR TOWER'!D41</f>
        <v>1.4625746966527438</v>
      </c>
      <c r="M13" s="525">
        <f>'W.EUR TOWER'!E41</f>
        <v>1.4904356452380156</v>
      </c>
      <c r="N13" s="525">
        <f>'W.EUR TOWER'!F41</f>
        <v>1.478676035729914</v>
      </c>
      <c r="O13" s="525">
        <f>'W.EUR TOWER'!G41</f>
        <v>1.4661663431915106</v>
      </c>
      <c r="P13" s="286">
        <f>'W.EUR TOWER'!H41</f>
        <v>-4.8680482740720565E-3</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'W.EUR TOWER'!D42</f>
        <v>51.445004127966492</v>
      </c>
      <c r="M14" s="525">
        <f>'W.EUR TOWER'!E42</f>
        <v>46.423515414443465</v>
      </c>
      <c r="N14" s="525">
        <f>'W.EUR TOWER'!F42</f>
        <v>42.858691796136242</v>
      </c>
      <c r="O14" s="525">
        <f>'W.EUR TOWER'!G42</f>
        <v>40.338652276825485</v>
      </c>
      <c r="P14" s="286">
        <f>'W.EUR TOWER'!H42</f>
        <v>8.0047878651871907E-2</v>
      </c>
      <c r="S14" s="88"/>
      <c r="T14" s="42"/>
      <c r="U14" s="42"/>
      <c r="V14" s="42"/>
      <c r="W14" s="42"/>
      <c r="X14" s="42"/>
      <c r="Y14" s="42"/>
      <c r="Z14" s="42"/>
      <c r="AA14" s="42"/>
    </row>
    <row r="15" spans="2:44">
      <c r="B15" s="5" t="s">
        <v>526</v>
      </c>
      <c r="C15" s="274"/>
      <c r="D15" s="529">
        <v>0</v>
      </c>
      <c r="E15" s="529">
        <v>0</v>
      </c>
      <c r="F15" s="529">
        <v>0</v>
      </c>
      <c r="G15" s="529">
        <v>0</v>
      </c>
      <c r="H15" s="249"/>
      <c r="I15" s="247"/>
      <c r="J15" s="5" t="s">
        <v>470</v>
      </c>
      <c r="L15" s="525">
        <f>'W.EUR TOWER'!D43</f>
        <v>96.112788277332498</v>
      </c>
      <c r="M15" s="525">
        <f>'W.EUR TOWER'!E43</f>
        <v>72.864803849204705</v>
      </c>
      <c r="N15" s="525">
        <f>'W.EUR TOWER'!F43</f>
        <v>60.020358252126776</v>
      </c>
      <c r="O15" s="525">
        <f>'W.EUR TOWER'!G43</f>
        <v>36.043538011795533</v>
      </c>
      <c r="P15" s="286">
        <f>'W.EUR TOWER'!H43</f>
        <v>0.38153486275944082</v>
      </c>
      <c r="S15" s="88"/>
      <c r="T15" s="42"/>
      <c r="U15" s="42"/>
      <c r="V15" s="42"/>
      <c r="W15" s="42"/>
      <c r="X15" s="42"/>
      <c r="Y15" s="42"/>
      <c r="Z15" s="42"/>
      <c r="AA15" s="42"/>
    </row>
    <row r="16" spans="2:44">
      <c r="B16" s="5" t="s">
        <v>529</v>
      </c>
      <c r="C16" s="257"/>
      <c r="D16" s="529">
        <v>0</v>
      </c>
      <c r="E16" s="529">
        <v>0</v>
      </c>
      <c r="F16" s="529">
        <v>470.38431432187866</v>
      </c>
      <c r="G16" s="529">
        <v>976.04745221789813</v>
      </c>
      <c r="H16" s="247"/>
      <c r="I16" s="247"/>
      <c r="J16" s="5" t="s">
        <v>528</v>
      </c>
      <c r="L16" s="525">
        <f>'W.EUR TOWER'!D44</f>
        <v>843.08364710449359</v>
      </c>
      <c r="M16" s="525">
        <f>'W.EUR TOWER'!E44</f>
        <v>209.68129961979699</v>
      </c>
      <c r="N16" s="525">
        <f>'W.EUR TOWER'!F44</f>
        <v>94.224868620814846</v>
      </c>
      <c r="O16" s="525">
        <f>'W.EUR TOWER'!G44</f>
        <v>66.151949232960817</v>
      </c>
      <c r="P16" s="286">
        <f>'W.EUR TOWER'!H44</f>
        <v>1.3271261945905319</v>
      </c>
      <c r="S16" s="88"/>
      <c r="T16" s="42"/>
      <c r="U16" s="42"/>
      <c r="V16" s="42"/>
      <c r="W16" s="42"/>
      <c r="X16" s="42"/>
      <c r="Y16" s="42"/>
      <c r="Z16" s="42"/>
      <c r="AA16" s="42"/>
    </row>
    <row r="17" spans="2:27">
      <c r="B17" s="5" t="s">
        <v>6</v>
      </c>
      <c r="C17" s="257"/>
      <c r="D17" s="529">
        <v>430.14867383355971</v>
      </c>
      <c r="E17" s="529">
        <v>333.11729691590631</v>
      </c>
      <c r="F17" s="529">
        <v>230.45810013702888</v>
      </c>
      <c r="G17" s="529">
        <v>121.84466994497654</v>
      </c>
      <c r="H17" s="247"/>
      <c r="I17" s="247"/>
      <c r="J17" s="5" t="s">
        <v>575</v>
      </c>
      <c r="L17" s="248">
        <f>'W.EUR TOWER'!D45</f>
        <v>1.3881545486006877E-2</v>
      </c>
      <c r="M17" s="248">
        <f>'W.EUR TOWER'!E45</f>
        <v>1.4788458587614234E-2</v>
      </c>
      <c r="N17" s="248">
        <f>'W.EUR TOWER'!F45</f>
        <v>1.5844378798805132E-2</v>
      </c>
      <c r="O17" s="248">
        <f>'W.EUR TOWER'!G45</f>
        <v>2.9588970914268913E-2</v>
      </c>
      <c r="P17" s="286">
        <f>'W.EUR TOWER'!H45</f>
        <v>0.28215719811332707</v>
      </c>
      <c r="S17" s="88"/>
      <c r="T17" s="42"/>
      <c r="U17" s="42"/>
      <c r="V17" s="42"/>
      <c r="W17" s="42"/>
      <c r="X17" s="42"/>
      <c r="Y17" s="42"/>
      <c r="Z17" s="42"/>
      <c r="AA17" s="42"/>
    </row>
    <row r="18" spans="2:27" ht="12.6" thickBot="1">
      <c r="B18" s="41" t="s">
        <v>578</v>
      </c>
      <c r="C18" s="249"/>
      <c r="D18" s="530">
        <f>D11+D12+D13-D14+D15-D16-D17</f>
        <v>13274.89159296644</v>
      </c>
      <c r="E18" s="530">
        <f>E11+E12+E13-E14+E15-E16-E17</f>
        <v>13459.566435503386</v>
      </c>
      <c r="F18" s="530">
        <f>F11+F12+F13-F14+F15-F16-F17</f>
        <v>13123.982497683548</v>
      </c>
      <c r="G18" s="530">
        <f>G11+G12+G13-G14+G15-G16-G17</f>
        <v>12755.088849748576</v>
      </c>
      <c r="H18" s="276">
        <f>IF(D18=0,"nm",IF(G18=0,"nm",(G18/D18)^(1/3)-1))</f>
        <v>-1.3226446021614602E-2</v>
      </c>
      <c r="I18" s="254"/>
      <c r="J18" s="5" t="s">
        <v>36</v>
      </c>
      <c r="L18" s="248">
        <f>'W.EUR TOWER'!D46</f>
        <v>1.3881545486006877E-2</v>
      </c>
      <c r="M18" s="248">
        <f>'W.EUR TOWER'!E46</f>
        <v>1.4788458587614234E-2</v>
      </c>
      <c r="N18" s="248">
        <f>'W.EUR TOWER'!F46</f>
        <v>1.5844378798805132E-2</v>
      </c>
      <c r="O18" s="248">
        <f>'W.EUR TOWER'!G46</f>
        <v>2.9588970914268913E-2</v>
      </c>
      <c r="P18" s="286">
        <f>'W.EUR TOWER'!H46</f>
        <v>0.28215719811332707</v>
      </c>
      <c r="S18" s="88"/>
      <c r="T18" s="42"/>
      <c r="U18" s="42"/>
      <c r="V18" s="42"/>
      <c r="W18" s="42"/>
      <c r="X18" s="42"/>
      <c r="Y18" s="42"/>
      <c r="Z18" s="42"/>
      <c r="AA18" s="42"/>
    </row>
    <row r="19" spans="2:27" ht="12.6" thickTop="1">
      <c r="B19" s="41"/>
      <c r="C19" s="249"/>
      <c r="D19" s="229"/>
      <c r="E19" s="229"/>
      <c r="F19" s="229"/>
      <c r="G19" s="229"/>
      <c r="H19" s="276"/>
      <c r="I19" s="254"/>
      <c r="J19" s="5" t="s">
        <v>576</v>
      </c>
      <c r="L19" s="248">
        <f>'W.EUR TOWER'!D47</f>
        <v>1.0404442716972375E-2</v>
      </c>
      <c r="M19" s="248">
        <f>'W.EUR TOWER'!E47</f>
        <v>1.3724047100566163E-2</v>
      </c>
      <c r="N19" s="248">
        <f>'W.EUR TOWER'!F47</f>
        <v>1.6661013514769646E-2</v>
      </c>
      <c r="O19" s="248">
        <f>'W.EUR TOWER'!G47</f>
        <v>2.7744224212194211E-2</v>
      </c>
      <c r="P19" s="286">
        <f>'W.EUR TOWER'!H47</f>
        <v>0.38153486275944082</v>
      </c>
      <c r="S19" s="88"/>
      <c r="T19" s="42"/>
      <c r="U19" s="42"/>
      <c r="V19" s="42"/>
      <c r="W19" s="42"/>
      <c r="X19" s="42"/>
      <c r="Y19" s="42"/>
      <c r="Z19" s="42"/>
      <c r="AA19" s="42"/>
    </row>
    <row r="20" spans="2:27">
      <c r="H20" s="277"/>
      <c r="I20" s="17"/>
      <c r="J20" s="5" t="s">
        <v>599</v>
      </c>
      <c r="L20" s="305">
        <f>'W.EUR TOWER'!D48</f>
        <v>1.3341940422587395</v>
      </c>
      <c r="M20" s="305">
        <f>'W.EUR TOWER'!E48</f>
        <v>1.077558134218598</v>
      </c>
      <c r="N20" s="305">
        <f>'W.EUR TOWER'!F48</f>
        <v>0.95098529178668623</v>
      </c>
      <c r="O20" s="305">
        <f>'W.EUR TOWER'!G48</f>
        <v>1.066491197878364</v>
      </c>
      <c r="P20" s="286" t="str">
        <f>'W.EUR TOWER'!H48</f>
        <v>nm</v>
      </c>
      <c r="S20" s="88"/>
      <c r="T20" s="42"/>
      <c r="U20" s="42"/>
      <c r="V20" s="42"/>
      <c r="W20" s="42"/>
      <c r="X20" s="42"/>
      <c r="Y20" s="42"/>
      <c r="Z20" s="42"/>
      <c r="AA20" s="42"/>
    </row>
    <row r="21" spans="2:27" ht="12.6" thickBot="1">
      <c r="B21" s="306" t="s">
        <v>923</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960.28740000000005</v>
      </c>
      <c r="D23" s="536">
        <v>1035.2765817082009</v>
      </c>
      <c r="E23" s="536">
        <v>1092.1960225501577</v>
      </c>
      <c r="F23" s="536">
        <v>1148.9587141889651</v>
      </c>
      <c r="G23" s="536">
        <v>1192.1003469384962</v>
      </c>
      <c r="H23" s="279">
        <f t="shared" ref="H23:H32" si="3">IF(D23=0,"nm",IF(G23=0,"nm",(G23/D23)^(1/3)-1))</f>
        <v>4.8138824253911805E-2</v>
      </c>
      <c r="I23" s="247"/>
      <c r="J23" s="306" t="s">
        <v>9</v>
      </c>
      <c r="K23" s="306"/>
      <c r="L23" s="265" t="str">
        <f>L$5</f>
        <v>2023E</v>
      </c>
      <c r="M23" s="265" t="str">
        <f t="shared" ref="M23:P23" si="4">M$5</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586.99900000000002</v>
      </c>
      <c r="D24" s="536">
        <v>685.59640000000002</v>
      </c>
      <c r="E24" s="536">
        <v>753.10708427519728</v>
      </c>
      <c r="F24" s="536">
        <v>807.60702176682071</v>
      </c>
      <c r="G24" s="536">
        <v>863.66775013654058</v>
      </c>
      <c r="H24" s="279">
        <f t="shared" si="3"/>
        <v>8.0005726387666565E-2</v>
      </c>
      <c r="I24" s="249"/>
      <c r="J24" s="17"/>
      <c r="K24" s="17"/>
      <c r="L24" s="17"/>
      <c r="M24" s="17"/>
      <c r="N24" s="17"/>
      <c r="O24" s="248"/>
      <c r="S24" s="88"/>
      <c r="T24" s="42"/>
      <c r="U24" s="42"/>
      <c r="V24" s="42"/>
      <c r="W24" s="42" t="s">
        <v>847</v>
      </c>
      <c r="X24" s="42" t="s">
        <v>853</v>
      </c>
      <c r="Y24" s="42"/>
      <c r="Z24" s="42"/>
      <c r="AA24" s="42"/>
    </row>
    <row r="25" spans="2:27">
      <c r="B25" s="5" t="s">
        <v>179</v>
      </c>
      <c r="C25" s="544">
        <v>399.97</v>
      </c>
      <c r="D25" s="536">
        <v>398.91240000000005</v>
      </c>
      <c r="E25" s="536">
        <v>479.65726044763733</v>
      </c>
      <c r="F25" s="536">
        <v>571.05393188702953</v>
      </c>
      <c r="G25" s="536">
        <v>655.73292088948961</v>
      </c>
      <c r="H25" s="279">
        <f t="shared" si="3"/>
        <v>0.18018425718765951</v>
      </c>
      <c r="I25" s="248"/>
      <c r="J25" s="247" t="s">
        <v>10</v>
      </c>
      <c r="K25" s="247"/>
      <c r="L25" s="321">
        <v>0</v>
      </c>
      <c r="M25" s="321">
        <v>0</v>
      </c>
      <c r="N25" s="321">
        <v>0</v>
      </c>
      <c r="O25" s="321">
        <v>0</v>
      </c>
      <c r="P25" s="279" t="str">
        <f>IF(L25=0,"nm",IF(O25=0,"nm",(O25/L25)^(1/3)-1))</f>
        <v>nm</v>
      </c>
      <c r="S25" s="88"/>
      <c r="T25" s="42"/>
      <c r="U25" s="42"/>
      <c r="V25" s="147" t="s">
        <v>268</v>
      </c>
      <c r="W25" s="288">
        <f>D37/L9</f>
        <v>1.1985197682902706</v>
      </c>
      <c r="X25" s="288">
        <v>1</v>
      </c>
      <c r="Y25" s="42"/>
      <c r="Z25" s="42"/>
      <c r="AA25" s="42"/>
    </row>
    <row r="26" spans="2:27">
      <c r="B26" s="5" t="s">
        <v>581</v>
      </c>
      <c r="C26" s="544">
        <v>285.97855000000004</v>
      </c>
      <c r="D26" s="536">
        <v>285.22236600000008</v>
      </c>
      <c r="E26" s="536">
        <v>342.95494122006073</v>
      </c>
      <c r="F26" s="536">
        <v>408.30356129922615</v>
      </c>
      <c r="G26" s="536">
        <v>468.84903843598511</v>
      </c>
      <c r="H26" s="279">
        <f t="shared" si="3"/>
        <v>0.18018425718765929</v>
      </c>
      <c r="I26" s="249"/>
      <c r="J26" s="249" t="s">
        <v>11</v>
      </c>
      <c r="K26" s="249"/>
      <c r="L26" s="281">
        <f>D11+L25</f>
        <v>10479.845266799999</v>
      </c>
      <c r="M26" s="281">
        <f>E11+M25</f>
        <v>10298.7067988</v>
      </c>
      <c r="N26" s="281">
        <f>F11+N25</f>
        <v>10082.268442635617</v>
      </c>
      <c r="O26" s="281">
        <f>G11+O25</f>
        <v>10082.268442635617</v>
      </c>
      <c r="P26" s="279">
        <f>IF(L26=0,"nm",IF(O26=0,"nm",(O26/L26)^(1/3)-1))</f>
        <v>-1.2809133346435519E-2</v>
      </c>
      <c r="Q26" s="5"/>
      <c r="S26" s="88"/>
      <c r="T26" s="42"/>
      <c r="U26" s="42"/>
      <c r="V26" s="147" t="s">
        <v>180</v>
      </c>
      <c r="W26" s="288">
        <f t="shared" ref="W26:W28" si="5">D38/L10</f>
        <v>0.91639017951865409</v>
      </c>
      <c r="X26" s="288">
        <v>1</v>
      </c>
      <c r="Y26" s="42"/>
      <c r="Z26" s="42"/>
      <c r="AA26" s="42"/>
    </row>
    <row r="27" spans="2:27">
      <c r="B27" s="5" t="s">
        <v>582</v>
      </c>
      <c r="C27" s="545">
        <v>7583.7339999999995</v>
      </c>
      <c r="D27" s="536">
        <v>7561.5940000000001</v>
      </c>
      <c r="E27" s="536">
        <v>7610.9799463952086</v>
      </c>
      <c r="F27" s="536">
        <v>7608.3455090133157</v>
      </c>
      <c r="G27" s="536">
        <v>7580.8583183056599</v>
      </c>
      <c r="H27" s="279">
        <f t="shared" si="3"/>
        <v>8.4849754435234459E-4</v>
      </c>
      <c r="I27" s="249"/>
      <c r="J27" s="248"/>
      <c r="K27" s="248"/>
      <c r="L27" s="248"/>
      <c r="M27" s="248"/>
      <c r="N27" s="248"/>
      <c r="O27" s="248"/>
      <c r="Q27" s="41"/>
      <c r="S27" s="88"/>
      <c r="T27" s="42"/>
      <c r="U27" s="42"/>
      <c r="V27" s="147" t="s">
        <v>181</v>
      </c>
      <c r="W27" s="288">
        <f t="shared" si="5"/>
        <v>0.53133169986694528</v>
      </c>
      <c r="X27" s="288">
        <v>1</v>
      </c>
      <c r="Y27" s="42"/>
      <c r="Z27" s="42"/>
      <c r="AA27" s="42"/>
    </row>
    <row r="28" spans="2:27">
      <c r="B28" s="5" t="s">
        <v>587</v>
      </c>
      <c r="C28" s="544">
        <v>933.00800000000004</v>
      </c>
      <c r="D28" s="536">
        <v>1109.5530000000001</v>
      </c>
      <c r="E28" s="536">
        <v>1242.0408108088011</v>
      </c>
      <c r="F28" s="536">
        <v>1334.9442457333162</v>
      </c>
      <c r="G28" s="536">
        <v>1397.9031281343148</v>
      </c>
      <c r="H28" s="279">
        <f t="shared" si="3"/>
        <v>8.0047878651871907E-2</v>
      </c>
      <c r="I28" s="248"/>
      <c r="Q28" s="5"/>
      <c r="S28" s="88"/>
      <c r="T28" s="42"/>
      <c r="U28" s="42"/>
      <c r="V28" s="147" t="s">
        <v>461</v>
      </c>
      <c r="W28" s="288">
        <f t="shared" si="5"/>
        <v>0.54948429023806011</v>
      </c>
      <c r="X28" s="288">
        <v>1</v>
      </c>
      <c r="Y28" s="42"/>
      <c r="Z28" s="42"/>
      <c r="AA28" s="42"/>
    </row>
    <row r="29" spans="2:27" ht="12.6" thickBot="1">
      <c r="B29" s="5" t="s">
        <v>583</v>
      </c>
      <c r="C29" s="544">
        <v>260.18242637999992</v>
      </c>
      <c r="D29" s="536">
        <v>246.25585100000001</v>
      </c>
      <c r="E29" s="536">
        <v>285.70809178070624</v>
      </c>
      <c r="F29" s="536">
        <v>349.55665343433378</v>
      </c>
      <c r="G29" s="536">
        <v>405.25895312702613</v>
      </c>
      <c r="H29" s="279">
        <f t="shared" si="3"/>
        <v>0.1806341834185583</v>
      </c>
      <c r="I29" s="252"/>
      <c r="J29" s="306" t="s">
        <v>1353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470</v>
      </c>
      <c r="W29" s="288">
        <f>D43/L15</f>
        <v>0.4427791230883471</v>
      </c>
      <c r="X29" s="288">
        <v>1</v>
      </c>
      <c r="Y29" s="42"/>
      <c r="Z29" s="42"/>
      <c r="AA29" s="42"/>
    </row>
    <row r="30" spans="2:27" ht="12.6" thickTop="1">
      <c r="B30" s="5" t="s">
        <v>584</v>
      </c>
      <c r="C30" s="545">
        <v>293.33909999999992</v>
      </c>
      <c r="D30" s="536">
        <v>339.49639999999999</v>
      </c>
      <c r="E30" s="536">
        <v>374.23416317591415</v>
      </c>
      <c r="F30" s="536">
        <v>419.17034105244034</v>
      </c>
      <c r="G30" s="536">
        <v>450.01988741937191</v>
      </c>
      <c r="H30" s="279">
        <f t="shared" si="3"/>
        <v>9.8496922158225919E-2</v>
      </c>
      <c r="I30" s="254"/>
      <c r="J30" s="248"/>
      <c r="K30" s="248"/>
      <c r="L30" s="248"/>
      <c r="M30" s="248"/>
      <c r="N30" s="248"/>
      <c r="O30" s="5"/>
      <c r="Q30" s="5"/>
      <c r="S30" s="88"/>
      <c r="T30" s="42"/>
      <c r="U30" s="42"/>
      <c r="V30" s="147" t="s">
        <v>528</v>
      </c>
      <c r="W30" s="288">
        <f>D44/L16</f>
        <v>3.6614156323764482E-2</v>
      </c>
      <c r="X30" s="288">
        <v>1</v>
      </c>
      <c r="Y30" s="42"/>
      <c r="Z30" s="42"/>
      <c r="AA30" s="42"/>
    </row>
    <row r="31" spans="2:27">
      <c r="B31" s="5" t="s">
        <v>585</v>
      </c>
      <c r="C31" s="545">
        <v>332.79945423089998</v>
      </c>
      <c r="D31" s="536">
        <v>454.82149439999995</v>
      </c>
      <c r="E31" s="536">
        <v>480.48216167999999</v>
      </c>
      <c r="F31" s="536">
        <v>505.66313789601952</v>
      </c>
      <c r="G31" s="536">
        <v>543.58787323822094</v>
      </c>
      <c r="H31" s="279">
        <f t="shared" si="3"/>
        <v>6.1230181652581761E-2</v>
      </c>
      <c r="I31" s="254"/>
      <c r="J31" s="5" t="s">
        <v>731</v>
      </c>
      <c r="K31" s="247"/>
      <c r="L31" s="322">
        <v>23650</v>
      </c>
      <c r="M31" s="322">
        <v>24050</v>
      </c>
      <c r="N31" s="322">
        <v>24450</v>
      </c>
      <c r="O31" s="322">
        <v>24750</v>
      </c>
      <c r="Q31" s="5"/>
      <c r="S31" s="88"/>
      <c r="T31" s="42"/>
      <c r="U31" s="42"/>
      <c r="V31" s="147" t="s">
        <v>575</v>
      </c>
      <c r="W31" s="288">
        <f>D45/L17</f>
        <v>3.1264269803456446</v>
      </c>
      <c r="X31" s="288">
        <v>1</v>
      </c>
      <c r="Y31" s="42"/>
      <c r="Z31" s="42"/>
      <c r="AA31" s="42"/>
    </row>
    <row r="32" spans="2:27">
      <c r="B32" s="5" t="s">
        <v>601</v>
      </c>
      <c r="C32" s="546">
        <v>0</v>
      </c>
      <c r="D32" s="536">
        <v>0</v>
      </c>
      <c r="E32" s="536">
        <v>0</v>
      </c>
      <c r="F32" s="536">
        <v>0</v>
      </c>
      <c r="G32" s="536">
        <v>0</v>
      </c>
      <c r="H32" s="279" t="str">
        <f t="shared" si="3"/>
        <v>nm</v>
      </c>
      <c r="I32" s="254"/>
      <c r="J32" s="5" t="s">
        <v>1351</v>
      </c>
      <c r="K32" s="254"/>
      <c r="L32" s="322">
        <v>54320.911999999997</v>
      </c>
      <c r="M32" s="322">
        <v>58191.024640000003</v>
      </c>
      <c r="N32" s="322">
        <v>62159.878412799997</v>
      </c>
      <c r="O32" s="322">
        <v>64752.238157055996</v>
      </c>
      <c r="Q32" s="5"/>
      <c r="S32" s="88"/>
      <c r="T32" s="42"/>
      <c r="U32" s="42"/>
      <c r="V32" s="147" t="s">
        <v>576</v>
      </c>
      <c r="W32" s="288">
        <f>D47/L19</f>
        <v>2.2584623977415288</v>
      </c>
      <c r="X32" s="288">
        <v>1</v>
      </c>
      <c r="Y32" s="42"/>
      <c r="Z32" s="42"/>
      <c r="AA32" s="42"/>
    </row>
    <row r="33" spans="1:27">
      <c r="B33" s="5" t="s">
        <v>5</v>
      </c>
      <c r="C33" s="545">
        <v>81.2239</v>
      </c>
      <c r="D33" s="536">
        <v>112.94200000000001</v>
      </c>
      <c r="E33" s="536">
        <v>125.8145037366716</v>
      </c>
      <c r="F33" s="536">
        <v>125.21147817305165</v>
      </c>
      <c r="G33" s="536">
        <v>141.89149515474179</v>
      </c>
      <c r="H33" s="279">
        <f>IF(D33=0,"nm",IF(G33=0,"nm",(G33/D33)^(1/3)-1))</f>
        <v>7.9030275528816141E-2</v>
      </c>
      <c r="I33" s="5"/>
      <c r="J33" s="5"/>
      <c r="K33" s="5"/>
      <c r="L33" s="5"/>
      <c r="M33" s="5"/>
      <c r="N33" s="5"/>
      <c r="O33" s="5"/>
      <c r="P33" s="5"/>
      <c r="Q33" s="5"/>
      <c r="S33" s="88"/>
      <c r="T33" s="42"/>
      <c r="U33" s="42"/>
      <c r="V33" s="42"/>
      <c r="W33" s="288"/>
      <c r="X33" s="42"/>
      <c r="Y33" s="42"/>
      <c r="Z33" s="42"/>
      <c r="AA33" s="42"/>
    </row>
    <row r="34" spans="1:27">
      <c r="I34" s="49"/>
      <c r="Q34" s="5"/>
      <c r="S34" s="88"/>
      <c r="T34" s="42"/>
      <c r="U34" s="42"/>
      <c r="V34" s="42"/>
      <c r="W34" s="288"/>
      <c r="X34" s="42"/>
      <c r="Y34" s="288"/>
      <c r="Z34" s="288"/>
      <c r="AA34" s="42"/>
    </row>
    <row r="35" spans="1:27" ht="12.6" thickBot="1">
      <c r="B35" s="306" t="s">
        <v>846</v>
      </c>
      <c r="C35" s="265"/>
      <c r="D35" s="265" t="str">
        <f>D5</f>
        <v>2023E</v>
      </c>
      <c r="E35" s="265" t="str">
        <f t="shared" ref="E35:H35" si="7">E5</f>
        <v>2024E</v>
      </c>
      <c r="F35" s="265" t="str">
        <f t="shared" si="7"/>
        <v>2025E</v>
      </c>
      <c r="G35" s="265" t="str">
        <f t="shared" si="7"/>
        <v>2026E</v>
      </c>
      <c r="H35" s="265" t="str">
        <f t="shared" si="7"/>
        <v>23E-26E</v>
      </c>
      <c r="I35" s="254"/>
      <c r="J35" s="306" t="s">
        <v>1352</v>
      </c>
      <c r="K35" s="306"/>
      <c r="L35" s="265" t="str">
        <f>L$5</f>
        <v>2023E</v>
      </c>
      <c r="M35" s="265" t="str">
        <f t="shared" ref="M35:P35" si="8">M$5</f>
        <v>2024E</v>
      </c>
      <c r="N35" s="265" t="str">
        <f t="shared" si="8"/>
        <v>2025E</v>
      </c>
      <c r="O35" s="265" t="str">
        <f t="shared" si="8"/>
        <v>2026E</v>
      </c>
      <c r="P35" s="265" t="str">
        <f t="shared" si="8"/>
        <v>23E-26E</v>
      </c>
      <c r="Q35" s="5"/>
      <c r="S35" s="88"/>
      <c r="T35" s="42"/>
      <c r="U35" s="42"/>
      <c r="V35" s="42"/>
      <c r="W35" s="42"/>
      <c r="X35" s="42"/>
      <c r="Y35" s="288"/>
      <c r="Z35" s="288"/>
      <c r="AA35" s="42"/>
    </row>
    <row r="36" spans="1: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1:27">
      <c r="A37" s="5"/>
      <c r="B37" s="5" t="s">
        <v>268</v>
      </c>
      <c r="C37" s="247"/>
      <c r="D37" s="525">
        <f>D$18/D23</f>
        <v>12.822555660500829</v>
      </c>
      <c r="E37" s="525">
        <f t="shared" ref="E37:G40" si="9">E$18/E23</f>
        <v>12.323398142466017</v>
      </c>
      <c r="F37" s="525">
        <f t="shared" si="9"/>
        <v>11.422501379388201</v>
      </c>
      <c r="G37" s="525">
        <f t="shared" si="9"/>
        <v>10.699677155958957</v>
      </c>
      <c r="H37" s="17">
        <f t="shared" ref="H37:H40" si="10">H23</f>
        <v>4.8138824253911805E-2</v>
      </c>
      <c r="I37" s="5"/>
      <c r="J37" s="259"/>
      <c r="K37" s="259"/>
      <c r="L37" s="259"/>
      <c r="M37" s="259"/>
      <c r="N37" s="259"/>
      <c r="O37" s="18"/>
      <c r="Q37" s="5"/>
      <c r="R37" s="5"/>
      <c r="S37" s="42"/>
      <c r="T37" s="42"/>
      <c r="U37" s="42"/>
      <c r="V37" s="42"/>
      <c r="W37" s="42"/>
      <c r="X37" s="42"/>
      <c r="Y37" s="42"/>
      <c r="Z37" s="42"/>
      <c r="AA37" s="42"/>
    </row>
    <row r="38" spans="1:27">
      <c r="A38" s="5"/>
      <c r="B38" s="5" t="s">
        <v>180</v>
      </c>
      <c r="C38" s="247"/>
      <c r="D38" s="525">
        <f>D$18/D24</f>
        <v>19.362545650715845</v>
      </c>
      <c r="E38" s="525">
        <f>E$18/E24</f>
        <v>17.872048632309834</v>
      </c>
      <c r="F38" s="525">
        <f t="shared" si="9"/>
        <v>16.25045615498972</v>
      </c>
      <c r="G38" s="525">
        <f t="shared" si="9"/>
        <v>14.768513525869265</v>
      </c>
      <c r="H38" s="17">
        <f t="shared" si="10"/>
        <v>8.0005726387666565E-2</v>
      </c>
      <c r="I38" s="259"/>
      <c r="Q38" s="5"/>
      <c r="R38" s="5"/>
      <c r="S38" s="42"/>
      <c r="T38" s="42"/>
      <c r="U38" s="42"/>
      <c r="V38" s="42"/>
      <c r="W38" s="42"/>
      <c r="X38" s="42"/>
      <c r="Y38" s="42"/>
      <c r="Z38" s="42"/>
      <c r="AA38" s="42"/>
    </row>
    <row r="39" spans="1:27">
      <c r="A39" s="5"/>
      <c r="B39" s="5" t="s">
        <v>181</v>
      </c>
      <c r="C39" s="247"/>
      <c r="D39" s="525">
        <f>D$18/D25</f>
        <v>33.277711078839459</v>
      </c>
      <c r="E39" s="525">
        <f t="shared" si="9"/>
        <v>28.060799961502354</v>
      </c>
      <c r="F39" s="525">
        <f t="shared" si="9"/>
        <v>22.98203683549777</v>
      </c>
      <c r="G39" s="525">
        <f t="shared" si="9"/>
        <v>19.451652408188586</v>
      </c>
      <c r="H39" s="17">
        <f t="shared" si="10"/>
        <v>0.18018425718765951</v>
      </c>
      <c r="I39" s="17"/>
      <c r="J39" s="5"/>
      <c r="K39" s="5"/>
      <c r="L39" s="5"/>
      <c r="M39" s="5"/>
      <c r="N39" s="5"/>
      <c r="O39" s="5"/>
      <c r="Q39" s="5"/>
      <c r="R39" s="5"/>
      <c r="S39" s="42"/>
      <c r="T39" s="42"/>
      <c r="U39" s="42"/>
      <c r="V39" s="42"/>
      <c r="W39" s="42"/>
      <c r="X39" s="42"/>
      <c r="Y39" s="42"/>
      <c r="Z39" s="42"/>
      <c r="AA39" s="42"/>
    </row>
    <row r="40" spans="1:27">
      <c r="A40" s="5"/>
      <c r="B40" s="5" t="s">
        <v>461</v>
      </c>
      <c r="C40" s="247"/>
      <c r="D40" s="525">
        <f>D$18/D26</f>
        <v>46.542253257118119</v>
      </c>
      <c r="E40" s="525">
        <f t="shared" si="9"/>
        <v>39.245874072031256</v>
      </c>
      <c r="F40" s="525">
        <f t="shared" si="9"/>
        <v>32.142708860836038</v>
      </c>
      <c r="G40" s="525">
        <f t="shared" si="9"/>
        <v>27.205108263200817</v>
      </c>
      <c r="H40" s="17">
        <f t="shared" si="10"/>
        <v>0.18018425718765929</v>
      </c>
      <c r="I40" s="5"/>
      <c r="J40" s="259"/>
      <c r="K40" s="259"/>
      <c r="L40" s="259"/>
      <c r="M40" s="259"/>
      <c r="N40" s="259"/>
      <c r="O40" s="18"/>
      <c r="Q40" s="5"/>
      <c r="R40" s="5"/>
      <c r="S40" s="42"/>
      <c r="T40" s="42"/>
      <c r="U40" s="42"/>
      <c r="V40" s="42"/>
      <c r="W40" s="288"/>
      <c r="X40" s="288"/>
      <c r="Y40" s="42"/>
      <c r="Z40" s="42"/>
      <c r="AA40" s="42"/>
    </row>
    <row r="41" spans="1:27">
      <c r="A41" s="5"/>
      <c r="B41" s="5" t="s">
        <v>863</v>
      </c>
      <c r="D41" s="525">
        <f>D18/D27</f>
        <v>1.7555678859465926</v>
      </c>
      <c r="E41" s="525">
        <f>E18/E27</f>
        <v>1.7684406647107571</v>
      </c>
      <c r="F41" s="525">
        <f>F18/F27</f>
        <v>1.7249456510796031</v>
      </c>
      <c r="G41" s="525">
        <f>G18/G27</f>
        <v>1.6825388780777752</v>
      </c>
      <c r="H41" s="17">
        <f>H27</f>
        <v>8.4849754435234459E-4</v>
      </c>
      <c r="I41" s="247"/>
      <c r="J41" s="17"/>
      <c r="K41" s="17"/>
      <c r="L41" s="17"/>
      <c r="M41" s="17"/>
      <c r="N41" s="17"/>
      <c r="O41" s="5"/>
      <c r="Q41" s="5"/>
      <c r="R41" s="5"/>
      <c r="S41" s="42"/>
      <c r="T41" s="42"/>
      <c r="U41" s="42"/>
      <c r="V41" s="42"/>
      <c r="W41" s="288"/>
      <c r="X41" s="288"/>
      <c r="Y41" s="288"/>
      <c r="Z41" s="288"/>
      <c r="AA41" s="42"/>
    </row>
    <row r="42" spans="1:27">
      <c r="A42" s="5"/>
      <c r="B42" s="5" t="s">
        <v>588</v>
      </c>
      <c r="D42" s="525">
        <f>IFERROR(D18/D28,"na")</f>
        <v>11.964179803007552</v>
      </c>
      <c r="E42" s="525">
        <f>IFERROR(E18/E28,"na")</f>
        <v>10.836653931474835</v>
      </c>
      <c r="F42" s="525">
        <f>IFERROR(F18/F28,"na")</f>
        <v>9.8311090816187878</v>
      </c>
      <c r="G42" s="525">
        <f>IFERROR(G18/G28,"na")</f>
        <v>9.1244440283726362</v>
      </c>
      <c r="H42" s="17">
        <f>H28</f>
        <v>8.0047878651871907E-2</v>
      </c>
      <c r="I42" s="248"/>
      <c r="J42" s="5"/>
      <c r="K42" s="5"/>
      <c r="L42" s="5"/>
      <c r="M42" s="5"/>
      <c r="N42" s="5"/>
      <c r="O42" s="5"/>
      <c r="Q42" s="5"/>
      <c r="R42" s="5"/>
      <c r="S42" s="42"/>
      <c r="T42" s="42"/>
      <c r="U42" s="42"/>
      <c r="V42" s="42"/>
      <c r="W42" s="288"/>
      <c r="X42" s="288"/>
      <c r="Y42" s="288"/>
      <c r="Z42" s="288"/>
      <c r="AA42" s="42"/>
    </row>
    <row r="43" spans="1:27">
      <c r="A43" s="5"/>
      <c r="B43" s="5" t="s">
        <v>470</v>
      </c>
      <c r="C43" s="247"/>
      <c r="D43" s="525">
        <f>L26/D29</f>
        <v>42.556736111013251</v>
      </c>
      <c r="E43" s="525">
        <f>M26/E29</f>
        <v>36.046255234187484</v>
      </c>
      <c r="F43" s="525">
        <f>N26/F29</f>
        <v>28.84301684313278</v>
      </c>
      <c r="G43" s="525">
        <f>O26/G29</f>
        <v>24.878582853850947</v>
      </c>
      <c r="H43" s="17">
        <f>H29</f>
        <v>0.1806341834185583</v>
      </c>
      <c r="I43" s="247"/>
      <c r="J43" s="247"/>
      <c r="K43" s="247"/>
      <c r="L43" s="247"/>
      <c r="M43" s="247"/>
      <c r="N43" s="247"/>
      <c r="O43" s="18"/>
      <c r="Q43" s="5"/>
      <c r="R43" s="5"/>
      <c r="S43" s="42"/>
      <c r="T43" s="42"/>
      <c r="U43" s="42"/>
      <c r="V43" s="42"/>
      <c r="W43" s="288"/>
      <c r="X43" s="288"/>
      <c r="Y43" s="288"/>
      <c r="Z43" s="288"/>
      <c r="AA43" s="42"/>
    </row>
    <row r="44" spans="1:27">
      <c r="A44" s="5"/>
      <c r="B44" s="5" t="s">
        <v>528</v>
      </c>
      <c r="C44" s="69"/>
      <c r="D44" s="525">
        <f>D11/D30</f>
        <v>30.86879644909342</v>
      </c>
      <c r="E44" s="525">
        <f>E11/E30</f>
        <v>27.519419155644922</v>
      </c>
      <c r="F44" s="525">
        <f>F11/F30</f>
        <v>24.05291466309701</v>
      </c>
      <c r="G44" s="525">
        <f>G11/G30</f>
        <v>22.40405085306816</v>
      </c>
      <c r="H44" s="17">
        <f>H30</f>
        <v>9.8496922158225919E-2</v>
      </c>
      <c r="I44" s="247"/>
      <c r="J44" s="248"/>
      <c r="K44" s="248"/>
      <c r="L44" s="248"/>
      <c r="M44" s="248"/>
      <c r="N44" s="248"/>
      <c r="O44" s="248"/>
      <c r="Q44" s="5"/>
      <c r="R44" s="5"/>
      <c r="S44" s="42"/>
      <c r="T44" s="42"/>
      <c r="U44" s="42"/>
      <c r="V44" s="42"/>
      <c r="W44" s="325"/>
      <c r="X44" s="325"/>
      <c r="Y44" s="288"/>
      <c r="Z44" s="288"/>
      <c r="AA44" s="42"/>
    </row>
    <row r="45" spans="1:27">
      <c r="A45" s="5"/>
      <c r="B45" s="5" t="s">
        <v>575</v>
      </c>
      <c r="C45" s="247"/>
      <c r="D45" s="248">
        <f>D31/D11</f>
        <v>4.3399638336347197E-2</v>
      </c>
      <c r="E45" s="248">
        <f>E31/E11</f>
        <v>4.6654611211573237E-2</v>
      </c>
      <c r="F45" s="248">
        <f>F31/F11</f>
        <v>5.0153707052441224E-2</v>
      </c>
      <c r="G45" s="248">
        <f>G31/G11</f>
        <v>5.3915235081374309E-2</v>
      </c>
      <c r="H45" s="17">
        <f>H31</f>
        <v>6.1230181652581761E-2</v>
      </c>
      <c r="I45" s="248"/>
      <c r="J45" s="247"/>
      <c r="K45" s="247"/>
      <c r="L45" s="247"/>
      <c r="M45" s="247"/>
      <c r="N45" s="247"/>
      <c r="O45" s="248"/>
      <c r="Q45" s="5"/>
      <c r="R45" s="5"/>
      <c r="S45" s="42"/>
      <c r="T45" s="42"/>
      <c r="U45" s="42"/>
      <c r="V45" s="42"/>
      <c r="W45" s="42"/>
      <c r="X45" s="42"/>
      <c r="Y45" s="325"/>
      <c r="Z45" s="325"/>
      <c r="AA45" s="42"/>
    </row>
    <row r="46" spans="1:27">
      <c r="A46" s="5"/>
      <c r="B46" s="5" t="s">
        <v>600</v>
      </c>
      <c r="C46" s="247"/>
      <c r="D46" s="248">
        <f>(D31+D32)/D11</f>
        <v>4.3399638336347197E-2</v>
      </c>
      <c r="E46" s="248">
        <f>(E31+E32)/E11</f>
        <v>4.6654611211573237E-2</v>
      </c>
      <c r="F46" s="248">
        <f>(F31+F32)/F11</f>
        <v>5.0153707052441224E-2</v>
      </c>
      <c r="G46" s="248">
        <f>(G31+G32)/G11</f>
        <v>5.3915235081374309E-2</v>
      </c>
      <c r="H46" s="279">
        <f>IFERROR(((G31+G32)/(D31+D32))^(1/3)-1, "nm")</f>
        <v>6.1230181652581761E-2</v>
      </c>
      <c r="I46" s="247"/>
      <c r="J46" s="247"/>
      <c r="K46" s="247"/>
      <c r="L46" s="247"/>
      <c r="M46" s="247"/>
      <c r="N46" s="247"/>
      <c r="O46" s="18"/>
      <c r="Q46" s="5"/>
      <c r="R46" s="5"/>
      <c r="S46" s="42"/>
      <c r="T46" s="42"/>
      <c r="U46" s="42"/>
      <c r="V46" s="42"/>
      <c r="W46" s="42"/>
      <c r="X46" s="42"/>
      <c r="Y46" s="42"/>
      <c r="Z46" s="42"/>
      <c r="AA46" s="326"/>
    </row>
    <row r="47" spans="1:27">
      <c r="A47" s="5"/>
      <c r="B47" s="5" t="s">
        <v>576</v>
      </c>
      <c r="C47" s="5"/>
      <c r="D47" s="248">
        <f>1/D43</f>
        <v>2.3498042645737818E-2</v>
      </c>
      <c r="E47" s="248">
        <f>1/E43</f>
        <v>2.7742132809722944E-2</v>
      </c>
      <c r="F47" s="248">
        <f>1/F43</f>
        <v>3.4670437057214058E-2</v>
      </c>
      <c r="G47" s="248">
        <f>1/G43</f>
        <v>4.0195215534361131E-2</v>
      </c>
      <c r="H47" s="17">
        <f>H29</f>
        <v>0.1806341834185583</v>
      </c>
      <c r="I47" s="17"/>
      <c r="J47" s="248"/>
      <c r="K47" s="248"/>
      <c r="L47" s="248"/>
      <c r="M47" s="248"/>
      <c r="N47" s="248"/>
      <c r="O47" s="248"/>
      <c r="Q47" s="5"/>
      <c r="R47" s="5"/>
      <c r="S47" s="42"/>
      <c r="T47" s="42"/>
      <c r="U47" s="42"/>
      <c r="V47" s="42"/>
      <c r="W47" s="42"/>
      <c r="X47" s="42"/>
      <c r="Y47" s="42"/>
      <c r="Z47" s="42"/>
      <c r="AA47" s="326"/>
    </row>
    <row r="48" spans="1:27">
      <c r="A48" s="5"/>
      <c r="B48" s="5" t="s">
        <v>613</v>
      </c>
      <c r="C48" s="5"/>
      <c r="D48" s="305">
        <f>D31/D29</f>
        <v>1.8469469559933418</v>
      </c>
      <c r="E48" s="305">
        <f>E31/E29</f>
        <v>1.6817240235841537</v>
      </c>
      <c r="F48" s="305">
        <f>F31/F29</f>
        <v>1.4465842172591095</v>
      </c>
      <c r="G48" s="305">
        <f>G31/G29</f>
        <v>1.341334643056822</v>
      </c>
      <c r="H48" s="17" t="s">
        <v>602</v>
      </c>
      <c r="I48" s="247"/>
      <c r="J48" s="247"/>
      <c r="K48" s="247"/>
      <c r="L48" s="247"/>
      <c r="M48" s="247"/>
      <c r="N48" s="247"/>
      <c r="O48" s="248"/>
      <c r="Q48" s="5"/>
      <c r="R48" s="5"/>
      <c r="S48" s="42"/>
      <c r="T48" s="42"/>
      <c r="U48" s="42"/>
      <c r="V48" s="42"/>
      <c r="W48" s="42"/>
      <c r="X48" s="42"/>
      <c r="Y48" s="42"/>
      <c r="Z48" s="42"/>
      <c r="AA48" s="326"/>
    </row>
    <row r="49" spans="2:27">
      <c r="I49" s="254"/>
      <c r="J49" s="17"/>
      <c r="K49" s="17"/>
      <c r="L49" s="17"/>
      <c r="M49" s="17"/>
      <c r="N49" s="17"/>
      <c r="O49" s="248"/>
      <c r="Q49" s="5"/>
      <c r="R49" s="5"/>
      <c r="S49" s="42"/>
      <c r="T49" s="42"/>
      <c r="U49" s="42"/>
      <c r="V49" s="42"/>
      <c r="W49" s="42"/>
      <c r="X49" s="42"/>
      <c r="Y49" s="42"/>
      <c r="Z49" s="42"/>
      <c r="AA49" s="326"/>
    </row>
    <row r="50" spans="2:27">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Q54" s="5"/>
      <c r="R54" s="5"/>
      <c r="S54" s="5"/>
    </row>
    <row r="55" spans="2:27">
      <c r="B55" s="5"/>
      <c r="C55" s="257"/>
      <c r="D55" s="17"/>
      <c r="E55" s="17"/>
      <c r="F55" s="17"/>
      <c r="G55" s="17"/>
      <c r="H55" s="17"/>
      <c r="I55" s="249"/>
      <c r="Q55" s="5"/>
      <c r="R55" s="5"/>
      <c r="S55" s="5"/>
    </row>
    <row r="56" spans="2:27">
      <c r="B56" s="5"/>
      <c r="C56" s="248"/>
      <c r="D56" s="248"/>
      <c r="E56" s="248"/>
      <c r="F56" s="5"/>
      <c r="G56" s="5"/>
      <c r="H56" s="259"/>
      <c r="I56" s="248"/>
      <c r="Q56" s="5"/>
      <c r="R56" s="5"/>
      <c r="S56" s="5"/>
    </row>
    <row r="57" spans="2:27">
      <c r="B57" s="41"/>
      <c r="C57" s="249"/>
      <c r="D57" s="249"/>
      <c r="E57" s="249"/>
      <c r="F57" s="249"/>
      <c r="G57" s="249"/>
      <c r="H57" s="249"/>
      <c r="I57" s="5"/>
      <c r="Q57" s="5"/>
      <c r="R57" s="5"/>
      <c r="S57" s="5"/>
    </row>
    <row r="58" spans="2:27">
      <c r="B58" s="5"/>
      <c r="C58" s="5"/>
      <c r="D58" s="248"/>
      <c r="E58" s="248"/>
      <c r="F58" s="248"/>
      <c r="G58" s="248"/>
      <c r="H58" s="248"/>
      <c r="I58" s="17"/>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2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6">
    <tabColor theme="3" tint="0.79998168889431442"/>
    <pageSetUpPr autoPageBreaks="0"/>
  </sheetPr>
  <dimension ref="A1:DI785"/>
  <sheetViews>
    <sheetView showGridLines="0" zoomScale="80" zoomScaleNormal="80" zoomScaleSheetLayoutView="80" workbookViewId="0">
      <pane ySplit="5" topLeftCell="A6" activePane="bottomLeft" state="frozen"/>
      <selection pane="bottomLeft"/>
    </sheetView>
  </sheetViews>
  <sheetFormatPr defaultColWidth="8.88671875" defaultRowHeight="12"/>
  <cols>
    <col min="1" max="1" width="20" style="146" customWidth="1"/>
    <col min="2" max="2" width="2.33203125" style="42" customWidth="1"/>
    <col min="3" max="3" width="26.6640625" style="39" customWidth="1"/>
    <col min="4" max="4" width="11.109375" style="39" customWidth="1"/>
    <col min="5" max="7" width="11.109375" style="5" customWidth="1"/>
    <col min="8" max="8" width="2.33203125" style="39" customWidth="1"/>
    <col min="9" max="12" width="11.109375" style="39" customWidth="1"/>
    <col min="13" max="13" width="11.109375" style="69" customWidth="1"/>
    <col min="14" max="14" width="2.33203125" style="39" customWidth="1"/>
    <col min="15" max="18" width="11.109375" style="39" customWidth="1"/>
    <col min="19" max="19" width="11.109375" style="69" customWidth="1"/>
    <col min="20" max="20" width="2.33203125" style="39" customWidth="1"/>
    <col min="21" max="21" width="11.109375" style="39" customWidth="1"/>
    <col min="22" max="22" width="26.6640625" style="39" customWidth="1"/>
    <col min="23" max="23" width="9.44140625" style="5" bestFit="1" customWidth="1"/>
    <col min="24" max="24" width="9.44140625" style="5" customWidth="1"/>
    <col min="25" max="25" width="10.33203125" style="5" customWidth="1"/>
    <col min="26" max="26" width="3.6640625" style="5" customWidth="1"/>
    <col min="27" max="27" width="10.5546875" style="5" customWidth="1"/>
    <col min="28" max="28" width="8.6640625" style="63" bestFit="1" customWidth="1"/>
    <col min="29" max="29" width="8" style="5" bestFit="1" customWidth="1"/>
    <col min="30" max="32" width="9.109375" style="5"/>
    <col min="33" max="33" width="10.44140625" style="5" bestFit="1" customWidth="1"/>
    <col min="34" max="46" width="9.109375" style="5"/>
    <col min="47" max="47" width="22.5546875" style="5" bestFit="1" customWidth="1"/>
    <col min="48" max="48" width="18.5546875" style="5" bestFit="1" customWidth="1"/>
    <col min="49" max="52" width="9.109375" style="5"/>
    <col min="53" max="53" width="26.33203125" style="5" customWidth="1"/>
    <col min="54" max="54" width="18" style="5" bestFit="1" customWidth="1"/>
    <col min="55" max="113" width="9.109375" style="5" customWidth="1"/>
    <col min="114" max="16384" width="8.88671875" style="39"/>
  </cols>
  <sheetData>
    <row r="1" spans="1:69" s="149" customFormat="1">
      <c r="A1" s="131"/>
      <c r="B1" s="148"/>
      <c r="F1" s="150"/>
      <c r="M1" s="151"/>
      <c r="S1" s="151"/>
      <c r="AB1" s="152"/>
      <c r="AC1" s="152"/>
    </row>
    <row r="2" spans="1:69" s="149" customFormat="1">
      <c r="A2" s="131"/>
      <c r="B2" s="148"/>
      <c r="M2" s="151"/>
      <c r="S2" s="151"/>
      <c r="AB2" s="152"/>
      <c r="AC2" s="152"/>
    </row>
    <row r="3" spans="1:69" s="149" customFormat="1">
      <c r="A3" s="131"/>
      <c r="B3" s="148"/>
      <c r="U3" s="153"/>
      <c r="AB3" s="152"/>
      <c r="AC3" s="152"/>
    </row>
    <row r="4" spans="1:69" s="156" customFormat="1" ht="21">
      <c r="A4" s="128"/>
      <c r="B4" s="154"/>
      <c r="C4" s="155" t="s">
        <v>196</v>
      </c>
      <c r="AB4" s="157"/>
      <c r="AC4" s="157"/>
    </row>
    <row r="5" spans="1:69" s="131" customFormat="1">
      <c r="B5" s="158"/>
      <c r="D5" s="153"/>
      <c r="E5" s="153"/>
      <c r="F5" s="153"/>
      <c r="G5" s="153"/>
      <c r="H5" s="153"/>
      <c r="I5" s="153" t="str" cm="1">
        <f t="array" ref="I5:M5">headings</f>
        <v>2023E</v>
      </c>
      <c r="J5" s="153" t="str">
        <v>2024E</v>
      </c>
      <c r="K5" s="153" t="str">
        <v>2025E</v>
      </c>
      <c r="L5" s="153" t="str">
        <v>2026E</v>
      </c>
      <c r="M5" s="153" t="str">
        <v>23E-26E</v>
      </c>
      <c r="O5" s="153" t="str" cm="1">
        <f t="array" ref="O5:S5">headings</f>
        <v>2023E</v>
      </c>
      <c r="P5" s="153" t="str">
        <v>2024E</v>
      </c>
      <c r="Q5" s="153" t="str">
        <v>2025E</v>
      </c>
      <c r="R5" s="153" t="str">
        <v>2026E</v>
      </c>
      <c r="S5" s="153" t="str">
        <v>23E-26E</v>
      </c>
      <c r="T5" s="153"/>
      <c r="U5" s="160"/>
      <c r="V5" s="161"/>
      <c r="Z5" s="153"/>
      <c r="AC5" s="161"/>
      <c r="AD5" s="162"/>
      <c r="AE5" s="162"/>
      <c r="AF5" s="162"/>
      <c r="AG5" s="162"/>
      <c r="AH5" s="162"/>
      <c r="AI5" s="162"/>
      <c r="AJ5" s="162"/>
      <c r="AK5" s="162"/>
      <c r="AL5" s="162"/>
      <c r="AM5" s="162"/>
      <c r="AN5" s="162"/>
      <c r="AO5" s="162"/>
      <c r="AP5" s="162"/>
      <c r="AQ5" s="162"/>
      <c r="AR5" s="162"/>
      <c r="AS5" s="162"/>
      <c r="AT5" s="162"/>
      <c r="AU5" s="162"/>
      <c r="AV5" s="162"/>
      <c r="AW5" s="162"/>
      <c r="BC5" s="163"/>
      <c r="BD5" s="163"/>
      <c r="BE5" s="163"/>
      <c r="BG5" s="163"/>
      <c r="BH5" s="163"/>
      <c r="BI5" s="163"/>
      <c r="BK5" s="163"/>
      <c r="BL5" s="163"/>
      <c r="BM5" s="163"/>
      <c r="BO5" s="163"/>
      <c r="BP5" s="163"/>
      <c r="BQ5" s="163"/>
    </row>
    <row r="6" spans="1:69" s="5" customFormat="1">
      <c r="A6" s="41"/>
      <c r="B6" s="42"/>
      <c r="D6" s="49"/>
      <c r="E6" s="69"/>
      <c r="F6" s="69"/>
      <c r="G6" s="69"/>
      <c r="H6" s="134"/>
      <c r="I6" s="622"/>
      <c r="J6" s="622"/>
      <c r="K6" s="622"/>
      <c r="L6" s="622"/>
      <c r="M6" s="622"/>
      <c r="N6" s="46"/>
      <c r="O6" s="50"/>
      <c r="P6" s="50"/>
      <c r="Q6" s="50"/>
      <c r="R6" s="50"/>
      <c r="S6" s="50"/>
      <c r="T6" s="46"/>
      <c r="U6" s="134"/>
      <c r="V6" s="63"/>
      <c r="Z6" s="49"/>
      <c r="AT6" s="69"/>
      <c r="AU6" s="69"/>
      <c r="AV6" s="69"/>
      <c r="AW6" s="69"/>
      <c r="BC6" s="65"/>
      <c r="BD6" s="65"/>
      <c r="BE6" s="65"/>
      <c r="BG6" s="65"/>
      <c r="BH6" s="65"/>
      <c r="BI6" s="65"/>
      <c r="BK6" s="65"/>
      <c r="BL6" s="65"/>
      <c r="BM6" s="65"/>
      <c r="BO6" s="65"/>
      <c r="BP6" s="65"/>
      <c r="BQ6" s="65"/>
    </row>
    <row r="7" spans="1:69" s="41" customFormat="1">
      <c r="B7" s="147"/>
      <c r="C7" s="164"/>
      <c r="D7" s="165" t="s">
        <v>459</v>
      </c>
      <c r="E7" s="165" t="s">
        <v>56</v>
      </c>
      <c r="F7" s="165" t="s">
        <v>58</v>
      </c>
      <c r="G7" s="165" t="s">
        <v>55</v>
      </c>
      <c r="H7" s="49"/>
      <c r="I7" s="166" t="s">
        <v>180</v>
      </c>
      <c r="J7" s="166"/>
      <c r="K7" s="166"/>
      <c r="L7" s="166"/>
      <c r="M7" s="166"/>
      <c r="O7" s="166" t="s">
        <v>181</v>
      </c>
      <c r="P7" s="166"/>
      <c r="Q7" s="166"/>
      <c r="R7" s="166"/>
      <c r="S7" s="166"/>
      <c r="T7" s="49"/>
      <c r="U7" s="167" t="s">
        <v>459</v>
      </c>
      <c r="V7" s="165"/>
      <c r="Z7" s="49"/>
      <c r="AC7" s="135"/>
      <c r="AD7" s="136"/>
      <c r="AE7" s="136"/>
      <c r="AF7" s="136"/>
      <c r="AG7" s="136"/>
      <c r="AH7" s="136"/>
      <c r="AI7" s="136"/>
      <c r="AJ7" s="136"/>
      <c r="AK7" s="136"/>
      <c r="AL7" s="136"/>
      <c r="AM7" s="136"/>
      <c r="AN7" s="136"/>
      <c r="AO7" s="136"/>
      <c r="AP7" s="136"/>
      <c r="AQ7" s="136"/>
      <c r="AR7" s="136"/>
      <c r="AS7" s="136"/>
      <c r="AT7" s="136"/>
      <c r="AU7" s="136"/>
      <c r="AV7" s="136"/>
      <c r="AW7" s="136"/>
      <c r="BC7" s="137"/>
      <c r="BD7" s="137"/>
      <c r="BE7" s="137"/>
      <c r="BG7" s="137"/>
      <c r="BH7" s="137"/>
      <c r="BI7" s="137"/>
      <c r="BK7" s="137"/>
      <c r="BL7" s="137"/>
      <c r="BM7" s="137"/>
      <c r="BO7" s="137"/>
      <c r="BP7" s="137"/>
      <c r="BQ7" s="137"/>
    </row>
    <row r="8" spans="1:69" s="5" customFormat="1">
      <c r="A8" s="41" t="s">
        <v>501</v>
      </c>
      <c r="B8" s="42" t="s">
        <v>1410</v>
      </c>
      <c r="C8" s="48" t="s">
        <v>182</v>
      </c>
      <c r="D8" s="44" t="str">
        <f>B8&amp;TEXT(Prices!C8/100,"0.00")</f>
        <v>GBP1.44</v>
      </c>
      <c r="E8" s="44" t="str">
        <f>B8&amp;TEXT(Prices!E8/100,"0.00")</f>
        <v>GBP2.30</v>
      </c>
      <c r="F8" s="45">
        <f>Prices!F8</f>
        <v>0.59777700590482818</v>
      </c>
      <c r="G8" s="44" t="str">
        <f>Prices!D8</f>
        <v>Buy</v>
      </c>
      <c r="H8" s="46"/>
      <c r="I8" s="47">
        <f>BT!$D$38</f>
        <v>5.0277791444258604</v>
      </c>
      <c r="J8" s="47">
        <f>BT!$E$38</f>
        <v>4.8606077022966048</v>
      </c>
      <c r="K8" s="47">
        <f>BT!$F$38</f>
        <v>4.647843588764287</v>
      </c>
      <c r="L8" s="47">
        <f>BT!$G$38</f>
        <v>4.3501891706926221</v>
      </c>
      <c r="M8" s="45">
        <f>BT!$H$38</f>
        <v>1.7644920518030904E-2</v>
      </c>
      <c r="N8" s="46"/>
      <c r="O8" s="47">
        <f>BT!$D$39</f>
        <v>17.74866613634671</v>
      </c>
      <c r="P8" s="47">
        <f>BT!$E$39</f>
        <v>16.263550167203334</v>
      </c>
      <c r="Q8" s="47">
        <f>BT!$F$39</f>
        <v>14.514738412895579</v>
      </c>
      <c r="R8" s="47">
        <f>BT!$G$39</f>
        <v>11.340610084101812</v>
      </c>
      <c r="S8" s="45">
        <f>BT!$H$39</f>
        <v>0.12585731340470874</v>
      </c>
      <c r="T8" s="46"/>
      <c r="U8" s="48" t="str">
        <f t="shared" ref="U8:U18" si="0">D8</f>
        <v>GBP1.44</v>
      </c>
      <c r="V8" s="69" t="s">
        <v>182</v>
      </c>
      <c r="Z8" s="46"/>
      <c r="AF8" s="31"/>
      <c r="AG8" s="31"/>
      <c r="AJ8" s="64"/>
      <c r="AK8" s="64"/>
      <c r="AN8" s="64"/>
      <c r="AO8" s="64"/>
      <c r="AR8" s="64"/>
      <c r="AS8" s="64"/>
      <c r="AU8" s="69"/>
      <c r="AV8" s="69"/>
      <c r="AW8" s="69"/>
      <c r="BC8" s="65"/>
      <c r="BD8" s="65"/>
      <c r="BE8" s="65"/>
      <c r="BG8" s="65"/>
      <c r="BH8" s="65"/>
      <c r="BI8" s="65"/>
      <c r="BK8" s="65"/>
      <c r="BL8" s="65"/>
      <c r="BM8" s="65"/>
      <c r="BO8" s="65"/>
      <c r="BP8" s="65"/>
      <c r="BQ8" s="65"/>
    </row>
    <row r="9" spans="1:69" s="5" customFormat="1">
      <c r="A9" s="41"/>
      <c r="B9" s="42" t="s">
        <v>1406</v>
      </c>
      <c r="C9" s="48" t="s">
        <v>183</v>
      </c>
      <c r="D9" s="44" t="str">
        <f>B9&amp;TEXT(Prices!C9,"0.00")</f>
        <v>EUR 26.13</v>
      </c>
      <c r="E9" s="44" t="str">
        <f>B9&amp;TEXT(Prices!E9,"0.00")</f>
        <v>EUR 33.00</v>
      </c>
      <c r="F9" s="45">
        <f>Prices!F9</f>
        <v>0.26291618828932273</v>
      </c>
      <c r="G9" s="44" t="str">
        <f>Prices!D9</f>
        <v>Buy</v>
      </c>
      <c r="H9" s="46"/>
      <c r="I9" s="47">
        <f>DT!$D$38</f>
        <v>7.9138731115829035</v>
      </c>
      <c r="J9" s="47">
        <f>DT!$E$38</f>
        <v>7.4234064340769024</v>
      </c>
      <c r="K9" s="47">
        <f>DT!$F$38</f>
        <v>6.9422144828715888</v>
      </c>
      <c r="L9" s="47">
        <f>DT!$G$38</f>
        <v>6.3940123364371342</v>
      </c>
      <c r="M9" s="45">
        <f>DT!$H$38</f>
        <v>5.5730802160798287E-2</v>
      </c>
      <c r="N9" s="46"/>
      <c r="O9" s="47">
        <f>DT!$D$39</f>
        <v>14.168478482974855</v>
      </c>
      <c r="P9" s="47">
        <f>DT!$E$39</f>
        <v>12.054516029298368</v>
      </c>
      <c r="Q9" s="47">
        <f>DT!$F$39</f>
        <v>10.82852147350963</v>
      </c>
      <c r="R9" s="47">
        <f>DT!$G$39</f>
        <v>9.7366602229189283</v>
      </c>
      <c r="S9" s="45">
        <f>DT!$H$39</f>
        <v>0.11425790002201275</v>
      </c>
      <c r="T9" s="46"/>
      <c r="U9" s="48" t="str">
        <f t="shared" si="0"/>
        <v>EUR 26.13</v>
      </c>
      <c r="V9" s="69" t="s">
        <v>183</v>
      </c>
      <c r="Z9" s="46"/>
      <c r="AF9" s="31"/>
      <c r="AG9" s="31"/>
      <c r="AJ9" s="64"/>
      <c r="AK9" s="64"/>
      <c r="AN9" s="64"/>
      <c r="AO9" s="64"/>
      <c r="AR9" s="64"/>
      <c r="AS9" s="64"/>
      <c r="BC9" s="65"/>
      <c r="BD9" s="65"/>
      <c r="BE9" s="65"/>
      <c r="BG9" s="65"/>
      <c r="BH9" s="65"/>
      <c r="BI9" s="65"/>
      <c r="BK9" s="65"/>
      <c r="BL9" s="65"/>
      <c r="BM9" s="65"/>
      <c r="BO9" s="65"/>
      <c r="BP9" s="65"/>
      <c r="BQ9" s="65"/>
    </row>
    <row r="10" spans="1:69" s="5" customFormat="1">
      <c r="A10" s="41"/>
      <c r="B10" s="42" t="s">
        <v>1406</v>
      </c>
      <c r="C10" s="48" t="s">
        <v>453</v>
      </c>
      <c r="D10" s="44" t="str">
        <f>B10&amp;TEXT(Prices!C10,"0.00")</f>
        <v>EUR 3.75</v>
      </c>
      <c r="E10" s="44" t="str">
        <f>B10&amp;TEXT(Prices!E10,"0.00")</f>
        <v>EUR 3.80</v>
      </c>
      <c r="F10" s="45">
        <f>Prices!F10</f>
        <v>1.4415376401494928E-2</v>
      </c>
      <c r="G10" s="44" t="str">
        <f>Prices!D10</f>
        <v>Neutral</v>
      </c>
      <c r="H10" s="46"/>
      <c r="I10" s="47">
        <f>KPN!$D$38</f>
        <v>8.9148414051489162</v>
      </c>
      <c r="J10" s="47">
        <f>KPN!$E$38</f>
        <v>8.5756105190861085</v>
      </c>
      <c r="K10" s="47">
        <f>KPN!$F$38</f>
        <v>8.2597127737426419</v>
      </c>
      <c r="L10" s="47">
        <f>KPN!$G$38</f>
        <v>7.82706490053571</v>
      </c>
      <c r="M10" s="45">
        <f>KPN!$H$38</f>
        <v>2.3344375092730685E-2</v>
      </c>
      <c r="N10" s="46"/>
      <c r="O10" s="47">
        <f>KPN!$D$39</f>
        <v>18.407507339059908</v>
      </c>
      <c r="P10" s="47">
        <f>KPN!$E$39</f>
        <v>17.037180481830209</v>
      </c>
      <c r="Q10" s="47">
        <f>KPN!$F$39</f>
        <v>15.83905097324293</v>
      </c>
      <c r="R10" s="47">
        <f>KPN!$G$39</f>
        <v>14.808383287110455</v>
      </c>
      <c r="S10" s="45">
        <f>KPN!$H$39</f>
        <v>5.360872021532348E-2</v>
      </c>
      <c r="T10" s="46"/>
      <c r="U10" s="48" t="str">
        <f t="shared" si="0"/>
        <v>EUR 3.75</v>
      </c>
      <c r="V10" s="69" t="s">
        <v>453</v>
      </c>
      <c r="Z10" s="46"/>
      <c r="AF10" s="31"/>
      <c r="AG10" s="31"/>
      <c r="AJ10" s="64"/>
      <c r="AK10" s="64"/>
      <c r="AN10" s="64"/>
      <c r="AO10" s="64"/>
      <c r="AR10" s="64"/>
      <c r="AS10" s="64"/>
      <c r="AT10" s="69"/>
      <c r="BC10" s="65"/>
      <c r="BD10" s="65"/>
      <c r="BE10" s="65"/>
      <c r="BG10" s="65"/>
      <c r="BH10" s="65"/>
      <c r="BI10" s="65"/>
      <c r="BK10" s="65"/>
      <c r="BL10" s="65"/>
      <c r="BM10" s="65"/>
      <c r="BO10" s="65"/>
      <c r="BP10" s="65"/>
      <c r="BQ10" s="65"/>
    </row>
    <row r="11" spans="1:69" s="5" customFormat="1">
      <c r="A11" s="41"/>
      <c r="B11" s="42" t="s">
        <v>1406</v>
      </c>
      <c r="C11" s="48" t="s">
        <v>722</v>
      </c>
      <c r="D11" s="44" t="str">
        <f>B11&amp;TEXT(Prices!C11,"0.00")</f>
        <v>EUR 10.72</v>
      </c>
      <c r="E11" s="44" t="str">
        <f>B11&amp;TEXT(Prices!E11,"0.00")</f>
        <v>EUR 14.00</v>
      </c>
      <c r="F11" s="45">
        <f>Prices!F11</f>
        <v>0.30597014925373123</v>
      </c>
      <c r="G11" s="44" t="str">
        <f>Prices!D11</f>
        <v>Buy</v>
      </c>
      <c r="H11" s="46"/>
      <c r="I11" s="47">
        <f>ORA!$D$38</f>
        <v>5.878552016764341</v>
      </c>
      <c r="J11" s="47">
        <f>ORA!$E$38</f>
        <v>5.9172515511168022</v>
      </c>
      <c r="K11" s="47">
        <f>ORA!$F$38</f>
        <v>5.6036643836031841</v>
      </c>
      <c r="L11" s="47">
        <f>ORA!$G$38</f>
        <v>5.3479324425273873</v>
      </c>
      <c r="M11" s="45">
        <f>ORA!$H$38</f>
        <v>-2.0751647859241773E-2</v>
      </c>
      <c r="N11" s="46"/>
      <c r="O11" s="47">
        <f>ORA!$D$39</f>
        <v>12.321422340974944</v>
      </c>
      <c r="P11" s="47">
        <f>ORA!$E$39</f>
        <v>12.020490530142499</v>
      </c>
      <c r="Q11" s="47">
        <f>ORA!$F$39</f>
        <v>11.135047292680753</v>
      </c>
      <c r="R11" s="47">
        <f>ORA!$G$39</f>
        <v>9.9529991315452744</v>
      </c>
      <c r="S11" s="45">
        <f>ORA!$H$39</f>
        <v>1.8826715362928681E-2</v>
      </c>
      <c r="T11" s="46"/>
      <c r="U11" s="48" t="str">
        <f t="shared" si="0"/>
        <v>EUR 10.72</v>
      </c>
      <c r="V11" s="69" t="s">
        <v>722</v>
      </c>
      <c r="Z11" s="46"/>
      <c r="AF11" s="31"/>
      <c r="AG11" s="31"/>
      <c r="AJ11" s="64"/>
      <c r="AK11" s="64"/>
      <c r="AN11" s="64"/>
      <c r="AO11" s="64"/>
      <c r="AR11" s="64"/>
      <c r="AS11" s="64"/>
      <c r="BC11" s="65"/>
      <c r="BD11" s="65"/>
      <c r="BE11" s="65"/>
      <c r="BG11" s="65"/>
      <c r="BH11" s="65"/>
      <c r="BI11" s="65"/>
      <c r="BK11" s="65"/>
      <c r="BL11" s="65"/>
      <c r="BM11" s="65"/>
      <c r="BO11" s="65"/>
      <c r="BP11" s="65"/>
      <c r="BQ11" s="65"/>
    </row>
    <row r="12" spans="1:69" s="5" customFormat="1">
      <c r="A12" s="41"/>
      <c r="B12" s="42" t="s">
        <v>1406</v>
      </c>
      <c r="C12" s="48" t="s">
        <v>454</v>
      </c>
      <c r="D12" s="44" t="str">
        <f>B12&amp;TEXT(Prices!C12,"0.00")</f>
        <v>EUR 15.08</v>
      </c>
      <c r="E12" s="44" t="str">
        <f>B12&amp;TEXT(Prices!E12,"0.00")</f>
        <v>EUR 18.50</v>
      </c>
      <c r="F12" s="45">
        <f>Prices!F12</f>
        <v>0.22679045092838201</v>
      </c>
      <c r="G12" s="44" t="str">
        <f>Prices!D12</f>
        <v>Buy</v>
      </c>
      <c r="H12" s="46"/>
      <c r="I12" s="47">
        <f>OTE!$D$38</f>
        <v>5.9211320013769591</v>
      </c>
      <c r="J12" s="47">
        <f>OTE!$E$38</f>
        <v>5.4547041991617435</v>
      </c>
      <c r="K12" s="47">
        <f>OTE!$F$38</f>
        <v>4.930458819095489</v>
      </c>
      <c r="L12" s="47">
        <f>OTE!$G$38</f>
        <v>4.4812015290789153</v>
      </c>
      <c r="M12" s="45">
        <f>OTE!$H$38</f>
        <v>1.8681321449494304E-2</v>
      </c>
      <c r="N12" s="46"/>
      <c r="O12" s="47">
        <f>OTE!$D$39</f>
        <v>11.043511686369222</v>
      </c>
      <c r="P12" s="47">
        <f>OTE!$E$39</f>
        <v>9.9967121009000888</v>
      </c>
      <c r="Q12" s="47">
        <f>OTE!$F$39</f>
        <v>8.911781116302171</v>
      </c>
      <c r="R12" s="47">
        <f>OTE!$G$39</f>
        <v>8.0079145929100868</v>
      </c>
      <c r="S12" s="45">
        <f>OTE!$H$39</f>
        <v>3.3310497185752741E-2</v>
      </c>
      <c r="T12" s="46"/>
      <c r="U12" s="48" t="str">
        <f t="shared" si="0"/>
        <v>EUR 15.08</v>
      </c>
      <c r="V12" s="69" t="s">
        <v>454</v>
      </c>
      <c r="Z12" s="46"/>
      <c r="AF12" s="31"/>
      <c r="AG12" s="31"/>
      <c r="AJ12" s="64"/>
      <c r="AK12" s="64"/>
      <c r="AN12" s="64"/>
      <c r="AO12" s="64"/>
      <c r="AR12" s="64"/>
      <c r="AS12" s="64"/>
      <c r="BC12" s="65"/>
      <c r="BD12" s="65"/>
      <c r="BE12" s="65"/>
      <c r="BG12" s="65"/>
      <c r="BH12" s="65"/>
      <c r="BI12" s="65"/>
      <c r="BK12" s="65"/>
      <c r="BL12" s="65"/>
      <c r="BM12" s="65"/>
      <c r="BO12" s="65"/>
      <c r="BP12" s="65"/>
      <c r="BQ12" s="65"/>
    </row>
    <row r="13" spans="1:69" s="5" customFormat="1">
      <c r="A13" s="41"/>
      <c r="B13" s="42" t="s">
        <v>1406</v>
      </c>
      <c r="C13" s="48" t="s">
        <v>809</v>
      </c>
      <c r="D13" s="44" t="str">
        <f>B13&amp;TEXT(Prices!C13,"0.0")</f>
        <v>EUR 6.8</v>
      </c>
      <c r="E13" s="44" t="str">
        <f>B13&amp;TEXT(Prices!E13,"0.0")</f>
        <v>EUR 9.5</v>
      </c>
      <c r="F13" s="45">
        <f>Prices!F13</f>
        <v>0.39296187683284445</v>
      </c>
      <c r="G13" s="44" t="str">
        <f>Prices!D13</f>
        <v>Neutral</v>
      </c>
      <c r="H13" s="46"/>
      <c r="I13" s="47">
        <f>PROX!$D$38</f>
        <v>5.3222954082695351</v>
      </c>
      <c r="J13" s="47">
        <f>PROX!$E$38</f>
        <v>4.1423064545962553</v>
      </c>
      <c r="K13" s="47">
        <f>PROX!$F$38</f>
        <v>3.9008860738469511</v>
      </c>
      <c r="L13" s="47">
        <f>PROX!$G$38</f>
        <v>3.6638022854343726</v>
      </c>
      <c r="M13" s="45">
        <f>PROX!$H$38</f>
        <v>3.8895430789765983E-2</v>
      </c>
      <c r="N13" s="46"/>
      <c r="O13" s="47">
        <f>PROX!$D$39</f>
        <v>21.646465352614751</v>
      </c>
      <c r="P13" s="47">
        <f>PROX!$E$39</f>
        <v>12.524141311822895</v>
      </c>
      <c r="Q13" s="47">
        <f>PROX!$F$39</f>
        <v>10.403174684137287</v>
      </c>
      <c r="R13" s="47">
        <f>PROX!$G$39</f>
        <v>9.1762846619880989</v>
      </c>
      <c r="S13" s="45">
        <f>PROX!$H$39</f>
        <v>0.22111404086623665</v>
      </c>
      <c r="T13" s="46"/>
      <c r="U13" s="48" t="str">
        <f t="shared" si="0"/>
        <v>EUR 6.8</v>
      </c>
      <c r="V13" s="69" t="s">
        <v>809</v>
      </c>
      <c r="Z13" s="46"/>
      <c r="AF13" s="31"/>
      <c r="AG13" s="31"/>
      <c r="AJ13" s="64"/>
      <c r="AK13" s="64"/>
      <c r="AN13" s="64"/>
      <c r="AO13" s="64"/>
      <c r="AR13" s="64"/>
      <c r="AS13" s="64"/>
      <c r="BC13" s="65"/>
      <c r="BD13" s="65"/>
      <c r="BE13" s="65"/>
      <c r="BG13" s="65"/>
      <c r="BH13" s="65"/>
      <c r="BI13" s="65"/>
      <c r="BK13" s="65"/>
      <c r="BL13" s="65"/>
      <c r="BM13" s="65"/>
      <c r="BO13" s="65"/>
      <c r="BP13" s="65"/>
      <c r="BQ13" s="65"/>
    </row>
    <row r="14" spans="1:69">
      <c r="B14" s="42" t="s">
        <v>499</v>
      </c>
      <c r="C14" s="48" t="s">
        <v>458</v>
      </c>
      <c r="D14" s="44" t="str">
        <f>B14&amp;TEXT(Prices!C14,"00")</f>
        <v>CHF549</v>
      </c>
      <c r="E14" s="44" t="str">
        <f>B14&amp;TEXT(Prices!E14,"00")</f>
        <v>CHF600</v>
      </c>
      <c r="F14" s="45">
        <f>Prices!F14</f>
        <v>9.2896174863388081E-2</v>
      </c>
      <c r="G14" s="44" t="str">
        <f>Prices!D14</f>
        <v>Neutral</v>
      </c>
      <c r="H14" s="46"/>
      <c r="I14" s="47">
        <f>SWISS!$D$38</f>
        <v>8.6465077612044681</v>
      </c>
      <c r="J14" s="47">
        <f>SWISS!$E$38</f>
        <v>8.7445252156448756</v>
      </c>
      <c r="K14" s="47">
        <f>SWISS!$F$38</f>
        <v>7.0044944452645854</v>
      </c>
      <c r="L14" s="47">
        <f>SWISS!$G$38</f>
        <v>7.9370676388202437</v>
      </c>
      <c r="M14" s="45">
        <f>SWISS!$H$38</f>
        <v>6.7682369028132738E-2</v>
      </c>
      <c r="N14" s="46"/>
      <c r="O14" s="47">
        <f>SWISS!$D$39</f>
        <v>18.27614614248758</v>
      </c>
      <c r="P14" s="47">
        <f>SWISS!$E$39</f>
        <v>18.709835637265559</v>
      </c>
      <c r="Q14" s="47">
        <f>SWISS!$F$39</f>
        <v>16.696074609365784</v>
      </c>
      <c r="R14" s="47">
        <f>SWISS!$G$39</f>
        <v>17.914434066949184</v>
      </c>
      <c r="S14" s="45">
        <f>SWISS!$H$39</f>
        <v>4.4581578775683584E-2</v>
      </c>
      <c r="T14" s="46"/>
      <c r="U14" s="48" t="str">
        <f t="shared" si="0"/>
        <v>CHF549</v>
      </c>
      <c r="V14" s="69" t="s">
        <v>458</v>
      </c>
    </row>
    <row r="15" spans="1:69" s="5" customFormat="1">
      <c r="A15" s="41"/>
      <c r="B15" s="42" t="s">
        <v>1406</v>
      </c>
      <c r="C15" s="48" t="s">
        <v>265</v>
      </c>
      <c r="D15" s="44" t="str">
        <f>B15&amp;TEXT(Prices!C15,"0.00")</f>
        <v>EUR 0.24</v>
      </c>
      <c r="E15" s="44" t="str">
        <f>B15&amp;TEXT(Prices!E15,"0.00")</f>
        <v>EUR 0.34</v>
      </c>
      <c r="F15" s="45">
        <f>Prices!F15</f>
        <v>0.44006776789495983</v>
      </c>
      <c r="G15" s="44" t="str">
        <f>Prices!D15</f>
        <v>Buy</v>
      </c>
      <c r="H15" s="46"/>
      <c r="I15" s="47">
        <f>TI!$D$38</f>
        <v>5.9629745193402872</v>
      </c>
      <c r="J15" s="47">
        <f>TI!$E$38</f>
        <v>5.8576747077704532</v>
      </c>
      <c r="K15" s="47">
        <f>TI!$F$38</f>
        <v>5.677498163470279</v>
      </c>
      <c r="L15" s="47">
        <f>TI!$G$38</f>
        <v>5.4416527819819924</v>
      </c>
      <c r="M15" s="45">
        <f>TI!$H$38</f>
        <v>2.8859541316178516E-2</v>
      </c>
      <c r="N15" s="46"/>
      <c r="O15" s="47">
        <f>TI!$D$39</f>
        <v>23.92406720921398</v>
      </c>
      <c r="P15" s="47">
        <f>TI!$E$39</f>
        <v>20.444909424010607</v>
      </c>
      <c r="Q15" s="47">
        <f>TI!$F$39</f>
        <v>17.725610300173059</v>
      </c>
      <c r="R15" s="47">
        <f>TI!$G$39</f>
        <v>13.885517301163516</v>
      </c>
      <c r="S15" s="45">
        <f>TI!$H$39</f>
        <v>0.19638152332503056</v>
      </c>
      <c r="T15" s="46"/>
      <c r="U15" s="48" t="str">
        <f t="shared" si="0"/>
        <v>EUR 0.24</v>
      </c>
      <c r="V15" s="69" t="s">
        <v>265</v>
      </c>
      <c r="Z15" s="46"/>
      <c r="AF15" s="31"/>
      <c r="AG15" s="31"/>
      <c r="AJ15" s="64"/>
      <c r="AK15" s="64"/>
      <c r="AN15" s="64"/>
      <c r="AO15" s="64"/>
      <c r="AR15" s="64"/>
      <c r="AS15" s="64"/>
      <c r="BC15" s="65"/>
      <c r="BD15" s="65"/>
      <c r="BE15" s="65"/>
      <c r="BG15" s="65"/>
      <c r="BH15" s="65"/>
      <c r="BI15" s="65"/>
      <c r="BK15" s="65"/>
      <c r="BL15" s="65"/>
      <c r="BM15" s="65"/>
      <c r="BO15" s="65"/>
      <c r="BP15" s="65"/>
      <c r="BQ15" s="65"/>
    </row>
    <row r="16" spans="1:69" s="5" customFormat="1">
      <c r="A16" s="41"/>
      <c r="B16" s="42" t="s">
        <v>1406</v>
      </c>
      <c r="C16" s="48" t="s">
        <v>456</v>
      </c>
      <c r="D16" s="44" t="str">
        <f>B16&amp;TEXT(Prices!C17,"0.00")</f>
        <v>EUR 4.21</v>
      </c>
      <c r="E16" s="44" t="str">
        <f>B16&amp;TEXT(Prices!E17,"0.00")</f>
        <v>EUR 4.30</v>
      </c>
      <c r="F16" s="45">
        <f>Prices!F17</f>
        <v>2.065036790885344E-2</v>
      </c>
      <c r="G16" s="44" t="str">
        <f>Prices!D17</f>
        <v>Neutral</v>
      </c>
      <c r="H16" s="46"/>
      <c r="I16" s="47">
        <f>TEF!$D$38</f>
        <v>5.7191603303392906</v>
      </c>
      <c r="J16" s="47">
        <f>TEF!$E$38</f>
        <v>5.7060741683536014</v>
      </c>
      <c r="K16" s="47">
        <f>TEF!$F$38</f>
        <v>5.43761495002048</v>
      </c>
      <c r="L16" s="47">
        <f>TEF!$G$38</f>
        <v>5.1079628359581033</v>
      </c>
      <c r="M16" s="45">
        <f>TEF!$H$38</f>
        <v>-1.178917603610774E-3</v>
      </c>
      <c r="N16" s="46"/>
      <c r="O16" s="47">
        <f>TEF!$D$39</f>
        <v>11.735639915954506</v>
      </c>
      <c r="P16" s="47">
        <f>TEF!$E$39</f>
        <v>11.651195414662295</v>
      </c>
      <c r="Q16" s="47">
        <f>TEF!$F$39</f>
        <v>10.524731045536985</v>
      </c>
      <c r="R16" s="47">
        <f>TEF!$G$39</f>
        <v>9.445084227925296</v>
      </c>
      <c r="S16" s="45">
        <f>TEF!$H$39</f>
        <v>3.4093559005258456E-2</v>
      </c>
      <c r="T16" s="46"/>
      <c r="U16" s="48" t="str">
        <f t="shared" si="0"/>
        <v>EUR 4.21</v>
      </c>
      <c r="V16" s="69" t="s">
        <v>456</v>
      </c>
      <c r="Z16" s="46"/>
      <c r="AF16" s="31"/>
      <c r="AG16" s="31"/>
      <c r="AJ16" s="64"/>
      <c r="AK16" s="64"/>
      <c r="AN16" s="64"/>
      <c r="AO16" s="64"/>
      <c r="AR16" s="64"/>
      <c r="AS16" s="64"/>
      <c r="BC16" s="65"/>
      <c r="BD16" s="65"/>
      <c r="BE16" s="65"/>
      <c r="BG16" s="65"/>
      <c r="BH16" s="65"/>
      <c r="BI16" s="65"/>
      <c r="BK16" s="65"/>
      <c r="BL16" s="65"/>
      <c r="BM16" s="65"/>
      <c r="BO16" s="65"/>
      <c r="BP16" s="65"/>
      <c r="BQ16" s="65"/>
    </row>
    <row r="17" spans="1:69" s="5" customFormat="1">
      <c r="A17" s="41"/>
      <c r="B17" s="42" t="s">
        <v>184</v>
      </c>
      <c r="C17" s="48" t="s">
        <v>457</v>
      </c>
      <c r="D17" s="44" t="str">
        <f>B17&amp;TEXT(Prices!C18," 0,0")</f>
        <v>NOK 135</v>
      </c>
      <c r="E17" s="44" t="str">
        <f>B17&amp;TEXT(Prices!E18," 0,0")</f>
        <v>NOK 138</v>
      </c>
      <c r="F17" s="45">
        <f>Prices!F18</f>
        <v>2.3738872403560762E-2</v>
      </c>
      <c r="G17" s="44" t="str">
        <f>Prices!D18</f>
        <v>Buy</v>
      </c>
      <c r="H17" s="46"/>
      <c r="I17" s="47">
        <f>TNOR!$D$38</f>
        <v>6.9161519614324671</v>
      </c>
      <c r="J17" s="47">
        <f>TNOR!$E$38</f>
        <v>6.5257749246447592</v>
      </c>
      <c r="K17" s="47">
        <f>TNOR!$F$38</f>
        <v>6.313040573415476</v>
      </c>
      <c r="L17" s="47">
        <f>TNOR!$G$38</f>
        <v>5.8666536866089078</v>
      </c>
      <c r="M17" s="45">
        <f>TNOR!$H$38</f>
        <v>-2.979267785696571E-6</v>
      </c>
      <c r="N17" s="46"/>
      <c r="O17" s="47">
        <f>TNOR!$D$39</f>
        <v>10.987829935025694</v>
      </c>
      <c r="P17" s="47">
        <f>TNOR!$E$39</f>
        <v>9.6942748999108623</v>
      </c>
      <c r="Q17" s="47">
        <f>TNOR!$F$39</f>
        <v>9.3142875708428239</v>
      </c>
      <c r="R17" s="47">
        <f>TNOR!$G$39</f>
        <v>8.582064059171822</v>
      </c>
      <c r="S17" s="45">
        <f>TNOR!$H$39</f>
        <v>2.789181273473873E-2</v>
      </c>
      <c r="T17" s="46"/>
      <c r="U17" s="48" t="str">
        <f t="shared" si="0"/>
        <v>NOK 135</v>
      </c>
      <c r="V17" s="44" t="s">
        <v>457</v>
      </c>
      <c r="Z17" s="46"/>
      <c r="AF17" s="31"/>
      <c r="AG17" s="31"/>
      <c r="AJ17" s="64"/>
      <c r="AK17" s="64"/>
      <c r="AN17" s="64"/>
      <c r="AO17" s="64"/>
      <c r="AR17" s="64"/>
      <c r="AS17" s="64"/>
      <c r="BC17" s="65"/>
      <c r="BD17" s="65"/>
      <c r="BE17" s="65"/>
      <c r="BG17" s="65"/>
      <c r="BH17" s="65"/>
      <c r="BI17" s="65"/>
      <c r="BK17" s="65"/>
      <c r="BL17" s="65"/>
      <c r="BM17" s="65"/>
      <c r="BO17" s="65"/>
      <c r="BP17" s="65"/>
      <c r="BQ17" s="65"/>
    </row>
    <row r="18" spans="1:69" s="5" customFormat="1">
      <c r="A18" s="41"/>
      <c r="B18" s="42" t="s">
        <v>383</v>
      </c>
      <c r="C18" s="48" t="s">
        <v>1030</v>
      </c>
      <c r="D18" s="44" t="str">
        <f>B18&amp;TEXT(Prices!C19,"0.0")</f>
        <v>SEK33.4</v>
      </c>
      <c r="E18" s="44" t="str">
        <f>B18&amp;TEXT(Prices!E19,"0.0")</f>
        <v>SEK33.0</v>
      </c>
      <c r="F18" s="45">
        <f>Prices!F19</f>
        <v>-1.2567324955116699E-2</v>
      </c>
      <c r="G18" s="44" t="str">
        <f>Prices!D19</f>
        <v>Buy</v>
      </c>
      <c r="H18" s="46"/>
      <c r="I18" s="47">
        <f>TELIA!$D$38</f>
        <v>9.1176916666840082</v>
      </c>
      <c r="J18" s="47">
        <f>TELIA!$E$38</f>
        <v>8.3779254142066311</v>
      </c>
      <c r="K18" s="47">
        <f>TELIA!$F$38</f>
        <v>7.8227453106491964</v>
      </c>
      <c r="L18" s="47">
        <f>TELIA!$G$38</f>
        <v>7.4930171308638229</v>
      </c>
      <c r="M18" s="45">
        <f>TELIA!$H$38</f>
        <v>2.2460360253348854E-2</v>
      </c>
      <c r="N18" s="46"/>
      <c r="O18" s="47">
        <f>TELIA!$D$39</f>
        <v>18.16346814889874</v>
      </c>
      <c r="P18" s="47">
        <f>TELIA!$E$39</f>
        <v>16.63407783497566</v>
      </c>
      <c r="Q18" s="47">
        <f>TELIA!$F$39</f>
        <v>14.537935071657508</v>
      </c>
      <c r="R18" s="47">
        <f>TELIA!$G$39</f>
        <v>13.890083849963021</v>
      </c>
      <c r="S18" s="45">
        <f>TELIA!$H$39</f>
        <v>4.7293458537705169E-2</v>
      </c>
      <c r="T18" s="46"/>
      <c r="U18" s="48" t="str">
        <f t="shared" si="0"/>
        <v>SEK33.4</v>
      </c>
      <c r="V18" s="44" t="s">
        <v>455</v>
      </c>
      <c r="Z18" s="46"/>
      <c r="AF18" s="31"/>
      <c r="AG18" s="31"/>
      <c r="AJ18" s="64"/>
      <c r="AK18" s="64"/>
      <c r="AN18" s="64"/>
      <c r="AO18" s="64"/>
      <c r="AR18" s="64"/>
      <c r="AS18" s="64"/>
      <c r="BC18" s="65"/>
      <c r="BD18" s="65"/>
      <c r="BE18" s="65"/>
      <c r="BG18" s="65"/>
      <c r="BH18" s="65"/>
      <c r="BI18" s="65"/>
      <c r="BK18" s="65"/>
      <c r="BL18" s="65"/>
      <c r="BM18" s="65"/>
      <c r="BO18" s="65"/>
      <c r="BP18" s="65"/>
      <c r="BQ18" s="65"/>
    </row>
    <row r="19" spans="1:69" s="5" customFormat="1">
      <c r="A19" s="41"/>
      <c r="B19" s="42"/>
      <c r="C19" s="51" t="s">
        <v>317</v>
      </c>
      <c r="D19" s="52"/>
      <c r="E19" s="52"/>
      <c r="F19" s="53"/>
      <c r="G19" s="52"/>
      <c r="H19" s="46"/>
      <c r="I19" s="54">
        <f>'W.EUR INCUMB'!$D$38</f>
        <v>6.993498061847184</v>
      </c>
      <c r="J19" s="54">
        <f>'W.EUR INCUMB'!$E$38</f>
        <v>6.7241368378449948</v>
      </c>
      <c r="K19" s="54">
        <f>'W.EUR INCUMB'!$F$38</f>
        <v>6.3011120906845495</v>
      </c>
      <c r="L19" s="54">
        <f>'W.EUR INCUMB'!$G$38</f>
        <v>5.9601756313143843</v>
      </c>
      <c r="M19" s="55">
        <f>'W.EUR INCUMB'!$H$38</f>
        <v>3.0709192948586983E-2</v>
      </c>
      <c r="N19" s="46"/>
      <c r="O19" s="54">
        <f>'W.EUR INCUMB'!$D$39</f>
        <v>14.419377438599202</v>
      </c>
      <c r="P19" s="54">
        <f>'W.EUR INCUMB'!$E$39</f>
        <v>12.900741147703812</v>
      </c>
      <c r="Q19" s="54">
        <f>'W.EUR INCUMB'!$F$39</f>
        <v>11.638638419695086</v>
      </c>
      <c r="R19" s="54">
        <f>'W.EUR INCUMB'!$G$39</f>
        <v>10.492306389778886</v>
      </c>
      <c r="S19" s="55">
        <f>'W.EUR INCUMB'!$H$39</f>
        <v>8.6466144407962187E-2</v>
      </c>
      <c r="T19" s="46"/>
      <c r="U19" s="57"/>
      <c r="V19" s="58" t="s">
        <v>317</v>
      </c>
      <c r="Z19" s="46"/>
      <c r="AE19" s="41"/>
      <c r="AF19" s="31"/>
      <c r="AG19" s="31"/>
      <c r="AI19" s="41"/>
      <c r="AJ19" s="64"/>
      <c r="AK19" s="64"/>
      <c r="AM19" s="41"/>
      <c r="AN19" s="64"/>
      <c r="AO19" s="64"/>
      <c r="AQ19" s="41"/>
      <c r="AR19" s="64"/>
      <c r="AS19" s="64"/>
      <c r="BC19" s="65"/>
      <c r="BD19" s="65"/>
      <c r="BE19" s="65"/>
      <c r="BG19" s="65"/>
      <c r="BH19" s="65"/>
      <c r="BI19" s="65"/>
      <c r="BK19" s="65"/>
      <c r="BL19" s="65"/>
      <c r="BM19" s="65"/>
      <c r="BO19" s="65"/>
      <c r="BP19" s="65"/>
      <c r="BQ19" s="65"/>
    </row>
    <row r="20" spans="1:69" s="5" customFormat="1">
      <c r="A20" s="145"/>
      <c r="B20" s="42"/>
      <c r="C20" s="48"/>
      <c r="D20" s="44"/>
      <c r="E20" s="44"/>
      <c r="F20" s="45"/>
      <c r="G20" s="44"/>
      <c r="H20" s="46"/>
      <c r="I20" s="47"/>
      <c r="J20" s="47"/>
      <c r="K20" s="47"/>
      <c r="L20" s="47"/>
      <c r="M20" s="45"/>
      <c r="N20" s="46"/>
      <c r="O20" s="47"/>
      <c r="P20" s="47"/>
      <c r="Q20" s="47"/>
      <c r="R20" s="47"/>
      <c r="S20" s="45"/>
      <c r="T20" s="46"/>
      <c r="U20" s="48"/>
      <c r="V20" s="44"/>
      <c r="Z20" s="46"/>
      <c r="AF20" s="31"/>
      <c r="AG20" s="31"/>
      <c r="AJ20" s="64"/>
      <c r="AK20" s="64"/>
      <c r="AN20" s="64"/>
      <c r="AO20" s="64"/>
      <c r="AR20" s="64"/>
      <c r="AS20" s="64"/>
      <c r="BC20" s="65"/>
      <c r="BD20" s="65"/>
      <c r="BE20" s="65"/>
      <c r="BG20" s="65"/>
      <c r="BH20" s="65"/>
      <c r="BI20" s="65"/>
      <c r="BK20" s="65"/>
      <c r="BL20" s="65"/>
      <c r="BM20" s="65"/>
      <c r="BO20" s="65"/>
      <c r="BP20" s="65"/>
      <c r="BQ20" s="65"/>
    </row>
    <row r="21" spans="1:69" s="5" customFormat="1">
      <c r="A21" s="41"/>
      <c r="B21" s="42" t="s">
        <v>406</v>
      </c>
      <c r="C21" s="48" t="s">
        <v>486</v>
      </c>
      <c r="D21" s="44" t="str">
        <f>B21&amp;TEXT(Prices!$C$40,"0.0")</f>
        <v>USD20.7</v>
      </c>
      <c r="E21" s="44" t="str">
        <f>B21&amp;TEXT(Prices!$E$40,"0.0")</f>
        <v>USD21.0</v>
      </c>
      <c r="F21" s="45">
        <f>Prices!$F$40</f>
        <v>1.6949152542373058E-2</v>
      </c>
      <c r="G21" s="44" t="str">
        <f>Prices!$D$40</f>
        <v>Neutral</v>
      </c>
      <c r="H21" s="46"/>
      <c r="I21" s="47">
        <f>ATT!$D$38</f>
        <v>6.4560420506912433</v>
      </c>
      <c r="J21" s="47">
        <f>ATT!$E$38</f>
        <v>5.8818019017512926</v>
      </c>
      <c r="K21" s="47">
        <f>ATT!$F$38</f>
        <v>5.4002270157837176</v>
      </c>
      <c r="L21" s="47">
        <f>ATT!$G$38</f>
        <v>4.9440817705545221</v>
      </c>
      <c r="M21" s="45">
        <f>ATT!$H$38</f>
        <v>1.9341943051038646E-2</v>
      </c>
      <c r="N21" s="46"/>
      <c r="O21" s="47">
        <f>ATT!$D$39</f>
        <v>14.147549861146175</v>
      </c>
      <c r="P21" s="47">
        <f>ATT!$E$39</f>
        <v>11.337418785912602</v>
      </c>
      <c r="Q21" s="47">
        <f>ATT!$F$39</f>
        <v>10.043191356482483</v>
      </c>
      <c r="R21" s="47">
        <f>ATT!$G$39</f>
        <v>9.1025423638033462</v>
      </c>
      <c r="S21" s="45">
        <f>ATT!$H$39</f>
        <v>8.0270461008097538E-2</v>
      </c>
      <c r="T21" s="46"/>
      <c r="U21" s="48" t="str">
        <f>D21</f>
        <v>USD20.7</v>
      </c>
      <c r="V21" s="44" t="s">
        <v>405</v>
      </c>
      <c r="Z21" s="46"/>
      <c r="AF21" s="31"/>
      <c r="AG21" s="31"/>
      <c r="AJ21" s="64"/>
      <c r="AK21" s="64"/>
      <c r="AN21" s="64"/>
      <c r="AO21" s="64"/>
      <c r="AR21" s="64"/>
      <c r="AS21" s="64"/>
      <c r="BC21" s="65"/>
      <c r="BD21" s="65"/>
      <c r="BE21" s="65"/>
      <c r="BG21" s="65"/>
      <c r="BH21" s="65"/>
      <c r="BI21" s="65"/>
      <c r="BK21" s="65"/>
      <c r="BL21" s="65"/>
      <c r="BM21" s="65"/>
      <c r="BO21" s="65"/>
      <c r="BP21" s="65"/>
      <c r="BQ21" s="65"/>
    </row>
    <row r="22" spans="1:69" s="5" customFormat="1">
      <c r="A22" s="146"/>
      <c r="B22" s="42" t="s">
        <v>406</v>
      </c>
      <c r="C22" s="48" t="s">
        <v>687</v>
      </c>
      <c r="D22" s="44" t="str">
        <f>B22&amp;TEXT(Prices!$C$41,"0.0")</f>
        <v>USD197.2</v>
      </c>
      <c r="E22" s="44" t="str">
        <f>B22&amp;TEXT(Prices!$E$41,"0.0")</f>
        <v>USD205.0</v>
      </c>
      <c r="F22" s="45">
        <f>Prices!$F$41</f>
        <v>3.9659194644487306E-2</v>
      </c>
      <c r="G22" s="44" t="str">
        <f>Prices!$D$41</f>
        <v>Buy</v>
      </c>
      <c r="H22" s="46"/>
      <c r="I22" s="47">
        <f>TMUS!$D$38</f>
        <v>10.680140713972364</v>
      </c>
      <c r="J22" s="47">
        <f>TMUS!$E$38</f>
        <v>9.4345418892319017</v>
      </c>
      <c r="K22" s="47">
        <f>TMUS!$F$38</f>
        <v>8.1913985145477675</v>
      </c>
      <c r="L22" s="47">
        <f>TMUS!$G$38</f>
        <v>7.1612292931632489</v>
      </c>
      <c r="M22" s="45">
        <f>TMUS!$H$38</f>
        <v>7.6147416782025745E-2</v>
      </c>
      <c r="N22" s="46"/>
      <c r="O22" s="47">
        <f>TMUS!$D$39</f>
        <v>16.106582348894246</v>
      </c>
      <c r="P22" s="47">
        <f>TMUS!$E$39</f>
        <v>13.222955593912122</v>
      </c>
      <c r="Q22" s="47">
        <f>TMUS!$F$39</f>
        <v>11.200693413069825</v>
      </c>
      <c r="R22" s="47">
        <f>TMUS!$G$39</f>
        <v>9.5813558051882453</v>
      </c>
      <c r="S22" s="45">
        <f>TMUS!$H$39</f>
        <v>0.11995553100529999</v>
      </c>
      <c r="T22" s="46"/>
      <c r="U22" s="48" t="str">
        <f>D22</f>
        <v>USD197.2</v>
      </c>
      <c r="V22" s="44" t="s">
        <v>687</v>
      </c>
      <c r="Z22" s="46"/>
      <c r="AF22" s="31"/>
      <c r="AG22" s="31"/>
      <c r="AJ22" s="64"/>
      <c r="AK22" s="64"/>
      <c r="AN22" s="64"/>
      <c r="AO22" s="64"/>
      <c r="AR22" s="64"/>
      <c r="AS22" s="64"/>
      <c r="BC22" s="65"/>
      <c r="BD22" s="65"/>
      <c r="BE22" s="65"/>
      <c r="BG22" s="65"/>
      <c r="BH22" s="65"/>
      <c r="BI22" s="65"/>
      <c r="BK22" s="65"/>
      <c r="BL22" s="65"/>
      <c r="BM22" s="65"/>
      <c r="BO22" s="65"/>
      <c r="BP22" s="65"/>
      <c r="BQ22" s="65"/>
    </row>
    <row r="23" spans="1:69" s="5" customFormat="1">
      <c r="A23" s="41"/>
      <c r="B23" s="42" t="s">
        <v>406</v>
      </c>
      <c r="C23" s="48" t="s">
        <v>33</v>
      </c>
      <c r="D23" s="44" t="str">
        <f>B23&amp;TEXT(Prices!$C$39,"0.0")</f>
        <v>USD41.3</v>
      </c>
      <c r="E23" s="44" t="str">
        <f>B23&amp;TEXT(Prices!$E$39,"0.0")</f>
        <v>USD45.0</v>
      </c>
      <c r="F23" s="45">
        <f>Prices!$F$39</f>
        <v>8.9324618736383421E-2</v>
      </c>
      <c r="G23" s="44" t="str">
        <f>Prices!$D$39</f>
        <v>Neutral</v>
      </c>
      <c r="H23" s="46"/>
      <c r="I23" s="47">
        <f>VZN!$D$38</f>
        <v>6.5383589319717927</v>
      </c>
      <c r="J23" s="47">
        <f>VZN!$E$38</f>
        <v>6.0259780618484342</v>
      </c>
      <c r="K23" s="47">
        <f>VZN!$F$38</f>
        <v>5.5764475379178187</v>
      </c>
      <c r="L23" s="47">
        <f>VZN!$G$38</f>
        <v>5.1282410933452169</v>
      </c>
      <c r="M23" s="45">
        <f>VZN!$H$38</f>
        <v>1.2910057608189529E-2</v>
      </c>
      <c r="N23" s="46"/>
      <c r="O23" s="47">
        <f>VZN!$D$39</f>
        <v>10.766371545723933</v>
      </c>
      <c r="P23" s="47">
        <f>VZN!$E$39</f>
        <v>9.3174399817617921</v>
      </c>
      <c r="Q23" s="47">
        <f>VZN!$F$39</f>
        <v>8.5795037439926833</v>
      </c>
      <c r="R23" s="47">
        <f>VZN!$G$39</f>
        <v>7.857385993624276</v>
      </c>
      <c r="S23" s="45">
        <f>VZN!$H$39</f>
        <v>3.7531283809789429E-2</v>
      </c>
      <c r="T23" s="46"/>
      <c r="U23" s="48" t="str">
        <f>D23</f>
        <v>USD41.3</v>
      </c>
      <c r="V23" s="44" t="str">
        <f>C23</f>
        <v>Verizon</v>
      </c>
      <c r="Z23" s="46"/>
      <c r="AF23" s="31"/>
      <c r="AG23" s="31"/>
      <c r="AJ23" s="64"/>
      <c r="AK23" s="64"/>
      <c r="AN23" s="64"/>
      <c r="AO23" s="64"/>
      <c r="AR23" s="64"/>
      <c r="AS23" s="64"/>
      <c r="BC23" s="65"/>
      <c r="BD23" s="65"/>
      <c r="BE23" s="65"/>
      <c r="BG23" s="65"/>
      <c r="BH23" s="65"/>
      <c r="BI23" s="65"/>
      <c r="BK23" s="65"/>
      <c r="BL23" s="65"/>
      <c r="BM23" s="65"/>
      <c r="BO23" s="65"/>
      <c r="BP23" s="65"/>
      <c r="BQ23" s="65"/>
    </row>
    <row r="24" spans="1:69" s="5" customFormat="1">
      <c r="A24" s="41"/>
      <c r="B24" s="42"/>
      <c r="C24" s="51" t="s">
        <v>257</v>
      </c>
      <c r="D24" s="52"/>
      <c r="E24" s="52"/>
      <c r="F24" s="53"/>
      <c r="G24" s="52"/>
      <c r="H24" s="46"/>
      <c r="I24" s="54">
        <f>'US TELCO'!$D$38</f>
        <v>7.5103910335065676</v>
      </c>
      <c r="J24" s="54">
        <f>'US TELCO'!$E$38</f>
        <v>6.8358730386328723</v>
      </c>
      <c r="K24" s="54">
        <f>'US TELCO'!$F$38</f>
        <v>6.2046381864839537</v>
      </c>
      <c r="L24" s="54">
        <f>'US TELCO'!$G$38</f>
        <v>5.6229208951465788</v>
      </c>
      <c r="M24" s="55">
        <f>'US TELCO'!$H$38</f>
        <v>3.1183334923203576E-2</v>
      </c>
      <c r="N24" s="46"/>
      <c r="O24" s="54">
        <f>'US TELCO'!$D$39</f>
        <v>13.261738384106318</v>
      </c>
      <c r="P24" s="54">
        <f>'US TELCO'!$E$39</f>
        <v>11.062571352627396</v>
      </c>
      <c r="Q24" s="54">
        <f>'US TELCO'!$F$39</f>
        <v>9.820261878240153</v>
      </c>
      <c r="R24" s="54">
        <f>'US TELCO'!$G$39</f>
        <v>8.7783728274098998</v>
      </c>
      <c r="S24" s="55">
        <f>'US TELCO'!$H$39</f>
        <v>7.4396303115465079E-2</v>
      </c>
      <c r="T24" s="46"/>
      <c r="U24" s="57"/>
      <c r="V24" s="58" t="s">
        <v>257</v>
      </c>
      <c r="Z24" s="46"/>
      <c r="AE24" s="41"/>
      <c r="AF24" s="31"/>
      <c r="AG24" s="31"/>
      <c r="AI24" s="41"/>
      <c r="AJ24" s="64"/>
      <c r="AK24" s="64"/>
      <c r="AM24" s="41"/>
      <c r="AN24" s="64"/>
      <c r="AO24" s="64"/>
      <c r="AQ24" s="41"/>
      <c r="AR24" s="64"/>
      <c r="AS24" s="64"/>
      <c r="BC24" s="65"/>
      <c r="BD24" s="65"/>
      <c r="BE24" s="65"/>
      <c r="BG24" s="65"/>
      <c r="BH24" s="65"/>
      <c r="BI24" s="65"/>
      <c r="BK24" s="65"/>
      <c r="BL24" s="65"/>
      <c r="BM24" s="65"/>
      <c r="BO24" s="65"/>
      <c r="BP24" s="65"/>
      <c r="BQ24" s="65"/>
    </row>
    <row r="25" spans="1:69" s="5" customFormat="1">
      <c r="A25" s="41"/>
      <c r="B25" s="42"/>
      <c r="C25" s="48"/>
      <c r="D25" s="44"/>
      <c r="E25" s="44"/>
      <c r="F25" s="45"/>
      <c r="G25" s="44"/>
      <c r="H25" s="46"/>
      <c r="I25" s="47"/>
      <c r="J25" s="47"/>
      <c r="K25" s="47"/>
      <c r="L25" s="47"/>
      <c r="M25" s="45"/>
      <c r="N25" s="46"/>
      <c r="O25" s="47"/>
      <c r="P25" s="47"/>
      <c r="Q25" s="47"/>
      <c r="R25" s="47"/>
      <c r="S25" s="45"/>
      <c r="T25" s="46"/>
      <c r="U25" s="48"/>
      <c r="V25" s="44"/>
      <c r="Z25" s="46"/>
      <c r="AF25" s="31"/>
      <c r="AG25" s="31"/>
      <c r="AJ25" s="64"/>
      <c r="AK25" s="64"/>
      <c r="AN25" s="64"/>
      <c r="AO25" s="64"/>
      <c r="AR25" s="64"/>
      <c r="AS25" s="64"/>
    </row>
    <row r="26" spans="1:69" s="5" customFormat="1">
      <c r="A26" s="41"/>
      <c r="B26" s="42" t="s">
        <v>1413</v>
      </c>
      <c r="C26" s="48" t="s">
        <v>407</v>
      </c>
      <c r="D26" s="44" t="str">
        <f>B26&amp;TEXT(Prices!C56,"0,0")</f>
        <v>JPY 156</v>
      </c>
      <c r="E26" s="44" t="str">
        <f>B26&amp;TEXT(Prices!E56,"0,0")</f>
        <v>JPY 240</v>
      </c>
      <c r="F26" s="45">
        <f>Prices!F56</f>
        <v>0.54340836012861726</v>
      </c>
      <c r="G26" s="44" t="str">
        <f>Prices!D56</f>
        <v>Buy</v>
      </c>
      <c r="H26" s="46"/>
      <c r="I26" s="47">
        <f>NTT!$D$38</f>
        <v>6.8275813979555036</v>
      </c>
      <c r="J26" s="47">
        <f>NTT!$E$38</f>
        <v>6.8579364329180015</v>
      </c>
      <c r="K26" s="47">
        <f>NTT!$F$38</f>
        <v>5.7926810055311444</v>
      </c>
      <c r="L26" s="47">
        <f>NTT!$G$38</f>
        <v>5.3241253937488597</v>
      </c>
      <c r="M26" s="45">
        <f>NTT!$H$38</f>
        <v>5.3078917381170543E-2</v>
      </c>
      <c r="N26" s="46"/>
      <c r="O26" s="47">
        <f>NTT!$D$39</f>
        <v>16.699968324990877</v>
      </c>
      <c r="P26" s="47">
        <f>NTT!$E$39</f>
        <v>16.976346204032932</v>
      </c>
      <c r="Q26" s="47">
        <f>NTT!$F$39</f>
        <v>12.216848102531229</v>
      </c>
      <c r="R26" s="47">
        <f>NTT!$G$39</f>
        <v>10.898726595477335</v>
      </c>
      <c r="S26" s="45">
        <f>NTT!$H$39</f>
        <v>0.11746692517018942</v>
      </c>
      <c r="T26" s="46"/>
      <c r="U26" s="48" t="str">
        <f t="shared" ref="U26:U29" si="1">D26</f>
        <v>JPY 156</v>
      </c>
      <c r="V26" s="44" t="s">
        <v>407</v>
      </c>
      <c r="Z26" s="46"/>
      <c r="AF26" s="31"/>
      <c r="AG26" s="31"/>
      <c r="AJ26" s="64"/>
      <c r="AK26" s="64"/>
      <c r="AN26" s="64"/>
      <c r="AO26" s="64"/>
      <c r="AR26" s="64"/>
      <c r="AS26" s="64"/>
      <c r="BC26" s="65"/>
      <c r="BD26" s="65"/>
      <c r="BE26" s="65"/>
      <c r="BG26" s="65"/>
      <c r="BH26" s="65"/>
      <c r="BI26" s="65"/>
      <c r="BK26" s="65"/>
      <c r="BL26" s="65"/>
      <c r="BM26" s="65"/>
      <c r="BO26" s="65"/>
      <c r="BP26" s="65"/>
      <c r="BQ26" s="65"/>
    </row>
    <row r="27" spans="1:69" s="5" customFormat="1">
      <c r="A27" s="41"/>
      <c r="B27" s="42" t="s">
        <v>1412</v>
      </c>
      <c r="C27" s="48" t="s">
        <v>884</v>
      </c>
      <c r="D27" s="44" t="str">
        <f>B27&amp;TEXT(Prices!C57,"0.00")</f>
        <v>NZD 3.52</v>
      </c>
      <c r="E27" s="44" t="str">
        <f>B27&amp;TEXT(Prices!E57,"0.00")</f>
        <v>NZD 5.00</v>
      </c>
      <c r="F27" s="45">
        <f>Prices!F57</f>
        <v>0.42045454545454541</v>
      </c>
      <c r="G27" s="44" t="str">
        <f>Prices!D57</f>
        <v>Neutral</v>
      </c>
      <c r="H27" s="46"/>
      <c r="I27" s="47">
        <f>SPK!$D$38</f>
        <v>5.1826575077416068</v>
      </c>
      <c r="J27" s="47">
        <f>SPK!$E$38</f>
        <v>4.6769333269718993</v>
      </c>
      <c r="K27" s="47">
        <f>SPK!$F$38</f>
        <v>4.1980043948757313</v>
      </c>
      <c r="L27" s="47">
        <f>SPK!$G$38</f>
        <v>3.6059302071331052</v>
      </c>
      <c r="M27" s="45">
        <f>SPK!$H$38</f>
        <v>1.897026982795702E-2</v>
      </c>
      <c r="N27" s="46"/>
      <c r="O27" s="47">
        <f>SPK!$D$39</f>
        <v>8.2485307986898881</v>
      </c>
      <c r="P27" s="47">
        <f>SPK!$E$39</f>
        <v>7.4884684234063688</v>
      </c>
      <c r="Q27" s="47">
        <f>SPK!$F$39</f>
        <v>6.8050974198840111</v>
      </c>
      <c r="R27" s="47">
        <f>SPK!$G$39</f>
        <v>5.8058401869857876</v>
      </c>
      <c r="S27" s="45">
        <f>SPK!$H$39</f>
        <v>1.5048879877651355E-2</v>
      </c>
      <c r="T27" s="46"/>
      <c r="U27" s="48" t="str">
        <f t="shared" si="1"/>
        <v>NZD 3.52</v>
      </c>
      <c r="V27" s="44" t="s">
        <v>884</v>
      </c>
      <c r="Z27" s="46"/>
      <c r="AF27" s="31"/>
      <c r="AG27" s="31"/>
      <c r="AJ27" s="64"/>
      <c r="AK27" s="64"/>
      <c r="AN27" s="64"/>
      <c r="AO27" s="64"/>
      <c r="AR27" s="64"/>
      <c r="AS27" s="64"/>
      <c r="BC27" s="65"/>
      <c r="BD27" s="65"/>
      <c r="BE27" s="65"/>
      <c r="BG27" s="65"/>
      <c r="BH27" s="65"/>
      <c r="BI27" s="65"/>
      <c r="BK27" s="65"/>
      <c r="BL27" s="65"/>
      <c r="BM27" s="65"/>
      <c r="BO27" s="65"/>
      <c r="BP27" s="65"/>
      <c r="BQ27" s="65"/>
    </row>
    <row r="28" spans="1:69" s="5" customFormat="1">
      <c r="A28" s="41"/>
      <c r="B28" s="42" t="s">
        <v>1414</v>
      </c>
      <c r="C28" s="48" t="s">
        <v>571</v>
      </c>
      <c r="D28" s="44" t="str">
        <f>B28&amp;TEXT(Prices!C58,"0.00")</f>
        <v>SGD 3.13</v>
      </c>
      <c r="E28" s="44" t="str">
        <f>B28&amp;TEXT(Prices!E58,"0.00")</f>
        <v>SGD 4.60</v>
      </c>
      <c r="F28" s="45">
        <f>Prices!F58</f>
        <v>0.46964856230031948</v>
      </c>
      <c r="G28" s="44" t="str">
        <f>Prices!D58</f>
        <v>Buy</v>
      </c>
      <c r="H28" s="46"/>
      <c r="I28" s="47">
        <f>PROPORTIONATES!$G$67</f>
        <v>6.4017301246412899</v>
      </c>
      <c r="J28" s="47">
        <f>PROPORTIONATES!$H$67</f>
        <v>5.5811719922555509</v>
      </c>
      <c r="K28" s="47">
        <f>PROPORTIONATES!$I$67</f>
        <v>4.868908271255151</v>
      </c>
      <c r="L28" s="47">
        <f>PROPORTIONATES!$J$67</f>
        <v>4.1957957026237711</v>
      </c>
      <c r="M28" s="45">
        <f>SINGTEL!$H$38</f>
        <v>4.5240589222138139E-2</v>
      </c>
      <c r="N28" s="46"/>
      <c r="O28" s="47">
        <f>PROPORTIONATES!$G$68</f>
        <v>12.126549426960086</v>
      </c>
      <c r="P28" s="47">
        <f>PROPORTIONATES!$H$68</f>
        <v>9.6570165261701106</v>
      </c>
      <c r="Q28" s="47">
        <f>PROPORTIONATES!$I$68</f>
        <v>7.9568338879162761</v>
      </c>
      <c r="R28" s="47">
        <f>PROPORTIONATES!$J$68</f>
        <v>6.6578788280631516</v>
      </c>
      <c r="S28" s="45">
        <f>SINGTEL!$H$39</f>
        <v>0.10846461396795615</v>
      </c>
      <c r="T28" s="46"/>
      <c r="U28" s="48" t="str">
        <f t="shared" si="1"/>
        <v>SGD 3.13</v>
      </c>
      <c r="V28" s="44" t="s">
        <v>571</v>
      </c>
      <c r="Z28" s="46"/>
      <c r="AF28" s="31"/>
      <c r="AG28" s="31"/>
      <c r="AJ28" s="64"/>
      <c r="AK28" s="64"/>
      <c r="AN28" s="64"/>
      <c r="AO28" s="64"/>
      <c r="AR28" s="64"/>
      <c r="AS28" s="64"/>
      <c r="BC28" s="65"/>
      <c r="BD28" s="65"/>
      <c r="BE28" s="65"/>
      <c r="BG28" s="65"/>
      <c r="BH28" s="65"/>
      <c r="BI28" s="65"/>
      <c r="BK28" s="65"/>
      <c r="BL28" s="65"/>
      <c r="BM28" s="65"/>
      <c r="BO28" s="65"/>
      <c r="BP28" s="65"/>
      <c r="BQ28" s="65"/>
    </row>
    <row r="29" spans="1:69" s="5" customFormat="1">
      <c r="A29" s="41"/>
      <c r="B29" s="42" t="s">
        <v>1411</v>
      </c>
      <c r="C29" s="48" t="s">
        <v>881</v>
      </c>
      <c r="D29" s="44" t="str">
        <f>B29&amp;TEXT(Prices!C59,"0.00")</f>
        <v>AUD 3.93</v>
      </c>
      <c r="E29" s="44" t="str">
        <f>B29&amp;TEXT(Prices!E59,"0.00")</f>
        <v>AUD 3.50</v>
      </c>
      <c r="F29" s="45">
        <f>Prices!F59</f>
        <v>-0.10941475826972014</v>
      </c>
      <c r="G29" s="44" t="str">
        <f>Prices!D59</f>
        <v>Buy</v>
      </c>
      <c r="H29" s="46"/>
      <c r="I29" s="47">
        <f>TLS!$D$38</f>
        <v>5.6877952839961203</v>
      </c>
      <c r="J29" s="47">
        <f>TLS!$E$38</f>
        <v>5.1111775258309002</v>
      </c>
      <c r="K29" s="47">
        <f>TLS!$F$38</f>
        <v>5.1327872160824199</v>
      </c>
      <c r="L29" s="47">
        <f>TLS!$G$38</f>
        <v>4.7197639616920899</v>
      </c>
      <c r="M29" s="45">
        <f>TLS!$H$38</f>
        <v>-8.354918946323564E-3</v>
      </c>
      <c r="N29" s="46"/>
      <c r="O29" s="47">
        <f>TLS!$D$39</f>
        <v>8.6977801069566247</v>
      </c>
      <c r="P29" s="47">
        <f>TLS!$E$39</f>
        <v>7.5482441632053323</v>
      </c>
      <c r="Q29" s="47">
        <f>TLS!$F$39</f>
        <v>7.789945459390065</v>
      </c>
      <c r="R29" s="47">
        <f>TLS!$G$39</f>
        <v>7.2291676979711115</v>
      </c>
      <c r="S29" s="45">
        <f>TLS!$H$39</f>
        <v>-8.8902592586865836E-3</v>
      </c>
      <c r="T29" s="46"/>
      <c r="U29" s="48" t="str">
        <f t="shared" si="1"/>
        <v>AUD 3.93</v>
      </c>
      <c r="V29" s="44" t="s">
        <v>301</v>
      </c>
      <c r="Z29" s="46"/>
      <c r="AF29" s="31"/>
      <c r="AG29" s="31"/>
      <c r="AJ29" s="64"/>
      <c r="AK29" s="64"/>
      <c r="AN29" s="64"/>
      <c r="AO29" s="64"/>
      <c r="AR29" s="64"/>
      <c r="AS29" s="64"/>
      <c r="BC29" s="65"/>
      <c r="BD29" s="65"/>
      <c r="BE29" s="65"/>
      <c r="BG29" s="65"/>
      <c r="BH29" s="65"/>
      <c r="BI29" s="65"/>
      <c r="BK29" s="65"/>
      <c r="BL29" s="65"/>
      <c r="BM29" s="65"/>
      <c r="BO29" s="65"/>
      <c r="BP29" s="65"/>
      <c r="BQ29" s="65"/>
    </row>
    <row r="30" spans="1:69" s="5" customFormat="1">
      <c r="A30" s="41"/>
      <c r="B30" s="42"/>
      <c r="C30" s="51" t="s">
        <v>882</v>
      </c>
      <c r="D30" s="58"/>
      <c r="E30" s="58"/>
      <c r="F30" s="55"/>
      <c r="G30" s="58"/>
      <c r="H30" s="56"/>
      <c r="I30" s="54">
        <f>'DM ASIA INCUMB'!D38</f>
        <v>7.260879478563373</v>
      </c>
      <c r="J30" s="54">
        <f>'DM ASIA INCUMB'!E38</f>
        <v>7.185698373539414</v>
      </c>
      <c r="K30" s="54">
        <f>'DM ASIA INCUMB'!F38</f>
        <v>6.3208001891140722</v>
      </c>
      <c r="L30" s="54">
        <f>'DM ASIA INCUMB'!G38</f>
        <v>5.8022956419229432</v>
      </c>
      <c r="M30" s="55">
        <f>'DM ASIA INCUMB'!H38</f>
        <v>4.0124715031497837E-2</v>
      </c>
      <c r="N30" s="56"/>
      <c r="O30" s="54">
        <f>'DM ASIA INCUMB'!D39</f>
        <v>15.650893073877342</v>
      </c>
      <c r="P30" s="54">
        <f>'DM ASIA INCUMB'!E39</f>
        <v>16.006237973250297</v>
      </c>
      <c r="Q30" s="54">
        <f>'DM ASIA INCUMB'!F39</f>
        <v>12.381891447123158</v>
      </c>
      <c r="R30" s="54">
        <f>'DM ASIA INCUMB'!G39</f>
        <v>11.158809135758739</v>
      </c>
      <c r="S30" s="55">
        <f>'DM ASIA INCUMB'!H39</f>
        <v>8.0428544381480283E-2</v>
      </c>
      <c r="T30" s="56"/>
      <c r="U30" s="51"/>
      <c r="V30" s="58" t="s">
        <v>883</v>
      </c>
      <c r="Z30" s="46"/>
      <c r="AE30" s="41"/>
      <c r="AF30" s="31"/>
      <c r="AG30" s="31"/>
      <c r="AI30" s="41"/>
      <c r="AJ30" s="64"/>
      <c r="AK30" s="64"/>
      <c r="AM30" s="41"/>
      <c r="AN30" s="64"/>
      <c r="AO30" s="64"/>
      <c r="AQ30" s="41"/>
      <c r="AR30" s="64"/>
      <c r="AS30" s="64"/>
      <c r="BC30" s="65"/>
      <c r="BD30" s="65"/>
      <c r="BE30" s="65"/>
      <c r="BG30" s="65"/>
      <c r="BH30" s="65"/>
      <c r="BI30" s="65"/>
      <c r="BK30" s="65"/>
      <c r="BL30" s="65"/>
      <c r="BM30" s="65"/>
      <c r="BO30" s="65"/>
      <c r="BP30" s="65"/>
      <c r="BQ30" s="65"/>
    </row>
    <row r="31" spans="1:69" s="5" customFormat="1">
      <c r="A31" s="41"/>
      <c r="B31" s="42"/>
      <c r="C31" s="43"/>
      <c r="D31" s="50"/>
      <c r="E31" s="50"/>
      <c r="F31" s="61"/>
      <c r="G31" s="50"/>
      <c r="H31" s="56"/>
      <c r="I31" s="62"/>
      <c r="J31" s="62"/>
      <c r="K31" s="62"/>
      <c r="L31" s="62"/>
      <c r="M31" s="61"/>
      <c r="N31" s="56"/>
      <c r="O31" s="62"/>
      <c r="P31" s="62"/>
      <c r="Q31" s="62"/>
      <c r="R31" s="62"/>
      <c r="S31" s="61"/>
      <c r="T31" s="56"/>
      <c r="U31" s="43"/>
      <c r="V31" s="50"/>
      <c r="Z31" s="46"/>
      <c r="AE31" s="41"/>
      <c r="AF31" s="31"/>
      <c r="AG31" s="31"/>
      <c r="AI31" s="41"/>
      <c r="AJ31" s="64"/>
      <c r="AK31" s="64"/>
      <c r="AM31" s="41"/>
      <c r="AN31" s="64"/>
      <c r="AO31" s="64"/>
      <c r="AQ31" s="41"/>
      <c r="AR31" s="64"/>
      <c r="AS31" s="64"/>
      <c r="BC31" s="65"/>
      <c r="BD31" s="65"/>
      <c r="BE31" s="65"/>
      <c r="BG31" s="65"/>
      <c r="BH31" s="65"/>
      <c r="BI31" s="65"/>
      <c r="BK31" s="65"/>
      <c r="BL31" s="65"/>
      <c r="BM31" s="65"/>
      <c r="BO31" s="65"/>
      <c r="BP31" s="65"/>
      <c r="BQ31" s="65"/>
    </row>
    <row r="32" spans="1:69" s="5" customFormat="1">
      <c r="A32" s="41"/>
      <c r="B32" s="42"/>
      <c r="C32" s="51" t="s">
        <v>857</v>
      </c>
      <c r="D32" s="58"/>
      <c r="E32" s="58"/>
      <c r="F32" s="55"/>
      <c r="G32" s="58"/>
      <c r="H32" s="56"/>
      <c r="I32" s="54">
        <f>'AGG DM INCUMB'!D38</f>
        <v>7.2702281784508509</v>
      </c>
      <c r="J32" s="54">
        <f>'AGG DM INCUMB'!E38</f>
        <v>6.8374219794372664</v>
      </c>
      <c r="K32" s="54">
        <f>'AGG DM INCUMB'!F38</f>
        <v>6.2588069542798026</v>
      </c>
      <c r="L32" s="54">
        <f>'AGG DM INCUMB'!G38</f>
        <v>5.7818260612540193</v>
      </c>
      <c r="M32" s="55">
        <f>'AGG DM INCUMB'!H38</f>
        <v>3.2207925292584427E-2</v>
      </c>
      <c r="N32" s="56"/>
      <c r="O32" s="54">
        <f>'AGG DM INCUMB'!D39</f>
        <v>13.980297724428118</v>
      </c>
      <c r="P32" s="54">
        <f>'AGG DM INCUMB'!E39</f>
        <v>12.266549469376683</v>
      </c>
      <c r="Q32" s="54">
        <f>'AGG DM INCUMB'!F39</f>
        <v>10.803295216711495</v>
      </c>
      <c r="R32" s="54">
        <f>'AGG DM INCUMB'!G39</f>
        <v>9.7160046574190257</v>
      </c>
      <c r="S32" s="55">
        <f>'AGG DM INCUMB'!H39</f>
        <v>7.9648580689546611E-2</v>
      </c>
      <c r="T32" s="56"/>
      <c r="U32" s="51"/>
      <c r="V32" s="58" t="str">
        <f>C32</f>
        <v>Agg. DM Incumbent total</v>
      </c>
      <c r="Z32" s="46"/>
      <c r="AE32" s="41"/>
      <c r="AF32" s="31"/>
      <c r="AG32" s="31"/>
      <c r="AI32" s="41"/>
      <c r="AJ32" s="64"/>
      <c r="AK32" s="64"/>
      <c r="AM32" s="41"/>
      <c r="AN32" s="64"/>
      <c r="AO32" s="64"/>
      <c r="AQ32" s="41"/>
      <c r="AR32" s="64"/>
      <c r="AS32" s="64"/>
      <c r="BC32" s="65"/>
      <c r="BD32" s="65"/>
      <c r="BE32" s="65"/>
      <c r="BG32" s="65"/>
      <c r="BH32" s="65"/>
      <c r="BI32" s="65"/>
      <c r="BK32" s="65"/>
      <c r="BL32" s="65"/>
      <c r="BM32" s="65"/>
      <c r="BO32" s="65"/>
      <c r="BP32" s="65"/>
      <c r="BQ32" s="65"/>
    </row>
    <row r="33" spans="1:113" s="5" customFormat="1">
      <c r="A33" s="146"/>
      <c r="B33" s="42"/>
      <c r="C33" s="41"/>
      <c r="D33" s="44"/>
      <c r="E33" s="44"/>
      <c r="F33" s="45"/>
      <c r="G33" s="44"/>
      <c r="H33" s="46"/>
      <c r="I33" s="47"/>
      <c r="J33" s="47"/>
      <c r="K33" s="47"/>
      <c r="L33" s="47"/>
      <c r="M33" s="45"/>
      <c r="N33" s="46"/>
      <c r="O33" s="47"/>
      <c r="P33" s="47"/>
      <c r="Q33" s="47"/>
      <c r="R33" s="47"/>
      <c r="S33" s="45"/>
      <c r="T33" s="46"/>
      <c r="U33" s="48"/>
      <c r="V33" s="50"/>
      <c r="Z33" s="46"/>
      <c r="AE33" s="41"/>
      <c r="AF33" s="31"/>
      <c r="AG33" s="31"/>
      <c r="AI33" s="41"/>
      <c r="AJ33" s="64"/>
      <c r="AK33" s="64"/>
      <c r="AM33" s="41"/>
      <c r="AN33" s="64"/>
      <c r="AO33" s="64"/>
      <c r="AQ33" s="41"/>
      <c r="AR33" s="64"/>
      <c r="AS33" s="64"/>
      <c r="BC33" s="65"/>
      <c r="BD33" s="65"/>
      <c r="BE33" s="65"/>
      <c r="BG33" s="65"/>
      <c r="BH33" s="65"/>
      <c r="BI33" s="65"/>
      <c r="BK33" s="65"/>
      <c r="BL33" s="65"/>
      <c r="BM33" s="65"/>
      <c r="BO33" s="65"/>
      <c r="BP33" s="65"/>
      <c r="BQ33" s="65"/>
    </row>
    <row r="34" spans="1:113">
      <c r="A34" s="41" t="s">
        <v>1374</v>
      </c>
      <c r="B34" s="42" t="s">
        <v>1406</v>
      </c>
      <c r="C34" s="48" t="s">
        <v>1369</v>
      </c>
      <c r="D34" s="44" t="str">
        <f>B34&amp;TEXT(Prices!C22,"0.0")</f>
        <v>EUR 14.0</v>
      </c>
      <c r="E34" s="44" t="str">
        <f>B34&amp;TEXT(Prices!E22,"0.0")</f>
        <v>EUR 26.0</v>
      </c>
      <c r="F34" s="45">
        <f>Prices!F22</f>
        <v>0.85449358059914404</v>
      </c>
      <c r="G34" s="44" t="str">
        <f>Prices!D22</f>
        <v>Buy</v>
      </c>
      <c r="H34" s="46"/>
      <c r="I34" s="47">
        <f>DRI!$D$38</f>
        <v>5.5659226957709249</v>
      </c>
      <c r="J34" s="47">
        <f>DRI!E$38</f>
        <v>6.0082981029962923</v>
      </c>
      <c r="K34" s="47">
        <f>DRI!F$38</f>
        <v>5.787823024250943</v>
      </c>
      <c r="L34" s="47">
        <f>DRI!$G$38</f>
        <v>5.2337195143124724</v>
      </c>
      <c r="M34" s="45">
        <f>DRI!$H$38</f>
        <v>6.6755086912671402E-2</v>
      </c>
      <c r="N34" s="46"/>
      <c r="O34" s="47">
        <f>DRI!$D$39</f>
        <v>10.536255682076948</v>
      </c>
      <c r="P34" s="47">
        <f>DRI!$E$39</f>
        <v>21.066189700002951</v>
      </c>
      <c r="Q34" s="47">
        <f>DRI!$F$39</f>
        <v>21.510276278002216</v>
      </c>
      <c r="R34" s="47">
        <f>DRI!$G$39</f>
        <v>15.100388277686223</v>
      </c>
      <c r="S34" s="45">
        <f>DRI!$H$39</f>
        <v>-7.3052346576267024E-2</v>
      </c>
      <c r="T34" s="46"/>
      <c r="U34" s="48" t="str">
        <f>D34</f>
        <v>EUR 14.0</v>
      </c>
      <c r="V34" s="44" t="s">
        <v>1369</v>
      </c>
      <c r="AF34" s="31"/>
      <c r="AG34" s="31"/>
      <c r="AJ34" s="64"/>
      <c r="AK34" s="64"/>
      <c r="AN34" s="64"/>
      <c r="AO34" s="64"/>
      <c r="AR34" s="64"/>
      <c r="AS34" s="64"/>
      <c r="BC34" s="65"/>
      <c r="BD34" s="65"/>
      <c r="BE34" s="65"/>
      <c r="BG34" s="65"/>
      <c r="BH34" s="65"/>
      <c r="BI34" s="65"/>
      <c r="BK34" s="65"/>
      <c r="BL34" s="65"/>
      <c r="BM34" s="65"/>
      <c r="BO34" s="65"/>
      <c r="BP34" s="65"/>
      <c r="BQ34" s="65"/>
    </row>
    <row r="35" spans="1:113" s="5" customFormat="1">
      <c r="A35" s="41"/>
      <c r="B35" s="42" t="s">
        <v>1406</v>
      </c>
      <c r="C35" s="48" t="s">
        <v>349</v>
      </c>
      <c r="D35" s="44" t="str">
        <f>B35&amp;TEXT(Prices!C23,"0.0")</f>
        <v>EUR 46.6</v>
      </c>
      <c r="E35" s="44" t="str">
        <f>B35&amp;TEXT(Prices!E23,"0.0")</f>
        <v>EUR 53.0</v>
      </c>
      <c r="F35" s="45">
        <f>Prices!F23</f>
        <v>0.13831615120274909</v>
      </c>
      <c r="G35" s="44" t="str">
        <f>Prices!D23</f>
        <v>Neutral</v>
      </c>
      <c r="H35" s="46"/>
      <c r="I35" s="47">
        <f>ELISA!$D$38</f>
        <v>11.996862436473382</v>
      </c>
      <c r="J35" s="47">
        <f>ELISA!$E$38</f>
        <v>11.619586645274699</v>
      </c>
      <c r="K35" s="47">
        <f>ELISA!$F$38</f>
        <v>10.678086977697468</v>
      </c>
      <c r="L35" s="47">
        <f>ELISA!$G$38</f>
        <v>9.8068624709278289</v>
      </c>
      <c r="M35" s="45">
        <f>ELISA!$H$38</f>
        <v>3.6643349062043695E-2</v>
      </c>
      <c r="N35" s="46"/>
      <c r="O35" s="47">
        <f>ELISA!$D$39</f>
        <v>19.19497989835741</v>
      </c>
      <c r="P35" s="47">
        <f>ELISA!$E$39</f>
        <v>17.956231335886269</v>
      </c>
      <c r="Q35" s="47">
        <f>ELISA!$F$39</f>
        <v>15.161069007664503</v>
      </c>
      <c r="R35" s="47">
        <f>ELISA!$G$39</f>
        <v>13.849741523989437</v>
      </c>
      <c r="S35" s="45">
        <f>ELISA!$H$39</f>
        <v>8.0684274954947455E-2</v>
      </c>
      <c r="T35" s="46"/>
      <c r="U35" s="48" t="str">
        <f t="shared" ref="U35:U41" si="2">D35</f>
        <v>EUR 46.6</v>
      </c>
      <c r="V35" s="44" t="s">
        <v>349</v>
      </c>
      <c r="Z35" s="46"/>
      <c r="AF35" s="31"/>
      <c r="AG35" s="31"/>
      <c r="AJ35" s="64"/>
      <c r="AK35" s="64"/>
      <c r="AN35" s="64"/>
      <c r="AO35" s="64"/>
      <c r="AR35" s="64"/>
      <c r="AS35" s="64"/>
      <c r="BC35" s="65"/>
      <c r="BD35" s="65"/>
      <c r="BE35" s="65"/>
      <c r="BG35" s="65"/>
      <c r="BH35" s="65"/>
      <c r="BI35" s="65"/>
      <c r="BK35" s="65"/>
      <c r="BL35" s="65"/>
      <c r="BM35" s="65"/>
      <c r="BO35" s="65"/>
      <c r="BP35" s="65"/>
      <c r="BQ35" s="65"/>
    </row>
    <row r="36" spans="1:113">
      <c r="A36" s="41"/>
      <c r="B36" s="42" t="s">
        <v>1405</v>
      </c>
      <c r="C36" s="48" t="s">
        <v>1422</v>
      </c>
      <c r="D36" s="44" t="str">
        <f>B36&amp;TEXT(Prices!C24,"0.0")</f>
        <v>USD 20.3</v>
      </c>
      <c r="E36" s="44" t="str">
        <f>B36&amp;TEXT(AVERAGE(Prices!E24,Prices!E25,Prices!E26),"0.0")</f>
        <v>USD 23.0</v>
      </c>
      <c r="F36" s="45">
        <f>Prices!F24</f>
        <v>0.13356333169048806</v>
      </c>
      <c r="G36" s="44" t="str">
        <f>Prices!D24</f>
        <v>Neutral</v>
      </c>
      <c r="H36" s="46"/>
      <c r="I36" s="47">
        <f>PROPORTIONATES!G33</f>
        <v>6.3518028015255759</v>
      </c>
      <c r="J36" s="47">
        <f>PROPORTIONATES!H33</f>
        <v>5.8186498743450636</v>
      </c>
      <c r="K36" s="47">
        <f>PROPORTIONATES!I33</f>
        <v>5.6450034311842066</v>
      </c>
      <c r="L36" s="47">
        <f>PROPORTIONATES!J33</f>
        <v>5.4197890917588953</v>
      </c>
      <c r="M36" s="45">
        <f>LBTY!$H$38</f>
        <v>5.9722135653994535E-3</v>
      </c>
      <c r="N36" s="46"/>
      <c r="O36" s="47">
        <f>PROPORTIONATES!G34</f>
        <v>18.732120309894086</v>
      </c>
      <c r="P36" s="47">
        <f>PROPORTIONATES!H34</f>
        <v>18.546235879609927</v>
      </c>
      <c r="Q36" s="47">
        <f>PROPORTIONATES!I34</f>
        <v>17.66978055154917</v>
      </c>
      <c r="R36" s="47">
        <f>PROPORTIONATES!J34</f>
        <v>14.620983976816156</v>
      </c>
      <c r="S36" s="45">
        <f>LBTY!$H$39</f>
        <v>2.2719940908240366E-2</v>
      </c>
      <c r="T36" s="46"/>
      <c r="U36" s="48" t="str">
        <f>D36</f>
        <v>USD 20.3</v>
      </c>
      <c r="V36" s="44" t="s">
        <v>264</v>
      </c>
      <c r="Z36" s="46"/>
      <c r="AF36" s="31"/>
      <c r="AG36" s="31"/>
      <c r="AJ36" s="64"/>
      <c r="AK36" s="64"/>
      <c r="AN36" s="64"/>
      <c r="AO36" s="64"/>
      <c r="AR36" s="64"/>
      <c r="AS36" s="64"/>
      <c r="BC36" s="65"/>
      <c r="BD36" s="65"/>
      <c r="BE36" s="65"/>
      <c r="BG36" s="65"/>
      <c r="BH36" s="65"/>
      <c r="BI36" s="65"/>
      <c r="BK36" s="65"/>
      <c r="BL36" s="65"/>
      <c r="BM36" s="65"/>
      <c r="BO36" s="65"/>
      <c r="BP36" s="65"/>
      <c r="BQ36" s="65"/>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row>
    <row r="37" spans="1:113">
      <c r="A37" s="41"/>
      <c r="B37" s="42" t="s">
        <v>1406</v>
      </c>
      <c r="C37" s="48" t="s">
        <v>762</v>
      </c>
      <c r="D37" s="44" t="str">
        <f>B37&amp;TEXT(Prices!C27,"0.00")</f>
        <v>EUR 3.58</v>
      </c>
      <c r="E37" s="44" t="str">
        <f>B37&amp;TEXT(Prices!E27,"0.00")</f>
        <v>EUR 3.70</v>
      </c>
      <c r="F37" s="45">
        <f>Prices!F27</f>
        <v>3.4965034965035002E-2</v>
      </c>
      <c r="G37" s="44" t="str">
        <f>Prices!D27</f>
        <v>Neutral</v>
      </c>
      <c r="H37" s="46"/>
      <c r="I37" s="47">
        <f>NOS!$D$38</f>
        <v>4.7828231120603242</v>
      </c>
      <c r="J37" s="47">
        <f>NOS!$E$38</f>
        <v>4.5831854719407419</v>
      </c>
      <c r="K37" s="47">
        <f>NOS!$F$38</f>
        <v>4.2721837568238747</v>
      </c>
      <c r="L37" s="47">
        <f>NOS!$G$38</f>
        <v>3.8807167850946489</v>
      </c>
      <c r="M37" s="45">
        <f>NOS!$H$38</f>
        <v>2.5309269490563224E-3</v>
      </c>
      <c r="N37" s="46"/>
      <c r="O37" s="47">
        <f>NOS!$D$39</f>
        <v>10.416000867950393</v>
      </c>
      <c r="P37" s="47">
        <f>NOS!$E$39</f>
        <v>9.2815616112166186</v>
      </c>
      <c r="Q37" s="47">
        <f>NOS!$F$39</f>
        <v>8.5452040345191111</v>
      </c>
      <c r="R37" s="47">
        <f>NOS!$G$39</f>
        <v>7.6278855857334102</v>
      </c>
      <c r="S37" s="45">
        <f>NOS!$H$39</f>
        <v>3.7383337371192926E-2</v>
      </c>
      <c r="T37" s="46"/>
      <c r="U37" s="48" t="str">
        <f>D37</f>
        <v>EUR 3.58</v>
      </c>
      <c r="V37" s="44" t="s">
        <v>762</v>
      </c>
      <c r="Z37" s="46"/>
      <c r="AF37" s="31"/>
      <c r="AG37" s="31"/>
      <c r="AJ37" s="64"/>
      <c r="AK37" s="64"/>
      <c r="AN37" s="64"/>
      <c r="AO37" s="64"/>
      <c r="AR37" s="64"/>
      <c r="AS37" s="64"/>
      <c r="BC37" s="65"/>
      <c r="BD37" s="65"/>
      <c r="BE37" s="65"/>
      <c r="BG37" s="65"/>
      <c r="BH37" s="65"/>
      <c r="BI37" s="65"/>
      <c r="BK37" s="65"/>
      <c r="BL37" s="65"/>
      <c r="BM37" s="65"/>
      <c r="BO37" s="65"/>
      <c r="BP37" s="65"/>
      <c r="BQ37" s="65"/>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row>
    <row r="38" spans="1:113" s="5" customFormat="1">
      <c r="A38" s="146"/>
      <c r="B38" s="42" t="s">
        <v>1406</v>
      </c>
      <c r="C38" s="48" t="s">
        <v>908</v>
      </c>
      <c r="D38" s="44" t="str">
        <f>B38&amp;TEXT(Prices!C28,"0.0")</f>
        <v>EUR 14.8</v>
      </c>
      <c r="E38" s="44" t="str">
        <f>B38&amp;TEXT(Prices!E28,"0.0")</f>
        <v>EUR 15.0</v>
      </c>
      <c r="F38" s="45">
        <f>Prices!F28</f>
        <v>1.3513513513513375E-2</v>
      </c>
      <c r="G38" s="44" t="str">
        <f>Prices!D28</f>
        <v>Neutral</v>
      </c>
      <c r="H38" s="46"/>
      <c r="I38" s="47">
        <f>OBEL!$D$38</f>
        <v>7.3374137084958573</v>
      </c>
      <c r="J38" s="47">
        <f>OBEL!$E$38</f>
        <v>6.1221067086333223</v>
      </c>
      <c r="K38" s="47">
        <f>OBEL!$F$38</f>
        <v>5.8167264209377789</v>
      </c>
      <c r="L38" s="47">
        <f>OBEL!$G$38</f>
        <v>5.51775586528729</v>
      </c>
      <c r="M38" s="45">
        <f>OBEL!$H$38</f>
        <v>6.3737476496064982E-2</v>
      </c>
      <c r="N38" s="46"/>
      <c r="O38" s="47">
        <f>OBEL!$D$39</f>
        <v>20.281236049546234</v>
      </c>
      <c r="P38" s="47">
        <f>OBEL!$E$39</f>
        <v>17.453855127302685</v>
      </c>
      <c r="Q38" s="47">
        <f>OBEL!$F$39</f>
        <v>14.230537774725773</v>
      </c>
      <c r="R38" s="47">
        <f>OBEL!$G$39</f>
        <v>13.300951437288379</v>
      </c>
      <c r="S38" s="45">
        <f>OBEL!$H$39</f>
        <v>0.11338369131939996</v>
      </c>
      <c r="T38" s="46"/>
      <c r="U38" s="48" t="str">
        <f t="shared" si="2"/>
        <v>EUR 14.8</v>
      </c>
      <c r="V38" s="44" t="s">
        <v>62</v>
      </c>
      <c r="Z38" s="46"/>
      <c r="AF38" s="31"/>
      <c r="AG38" s="31"/>
      <c r="AJ38" s="64"/>
      <c r="AK38" s="64"/>
      <c r="AN38" s="64"/>
      <c r="AO38" s="64"/>
      <c r="AR38" s="64"/>
      <c r="AS38" s="64"/>
      <c r="BC38" s="65"/>
      <c r="BD38" s="65"/>
      <c r="BE38" s="65"/>
      <c r="BG38" s="65"/>
      <c r="BH38" s="65"/>
      <c r="BI38" s="65"/>
      <c r="BK38" s="65"/>
      <c r="BL38" s="65"/>
      <c r="BM38" s="65"/>
      <c r="BO38" s="65"/>
      <c r="BP38" s="65"/>
      <c r="BQ38" s="65"/>
    </row>
    <row r="39" spans="1:113" s="5" customFormat="1">
      <c r="A39" s="146"/>
      <c r="B39" s="42" t="s">
        <v>395</v>
      </c>
      <c r="C39" s="48" t="s">
        <v>389</v>
      </c>
      <c r="D39" s="44" t="str">
        <f>B39&amp;TEXT(Prices!C30,"0.0")</f>
        <v>SEK 117.7</v>
      </c>
      <c r="E39" s="44" t="str">
        <f>B39&amp;TEXT(Prices!E30,"0.0")</f>
        <v>SEK 109.0</v>
      </c>
      <c r="F39" s="45">
        <f>Prices!F30</f>
        <v>-7.3523161920951985E-2</v>
      </c>
      <c r="G39" s="44" t="str">
        <f>Prices!D30</f>
        <v>Neutral</v>
      </c>
      <c r="H39" s="46"/>
      <c r="I39" s="47">
        <f>TELE2!$D$38</f>
        <v>10.894559059408635</v>
      </c>
      <c r="J39" s="47">
        <f>TELE2!$E$38</f>
        <v>10.291947935731132</v>
      </c>
      <c r="K39" s="47">
        <f>TELE2!$F$38</f>
        <v>9.4306375032364294</v>
      </c>
      <c r="L39" s="47">
        <f>TELE2!$G$38</f>
        <v>8.6980753179866657</v>
      </c>
      <c r="M39" s="45">
        <f>TELE2!$H$38</f>
        <v>3.0654951327086399E-2</v>
      </c>
      <c r="N39" s="46"/>
      <c r="O39" s="47">
        <f>TELE2!$D$39</f>
        <v>17.532107075955814</v>
      </c>
      <c r="P39" s="47">
        <f>TELE2!$E$39</f>
        <v>16.628507455652588</v>
      </c>
      <c r="Q39" s="47">
        <f>TELE2!$F$39</f>
        <v>14.798647427076929</v>
      </c>
      <c r="R39" s="47">
        <f>TELE2!$G$39</f>
        <v>13.054871320053756</v>
      </c>
      <c r="S39" s="45">
        <f>TELE2!$H$39</f>
        <v>5.4884641068119855E-2</v>
      </c>
      <c r="T39" s="46"/>
      <c r="U39" s="48" t="str">
        <f t="shared" si="2"/>
        <v>SEK 117.7</v>
      </c>
      <c r="V39" s="44" t="s">
        <v>389</v>
      </c>
      <c r="Z39" s="46"/>
      <c r="AF39" s="31"/>
      <c r="AG39" s="31"/>
      <c r="AJ39" s="64"/>
      <c r="AK39" s="64"/>
      <c r="AN39" s="64"/>
      <c r="AO39" s="64"/>
      <c r="AR39" s="64"/>
      <c r="AS39" s="64"/>
      <c r="BC39" s="65"/>
      <c r="BD39" s="65"/>
      <c r="BE39" s="65"/>
      <c r="BG39" s="65"/>
      <c r="BH39" s="65"/>
      <c r="BI39" s="65"/>
      <c r="BK39" s="65"/>
      <c r="BL39" s="65"/>
      <c r="BM39" s="65"/>
      <c r="BO39" s="65"/>
      <c r="BP39" s="65"/>
      <c r="BQ39" s="65"/>
    </row>
    <row r="40" spans="1:113">
      <c r="A40" s="41"/>
      <c r="B40" s="42" t="s">
        <v>1406</v>
      </c>
      <c r="C40" s="48" t="s">
        <v>890</v>
      </c>
      <c r="D40" s="44" t="str">
        <f>B40&amp;TEXT(Prices!C31,"0.0")</f>
        <v>EUR 19.1</v>
      </c>
      <c r="E40" s="44" t="str">
        <f>B40&amp;TEXT(Prices!E31,"0.0")</f>
        <v>EUR 28.0</v>
      </c>
      <c r="F40" s="45">
        <f>Prices!F31</f>
        <v>0.46904512067156356</v>
      </c>
      <c r="G40" s="44" t="str">
        <f>Prices!D31</f>
        <v>Buy</v>
      </c>
      <c r="H40" s="46"/>
      <c r="I40" s="47">
        <f>UTDI!$D$38</f>
        <v>7.9660133533053701</v>
      </c>
      <c r="J40" s="47">
        <f>UTDI!E$38</f>
        <v>8.0787169453656684</v>
      </c>
      <c r="K40" s="47">
        <f>UTDI!F$38</f>
        <v>7.348057991022948</v>
      </c>
      <c r="L40" s="47">
        <f>UTDI!$G$38</f>
        <v>6.7509221712955005</v>
      </c>
      <c r="M40" s="45">
        <f>UTDI!$H$38</f>
        <v>8.6715214194776458E-2</v>
      </c>
      <c r="N40" s="46"/>
      <c r="O40" s="47">
        <f>UTDI!$D$39</f>
        <v>25.726306879298949</v>
      </c>
      <c r="P40" s="47">
        <f>UTDI!$E$39</f>
        <v>33.199645095361049</v>
      </c>
      <c r="Q40" s="47">
        <f>UTDI!$F$39</f>
        <v>24.123456164267466</v>
      </c>
      <c r="R40" s="47">
        <f>UTDI!$G$39</f>
        <v>17.180924586416026</v>
      </c>
      <c r="S40" s="45">
        <f>UTDI!$H$39</f>
        <v>0.17652206295946304</v>
      </c>
      <c r="T40" s="46"/>
      <c r="U40" s="48" t="str">
        <f t="shared" ref="U40" si="3">D40</f>
        <v>EUR 19.1</v>
      </c>
      <c r="V40" s="44" t="str">
        <f>C40</f>
        <v>United Internet</v>
      </c>
      <c r="AF40" s="31"/>
      <c r="AG40" s="31"/>
      <c r="AJ40" s="64"/>
      <c r="AK40" s="64"/>
      <c r="AN40" s="64"/>
      <c r="AO40" s="64"/>
      <c r="AR40" s="64"/>
      <c r="AS40" s="64"/>
      <c r="BC40" s="65"/>
      <c r="BD40" s="65"/>
      <c r="BE40" s="65"/>
      <c r="BG40" s="65"/>
      <c r="BH40" s="65"/>
      <c r="BI40" s="65"/>
      <c r="BK40" s="65"/>
      <c r="BL40" s="65"/>
      <c r="BM40" s="65"/>
      <c r="BO40" s="65"/>
      <c r="BP40" s="65"/>
      <c r="BQ40" s="65"/>
    </row>
    <row r="41" spans="1:113" s="5" customFormat="1">
      <c r="A41" s="146"/>
      <c r="B41" s="42" t="s">
        <v>1409</v>
      </c>
      <c r="C41" s="48" t="s">
        <v>276</v>
      </c>
      <c r="D41" s="44" t="str">
        <f>B41&amp;TEXT(Prices!C32/100,"0.00")</f>
        <v>GBP 0.77</v>
      </c>
      <c r="E41" s="44" t="str">
        <f>B41&amp;TEXT(Prices!E32/100,"0.00")</f>
        <v>GBP 1.40</v>
      </c>
      <c r="F41" s="45">
        <f>Prices!F32</f>
        <v>0.80785123966942152</v>
      </c>
      <c r="G41" s="44" t="str">
        <f>Prices!D32</f>
        <v>Buy</v>
      </c>
      <c r="H41" s="46"/>
      <c r="I41" s="47">
        <f>VOD!$D$38</f>
        <v>5.4558810624770011</v>
      </c>
      <c r="J41" s="47">
        <f>VOD!$E$38</f>
        <v>4.1833228100586073</v>
      </c>
      <c r="K41" s="47">
        <f>VOD!$F$38</f>
        <v>3.7798173110958047</v>
      </c>
      <c r="L41" s="47">
        <f>VOD!$G$38</f>
        <v>3.3781449608760954</v>
      </c>
      <c r="M41" s="45">
        <f>VOD!$H$38</f>
        <v>2.7612944188088129E-2</v>
      </c>
      <c r="N41" s="46"/>
      <c r="O41" s="47">
        <f>VOD!$D$39</f>
        <v>12.823880850561874</v>
      </c>
      <c r="P41" s="47">
        <f>VOD!$E$39</f>
        <v>10.156321148604444</v>
      </c>
      <c r="Q41" s="47">
        <f>VOD!$F$39</f>
        <v>8.6332785424578322</v>
      </c>
      <c r="R41" s="47">
        <f>VOD!$G$39</f>
        <v>7.3251534914704521</v>
      </c>
      <c r="S41" s="45">
        <f>VOD!$H$39</f>
        <v>5.5605417326569428E-2</v>
      </c>
      <c r="T41" s="46"/>
      <c r="U41" s="48" t="str">
        <f t="shared" si="2"/>
        <v>GBP 0.77</v>
      </c>
      <c r="V41" s="44" t="s">
        <v>276</v>
      </c>
      <c r="Z41" s="46"/>
      <c r="AF41" s="31"/>
      <c r="AG41" s="31"/>
      <c r="AJ41" s="64"/>
      <c r="AK41" s="64"/>
      <c r="AN41" s="64"/>
      <c r="AO41" s="64"/>
      <c r="AR41" s="64"/>
      <c r="AS41" s="64"/>
      <c r="BC41" s="65"/>
      <c r="BD41" s="65"/>
      <c r="BE41" s="65"/>
      <c r="BG41" s="65"/>
      <c r="BH41" s="65"/>
      <c r="BI41" s="65"/>
      <c r="BK41" s="65"/>
      <c r="BL41" s="65"/>
      <c r="BM41" s="65"/>
      <c r="BO41" s="65"/>
      <c r="BP41" s="65"/>
      <c r="BQ41" s="65"/>
    </row>
    <row r="42" spans="1:113" s="5" customFormat="1">
      <c r="A42" s="146"/>
      <c r="B42" s="42"/>
      <c r="C42" s="51" t="s">
        <v>1373</v>
      </c>
      <c r="D42" s="52"/>
      <c r="E42" s="52"/>
      <c r="F42" s="53"/>
      <c r="G42" s="52"/>
      <c r="H42" s="46"/>
      <c r="I42" s="54">
        <f>'W.EUR OTHER'!$D$38</f>
        <v>4.8812882235325841</v>
      </c>
      <c r="J42" s="54">
        <f>'W.EUR OTHER'!$E$38</f>
        <v>4.145841728258338</v>
      </c>
      <c r="K42" s="54">
        <f>'W.EUR OTHER'!$F$38</f>
        <v>3.8271320252352607</v>
      </c>
      <c r="L42" s="54">
        <f>'W.EUR OTHER'!$G$38</f>
        <v>3.5258553553595839</v>
      </c>
      <c r="M42" s="55">
        <f>'W.EUR OTHER'!$H$38</f>
        <v>2.4794026477105824E-2</v>
      </c>
      <c r="N42" s="56"/>
      <c r="O42" s="54">
        <f>'W.EUR OTHER'!$D$39</f>
        <v>13.16156410853363</v>
      </c>
      <c r="P42" s="54">
        <f>'W.EUR OTHER'!$E$39</f>
        <v>11.425296433104002</v>
      </c>
      <c r="Q42" s="54">
        <f>'W.EUR OTHER'!$F$39</f>
        <v>9.8430805940601882</v>
      </c>
      <c r="R42" s="54">
        <f>'W.EUR OTHER'!$G$39</f>
        <v>8.6472666256233168</v>
      </c>
      <c r="S42" s="55">
        <f>'W.EUR OTHER'!$H$39</f>
        <v>5.7684523659928821E-2</v>
      </c>
      <c r="T42" s="46"/>
      <c r="U42" s="57"/>
      <c r="V42" s="58" t="str">
        <f>C42</f>
        <v>Agg. W. Europe Other</v>
      </c>
      <c r="Z42" s="46"/>
      <c r="AE42" s="41"/>
      <c r="AF42" s="31"/>
      <c r="AG42" s="31"/>
      <c r="AI42" s="41"/>
      <c r="AJ42" s="64"/>
      <c r="AK42" s="64"/>
      <c r="AM42" s="41"/>
      <c r="AN42" s="64"/>
      <c r="AO42" s="64"/>
      <c r="AQ42" s="41"/>
      <c r="AR42" s="64"/>
      <c r="AS42" s="64"/>
      <c r="BC42" s="65"/>
      <c r="BD42" s="65"/>
      <c r="BE42" s="65"/>
      <c r="BG42" s="65"/>
      <c r="BH42" s="65"/>
      <c r="BI42" s="65"/>
      <c r="BK42" s="65"/>
      <c r="BL42" s="65"/>
      <c r="BM42" s="65"/>
      <c r="BO42" s="65"/>
      <c r="BP42" s="65"/>
      <c r="BQ42" s="65"/>
    </row>
    <row r="43" spans="1:113" s="5" customFormat="1">
      <c r="A43" s="146"/>
      <c r="B43" s="42"/>
      <c r="C43" s="48"/>
      <c r="D43" s="44"/>
      <c r="E43" s="44"/>
      <c r="F43" s="45"/>
      <c r="G43" s="44"/>
      <c r="H43" s="46"/>
      <c r="I43" s="47"/>
      <c r="J43" s="47"/>
      <c r="K43" s="47"/>
      <c r="L43" s="47"/>
      <c r="M43" s="45"/>
      <c r="N43" s="46"/>
      <c r="O43" s="47"/>
      <c r="P43" s="47"/>
      <c r="Q43" s="47"/>
      <c r="R43" s="47"/>
      <c r="S43" s="45"/>
      <c r="T43" s="46"/>
      <c r="U43" s="48"/>
      <c r="V43" s="44"/>
      <c r="Z43" s="46"/>
      <c r="AF43" s="31"/>
      <c r="AG43" s="31"/>
      <c r="AJ43" s="64"/>
      <c r="AK43" s="64"/>
      <c r="AN43" s="64"/>
      <c r="AO43" s="64"/>
      <c r="AR43" s="64"/>
      <c r="AS43" s="64"/>
      <c r="BC43" s="65"/>
      <c r="BD43" s="65"/>
      <c r="BE43" s="65"/>
      <c r="BG43" s="65"/>
      <c r="BH43" s="65"/>
      <c r="BI43" s="65"/>
      <c r="BK43" s="65"/>
      <c r="BL43" s="65"/>
      <c r="BM43" s="65"/>
      <c r="BO43" s="65"/>
      <c r="BP43" s="65"/>
      <c r="BQ43" s="65"/>
    </row>
    <row r="44" spans="1:113">
      <c r="A44" s="41"/>
      <c r="B44" s="42" t="s">
        <v>1407</v>
      </c>
      <c r="C44" s="48" t="s">
        <v>828</v>
      </c>
      <c r="D44" s="44" t="str">
        <f>$B$44&amp;TEXT(DMprice3,"0")</f>
        <v>HKD 3</v>
      </c>
      <c r="E44" s="44" t="str">
        <f>$B$44&amp;TEXT(DMtarget3,"0")</f>
        <v>HKD 16</v>
      </c>
      <c r="F44" s="45">
        <f>Prices!F68</f>
        <v>4.9925093632958806</v>
      </c>
      <c r="G44" s="44" t="str">
        <f>Prices!D68</f>
        <v>Buy</v>
      </c>
      <c r="H44" s="46"/>
      <c r="I44" s="47">
        <f>HKBN!$D$38</f>
        <v>3.5649602427043114</v>
      </c>
      <c r="J44" s="47">
        <f>HKBN!E$38</f>
        <v>2.9626779865919577</v>
      </c>
      <c r="K44" s="47">
        <f>HKBN!F$38</f>
        <v>2.3797061827387771</v>
      </c>
      <c r="L44" s="47">
        <f>HKBN!$G$38</f>
        <v>1.8016372404666461</v>
      </c>
      <c r="M44" s="45">
        <f>HKBN!$H$38</f>
        <v>3.3316577648039525E-2</v>
      </c>
      <c r="N44" s="46"/>
      <c r="O44" s="47">
        <f>HKBN!$D$39</f>
        <v>4.4510602964526944</v>
      </c>
      <c r="P44" s="47">
        <f>HKBN!$E$39</f>
        <v>3.6564456418402389</v>
      </c>
      <c r="Q44" s="47">
        <f>HKBN!$F$39</f>
        <v>2.9486524018217262</v>
      </c>
      <c r="R44" s="47">
        <f>HKBN!$G$39</f>
        <v>2.2057455095805651</v>
      </c>
      <c r="S44" s="45">
        <f>HKBN!$H$39</f>
        <v>4.009651517345092E-2</v>
      </c>
      <c r="T44" s="46"/>
      <c r="U44" s="48" t="str">
        <f>D44</f>
        <v>HKD 3</v>
      </c>
      <c r="V44" s="69" t="str">
        <f>C44</f>
        <v>HKBN</v>
      </c>
      <c r="AF44" s="31"/>
      <c r="AG44" s="31"/>
      <c r="AJ44" s="64"/>
      <c r="AK44" s="64"/>
      <c r="AN44" s="64"/>
      <c r="AO44" s="64"/>
      <c r="AR44" s="64"/>
      <c r="AS44" s="64"/>
      <c r="BC44" s="65"/>
      <c r="BD44" s="65"/>
      <c r="BE44" s="65"/>
      <c r="BG44" s="65"/>
      <c r="BH44" s="65"/>
      <c r="BI44" s="65"/>
      <c r="BK44" s="65"/>
      <c r="BL44" s="65"/>
      <c r="BM44" s="65"/>
      <c r="BO44" s="65"/>
      <c r="BP44" s="65"/>
      <c r="BQ44" s="65"/>
    </row>
    <row r="45" spans="1:113" s="5" customFormat="1">
      <c r="A45" s="146"/>
      <c r="B45" s="42" t="s">
        <v>1413</v>
      </c>
      <c r="C45" s="48" t="s">
        <v>297</v>
      </c>
      <c r="D45" s="44" t="str">
        <f>B45&amp;TEXT(Prices!C63,"0,0")</f>
        <v>JPY 4,851</v>
      </c>
      <c r="E45" s="44" t="str">
        <f>B45&amp;TEXT(Prices!E63,"0,0")</f>
        <v>JPY 6,600</v>
      </c>
      <c r="F45" s="45">
        <f>Prices!F63</f>
        <v>0.36054421768707479</v>
      </c>
      <c r="G45" s="44" t="str">
        <f>Prices!D63</f>
        <v>Buy</v>
      </c>
      <c r="H45" s="46"/>
      <c r="I45" s="47">
        <f>KDDI!$D$38</f>
        <v>6.9856121594227156</v>
      </c>
      <c r="J45" s="47">
        <f>KDDI!$E$38</f>
        <v>6.0444358159745368</v>
      </c>
      <c r="K45" s="47">
        <f>KDDI!$F$38</f>
        <v>5.3757495809123581</v>
      </c>
      <c r="L45" s="47">
        <f>KDDI!$G$38</f>
        <v>4.7387021059319157</v>
      </c>
      <c r="M45" s="45">
        <f>KDDI!$H$38</f>
        <v>5.9580734933364132E-2</v>
      </c>
      <c r="N45" s="46"/>
      <c r="O45" s="47">
        <f>KDDI!$D$39</f>
        <v>12.69614608052601</v>
      </c>
      <c r="P45" s="47">
        <f>KDDI!$E$39</f>
        <v>9.1269587665046998</v>
      </c>
      <c r="Q45" s="47">
        <f>KDDI!$F$39</f>
        <v>8.1008134311591427</v>
      </c>
      <c r="R45" s="47">
        <f>KDDI!$G$39</f>
        <v>7.1216489170134221</v>
      </c>
      <c r="S45" s="45">
        <f>KDDI!$H$39</f>
        <v>0.1288844297655527</v>
      </c>
      <c r="T45" s="46"/>
      <c r="U45" s="48" t="str">
        <f t="shared" ref="U45:U48" si="4">D45</f>
        <v>JPY 4,851</v>
      </c>
      <c r="V45" s="44" t="s">
        <v>297</v>
      </c>
      <c r="Z45" s="46"/>
      <c r="AF45" s="31"/>
      <c r="AG45" s="31"/>
      <c r="AJ45" s="64"/>
      <c r="AK45" s="64"/>
      <c r="AN45" s="64"/>
      <c r="AO45" s="64"/>
      <c r="AR45" s="64"/>
      <c r="AS45" s="64"/>
      <c r="BC45" s="65"/>
      <c r="BD45" s="65"/>
      <c r="BE45" s="65"/>
      <c r="BG45" s="65"/>
      <c r="BH45" s="65"/>
      <c r="BI45" s="65"/>
      <c r="BK45" s="65"/>
      <c r="BL45" s="65"/>
      <c r="BM45" s="65"/>
      <c r="BO45" s="65"/>
      <c r="BP45" s="65"/>
      <c r="BQ45" s="65"/>
    </row>
    <row r="46" spans="1:113" s="5" customFormat="1">
      <c r="A46" s="41"/>
      <c r="B46" s="42" t="s">
        <v>1411</v>
      </c>
      <c r="C46" s="48" t="s">
        <v>1054</v>
      </c>
      <c r="D46" s="44" t="str">
        <f>B46&amp;TEXT(Prices!C71,"0.00")</f>
        <v>AUD 76.51</v>
      </c>
      <c r="E46" s="44" t="str">
        <f>B46&amp;TEXT(Prices!E71,"0.00")</f>
        <v>AUD 28.00</v>
      </c>
      <c r="F46" s="45">
        <f>Prices!F71</f>
        <v>-0.63403476669716374</v>
      </c>
      <c r="G46" s="44" t="str">
        <f>Prices!D71</f>
        <v>Neutral</v>
      </c>
      <c r="H46" s="46"/>
      <c r="I46" s="47">
        <f>MAQ!$D$38</f>
        <v>27.898589767633045</v>
      </c>
      <c r="J46" s="47">
        <f>MAQ!$E$38</f>
        <v>25.315394420547477</v>
      </c>
      <c r="K46" s="47">
        <f>MAQ!$F$38</f>
        <v>23.067606149604938</v>
      </c>
      <c r="L46" s="47">
        <f>MAQ!$G$38</f>
        <v>22.157069731201911</v>
      </c>
      <c r="M46" s="45">
        <f>MAQ!$H$38</f>
        <v>7.7710514142747211E-2</v>
      </c>
      <c r="N46" s="46"/>
      <c r="O46" s="47">
        <f>MAQ!$D$39</f>
        <v>343.23854376728781</v>
      </c>
      <c r="P46" s="47">
        <f>MAQ!$E$39</f>
        <v>81.048213339579505</v>
      </c>
      <c r="Q46" s="47">
        <f>MAQ!$F$39</f>
        <v>57.415560678392467</v>
      </c>
      <c r="R46" s="47">
        <f>MAQ!$G$39</f>
        <v>43.571836856862888</v>
      </c>
      <c r="S46" s="45">
        <f>MAQ!$H$39</f>
        <v>0.98583062966591317</v>
      </c>
      <c r="T46" s="46"/>
      <c r="U46" s="48" t="str">
        <f>D46</f>
        <v>AUD 76.51</v>
      </c>
      <c r="V46" s="69" t="str">
        <f>C46</f>
        <v>Macquarie Telecom</v>
      </c>
      <c r="Z46" s="46"/>
      <c r="AF46" s="31"/>
      <c r="AG46" s="31"/>
      <c r="AJ46" s="64"/>
      <c r="AK46" s="64"/>
      <c r="AN46" s="64"/>
      <c r="AO46" s="64"/>
      <c r="AR46" s="64"/>
      <c r="AS46" s="64"/>
      <c r="BC46" s="65"/>
      <c r="BD46" s="65"/>
      <c r="BE46" s="65"/>
      <c r="BG46" s="65"/>
      <c r="BH46" s="65"/>
      <c r="BI46" s="65"/>
      <c r="BK46" s="65"/>
      <c r="BL46" s="65"/>
      <c r="BM46" s="65"/>
      <c r="BO46" s="65"/>
      <c r="BP46" s="65"/>
      <c r="BQ46" s="65"/>
    </row>
    <row r="47" spans="1:113" s="5" customFormat="1">
      <c r="A47" s="146"/>
      <c r="B47" s="42" t="s">
        <v>1413</v>
      </c>
      <c r="C47" s="48" t="s">
        <v>1043</v>
      </c>
      <c r="D47" s="44" t="str">
        <f>B47&amp;TEXT(Prices!C64,"0,0")</f>
        <v>JPY 946</v>
      </c>
      <c r="E47" s="44" t="str">
        <f>B47&amp;TEXT(Prices!E64,"0,0")</f>
        <v>JPY 400</v>
      </c>
      <c r="F47" s="45">
        <f>Prices!F64</f>
        <v>-0.57734573119188504</v>
      </c>
      <c r="G47" s="44" t="str">
        <f>Prices!D64</f>
        <v>Reduce</v>
      </c>
      <c r="H47" s="46"/>
      <c r="I47" s="47">
        <f>RAK!$D$38</f>
        <v>15.709409029106808</v>
      </c>
      <c r="J47" s="47">
        <f>RAK!$E$38</f>
        <v>12.083652082814092</v>
      </c>
      <c r="K47" s="47">
        <f>RAK!$F$38</f>
        <v>8.7764565425346017</v>
      </c>
      <c r="L47" s="47">
        <f>RAK!$G$38</f>
        <v>6.6858414188843263</v>
      </c>
      <c r="M47" s="45">
        <f>RAK!$H$38</f>
        <v>0.32687289283357424</v>
      </c>
      <c r="N47" s="46"/>
      <c r="O47" s="47">
        <f>RAK!$D$39</f>
        <v>-9.7932414250363564</v>
      </c>
      <c r="P47" s="47">
        <f>RAK!$E$39</f>
        <v>-28.283370166610393</v>
      </c>
      <c r="Q47" s="47">
        <f>RAK!$F$39</f>
        <v>-710.87391874604668</v>
      </c>
      <c r="R47" s="47">
        <f>RAK!$G$39</f>
        <v>414.4546751594832</v>
      </c>
      <c r="S47" s="45">
        <f>RAK!$H$39</f>
        <v>-1.2864032019758365</v>
      </c>
      <c r="T47" s="46"/>
      <c r="U47" s="48" t="str">
        <f>D47</f>
        <v>JPY 946</v>
      </c>
      <c r="V47" s="44" t="str">
        <f>C47</f>
        <v>Rakuten</v>
      </c>
      <c r="Z47" s="46"/>
      <c r="AB47" s="63"/>
      <c r="AF47" s="31"/>
      <c r="AG47" s="31"/>
      <c r="AJ47" s="64"/>
      <c r="AK47" s="64"/>
      <c r="AN47" s="64"/>
      <c r="AO47" s="64"/>
      <c r="AR47" s="64"/>
      <c r="AS47" s="64"/>
    </row>
    <row r="48" spans="1:113">
      <c r="B48" s="42" t="s">
        <v>1413</v>
      </c>
      <c r="C48" s="48" t="s">
        <v>1036</v>
      </c>
      <c r="D48" s="44" t="str">
        <f>B48&amp;TEXT(Prices!C65,"0,0")</f>
        <v>JPY 1,996</v>
      </c>
      <c r="E48" s="44" t="str">
        <f>B48&amp;TEXT(Prices!E65,"0,0")</f>
        <v>JPY 2,700</v>
      </c>
      <c r="F48" s="45">
        <f>Prices!F65</f>
        <v>0.35270541082164319</v>
      </c>
      <c r="G48" s="44" t="str">
        <f>Prices!D65</f>
        <v>Buy</v>
      </c>
      <c r="H48" s="46"/>
      <c r="I48" s="47">
        <f>SBKK!$D$38</f>
        <v>8.4207820015120589</v>
      </c>
      <c r="J48" s="47">
        <f>SBKK!$E$38</f>
        <v>8.3660320634098237</v>
      </c>
      <c r="K48" s="47">
        <f>SBKK!$F$38</f>
        <v>7.0423593083174767</v>
      </c>
      <c r="L48" s="47">
        <f>SBKK!$G$38</f>
        <v>6.1426051133761375</v>
      </c>
      <c r="M48" s="45">
        <f>SBKK!$H$38</f>
        <v>5.3136582832464141E-2</v>
      </c>
      <c r="N48" s="46"/>
      <c r="O48" s="47">
        <f>SBKK!$D$39</f>
        <v>12.58965040857227</v>
      </c>
      <c r="P48" s="47">
        <f>SBKK!$E$39</f>
        <v>12.335972370337181</v>
      </c>
      <c r="Q48" s="47">
        <f>SBKK!$F$39</f>
        <v>9.9295476737737349</v>
      </c>
      <c r="R48" s="47">
        <f>SBKK!$G$39</f>
        <v>8.4900912260193753</v>
      </c>
      <c r="S48" s="45">
        <f>SBKK!$H$39</f>
        <v>8.1065134929867E-2</v>
      </c>
      <c r="T48" s="46"/>
      <c r="U48" s="48" t="str">
        <f t="shared" si="4"/>
        <v>JPY 1,996</v>
      </c>
      <c r="V48" s="44" t="s">
        <v>1036</v>
      </c>
      <c r="Z48" s="46"/>
      <c r="AB48" s="5"/>
      <c r="AF48" s="31"/>
      <c r="AG48" s="31"/>
      <c r="AJ48" s="64"/>
      <c r="AK48" s="64"/>
      <c r="AN48" s="64"/>
      <c r="AO48" s="64"/>
      <c r="AR48" s="64"/>
      <c r="AS48" s="64"/>
    </row>
    <row r="49" spans="1:113" s="5" customFormat="1">
      <c r="A49" s="41"/>
      <c r="B49" s="42" t="s">
        <v>1411</v>
      </c>
      <c r="C49" s="48" t="s">
        <v>962</v>
      </c>
      <c r="D49" s="44" t="str">
        <f>B49&amp;TEXT(Prices!C70,"0.00")</f>
        <v>AUD 4.99</v>
      </c>
      <c r="E49" s="44" t="str">
        <f>B49&amp;TEXT(Prices!E70,"0.00")</f>
        <v>AUD 7.50</v>
      </c>
      <c r="F49" s="45">
        <f>Prices!F70</f>
        <v>0.50300601202404804</v>
      </c>
      <c r="G49" s="44" t="str">
        <f>Prices!D70</f>
        <v>Neutral</v>
      </c>
      <c r="H49" s="46"/>
      <c r="I49" s="47">
        <f>TPG!$D$38</f>
        <v>8.6465432265377142</v>
      </c>
      <c r="J49" s="47">
        <f>TPG!$E$38</f>
        <v>8.6808766433282809</v>
      </c>
      <c r="K49" s="47">
        <f>TPG!$F$38</f>
        <v>8.271715348861056</v>
      </c>
      <c r="L49" s="47">
        <f>TPG!$G$38</f>
        <v>7.9041291561823197</v>
      </c>
      <c r="M49" s="45">
        <f>TPG!$H$38</f>
        <v>1.5669319800876602E-2</v>
      </c>
      <c r="N49" s="46"/>
      <c r="O49" s="47">
        <f>TPG!$D$39</f>
        <v>16.266701265438435</v>
      </c>
      <c r="P49" s="47">
        <f>TPG!$E$39</f>
        <v>15.455489857119517</v>
      </c>
      <c r="Q49" s="47">
        <f>TPG!$F$39</f>
        <v>15.17297589019835</v>
      </c>
      <c r="R49" s="47">
        <f>TPG!$G$39</f>
        <v>14.263728808704471</v>
      </c>
      <c r="S49" s="45">
        <f>TPG!$H$39</f>
        <v>2.9860284419041871E-2</v>
      </c>
      <c r="T49" s="46"/>
      <c r="U49" s="48" t="str">
        <f>D49</f>
        <v>AUD 4.99</v>
      </c>
      <c r="V49" s="44" t="s">
        <v>962</v>
      </c>
      <c r="Z49" s="46"/>
      <c r="AF49" s="31"/>
      <c r="AG49" s="31"/>
      <c r="AJ49" s="64"/>
      <c r="AK49" s="64"/>
      <c r="AN49" s="64"/>
      <c r="AO49" s="64"/>
      <c r="AR49" s="64"/>
      <c r="AS49" s="64"/>
      <c r="BC49" s="65"/>
      <c r="BD49" s="65"/>
      <c r="BE49" s="65"/>
      <c r="BG49" s="65"/>
      <c r="BH49" s="65"/>
      <c r="BI49" s="65"/>
      <c r="BK49" s="65"/>
      <c r="BL49" s="65"/>
      <c r="BM49" s="65"/>
      <c r="BO49" s="65"/>
      <c r="BP49" s="65"/>
      <c r="BQ49" s="65"/>
    </row>
    <row r="50" spans="1:113">
      <c r="C50" s="51" t="s">
        <v>1381</v>
      </c>
      <c r="D50" s="52"/>
      <c r="E50" s="52"/>
      <c r="F50" s="53"/>
      <c r="G50" s="52"/>
      <c r="H50" s="46"/>
      <c r="I50" s="54">
        <f>'DM ASIA OTHER'!D$38</f>
        <v>7.8678346581378626</v>
      </c>
      <c r="J50" s="54">
        <f>'DM ASIA OTHER'!E$38</f>
        <v>7.254289328657916</v>
      </c>
      <c r="K50" s="54">
        <f>'DM ASIA OTHER'!F$38</f>
        <v>6.2613613044918139</v>
      </c>
      <c r="L50" s="54">
        <f>'DM ASIA OTHER'!G$38</f>
        <v>5.4626500230850716</v>
      </c>
      <c r="M50" s="55">
        <f>'DM ASIA OTHER'!H$38</f>
        <v>6.8217204124905839E-2</v>
      </c>
      <c r="N50" s="56"/>
      <c r="O50" s="54">
        <f>'DM ASIA OTHER'!D$39</f>
        <v>15.114469721863887</v>
      </c>
      <c r="P50" s="54">
        <f>'DM ASIA OTHER'!E$39</f>
        <v>11.82612853114612</v>
      </c>
      <c r="Q50" s="54">
        <f>'DM ASIA OTHER'!F$39</f>
        <v>9.7989585086809576</v>
      </c>
      <c r="R50" s="54">
        <f>'DM ASIA OTHER'!G$39</f>
        <v>8.5492697158983812</v>
      </c>
      <c r="S50" s="55">
        <f>'DM ASIA OTHER'!H$39</f>
        <v>0.14374774599437457</v>
      </c>
      <c r="T50" s="46"/>
      <c r="U50" s="57"/>
      <c r="V50" s="58" t="s">
        <v>92</v>
      </c>
      <c r="Z50" s="46"/>
      <c r="AB50" s="5"/>
      <c r="AE50" s="41"/>
      <c r="AF50" s="31"/>
      <c r="AG50" s="31"/>
      <c r="AI50" s="41"/>
      <c r="AJ50" s="64"/>
      <c r="AK50" s="64"/>
      <c r="AM50" s="41"/>
      <c r="AN50" s="64"/>
      <c r="AO50" s="64"/>
      <c r="AQ50" s="41"/>
      <c r="AR50" s="64"/>
      <c r="AS50" s="64"/>
      <c r="BC50" s="65"/>
      <c r="BD50" s="65"/>
      <c r="BE50" s="65"/>
      <c r="BG50" s="65"/>
      <c r="BH50" s="65"/>
      <c r="BI50" s="65"/>
      <c r="BK50" s="65"/>
      <c r="BL50" s="65"/>
      <c r="BM50" s="65"/>
      <c r="BO50" s="65"/>
      <c r="BP50" s="65"/>
      <c r="BQ50" s="65"/>
    </row>
    <row r="51" spans="1:113">
      <c r="A51" s="41"/>
      <c r="C51" s="48"/>
      <c r="D51" s="44"/>
      <c r="E51" s="44"/>
      <c r="F51" s="45"/>
      <c r="G51" s="44"/>
      <c r="H51" s="46"/>
      <c r="I51" s="47"/>
      <c r="J51" s="47"/>
      <c r="K51" s="47"/>
      <c r="L51" s="47"/>
      <c r="M51" s="45"/>
      <c r="N51" s="46"/>
      <c r="O51" s="47"/>
      <c r="P51" s="47"/>
      <c r="Q51" s="47"/>
      <c r="R51" s="47"/>
      <c r="S51" s="45"/>
      <c r="T51" s="46"/>
      <c r="U51" s="48"/>
      <c r="V51" s="44"/>
      <c r="Z51" s="46"/>
      <c r="AF51" s="31"/>
      <c r="AG51" s="31"/>
      <c r="AJ51" s="64"/>
      <c r="AK51" s="64"/>
      <c r="AN51" s="64"/>
      <c r="AO51" s="64"/>
      <c r="AR51" s="64"/>
      <c r="AS51" s="64"/>
      <c r="BC51" s="65"/>
      <c r="BD51" s="65"/>
      <c r="BE51" s="65"/>
      <c r="BG51" s="65"/>
      <c r="BH51" s="65"/>
      <c r="BI51" s="65"/>
      <c r="BK51" s="65"/>
      <c r="BL51" s="65"/>
      <c r="BM51" s="65"/>
      <c r="BO51" s="65"/>
      <c r="BP51" s="65"/>
      <c r="BQ51" s="65"/>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row>
    <row r="52" spans="1:113">
      <c r="A52" s="41"/>
      <c r="B52" s="42" t="s">
        <v>1405</v>
      </c>
      <c r="C52" s="48" t="s">
        <v>982</v>
      </c>
      <c r="D52" s="44" t="str">
        <f>B52&amp;TEXT(Prices!$C$44,"0.0")</f>
        <v>USD 2.1</v>
      </c>
      <c r="E52" s="44" t="str">
        <f>B52&amp;TEXT(Prices!$E$44,"0.0")</f>
        <v>USD 4.0</v>
      </c>
      <c r="F52" s="45">
        <f>Prices!$F$44</f>
        <v>0.86915887850467288</v>
      </c>
      <c r="G52" s="44" t="str">
        <f>Prices!$D$44</f>
        <v>Neutral</v>
      </c>
      <c r="H52" s="46"/>
      <c r="I52" s="47">
        <f>ATCUS!$D$38</f>
        <v>7.0370048699184533</v>
      </c>
      <c r="J52" s="47">
        <f>ATCUS!$E$38</f>
        <v>7.1711605517835606</v>
      </c>
      <c r="K52" s="47">
        <f>ATCUS!$F$38</f>
        <v>7.3625620626430957</v>
      </c>
      <c r="L52" s="47">
        <f>ATCUS!$G$38</f>
        <v>7.3327540340373583</v>
      </c>
      <c r="M52" s="45">
        <f>ATCUS!$H$38</f>
        <v>-1.5443372733004446E-2</v>
      </c>
      <c r="N52" s="46"/>
      <c r="O52" s="47">
        <f>ATCUS!$D$39</f>
        <v>13.337564515442903</v>
      </c>
      <c r="P52" s="47">
        <f>ATCUS!$E$39</f>
        <v>13.423308117980739</v>
      </c>
      <c r="Q52" s="47">
        <f>ATCUS!$F$39</f>
        <v>13.094110622801944</v>
      </c>
      <c r="R52" s="47">
        <f>ATCUS!$G$39</f>
        <v>12.277705578950568</v>
      </c>
      <c r="S52" s="45">
        <f>ATCUS!$H$39</f>
        <v>2.6093401132669003E-2</v>
      </c>
      <c r="T52" s="46"/>
      <c r="U52" s="48" t="str">
        <f>D52</f>
        <v>USD 2.1</v>
      </c>
      <c r="V52" s="44" t="str">
        <f>C52</f>
        <v>Altice US</v>
      </c>
      <c r="Z52" s="46"/>
      <c r="AF52" s="31"/>
      <c r="AG52" s="31"/>
      <c r="AJ52" s="64"/>
      <c r="AK52" s="64"/>
      <c r="AN52" s="64"/>
      <c r="AO52" s="64"/>
      <c r="AR52" s="64"/>
      <c r="AS52" s="64"/>
      <c r="BC52" s="65"/>
      <c r="BD52" s="65"/>
      <c r="BE52" s="65"/>
      <c r="BG52" s="65"/>
      <c r="BH52" s="65"/>
      <c r="BI52" s="65"/>
      <c r="BK52" s="65"/>
      <c r="BL52" s="65"/>
      <c r="BM52" s="65"/>
      <c r="BO52" s="65"/>
      <c r="BP52" s="65"/>
      <c r="BQ52" s="65"/>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row>
    <row r="53" spans="1:113">
      <c r="A53" s="41"/>
      <c r="B53" s="42" t="s">
        <v>1405</v>
      </c>
      <c r="C53" s="48" t="s">
        <v>306</v>
      </c>
      <c r="D53" s="44" t="str">
        <f>B53&amp;TEXT(Prices!$C$45,"0.0")</f>
        <v>USD 330.8</v>
      </c>
      <c r="E53" s="44" t="str">
        <f>B53&amp;TEXT(Prices!$E$45,"0.0")</f>
        <v>USD 581.0</v>
      </c>
      <c r="F53" s="45">
        <f>Prices!$F$45</f>
        <v>0.75645444101819947</v>
      </c>
      <c r="G53" s="44" t="str">
        <f>Prices!$D$45</f>
        <v>Buy</v>
      </c>
      <c r="H53" s="46"/>
      <c r="I53" s="47">
        <f>CHTR!$D$38</f>
        <v>6.9356344408687303</v>
      </c>
      <c r="J53" s="47">
        <f>CHTR!$E$38</f>
        <v>6.677814658002263</v>
      </c>
      <c r="K53" s="47">
        <f>CHTR!$F$38</f>
        <v>6.5324765034417442</v>
      </c>
      <c r="L53" s="47">
        <f>CHTR!$G$38</f>
        <v>6.2300270761387067</v>
      </c>
      <c r="M53" s="45">
        <f>CHTR!$H$38</f>
        <v>2.7242535806642598E-2</v>
      </c>
      <c r="N53" s="46"/>
      <c r="O53" s="47">
        <f>CHTR!$D$39</f>
        <v>14.087464555930975</v>
      </c>
      <c r="P53" s="47">
        <f>CHTR!$E$39</f>
        <v>14.740720992966358</v>
      </c>
      <c r="Q53" s="47">
        <f>CHTR!$F$39</f>
        <v>14.410653021538245</v>
      </c>
      <c r="R53" s="47">
        <f>CHTR!$G$39</f>
        <v>11.78319403141969</v>
      </c>
      <c r="S53" s="45">
        <f>CHTR!$H$39</f>
        <v>5.1955842122821005E-2</v>
      </c>
      <c r="T53" s="46"/>
      <c r="U53" s="48" t="str">
        <f>D53</f>
        <v>USD 330.8</v>
      </c>
      <c r="V53" s="44" t="str">
        <f>C53</f>
        <v>Charter</v>
      </c>
      <c r="Z53" s="46"/>
      <c r="AF53" s="31"/>
      <c r="AG53" s="31"/>
      <c r="AJ53" s="64"/>
      <c r="AK53" s="64"/>
      <c r="AN53" s="64"/>
      <c r="AO53" s="64"/>
      <c r="AR53" s="64"/>
      <c r="AS53" s="64"/>
      <c r="BC53" s="65"/>
      <c r="BD53" s="65"/>
      <c r="BE53" s="65"/>
      <c r="BG53" s="65"/>
      <c r="BH53" s="65"/>
      <c r="BI53" s="65"/>
      <c r="BK53" s="65"/>
      <c r="BL53" s="65"/>
      <c r="BM53" s="65"/>
      <c r="BO53" s="65"/>
      <c r="BP53" s="65"/>
      <c r="BQ53" s="65"/>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row>
    <row r="54" spans="1:113">
      <c r="A54" s="41"/>
      <c r="B54" s="42" t="s">
        <v>1405</v>
      </c>
      <c r="C54" s="48" t="s">
        <v>304</v>
      </c>
      <c r="D54" s="44" t="str">
        <f>B54&amp;TEXT(Prices!$C$46,"0.0")</f>
        <v>USD 39.8</v>
      </c>
      <c r="E54" s="44" t="str">
        <f>B54&amp;TEXT(Prices!$E$46,"0.0")</f>
        <v>USD 50.0</v>
      </c>
      <c r="F54" s="45">
        <f>Prices!$F$46</f>
        <v>0.25628140703517599</v>
      </c>
      <c r="G54" s="44" t="str">
        <f>Prices!$D$46</f>
        <v>Buy</v>
      </c>
      <c r="H54" s="46"/>
      <c r="I54" s="47">
        <f>CMCSA!$D$38</f>
        <v>5.4685298858587057</v>
      </c>
      <c r="J54" s="47">
        <f>CMCSA!$E$38</f>
        <v>5.0468228387834495</v>
      </c>
      <c r="K54" s="47">
        <f>CMCSA!$F$38</f>
        <v>4.630354532538246</v>
      </c>
      <c r="L54" s="47">
        <f>CMCSA!$G$38</f>
        <v>4.1826591642569317</v>
      </c>
      <c r="M54" s="45">
        <f>CMCSA!$H$38</f>
        <v>3.851291219562536E-2</v>
      </c>
      <c r="N54" s="46"/>
      <c r="O54" s="47">
        <f>CMCSA!$D$39</f>
        <v>8.1045496156226591</v>
      </c>
      <c r="P54" s="47">
        <f>CMCSA!$E$39</f>
        <v>7.3141486952061578</v>
      </c>
      <c r="Q54" s="47">
        <f>CMCSA!$F$39</f>
        <v>6.38834599323632</v>
      </c>
      <c r="R54" s="47">
        <f>CMCSA!$G$39</f>
        <v>5.438409273150282</v>
      </c>
      <c r="S54" s="45">
        <f>CMCSA!$H$39</f>
        <v>8.4821278786819221E-2</v>
      </c>
      <c r="T54" s="46"/>
      <c r="U54" s="48" t="str">
        <f>D54</f>
        <v>USD 39.8</v>
      </c>
      <c r="V54" s="44" t="str">
        <f>C54</f>
        <v>Comcast</v>
      </c>
      <c r="Z54" s="46"/>
      <c r="AF54" s="31"/>
      <c r="AG54" s="31"/>
      <c r="AJ54" s="64"/>
      <c r="AK54" s="64"/>
      <c r="AN54" s="64"/>
      <c r="AO54" s="64"/>
      <c r="AR54" s="64"/>
      <c r="AS54" s="64"/>
      <c r="BC54" s="65"/>
      <c r="BD54" s="65"/>
      <c r="BE54" s="65"/>
      <c r="BG54" s="65"/>
      <c r="BH54" s="65"/>
      <c r="BI54" s="65"/>
      <c r="BK54" s="65"/>
      <c r="BL54" s="65"/>
      <c r="BM54" s="65"/>
      <c r="BO54" s="65"/>
      <c r="BP54" s="65"/>
      <c r="BQ54" s="65"/>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row>
    <row r="55" spans="1:113">
      <c r="A55" s="41"/>
      <c r="B55" s="42" t="s">
        <v>1405</v>
      </c>
      <c r="C55" s="48" t="s">
        <v>1602</v>
      </c>
      <c r="D55" s="44" t="str">
        <f>B55&amp;TEXT(Prices!C47,"0.0")</f>
        <v>USD 35.0</v>
      </c>
      <c r="E55" s="44" t="str">
        <f>B55&amp;TEXT(Prices!E47,"0.0")</f>
        <v>USD 54.0</v>
      </c>
      <c r="F55" s="45">
        <f>Prices!F47</f>
        <v>0.54285714285714293</v>
      </c>
      <c r="G55" s="44" t="str">
        <f>Prices!D47</f>
        <v>Buy</v>
      </c>
      <c r="H55" s="46"/>
      <c r="I55" s="47">
        <f>FYBR!D$38</f>
        <v>9.1813066846611076</v>
      </c>
      <c r="J55" s="47">
        <f>FYBR!E$38</f>
        <v>34.911348953712604</v>
      </c>
      <c r="K55" s="47">
        <f>FYBR!F$38</f>
        <v>35.354408822629196</v>
      </c>
      <c r="L55" s="47">
        <f>FYBR!G$38</f>
        <v>35.378056501260261</v>
      </c>
      <c r="M55" s="45">
        <f>FYBR!$H$38</f>
        <v>-0.36156405961814375</v>
      </c>
      <c r="N55" s="46"/>
      <c r="O55" s="47">
        <f>FYBR!D$39</f>
        <v>-18.015349924607172</v>
      </c>
      <c r="P55" s="47">
        <f>FYBR!E$39</f>
        <v>-35.136587430221631</v>
      </c>
      <c r="Q55" s="47">
        <f>FYBR!F$39</f>
        <v>-48.379433672648588</v>
      </c>
      <c r="R55" s="47">
        <f>FYBR!G$39</f>
        <v>-296.48615097754958</v>
      </c>
      <c r="S55" s="45">
        <f>FYBR!H$39</f>
        <v>-0.60650436754529502</v>
      </c>
      <c r="T55" s="46"/>
      <c r="U55" s="48" t="str">
        <f>D55</f>
        <v>USD 35.0</v>
      </c>
      <c r="V55" s="44" t="str">
        <f>C55</f>
        <v>Frontier</v>
      </c>
      <c r="Z55" s="46"/>
      <c r="AF55" s="31"/>
      <c r="AG55" s="31"/>
      <c r="AJ55" s="64"/>
      <c r="AK55" s="64"/>
      <c r="AN55" s="64"/>
      <c r="AO55" s="64"/>
      <c r="AR55" s="64"/>
      <c r="AS55" s="64"/>
      <c r="AT55" s="69"/>
      <c r="AU55" s="69"/>
      <c r="AV55" s="69"/>
      <c r="AW55" s="69"/>
      <c r="BC55" s="65"/>
      <c r="BD55" s="65"/>
      <c r="BE55" s="65"/>
      <c r="BG55" s="65"/>
      <c r="BH55" s="65"/>
      <c r="BI55" s="65"/>
      <c r="BK55" s="65"/>
      <c r="BL55" s="65"/>
      <c r="BM55" s="65"/>
      <c r="BO55" s="65"/>
      <c r="BP55" s="65"/>
      <c r="BQ55" s="65"/>
    </row>
    <row r="56" spans="1:113">
      <c r="A56" s="41"/>
      <c r="B56" s="42" t="s">
        <v>1405</v>
      </c>
      <c r="C56" s="48" t="s">
        <v>1603</v>
      </c>
      <c r="D56" s="44" t="str">
        <f>B56&amp;TEXT(Prices!C48,"0.0")</f>
        <v>USD 22.3</v>
      </c>
      <c r="E56" s="44" t="str">
        <f>B56&amp;TEXT(Prices!E48,"0.0")</f>
        <v>USD 100.0</v>
      </c>
      <c r="F56" s="45">
        <f>Prices!F48</f>
        <v>3.4883303411131061</v>
      </c>
      <c r="G56" s="44" t="str">
        <f>Prices!D48</f>
        <v>Buy</v>
      </c>
      <c r="H56" s="46"/>
      <c r="I56" s="47">
        <f>SATS!D$38</f>
        <v>16.587075521811425</v>
      </c>
      <c r="J56" s="47">
        <f>SATS!E$38</f>
        <v>12.015056837713704</v>
      </c>
      <c r="K56" s="47">
        <f>SATS!F$38</f>
        <v>9.3602595145760308</v>
      </c>
      <c r="L56" s="47">
        <f>SATS!G$38</f>
        <v>6.6153177000796832</v>
      </c>
      <c r="M56" s="45">
        <f>SATS!$H$38</f>
        <v>0.25442080694157521</v>
      </c>
      <c r="N56" s="46"/>
      <c r="O56" s="47">
        <f>SATS!D$39</f>
        <v>-20.180306098969091</v>
      </c>
      <c r="P56" s="47">
        <f>SATS!E$39</f>
        <v>24.066340478280733</v>
      </c>
      <c r="Q56" s="47">
        <f>SATS!F$39</f>
        <v>16.752762348206215</v>
      </c>
      <c r="R56" s="47">
        <f>SATS!G$39</f>
        <v>9.06932836710339</v>
      </c>
      <c r="S56" s="45">
        <f>SATS!H$39</f>
        <v>-2.2054644798041032</v>
      </c>
      <c r="T56" s="46"/>
      <c r="U56" s="48" t="str">
        <f>D56</f>
        <v>USD 22.3</v>
      </c>
      <c r="V56" s="44" t="str">
        <f>C56</f>
        <v>EchoStar</v>
      </c>
      <c r="Z56" s="46"/>
      <c r="AF56" s="31"/>
      <c r="AG56" s="31"/>
      <c r="AJ56" s="64"/>
      <c r="AK56" s="64"/>
      <c r="AN56" s="64"/>
      <c r="AO56" s="64"/>
      <c r="AR56" s="64"/>
      <c r="AS56" s="64"/>
      <c r="AT56" s="69"/>
      <c r="AU56" s="69"/>
      <c r="AV56" s="69"/>
      <c r="AW56" s="69"/>
      <c r="BC56" s="65"/>
      <c r="BD56" s="65"/>
      <c r="BE56" s="65"/>
      <c r="BG56" s="65"/>
      <c r="BH56" s="65"/>
      <c r="BI56" s="65"/>
      <c r="BK56" s="65"/>
      <c r="BL56" s="65"/>
      <c r="BM56" s="65"/>
      <c r="BO56" s="65"/>
      <c r="BP56" s="65"/>
      <c r="BQ56" s="65"/>
    </row>
    <row r="57" spans="1:113">
      <c r="A57" s="41"/>
      <c r="C57" s="51" t="s">
        <v>1609</v>
      </c>
      <c r="D57" s="58"/>
      <c r="E57" s="58"/>
      <c r="F57" s="55"/>
      <c r="G57" s="58"/>
      <c r="H57" s="56"/>
      <c r="I57" s="54">
        <f>'US OTHER'!D38</f>
        <v>6.419136047060916</v>
      </c>
      <c r="J57" s="54">
        <f>'US OTHER'!E38</f>
        <v>6.1617174775214849</v>
      </c>
      <c r="K57" s="54">
        <f>'US OTHER'!F38</f>
        <v>5.8157046048820016</v>
      </c>
      <c r="L57" s="54">
        <f>'US OTHER'!G38</f>
        <v>5.3383564537368979</v>
      </c>
      <c r="M57" s="55">
        <f>'US OTHER'!H38</f>
        <v>2.9926645487549974E-2</v>
      </c>
      <c r="N57" s="56"/>
      <c r="O57" s="66">
        <f>'US OTHER'!D39</f>
        <v>12.034441933121379</v>
      </c>
      <c r="P57" s="66">
        <f>'US OTHER'!E39</f>
        <v>10.557338294237372</v>
      </c>
      <c r="Q57" s="66">
        <f>'US OTHER'!F39</f>
        <v>9.5336430529255392</v>
      </c>
      <c r="R57" s="66">
        <f>'US OTHER'!G39</f>
        <v>7.9150896964308144</v>
      </c>
      <c r="S57" s="55">
        <f>'US OTHER'!H39</f>
        <v>0.11371310161076686</v>
      </c>
      <c r="T57" s="56"/>
      <c r="U57" s="51"/>
      <c r="V57" s="58" t="s">
        <v>259</v>
      </c>
      <c r="Z57" s="46"/>
      <c r="AE57" s="41"/>
      <c r="AF57" s="31"/>
      <c r="AG57" s="31"/>
      <c r="AI57" s="41"/>
      <c r="AJ57" s="64"/>
      <c r="AK57" s="64"/>
      <c r="AM57" s="41"/>
      <c r="AN57" s="64"/>
      <c r="AO57" s="64"/>
      <c r="AQ57" s="41"/>
      <c r="AR57" s="64"/>
      <c r="AS57" s="64"/>
      <c r="BC57" s="65"/>
      <c r="BD57" s="65"/>
      <c r="BE57" s="65"/>
      <c r="BG57" s="65"/>
      <c r="BH57" s="65"/>
      <c r="BI57" s="65"/>
      <c r="BK57" s="65"/>
      <c r="BL57" s="65"/>
      <c r="BM57" s="65"/>
      <c r="BO57" s="65"/>
      <c r="BP57" s="65"/>
      <c r="BQ57" s="65"/>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row>
    <row r="58" spans="1:113">
      <c r="A58" s="41"/>
      <c r="C58" s="48"/>
      <c r="D58" s="44"/>
      <c r="E58" s="44"/>
      <c r="F58" s="45"/>
      <c r="G58" s="44"/>
      <c r="H58" s="46"/>
      <c r="I58" s="47"/>
      <c r="J58" s="47"/>
      <c r="K58" s="47"/>
      <c r="L58" s="47"/>
      <c r="M58" s="45"/>
      <c r="N58" s="46"/>
      <c r="O58" s="47"/>
      <c r="P58" s="47"/>
      <c r="Q58" s="47"/>
      <c r="R58" s="47"/>
      <c r="S58" s="45"/>
      <c r="T58" s="46"/>
      <c r="U58" s="48"/>
      <c r="V58" s="44"/>
      <c r="Z58" s="46"/>
      <c r="AF58" s="31"/>
      <c r="AG58" s="31"/>
      <c r="AJ58" s="64"/>
      <c r="AK58" s="64"/>
      <c r="AN58" s="64"/>
      <c r="AO58" s="64"/>
      <c r="AR58" s="64"/>
      <c r="AS58" s="64"/>
      <c r="BC58" s="65"/>
      <c r="BD58" s="65"/>
      <c r="BE58" s="65"/>
      <c r="BG58" s="65"/>
      <c r="BH58" s="65"/>
      <c r="BI58" s="65"/>
      <c r="BK58" s="65"/>
      <c r="BL58" s="65"/>
      <c r="BM58" s="65"/>
      <c r="BO58" s="65"/>
      <c r="BP58" s="65"/>
      <c r="BQ58" s="65"/>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row>
    <row r="59" spans="1:113">
      <c r="C59" s="48"/>
      <c r="D59" s="44"/>
      <c r="E59" s="44"/>
      <c r="F59" s="45"/>
      <c r="G59" s="44"/>
      <c r="H59" s="46"/>
      <c r="I59" s="47"/>
      <c r="J59" s="47"/>
      <c r="K59" s="47"/>
      <c r="L59" s="47"/>
      <c r="M59" s="45"/>
      <c r="N59" s="46"/>
      <c r="O59" s="47"/>
      <c r="P59" s="47"/>
      <c r="Q59" s="47"/>
      <c r="R59" s="47"/>
      <c r="S59" s="45"/>
      <c r="T59" s="46"/>
      <c r="U59" s="48"/>
      <c r="V59" s="44"/>
      <c r="Z59" s="46"/>
      <c r="AF59" s="31"/>
      <c r="AG59" s="31"/>
      <c r="AJ59" s="64"/>
      <c r="AK59" s="64"/>
      <c r="AN59" s="64"/>
      <c r="AO59" s="64"/>
      <c r="AR59" s="64"/>
      <c r="AS59" s="64"/>
      <c r="AT59" s="69"/>
      <c r="BC59" s="65"/>
      <c r="BD59" s="65"/>
      <c r="BE59" s="65"/>
      <c r="BG59" s="65"/>
      <c r="BH59" s="65"/>
      <c r="BI59" s="65"/>
      <c r="BK59" s="65"/>
      <c r="BL59" s="65"/>
      <c r="BM59" s="65"/>
      <c r="BO59" s="65"/>
      <c r="BP59" s="65"/>
      <c r="BQ59" s="65"/>
    </row>
    <row r="60" spans="1:113">
      <c r="C60" s="51" t="s">
        <v>93</v>
      </c>
      <c r="D60" s="52"/>
      <c r="E60" s="52"/>
      <c r="F60" s="53"/>
      <c r="G60" s="52"/>
      <c r="H60" s="46"/>
      <c r="I60" s="54">
        <f>'W.EUR AGG'!$D$38</f>
        <v>6.9230420445959417</v>
      </c>
      <c r="J60" s="54">
        <f>'W.EUR AGG'!$E$38</f>
        <v>6.5638250279040582</v>
      </c>
      <c r="K60" s="54">
        <f>'W.EUR AGG'!$F$38</f>
        <v>6.1452744934362382</v>
      </c>
      <c r="L60" s="54">
        <f>'W.EUR AGG'!$G$38</f>
        <v>5.7947365151197934</v>
      </c>
      <c r="M60" s="55">
        <f>'W.EUR AGG'!$H$38</f>
        <v>3.068974106741007E-2</v>
      </c>
      <c r="N60" s="56"/>
      <c r="O60" s="54">
        <f>'W.EUR AGG'!$D$39</f>
        <v>15.041676863497239</v>
      </c>
      <c r="P60" s="54">
        <f>'W.EUR AGG'!$E$39</f>
        <v>13.422915591271845</v>
      </c>
      <c r="Q60" s="54">
        <f>'W.EUR AGG'!$F$39</f>
        <v>12.046773085504695</v>
      </c>
      <c r="R60" s="54">
        <f>'W.EUR AGG'!$G$39</f>
        <v>10.779288524714925</v>
      </c>
      <c r="S60" s="55">
        <f>'W.EUR AGG'!$H$39</f>
        <v>8.5447728413703405E-2</v>
      </c>
      <c r="T60" s="46"/>
      <c r="U60" s="57"/>
      <c r="V60" s="58" t="s">
        <v>93</v>
      </c>
      <c r="Z60" s="46"/>
      <c r="AE60" s="41"/>
      <c r="AF60" s="31"/>
      <c r="AG60" s="31"/>
      <c r="AI60" s="41"/>
      <c r="AJ60" s="64"/>
      <c r="AK60" s="64"/>
      <c r="AM60" s="41"/>
      <c r="AN60" s="64"/>
      <c r="AO60" s="64"/>
      <c r="AQ60" s="41"/>
      <c r="AR60" s="64"/>
      <c r="AS60" s="64"/>
      <c r="AT60" s="69"/>
      <c r="BC60" s="65"/>
      <c r="BD60" s="65"/>
      <c r="BE60" s="65"/>
      <c r="BG60" s="65"/>
      <c r="BH60" s="65"/>
      <c r="BI60" s="65"/>
      <c r="BK60" s="65"/>
      <c r="BL60" s="65"/>
      <c r="BM60" s="65"/>
      <c r="BO60" s="65"/>
      <c r="BP60" s="65"/>
      <c r="BQ60" s="65"/>
    </row>
    <row r="61" spans="1:113">
      <c r="A61" s="41"/>
      <c r="C61" s="41" t="s">
        <v>1608</v>
      </c>
      <c r="D61" s="44"/>
      <c r="E61" s="44"/>
      <c r="F61" s="45"/>
      <c r="G61" s="44"/>
      <c r="H61" s="46"/>
      <c r="I61" s="60">
        <f>'US AGG'!D$38</f>
        <v>7.8704877203939709</v>
      </c>
      <c r="J61" s="60">
        <f>'US AGG'!E$38</f>
        <v>7.3392450554284983</v>
      </c>
      <c r="K61" s="60">
        <f>'US AGG'!F$38</f>
        <v>6.7716166123644399</v>
      </c>
      <c r="L61" s="60">
        <f>'US AGG'!G$38</f>
        <v>6.1891932306748938</v>
      </c>
      <c r="M61" s="59">
        <f>'US AGG'!H$38</f>
        <v>3.0723349651247567E-2</v>
      </c>
      <c r="N61" s="56"/>
      <c r="O61" s="60">
        <f>'US AGG'!D$39</f>
        <v>13.894470916605927</v>
      </c>
      <c r="P61" s="60">
        <f>'US AGG'!E$39</f>
        <v>11.919916372534377</v>
      </c>
      <c r="Q61" s="60">
        <f>'US AGG'!F$39</f>
        <v>10.689952435322532</v>
      </c>
      <c r="R61" s="60">
        <f>'US AGG'!G$39</f>
        <v>9.3636056918008119</v>
      </c>
      <c r="S61" s="59">
        <f>'US AGG'!H$39</f>
        <v>8.5140265808479887E-2</v>
      </c>
      <c r="T61" s="46"/>
      <c r="U61" s="48"/>
      <c r="V61" s="50" t="str">
        <f>C61</f>
        <v>Agg. US</v>
      </c>
      <c r="Z61" s="46"/>
      <c r="AE61" s="41"/>
      <c r="AF61" s="31"/>
      <c r="AG61" s="31"/>
      <c r="AI61" s="41"/>
      <c r="AJ61" s="64"/>
      <c r="AK61" s="64"/>
      <c r="AM61" s="41"/>
      <c r="AN61" s="64"/>
      <c r="AO61" s="64"/>
      <c r="AQ61" s="41"/>
      <c r="AR61" s="64"/>
      <c r="AS61" s="64"/>
      <c r="AT61" s="69"/>
      <c r="BC61" s="65"/>
      <c r="BD61" s="65"/>
      <c r="BE61" s="65"/>
      <c r="BG61" s="65"/>
      <c r="BH61" s="65"/>
      <c r="BI61" s="65"/>
      <c r="BK61" s="65"/>
      <c r="BL61" s="65"/>
      <c r="BM61" s="65"/>
      <c r="BO61" s="65"/>
      <c r="BP61" s="65"/>
      <c r="BQ61" s="65"/>
    </row>
    <row r="62" spans="1:113">
      <c r="A62" s="41"/>
      <c r="C62" s="67" t="s">
        <v>800</v>
      </c>
      <c r="D62" s="52"/>
      <c r="E62" s="52"/>
      <c r="F62" s="53"/>
      <c r="G62" s="52"/>
      <c r="H62" s="46"/>
      <c r="I62" s="54">
        <f>'AGG DM ASIA'!$D$38</f>
        <v>7.5194399594537158</v>
      </c>
      <c r="J62" s="54">
        <f>'AGG DM ASIA'!$E$38</f>
        <v>7.2157406662570427</v>
      </c>
      <c r="K62" s="54">
        <f>'AGG DM ASIA'!$F$38</f>
        <v>6.2947314811996939</v>
      </c>
      <c r="L62" s="54">
        <f>'AGG DM ASIA'!$G$38</f>
        <v>5.6509319524021073</v>
      </c>
      <c r="M62" s="55">
        <f>'AGG DM ASIA'!$H$38</f>
        <v>5.227563289397108E-2</v>
      </c>
      <c r="N62" s="56"/>
      <c r="O62" s="54">
        <f>'AGG DM ASIA'!$D$39</f>
        <v>15.407161026888048</v>
      </c>
      <c r="P62" s="54">
        <f>'AGG DM ASIA'!$E$39</f>
        <v>13.850522691482661</v>
      </c>
      <c r="Q62" s="54">
        <f>'AGG DM ASIA'!$F$39</f>
        <v>11.104899244904207</v>
      </c>
      <c r="R62" s="54">
        <f>'AGG DM ASIA'!$G$39</f>
        <v>9.8619926953007742</v>
      </c>
      <c r="S62" s="55">
        <f>'AGG DM ASIA'!$H$39</f>
        <v>0.11009553534713978</v>
      </c>
      <c r="T62" s="46"/>
      <c r="U62" s="57"/>
      <c r="V62" s="58" t="str">
        <f>C62</f>
        <v xml:space="preserve">Agg. Developed Asia </v>
      </c>
      <c r="Z62" s="46"/>
      <c r="AE62" s="41"/>
      <c r="AF62" s="31"/>
      <c r="AG62" s="31"/>
      <c r="AI62" s="41"/>
      <c r="AJ62" s="64"/>
      <c r="AK62" s="64"/>
      <c r="AM62" s="41"/>
      <c r="AN62" s="64"/>
      <c r="AO62" s="64"/>
      <c r="AQ62" s="41"/>
      <c r="AR62" s="64"/>
      <c r="AS62" s="64"/>
      <c r="AT62" s="69"/>
      <c r="BC62" s="65"/>
      <c r="BD62" s="65"/>
      <c r="BE62" s="65"/>
      <c r="BG62" s="65"/>
      <c r="BH62" s="65"/>
      <c r="BI62" s="65"/>
      <c r="BK62" s="65"/>
      <c r="BL62" s="65"/>
      <c r="BM62" s="65"/>
      <c r="BO62" s="65"/>
      <c r="BP62" s="65"/>
      <c r="BQ62" s="65"/>
    </row>
    <row r="63" spans="1:113">
      <c r="C63" s="41"/>
      <c r="D63" s="44"/>
      <c r="E63" s="44"/>
      <c r="F63" s="45"/>
      <c r="G63" s="44"/>
      <c r="H63" s="46"/>
      <c r="I63" s="60"/>
      <c r="J63" s="60"/>
      <c r="K63" s="60"/>
      <c r="L63" s="60"/>
      <c r="M63" s="59"/>
      <c r="N63" s="56"/>
      <c r="O63" s="60"/>
      <c r="P63" s="60"/>
      <c r="Q63" s="60"/>
      <c r="R63" s="60"/>
      <c r="S63" s="59"/>
      <c r="T63" s="46"/>
      <c r="U63" s="48"/>
      <c r="V63" s="50"/>
      <c r="W63" s="47"/>
      <c r="X63" s="47"/>
      <c r="Y63" s="138"/>
      <c r="Z63" s="46"/>
      <c r="AE63" s="41"/>
      <c r="AF63" s="31"/>
      <c r="AG63" s="31"/>
      <c r="AI63" s="41"/>
      <c r="AJ63" s="64"/>
      <c r="AK63" s="64"/>
      <c r="AM63" s="41"/>
      <c r="AN63" s="64"/>
      <c r="AO63" s="64"/>
      <c r="AQ63" s="41"/>
      <c r="AR63" s="64"/>
      <c r="AS63" s="64"/>
      <c r="AT63" s="69"/>
    </row>
    <row r="64" spans="1:113" s="5" customFormat="1">
      <c r="A64" s="146"/>
      <c r="B64" s="42"/>
      <c r="C64" s="67" t="s">
        <v>801</v>
      </c>
      <c r="D64" s="52"/>
      <c r="E64" s="52"/>
      <c r="F64" s="53"/>
      <c r="G64" s="52"/>
      <c r="H64" s="46"/>
      <c r="I64" s="54">
        <f>'AGG DM'!$D$38</f>
        <v>7.500236481428364</v>
      </c>
      <c r="J64" s="54">
        <f>'AGG DM'!$E$38</f>
        <v>7.0633470857266838</v>
      </c>
      <c r="K64" s="54">
        <f>'AGG DM'!$F$38</f>
        <v>6.4875866017102481</v>
      </c>
      <c r="L64" s="54">
        <f>'AGG DM'!$G$38</f>
        <v>5.9712167743849367</v>
      </c>
      <c r="M64" s="55">
        <f>'AGG DM'!$H$38</f>
        <v>3.4105393529800354E-2</v>
      </c>
      <c r="N64" s="56"/>
      <c r="O64" s="54">
        <f>'AGG DM'!$D$39</f>
        <v>14.453886920086703</v>
      </c>
      <c r="P64" s="54">
        <f>'AGG DM'!$E$39</f>
        <v>12.632400476073508</v>
      </c>
      <c r="Q64" s="54">
        <f>'AGG DM'!$F$39</f>
        <v>11.148641561230297</v>
      </c>
      <c r="R64" s="54">
        <f>'AGG DM'!$G$39</f>
        <v>9.8551520159775166</v>
      </c>
      <c r="S64" s="55">
        <f>'AGG DM'!$H$39</f>
        <v>8.8933115291126796E-2</v>
      </c>
      <c r="T64" s="46"/>
      <c r="U64" s="57"/>
      <c r="V64" s="58" t="s">
        <v>802</v>
      </c>
      <c r="AB64" s="63"/>
      <c r="AE64" s="41"/>
      <c r="AF64" s="31"/>
      <c r="AG64" s="31"/>
      <c r="AI64" s="41"/>
      <c r="AJ64" s="64"/>
      <c r="AK64" s="64"/>
      <c r="AM64" s="41"/>
      <c r="AN64" s="64"/>
      <c r="AO64" s="64"/>
      <c r="AQ64" s="41"/>
      <c r="AR64" s="64"/>
      <c r="AS64" s="64"/>
      <c r="AT64" s="69"/>
    </row>
    <row r="65" spans="1:69" s="5" customFormat="1">
      <c r="A65" s="146"/>
      <c r="B65" s="42"/>
      <c r="C65" s="43"/>
      <c r="D65" s="44"/>
      <c r="E65" s="44"/>
      <c r="F65" s="45"/>
      <c r="G65" s="44"/>
      <c r="H65" s="38"/>
      <c r="I65" s="47"/>
      <c r="J65" s="47"/>
      <c r="K65" s="47"/>
      <c r="L65" s="47"/>
      <c r="M65" s="45"/>
      <c r="N65" s="38"/>
      <c r="O65" s="47"/>
      <c r="P65" s="47"/>
      <c r="Q65" s="47"/>
      <c r="R65" s="47"/>
      <c r="S65" s="45"/>
      <c r="T65" s="38"/>
      <c r="U65" s="48"/>
      <c r="V65" s="50"/>
      <c r="AE65" s="41"/>
      <c r="AF65" s="31"/>
      <c r="AG65" s="31"/>
      <c r="AI65" s="41"/>
      <c r="AJ65" s="139"/>
      <c r="AK65" s="139"/>
      <c r="AM65" s="41"/>
      <c r="AN65" s="139"/>
      <c r="AO65" s="139"/>
      <c r="AQ65" s="41"/>
      <c r="AR65" s="139"/>
      <c r="AS65" s="139"/>
      <c r="AT65" s="69"/>
    </row>
    <row r="66" spans="1:69" s="5" customFormat="1">
      <c r="A66" s="146"/>
      <c r="B66" s="42"/>
      <c r="C66" s="43"/>
      <c r="D66" s="44"/>
      <c r="E66" s="44"/>
      <c r="F66" s="45"/>
      <c r="G66" s="44"/>
      <c r="H66" s="38"/>
      <c r="I66" s="47"/>
      <c r="J66" s="47"/>
      <c r="K66" s="47"/>
      <c r="L66" s="47"/>
      <c r="M66" s="45"/>
      <c r="N66" s="38"/>
      <c r="O66" s="47"/>
      <c r="P66" s="47"/>
      <c r="Q66" s="47"/>
      <c r="R66" s="47"/>
      <c r="S66" s="45"/>
      <c r="T66" s="38"/>
      <c r="U66" s="48"/>
      <c r="V66" s="50"/>
      <c r="AE66" s="41"/>
      <c r="AF66" s="31"/>
      <c r="AG66" s="31"/>
      <c r="AI66" s="41"/>
      <c r="AJ66" s="139"/>
      <c r="AK66" s="139"/>
      <c r="AM66" s="41"/>
      <c r="AN66" s="139"/>
      <c r="AO66" s="139"/>
      <c r="AQ66" s="41"/>
      <c r="AR66" s="139"/>
      <c r="AS66" s="139"/>
      <c r="AT66" s="69"/>
    </row>
    <row r="67" spans="1:69" s="41" customFormat="1">
      <c r="B67" s="147"/>
      <c r="C67" s="164"/>
      <c r="D67" s="165" t="s">
        <v>459</v>
      </c>
      <c r="E67" s="165" t="s">
        <v>56</v>
      </c>
      <c r="F67" s="165" t="s">
        <v>58</v>
      </c>
      <c r="G67" s="165" t="s">
        <v>55</v>
      </c>
      <c r="H67" s="49"/>
      <c r="I67" s="166" t="s">
        <v>461</v>
      </c>
      <c r="J67" s="166"/>
      <c r="K67" s="166"/>
      <c r="L67" s="166"/>
      <c r="M67" s="166"/>
      <c r="O67" s="166" t="s">
        <v>462</v>
      </c>
      <c r="P67" s="166"/>
      <c r="Q67" s="166"/>
      <c r="R67" s="166"/>
      <c r="S67" s="166"/>
      <c r="T67" s="49"/>
      <c r="U67" s="167" t="s">
        <v>459</v>
      </c>
      <c r="V67" s="165"/>
      <c r="Z67" s="49"/>
      <c r="AC67" s="135"/>
      <c r="AD67" s="136"/>
      <c r="AE67" s="136"/>
      <c r="AF67" s="136"/>
      <c r="AG67" s="136"/>
      <c r="AH67" s="136"/>
      <c r="AI67" s="136"/>
      <c r="AJ67" s="136"/>
      <c r="AK67" s="136"/>
      <c r="AL67" s="136"/>
      <c r="AM67" s="136"/>
      <c r="AN67" s="136"/>
      <c r="AO67" s="136"/>
      <c r="AP67" s="136"/>
      <c r="AQ67" s="136"/>
      <c r="AR67" s="136"/>
      <c r="AS67" s="136"/>
      <c r="AT67" s="136"/>
      <c r="AU67" s="136"/>
      <c r="AV67" s="136"/>
      <c r="AW67" s="136"/>
      <c r="BC67" s="137"/>
      <c r="BD67" s="137"/>
      <c r="BE67" s="137"/>
      <c r="BG67" s="137"/>
      <c r="BH67" s="137"/>
      <c r="BI67" s="137"/>
      <c r="BK67" s="137"/>
      <c r="BL67" s="137"/>
      <c r="BM67" s="137"/>
      <c r="BO67" s="137"/>
      <c r="BP67" s="137"/>
      <c r="BQ67" s="137"/>
    </row>
    <row r="68" spans="1:69" s="5" customFormat="1">
      <c r="A68" s="41" t="s">
        <v>501</v>
      </c>
      <c r="B68" s="42"/>
      <c r="C68" s="48" t="s">
        <v>182</v>
      </c>
      <c r="D68" s="44" t="str">
        <f t="shared" ref="D68:G78" si="5">D8</f>
        <v>GBP1.44</v>
      </c>
      <c r="E68" s="44" t="str">
        <f t="shared" si="5"/>
        <v>GBP2.30</v>
      </c>
      <c r="F68" s="45">
        <f t="shared" si="5"/>
        <v>0.59777700590482818</v>
      </c>
      <c r="G68" s="44" t="str">
        <f t="shared" si="5"/>
        <v>Buy</v>
      </c>
      <c r="H68" s="46"/>
      <c r="I68" s="47">
        <f>BT!$D$40</f>
        <v>22.395731637392387</v>
      </c>
      <c r="J68" s="47">
        <f>BT!$E$40</f>
        <v>21.684733556271112</v>
      </c>
      <c r="K68" s="47">
        <f>BT!$F$40</f>
        <v>19.352984550527438</v>
      </c>
      <c r="L68" s="47">
        <f>BT!$G$40</f>
        <v>15.120813445469084</v>
      </c>
      <c r="M68" s="45">
        <f>BT!$H$40</f>
        <v>0.10535968113946526</v>
      </c>
      <c r="N68" s="46"/>
      <c r="O68" s="47">
        <f>BT!$D$44</f>
        <v>8.1264611071232498</v>
      </c>
      <c r="P68" s="47">
        <f>BT!$E$44</f>
        <v>9.3510016053358136</v>
      </c>
      <c r="Q68" s="47">
        <f>BT!$F$44</f>
        <v>9.5629597750614508</v>
      </c>
      <c r="R68" s="47">
        <f>BT!$G$44</f>
        <v>9.1364557213921547</v>
      </c>
      <c r="S68" s="45">
        <f>BT!$H$44</f>
        <v>-4.1255619760983686E-2</v>
      </c>
      <c r="T68" s="46"/>
      <c r="U68" s="48" t="str">
        <f t="shared" ref="U68:V72" si="6">U8</f>
        <v>GBP1.44</v>
      </c>
      <c r="V68" s="69" t="str">
        <f t="shared" si="6"/>
        <v>British Telecom</v>
      </c>
      <c r="AE68" s="41"/>
      <c r="AF68" s="31"/>
      <c r="AG68" s="31"/>
      <c r="AI68" s="41"/>
      <c r="AJ68" s="64"/>
      <c r="AK68" s="64"/>
      <c r="AM68" s="41"/>
      <c r="AN68" s="64"/>
      <c r="AO68" s="64"/>
      <c r="AQ68" s="41"/>
      <c r="AR68" s="64"/>
      <c r="AS68" s="64"/>
      <c r="AT68" s="69"/>
      <c r="AU68" s="69"/>
      <c r="AV68" s="69"/>
      <c r="AW68" s="69"/>
    </row>
    <row r="69" spans="1:69" s="5" customFormat="1">
      <c r="A69" s="41"/>
      <c r="B69" s="42"/>
      <c r="C69" s="48" t="s">
        <v>183</v>
      </c>
      <c r="D69" s="44" t="str">
        <f t="shared" si="5"/>
        <v>EUR 26.13</v>
      </c>
      <c r="E69" s="44" t="str">
        <f t="shared" si="5"/>
        <v>EUR 33.00</v>
      </c>
      <c r="F69" s="45">
        <f t="shared" si="5"/>
        <v>0.26291618828932273</v>
      </c>
      <c r="G69" s="44" t="str">
        <f t="shared" si="5"/>
        <v>Buy</v>
      </c>
      <c r="H69" s="46"/>
      <c r="I69" s="47">
        <f>DT!$D$40</f>
        <v>19.494006466174319</v>
      </c>
      <c r="J69" s="47">
        <f>DT!$E$40</f>
        <v>16.381610263713117</v>
      </c>
      <c r="K69" s="47">
        <f>DT!$F$40</f>
        <v>14.798750197580103</v>
      </c>
      <c r="L69" s="47">
        <f>DT!$G$40</f>
        <v>13.323202921729241</v>
      </c>
      <c r="M69" s="45">
        <f>DT!$H$40</f>
        <v>0.11629456328351129</v>
      </c>
      <c r="N69" s="46"/>
      <c r="O69" s="47">
        <f>DT!$D$44</f>
        <v>16.410097439546597</v>
      </c>
      <c r="P69" s="47">
        <f>DT!$E$44</f>
        <v>14.275973779156052</v>
      </c>
      <c r="Q69" s="47">
        <f>DT!$F$44</f>
        <v>12.852093234721458</v>
      </c>
      <c r="R69" s="47">
        <f>DT!$G$44</f>
        <v>11.698796882459316</v>
      </c>
      <c r="S69" s="45">
        <f>DT!$H$44</f>
        <v>0.11187847287299713</v>
      </c>
      <c r="T69" s="46"/>
      <c r="U69" s="48" t="str">
        <f t="shared" si="6"/>
        <v>EUR 26.13</v>
      </c>
      <c r="V69" s="69" t="str">
        <f t="shared" si="6"/>
        <v>Deutsche Telekom</v>
      </c>
      <c r="AE69" s="41"/>
      <c r="AF69" s="31"/>
      <c r="AG69" s="31"/>
      <c r="AI69" s="41"/>
      <c r="AJ69" s="64"/>
      <c r="AK69" s="64"/>
      <c r="AM69" s="41"/>
      <c r="AN69" s="64"/>
      <c r="AO69" s="64"/>
      <c r="AQ69" s="41"/>
      <c r="AR69" s="64"/>
      <c r="AS69" s="64"/>
      <c r="AT69" s="69"/>
      <c r="AU69" s="69"/>
      <c r="AV69" s="69"/>
      <c r="AW69" s="69"/>
    </row>
    <row r="70" spans="1:69" s="5" customFormat="1">
      <c r="A70" s="41"/>
      <c r="B70" s="42"/>
      <c r="C70" s="48" t="s">
        <v>453</v>
      </c>
      <c r="D70" s="44" t="str">
        <f t="shared" si="5"/>
        <v>EUR 3.75</v>
      </c>
      <c r="E70" s="44" t="str">
        <f t="shared" si="5"/>
        <v>EUR 3.80</v>
      </c>
      <c r="F70" s="45">
        <f t="shared" si="5"/>
        <v>1.4415376401494928E-2</v>
      </c>
      <c r="G70" s="44" t="str">
        <f t="shared" si="5"/>
        <v>Neutral</v>
      </c>
      <c r="H70" s="46"/>
      <c r="I70" s="47">
        <f>KPN!$D$40</f>
        <v>23.905853687090787</v>
      </c>
      <c r="J70" s="47">
        <f>KPN!$E$40</f>
        <v>22.126208417961308</v>
      </c>
      <c r="K70" s="47">
        <f>KPN!$F$40</f>
        <v>20.570196069146661</v>
      </c>
      <c r="L70" s="47">
        <f>KPN!$G$40</f>
        <v>19.231666606636953</v>
      </c>
      <c r="M70" s="45">
        <f>KPN!$H$40</f>
        <v>5.360872021532348E-2</v>
      </c>
      <c r="N70" s="46"/>
      <c r="O70" s="47">
        <f>KPN!$D$44</f>
        <v>20.864798860711865</v>
      </c>
      <c r="P70" s="47">
        <f>KPN!$E$44</f>
        <v>26.839628512994494</v>
      </c>
      <c r="Q70" s="47">
        <f>KPN!$F$44</f>
        <v>24.013894452662878</v>
      </c>
      <c r="R70" s="47">
        <f>KPN!$G$44</f>
        <v>22.081912958349097</v>
      </c>
      <c r="S70" s="45">
        <f>KPN!$H$44</f>
        <v>-3.2382935479115305E-2</v>
      </c>
      <c r="T70" s="46"/>
      <c r="U70" s="48" t="str">
        <f t="shared" si="6"/>
        <v>EUR 3.75</v>
      </c>
      <c r="V70" s="69" t="str">
        <f t="shared" si="6"/>
        <v>KPN</v>
      </c>
      <c r="AE70" s="41"/>
      <c r="AF70" s="31"/>
      <c r="AG70" s="31"/>
      <c r="AI70" s="41"/>
      <c r="AJ70" s="64"/>
      <c r="AK70" s="64"/>
      <c r="AM70" s="41"/>
      <c r="AN70" s="64"/>
      <c r="AO70" s="64"/>
      <c r="AQ70" s="41"/>
      <c r="AR70" s="64"/>
      <c r="AS70" s="64"/>
      <c r="AT70" s="69"/>
      <c r="AU70" s="69"/>
      <c r="AV70" s="69"/>
      <c r="AW70" s="69"/>
    </row>
    <row r="71" spans="1:69" s="5" customFormat="1">
      <c r="A71" s="41"/>
      <c r="B71" s="42"/>
      <c r="C71" s="48" t="s">
        <v>722</v>
      </c>
      <c r="D71" s="44" t="str">
        <f t="shared" si="5"/>
        <v>EUR 10.72</v>
      </c>
      <c r="E71" s="44" t="str">
        <f t="shared" si="5"/>
        <v>EUR 14.00</v>
      </c>
      <c r="F71" s="45">
        <f t="shared" si="5"/>
        <v>0.30597014925373123</v>
      </c>
      <c r="G71" s="44" t="str">
        <f t="shared" si="5"/>
        <v>Buy</v>
      </c>
      <c r="H71" s="46"/>
      <c r="I71" s="47">
        <f>ORA!$D$40</f>
        <v>16.512872095847072</v>
      </c>
      <c r="J71" s="47">
        <f>ORA!$E$40</f>
        <v>16.098510898422173</v>
      </c>
      <c r="K71" s="47">
        <f>ORA!$F$40</f>
        <v>14.914371999536224</v>
      </c>
      <c r="L71" s="47">
        <f>ORA!$G$40</f>
        <v>13.413153452325778</v>
      </c>
      <c r="M71" s="45">
        <f>ORA!$H$40</f>
        <v>1.6939866385722091E-2</v>
      </c>
      <c r="N71" s="46"/>
      <c r="O71" s="47">
        <f>ORA!$D$44</f>
        <v>7.9310117642487681</v>
      </c>
      <c r="P71" s="47">
        <f>ORA!$E$44</f>
        <v>10.624105590330734</v>
      </c>
      <c r="Q71" s="47">
        <f>ORA!$F$44</f>
        <v>7.9435806506443933</v>
      </c>
      <c r="R71" s="47">
        <f>ORA!$G$44</f>
        <v>7.5009873786209997</v>
      </c>
      <c r="S71" s="45">
        <f>ORA!$H$44</f>
        <v>1.8755703435594517E-2</v>
      </c>
      <c r="T71" s="46"/>
      <c r="U71" s="48" t="str">
        <f t="shared" si="6"/>
        <v>EUR 10.72</v>
      </c>
      <c r="V71" s="69" t="str">
        <f t="shared" si="6"/>
        <v>Orange</v>
      </c>
      <c r="AE71" s="41"/>
      <c r="AF71" s="31"/>
      <c r="AG71" s="31"/>
      <c r="AI71" s="41"/>
      <c r="AJ71" s="64"/>
      <c r="AK71" s="64"/>
      <c r="AM71" s="41"/>
      <c r="AN71" s="64"/>
      <c r="AO71" s="64"/>
      <c r="AQ71" s="41"/>
      <c r="AR71" s="64"/>
      <c r="AS71" s="64"/>
      <c r="AT71" s="69"/>
    </row>
    <row r="72" spans="1:69" s="5" customFormat="1">
      <c r="A72" s="41"/>
      <c r="B72" s="42"/>
      <c r="C72" s="48" t="s">
        <v>454</v>
      </c>
      <c r="D72" s="44" t="str">
        <f t="shared" si="5"/>
        <v>EUR 15.08</v>
      </c>
      <c r="E72" s="44" t="str">
        <f t="shared" si="5"/>
        <v>EUR 18.50</v>
      </c>
      <c r="F72" s="45">
        <f t="shared" si="5"/>
        <v>0.22679045092838201</v>
      </c>
      <c r="G72" s="44" t="str">
        <f t="shared" si="5"/>
        <v>Buy</v>
      </c>
      <c r="H72" s="46"/>
      <c r="I72" s="47">
        <f>OTE!$D$40</f>
        <v>14.578051114745747</v>
      </c>
      <c r="J72" s="47">
        <f>OTE!$E$40</f>
        <v>13.181863532430102</v>
      </c>
      <c r="K72" s="47">
        <f>OTE!$F$40</f>
        <v>11.730498663868451</v>
      </c>
      <c r="L72" s="47">
        <f>OTE!$G$40</f>
        <v>10.540125287850053</v>
      </c>
      <c r="M72" s="45">
        <f>OTE!$H$40</f>
        <v>3.431499031583507E-2</v>
      </c>
      <c r="N72" s="46"/>
      <c r="O72" s="47">
        <f>OTE!$D$44</f>
        <v>12.959089052679275</v>
      </c>
      <c r="P72" s="47">
        <f>OTE!$E$44</f>
        <v>11.971154957700969</v>
      </c>
      <c r="Q72" s="47">
        <f>OTE!$F$44</f>
        <v>10.909038369965224</v>
      </c>
      <c r="R72" s="47">
        <f>OTE!$G$44</f>
        <v>10.301569328772635</v>
      </c>
      <c r="S72" s="45">
        <f>OTE!$H$44</f>
        <v>4.0294807143788525E-2</v>
      </c>
      <c r="T72" s="46"/>
      <c r="U72" s="48" t="str">
        <f t="shared" si="6"/>
        <v>EUR 15.08</v>
      </c>
      <c r="V72" s="69" t="str">
        <f t="shared" si="6"/>
        <v>OTE</v>
      </c>
      <c r="AE72" s="41"/>
      <c r="AF72" s="31"/>
      <c r="AG72" s="31"/>
      <c r="AI72" s="41"/>
      <c r="AJ72" s="64"/>
      <c r="AK72" s="64"/>
      <c r="AM72" s="41"/>
      <c r="AN72" s="64"/>
      <c r="AO72" s="64"/>
      <c r="AQ72" s="41"/>
      <c r="AR72" s="64"/>
      <c r="AS72" s="64"/>
      <c r="AT72" s="69"/>
    </row>
    <row r="73" spans="1:69" s="5" customFormat="1">
      <c r="A73" s="41"/>
      <c r="B73" s="42"/>
      <c r="C73" s="48" t="s">
        <v>809</v>
      </c>
      <c r="D73" s="44" t="str">
        <f t="shared" si="5"/>
        <v>EUR 6.8</v>
      </c>
      <c r="E73" s="44" t="str">
        <f t="shared" si="5"/>
        <v>EUR 9.5</v>
      </c>
      <c r="F73" s="45">
        <f t="shared" si="5"/>
        <v>0.39296187683284445</v>
      </c>
      <c r="G73" s="44" t="str">
        <f t="shared" si="5"/>
        <v>Neutral</v>
      </c>
      <c r="H73" s="46"/>
      <c r="I73" s="47">
        <f>PROX!$D$40</f>
        <v>28.861953803486337</v>
      </c>
      <c r="J73" s="47">
        <f>PROX!$E$40</f>
        <v>16.698855082430526</v>
      </c>
      <c r="K73" s="47">
        <f>PROX!$F$40</f>
        <v>13.870899578849716</v>
      </c>
      <c r="L73" s="47">
        <f>PROX!$G$40</f>
        <v>12.235046215984132</v>
      </c>
      <c r="M73" s="45">
        <f>PROX!$H$40</f>
        <v>0.22111404086623665</v>
      </c>
      <c r="N73" s="46"/>
      <c r="O73" s="47">
        <f>PROX!$D$44</f>
        <v>5.226711989613257</v>
      </c>
      <c r="P73" s="47">
        <f>PROX!$E$44</f>
        <v>7.2997235431131982</v>
      </c>
      <c r="Q73" s="47">
        <f>PROX!$F$44</f>
        <v>12.442781709469312</v>
      </c>
      <c r="R73" s="47">
        <f>PROX!$G$44</f>
        <v>19.989720810019019</v>
      </c>
      <c r="S73" s="45">
        <f>PROX!$H$44</f>
        <v>-0.36054898602874064</v>
      </c>
      <c r="T73" s="46"/>
      <c r="U73" s="48" t="str">
        <f t="shared" ref="U73:U78" si="7">U13</f>
        <v>EUR 6.8</v>
      </c>
      <c r="V73" s="69" t="s">
        <v>809</v>
      </c>
      <c r="AE73" s="41"/>
      <c r="AF73" s="31"/>
      <c r="AG73" s="31"/>
      <c r="AI73" s="41"/>
      <c r="AJ73" s="64"/>
      <c r="AK73" s="64"/>
      <c r="AM73" s="41"/>
      <c r="AN73" s="64"/>
      <c r="AO73" s="64"/>
      <c r="AQ73" s="41"/>
      <c r="AR73" s="64"/>
      <c r="AS73" s="64"/>
      <c r="AT73" s="69"/>
    </row>
    <row r="74" spans="1:69">
      <c r="C74" s="48" t="s">
        <v>458</v>
      </c>
      <c r="D74" s="44" t="str">
        <f t="shared" si="5"/>
        <v>CHF549</v>
      </c>
      <c r="E74" s="44" t="str">
        <f t="shared" si="5"/>
        <v>CHF600</v>
      </c>
      <c r="F74" s="45">
        <f t="shared" si="5"/>
        <v>9.2896174863388081E-2</v>
      </c>
      <c r="G74" s="44" t="str">
        <f t="shared" si="5"/>
        <v>Neutral</v>
      </c>
      <c r="H74" s="46"/>
      <c r="I74" s="47">
        <f>SWISS!$D$40</f>
        <v>23.017816300362188</v>
      </c>
      <c r="J74" s="47">
        <f>SWISS!$E$40</f>
        <v>23.564024732072493</v>
      </c>
      <c r="K74" s="47">
        <f>SWISS!$F$40</f>
        <v>21.027801775019878</v>
      </c>
      <c r="L74" s="47">
        <f>SWISS!$G$40</f>
        <v>22.562259530162699</v>
      </c>
      <c r="M74" s="45">
        <f>SWISS!$H$40</f>
        <v>4.4581578775683584E-2</v>
      </c>
      <c r="N74" s="46"/>
      <c r="O74" s="47">
        <f>SWISS!$D$44</f>
        <v>16.42603176402098</v>
      </c>
      <c r="P74" s="47">
        <f>SWISS!$E$44</f>
        <v>17.030164700980709</v>
      </c>
      <c r="Q74" s="47">
        <f>SWISS!$F$44</f>
        <v>10.981947870156828</v>
      </c>
      <c r="R74" s="47">
        <f>SWISS!$G$44</f>
        <v>11.278497769879573</v>
      </c>
      <c r="S74" s="45">
        <f>SWISS!$H$44</f>
        <v>0.13351463940292296</v>
      </c>
      <c r="T74" s="46"/>
      <c r="U74" s="48" t="str">
        <f t="shared" si="7"/>
        <v>CHF549</v>
      </c>
      <c r="V74" s="69" t="str">
        <f t="shared" ref="V74:V79" si="8">V14</f>
        <v>Swisscom</v>
      </c>
    </row>
    <row r="75" spans="1:69" s="5" customFormat="1">
      <c r="A75" s="41"/>
      <c r="B75" s="42"/>
      <c r="C75" s="48" t="s">
        <v>265</v>
      </c>
      <c r="D75" s="44" t="str">
        <f t="shared" si="5"/>
        <v>EUR 0.24</v>
      </c>
      <c r="E75" s="44" t="str">
        <f t="shared" si="5"/>
        <v>EUR 0.34</v>
      </c>
      <c r="F75" s="45">
        <f t="shared" si="5"/>
        <v>0.44006776789495983</v>
      </c>
      <c r="G75" s="44" t="str">
        <f t="shared" si="5"/>
        <v>Buy</v>
      </c>
      <c r="H75" s="46"/>
      <c r="I75" s="47">
        <f>TI!$D$40</f>
        <v>33.181785310976387</v>
      </c>
      <c r="J75" s="47">
        <f>TI!$E$40</f>
        <v>28.356323750361451</v>
      </c>
      <c r="K75" s="47">
        <f>TI!$F$40</f>
        <v>24.584757697882186</v>
      </c>
      <c r="L75" s="47">
        <f>TI!$G$40</f>
        <v>19.258692512015969</v>
      </c>
      <c r="M75" s="45">
        <f>TI!$H$40</f>
        <v>0.19638152332503056</v>
      </c>
      <c r="N75" s="46"/>
      <c r="O75" s="47">
        <f>TI!$D$44</f>
        <v>-8.4081094154100278</v>
      </c>
      <c r="P75" s="47">
        <f>TI!$E$44</f>
        <v>-15.333035168006301</v>
      </c>
      <c r="Q75" s="47">
        <f>TI!$F$44</f>
        <v>-36.041739440176222</v>
      </c>
      <c r="R75" s="47">
        <f>TI!$G$44</f>
        <v>-116.58927669970605</v>
      </c>
      <c r="S75" s="45">
        <f>TI!$H$44</f>
        <v>-0.58375734582214434</v>
      </c>
      <c r="T75" s="46"/>
      <c r="U75" s="48" t="str">
        <f t="shared" si="7"/>
        <v>EUR 0.24</v>
      </c>
      <c r="V75" s="69" t="str">
        <f t="shared" si="8"/>
        <v>Telecom Italia</v>
      </c>
      <c r="AE75" s="41"/>
      <c r="AF75" s="31"/>
      <c r="AG75" s="31"/>
      <c r="AI75" s="41"/>
      <c r="AJ75" s="64"/>
      <c r="AK75" s="64"/>
      <c r="AM75" s="41"/>
      <c r="AN75" s="64"/>
      <c r="AO75" s="64"/>
      <c r="AQ75" s="41"/>
      <c r="AR75" s="64"/>
      <c r="AS75" s="64"/>
      <c r="AT75" s="69"/>
      <c r="AU75" s="69"/>
      <c r="AV75" s="69"/>
      <c r="AW75" s="69"/>
    </row>
    <row r="76" spans="1:69" s="5" customFormat="1">
      <c r="A76" s="41"/>
      <c r="B76" s="42"/>
      <c r="C76" s="48" t="s">
        <v>456</v>
      </c>
      <c r="D76" s="44" t="str">
        <f t="shared" si="5"/>
        <v>EUR 4.21</v>
      </c>
      <c r="E76" s="44" t="str">
        <f t="shared" si="5"/>
        <v>EUR 4.30</v>
      </c>
      <c r="F76" s="45">
        <f t="shared" si="5"/>
        <v>2.065036790885344E-2</v>
      </c>
      <c r="G76" s="44" t="str">
        <f t="shared" si="5"/>
        <v>Neutral</v>
      </c>
      <c r="H76" s="46"/>
      <c r="I76" s="47">
        <f>TEF!$D$40</f>
        <v>15.647519887939341</v>
      </c>
      <c r="J76" s="47">
        <f>TEF!$E$40</f>
        <v>15.534927219549726</v>
      </c>
      <c r="K76" s="47">
        <f>TEF!$F$40</f>
        <v>14.032974727382648</v>
      </c>
      <c r="L76" s="47">
        <f>TEF!$G$40</f>
        <v>12.59344563723373</v>
      </c>
      <c r="M76" s="45">
        <f>TEF!$H$40</f>
        <v>3.4093559005258234E-2</v>
      </c>
      <c r="N76" s="46"/>
      <c r="O76" s="47">
        <f>TEF!$D$44</f>
        <v>13.955493432994237</v>
      </c>
      <c r="P76" s="47">
        <f>TEF!$E$44</f>
        <v>9.9995669000400458</v>
      </c>
      <c r="Q76" s="47">
        <f>TEF!$F$44</f>
        <v>9.4906468571998399</v>
      </c>
      <c r="R76" s="47">
        <f>TEF!$G$44</f>
        <v>7.8992481843893083</v>
      </c>
      <c r="S76" s="45">
        <f>TEF!$H$44</f>
        <v>0.20888914861646413</v>
      </c>
      <c r="T76" s="46"/>
      <c r="U76" s="48" t="str">
        <f t="shared" si="7"/>
        <v>EUR 4.21</v>
      </c>
      <c r="V76" s="69" t="str">
        <f t="shared" si="8"/>
        <v>Telefonica</v>
      </c>
      <c r="AE76" s="41"/>
      <c r="AF76" s="31"/>
      <c r="AG76" s="31"/>
      <c r="AI76" s="41"/>
      <c r="AJ76" s="64"/>
      <c r="AK76" s="64"/>
      <c r="AM76" s="41"/>
      <c r="AN76" s="64"/>
      <c r="AO76" s="64"/>
      <c r="AQ76" s="41"/>
      <c r="AR76" s="64"/>
      <c r="AS76" s="64"/>
      <c r="AT76" s="69"/>
    </row>
    <row r="77" spans="1:69" s="5" customFormat="1">
      <c r="A77" s="41"/>
      <c r="B77" s="42"/>
      <c r="C77" s="48" t="s">
        <v>457</v>
      </c>
      <c r="D77" s="44" t="str">
        <f t="shared" si="5"/>
        <v>NOK 135</v>
      </c>
      <c r="E77" s="44" t="str">
        <f t="shared" si="5"/>
        <v>NOK 138</v>
      </c>
      <c r="F77" s="45">
        <f t="shared" si="5"/>
        <v>2.3738872403560762E-2</v>
      </c>
      <c r="G77" s="44" t="str">
        <f t="shared" si="5"/>
        <v>Buy</v>
      </c>
      <c r="H77" s="46"/>
      <c r="I77" s="47">
        <f>TNOR!$D$40</f>
        <v>14.086961455161143</v>
      </c>
      <c r="J77" s="47">
        <f>TNOR!$E$40</f>
        <v>12.428557563988285</v>
      </c>
      <c r="K77" s="47">
        <f>TNOR!$F$40</f>
        <v>11.941394321593362</v>
      </c>
      <c r="L77" s="47">
        <f>TNOR!$G$40</f>
        <v>11.002646229707466</v>
      </c>
      <c r="M77" s="45">
        <f>TNOR!$H$40</f>
        <v>2.7891812734738508E-2</v>
      </c>
      <c r="N77" s="46"/>
      <c r="O77" s="47">
        <f>TNOR!$D$44</f>
        <v>-62.439488155328043</v>
      </c>
      <c r="P77" s="47">
        <f>TNOR!$E$44</f>
        <v>26.469594948844183</v>
      </c>
      <c r="Q77" s="47">
        <f>TNOR!$F$44</f>
        <v>25.670522956507288</v>
      </c>
      <c r="R77" s="47">
        <f>TNOR!$G$44</f>
        <v>21.321184804173502</v>
      </c>
      <c r="S77" s="45">
        <f>TNOR!$H$44</f>
        <v>-2.4305814003273714</v>
      </c>
      <c r="T77" s="46"/>
      <c r="U77" s="48" t="str">
        <f t="shared" si="7"/>
        <v>NOK 135</v>
      </c>
      <c r="V77" s="44" t="str">
        <f t="shared" si="8"/>
        <v>Telenor</v>
      </c>
      <c r="AE77" s="41"/>
      <c r="AF77" s="31"/>
      <c r="AG77" s="31"/>
      <c r="AI77" s="41"/>
      <c r="AJ77" s="64"/>
      <c r="AK77" s="64"/>
      <c r="AM77" s="41"/>
      <c r="AN77" s="64"/>
      <c r="AO77" s="64"/>
      <c r="AQ77" s="41"/>
      <c r="AR77" s="64"/>
      <c r="AS77" s="64"/>
      <c r="AU77" s="69"/>
      <c r="AV77" s="69"/>
      <c r="AW77" s="69"/>
    </row>
    <row r="78" spans="1:69">
      <c r="A78" s="41"/>
      <c r="C78" s="48" t="s">
        <v>1030</v>
      </c>
      <c r="D78" s="44" t="str">
        <f t="shared" si="5"/>
        <v>SEK33.4</v>
      </c>
      <c r="E78" s="44" t="str">
        <f t="shared" si="5"/>
        <v>SEK33.0</v>
      </c>
      <c r="F78" s="45">
        <f t="shared" si="5"/>
        <v>-1.2567324955116699E-2</v>
      </c>
      <c r="G78" s="44" t="str">
        <f t="shared" si="5"/>
        <v>Buy</v>
      </c>
      <c r="H78" s="46"/>
      <c r="I78" s="47">
        <f>TELIA!$D$40</f>
        <v>21.780748586250859</v>
      </c>
      <c r="J78" s="47">
        <f>TELIA!$E$40</f>
        <v>20.285460774360562</v>
      </c>
      <c r="K78" s="47">
        <f>TELIA!$F$40</f>
        <v>18.638378296996805</v>
      </c>
      <c r="L78" s="47">
        <f>TELIA!$G$40</f>
        <v>17.807799807644898</v>
      </c>
      <c r="M78" s="45">
        <f>TELIA!$H$40</f>
        <v>2.4215318317042822E-2</v>
      </c>
      <c r="N78" s="46"/>
      <c r="O78" s="47">
        <f>TELIA!$D$44</f>
        <v>33.735747535243938</v>
      </c>
      <c r="P78" s="47">
        <f>TELIA!$E$44</f>
        <v>38.446185847013233</v>
      </c>
      <c r="Q78" s="47">
        <f>TELIA!$F$44</f>
        <v>32.201490553398152</v>
      </c>
      <c r="R78" s="47">
        <f>TELIA!$G$44</f>
        <v>31.859592589245914</v>
      </c>
      <c r="S78" s="45">
        <f>TELIA!$H$44</f>
        <v>1.9256226907571561E-2</v>
      </c>
      <c r="T78" s="46"/>
      <c r="U78" s="48" t="str">
        <f t="shared" si="7"/>
        <v>SEK33.4</v>
      </c>
      <c r="V78" s="44" t="str">
        <f t="shared" si="8"/>
        <v>TeliaSonera</v>
      </c>
      <c r="AB78" s="5"/>
      <c r="AE78" s="41"/>
      <c r="AF78" s="31"/>
      <c r="AG78" s="31"/>
      <c r="AI78" s="41"/>
      <c r="AJ78" s="64"/>
      <c r="AK78" s="64"/>
      <c r="AM78" s="41"/>
      <c r="AN78" s="64"/>
      <c r="AO78" s="64"/>
      <c r="AQ78" s="41"/>
      <c r="AR78" s="64"/>
      <c r="AS78" s="64"/>
      <c r="AT78" s="69"/>
      <c r="AU78" s="69"/>
      <c r="AV78" s="69"/>
      <c r="AW78" s="69"/>
    </row>
    <row r="79" spans="1:69" s="5" customFormat="1">
      <c r="A79" s="41"/>
      <c r="B79" s="42"/>
      <c r="C79" s="51" t="str">
        <f>C19</f>
        <v>Agg. W.Europe Incumbent</v>
      </c>
      <c r="D79" s="52"/>
      <c r="E79" s="52"/>
      <c r="F79" s="53"/>
      <c r="G79" s="52"/>
      <c r="H79" s="46"/>
      <c r="I79" s="54">
        <f>'W.EUR INCUMB'!$D$40</f>
        <v>19.339744496779815</v>
      </c>
      <c r="J79" s="54">
        <f>'W.EUR INCUMB'!$E$40</f>
        <v>17.276353493974074</v>
      </c>
      <c r="K79" s="54">
        <f>'W.EUR INCUMB'!$F$40</f>
        <v>15.66107051831025</v>
      </c>
      <c r="L79" s="54">
        <f>'W.EUR INCUMB'!$G$40</f>
        <v>14.141834234325257</v>
      </c>
      <c r="M79" s="55">
        <f>'W.EUR INCUMB'!$H$40</f>
        <v>8.469093930722682E-2</v>
      </c>
      <c r="N79" s="56"/>
      <c r="O79" s="54">
        <f>'W.EUR INCUMB'!$D$44</f>
        <v>16.094330112606372</v>
      </c>
      <c r="P79" s="54">
        <f>'W.EUR INCUMB'!$E$44</f>
        <v>14.698546474183305</v>
      </c>
      <c r="Q79" s="54">
        <f>'W.EUR INCUMB'!$F$44</f>
        <v>12.497074000192443</v>
      </c>
      <c r="R79" s="54">
        <f>'W.EUR INCUMB'!$G$44</f>
        <v>11.463885927650526</v>
      </c>
      <c r="S79" s="55">
        <f>'W.EUR INCUMB'!$H$44</f>
        <v>0.11441168592236295</v>
      </c>
      <c r="T79" s="46"/>
      <c r="U79" s="57"/>
      <c r="V79" s="58" t="str">
        <f t="shared" si="8"/>
        <v>Agg. W.Europe Incumbent</v>
      </c>
      <c r="AB79" s="63"/>
      <c r="AE79" s="41"/>
      <c r="AF79" s="31"/>
      <c r="AG79" s="31"/>
      <c r="AI79" s="41"/>
      <c r="AJ79" s="64"/>
      <c r="AK79" s="64"/>
      <c r="AM79" s="41"/>
      <c r="AN79" s="64"/>
      <c r="AO79" s="64"/>
      <c r="AQ79" s="41"/>
      <c r="AR79" s="64"/>
      <c r="AS79" s="64"/>
      <c r="AT79" s="69"/>
    </row>
    <row r="80" spans="1:69" s="5" customFormat="1">
      <c r="A80" s="41"/>
      <c r="B80" s="42"/>
      <c r="C80" s="48"/>
      <c r="D80" s="44"/>
      <c r="E80" s="44"/>
      <c r="F80" s="45"/>
      <c r="G80" s="44"/>
      <c r="H80" s="46"/>
      <c r="I80" s="47"/>
      <c r="J80" s="47"/>
      <c r="K80" s="47"/>
      <c r="L80" s="47"/>
      <c r="M80" s="45"/>
      <c r="N80" s="46"/>
      <c r="O80" s="47"/>
      <c r="P80" s="47"/>
      <c r="Q80" s="47"/>
      <c r="R80" s="47"/>
      <c r="S80" s="45"/>
      <c r="T80" s="46"/>
      <c r="U80" s="48"/>
      <c r="V80" s="44"/>
      <c r="AE80" s="41"/>
      <c r="AF80" s="31"/>
      <c r="AG80" s="31"/>
      <c r="AI80" s="41"/>
      <c r="AJ80" s="64"/>
      <c r="AK80" s="64"/>
      <c r="AM80" s="41"/>
      <c r="AN80" s="64"/>
      <c r="AO80" s="64"/>
      <c r="AQ80" s="41"/>
      <c r="AR80" s="64"/>
      <c r="AS80" s="64"/>
    </row>
    <row r="81" spans="1:113" s="5" customFormat="1">
      <c r="A81" s="41"/>
      <c r="B81" s="42" t="s">
        <v>514</v>
      </c>
      <c r="C81" s="48" t="s">
        <v>486</v>
      </c>
      <c r="D81" s="44" t="str">
        <f>B81&amp;TEXT(Prices!$C$40,"0.0")</f>
        <v>US$20.7</v>
      </c>
      <c r="E81" s="44" t="str">
        <f>B81&amp;TEXT(Prices!$E$40,"0.00")</f>
        <v>US$21.00</v>
      </c>
      <c r="F81" s="45">
        <f>Prices!$F$40</f>
        <v>1.6949152542373058E-2</v>
      </c>
      <c r="G81" s="44" t="str">
        <f>Prices!$D$40</f>
        <v>Neutral</v>
      </c>
      <c r="H81" s="46"/>
      <c r="I81" s="47">
        <f>ATT!$D$40</f>
        <v>19.036091106732794</v>
      </c>
      <c r="J81" s="47">
        <f>ATT!$E$40</f>
        <v>16.553165361637742</v>
      </c>
      <c r="K81" s="47">
        <f>ATT!$F$40</f>
        <v>15.070212134074429</v>
      </c>
      <c r="L81" s="47">
        <f>ATT!$G$40</f>
        <v>13.32224137062911</v>
      </c>
      <c r="M81" s="45">
        <f>ATT!$H$40</f>
        <v>5.0412347837009097E-2</v>
      </c>
      <c r="N81" s="46"/>
      <c r="O81" s="47">
        <f>ATT!D$44</f>
        <v>8.5412985691974654</v>
      </c>
      <c r="P81" s="47">
        <f>ATT!$E$44</f>
        <v>9.1827434553636884</v>
      </c>
      <c r="Q81" s="47">
        <f>ATT!$F$44</f>
        <v>9.1813677847177662</v>
      </c>
      <c r="R81" s="47">
        <f>ATT!$G$44</f>
        <v>8.8135685411628497</v>
      </c>
      <c r="S81" s="45">
        <f>ATT!$H$44</f>
        <v>-1.0198763626019569E-2</v>
      </c>
      <c r="T81" s="46"/>
      <c r="U81" s="48" t="str">
        <f>U21</f>
        <v>USD20.7</v>
      </c>
      <c r="V81" s="44" t="str">
        <f>V21</f>
        <v>AT&amp;T</v>
      </c>
      <c r="AE81" s="41"/>
      <c r="AF81" s="31"/>
      <c r="AG81" s="31"/>
      <c r="AI81" s="41"/>
      <c r="AJ81" s="64"/>
      <c r="AK81" s="64"/>
      <c r="AM81" s="41"/>
      <c r="AN81" s="64"/>
      <c r="AO81" s="64"/>
      <c r="AQ81" s="41"/>
      <c r="AR81" s="64"/>
      <c r="AS81" s="64"/>
    </row>
    <row r="82" spans="1:113">
      <c r="B82" s="42" t="s">
        <v>514</v>
      </c>
      <c r="C82" s="48" t="s">
        <v>687</v>
      </c>
      <c r="D82" s="44" t="str">
        <f>B82&amp;TEXT(Prices!$C$41,"0.0")</f>
        <v>US$197.2</v>
      </c>
      <c r="E82" s="44" t="str">
        <f>B82&amp;TEXT(Prices!$E$41,"0.0")</f>
        <v>US$205.0</v>
      </c>
      <c r="F82" s="45">
        <f>Prices!$F$41</f>
        <v>3.9659194644487306E-2</v>
      </c>
      <c r="G82" s="44" t="str">
        <f>Prices!$D$41</f>
        <v>Buy</v>
      </c>
      <c r="H82" s="46"/>
      <c r="I82" s="47">
        <f>TMUS!$D$40</f>
        <v>22.868833616235097</v>
      </c>
      <c r="J82" s="47">
        <f>TMUS!$E$40</f>
        <v>17.92338506001424</v>
      </c>
      <c r="K82" s="47">
        <f>TMUS!$F$40</f>
        <v>15.296181455597063</v>
      </c>
      <c r="L82" s="47">
        <f>TMUS!$G$40</f>
        <v>13.302040715016499</v>
      </c>
      <c r="M82" s="45">
        <f>TMUS!$H$40</f>
        <v>0.12836745054202159</v>
      </c>
      <c r="N82" s="46"/>
      <c r="O82" s="47">
        <f>TMUS!$D$44</f>
        <v>28.44697138924252</v>
      </c>
      <c r="P82" s="47">
        <f>TMUS!$E$44</f>
        <v>22.072619096154266</v>
      </c>
      <c r="Q82" s="47">
        <f>TMUS!$F$44</f>
        <v>16.755624268803032</v>
      </c>
      <c r="R82" s="47">
        <f>TMUS!$G$44</f>
        <v>13.379877104379618</v>
      </c>
      <c r="S82" s="45">
        <f>TMUS!$H$44</f>
        <v>0.17473430729807138</v>
      </c>
      <c r="T82" s="46"/>
      <c r="U82" s="48" t="str">
        <f>U22</f>
        <v>USD197.2</v>
      </c>
      <c r="V82" s="44" t="str">
        <f>V22</f>
        <v>TMUS</v>
      </c>
      <c r="AB82" s="5"/>
      <c r="AE82" s="41"/>
      <c r="AF82" s="31"/>
      <c r="AG82" s="31"/>
      <c r="AI82" s="41"/>
      <c r="AJ82" s="64"/>
      <c r="AK82" s="64"/>
      <c r="AM82" s="41"/>
      <c r="AN82" s="64"/>
      <c r="AO82" s="64"/>
      <c r="AQ82" s="41"/>
      <c r="AR82" s="64"/>
      <c r="AS82" s="64"/>
    </row>
    <row r="83" spans="1:113" s="5" customFormat="1">
      <c r="A83" s="41"/>
      <c r="B83" s="42" t="s">
        <v>514</v>
      </c>
      <c r="C83" s="48" t="s">
        <v>33</v>
      </c>
      <c r="D83" s="44" t="str">
        <f>B83&amp;TEXT(Prices!$C$39,"0.0")</f>
        <v>US$41.3</v>
      </c>
      <c r="E83" s="44" t="str">
        <f>B83&amp;TEXT(Prices!$E$39,"0.00")</f>
        <v>US$45.00</v>
      </c>
      <c r="F83" s="45">
        <f>Prices!$F$39</f>
        <v>8.9324618736383421E-2</v>
      </c>
      <c r="G83" s="44" t="str">
        <f>Prices!$D$39</f>
        <v>Neutral</v>
      </c>
      <c r="H83" s="46"/>
      <c r="I83" s="47">
        <f>VZN!$D$40</f>
        <v>16.70203308744922</v>
      </c>
      <c r="J83" s="47">
        <f>VZN!$E$40</f>
        <v>15.775448198428389</v>
      </c>
      <c r="K83" s="47">
        <f>VZN!$F$40</f>
        <v>14.132593194152008</v>
      </c>
      <c r="L83" s="47">
        <f>VZN!$G$40</f>
        <v>12.652276950338731</v>
      </c>
      <c r="M83" s="45">
        <f>VZN!$H$40</f>
        <v>2.4717906870642015E-2</v>
      </c>
      <c r="N83" s="46"/>
      <c r="O83" s="47">
        <f>VZN!$D$44</f>
        <v>9.971129510537077</v>
      </c>
      <c r="P83" s="47">
        <f>VZN!$E$44</f>
        <v>10.229526946516295</v>
      </c>
      <c r="Q83" s="47">
        <f>VZN!$F$44</f>
        <v>9.8461474094155754</v>
      </c>
      <c r="R83" s="47">
        <f>VZN!$G$44</f>
        <v>9.5391868394186456</v>
      </c>
      <c r="S83" s="45">
        <f>VZN!$H$44</f>
        <v>1.4911511178814063E-2</v>
      </c>
      <c r="T83" s="46"/>
      <c r="U83" s="48" t="str">
        <f>U23</f>
        <v>USD41.3</v>
      </c>
      <c r="V83" s="44" t="s">
        <v>33</v>
      </c>
      <c r="AB83" s="63"/>
      <c r="AE83" s="41"/>
      <c r="AF83" s="31"/>
      <c r="AG83" s="31"/>
      <c r="AI83" s="41"/>
      <c r="AJ83" s="64"/>
      <c r="AK83" s="64"/>
      <c r="AM83" s="41"/>
      <c r="AN83" s="64"/>
      <c r="AO83" s="64"/>
      <c r="AQ83" s="41"/>
      <c r="AR83" s="64"/>
      <c r="AS83" s="64"/>
    </row>
    <row r="84" spans="1:113" s="5" customFormat="1">
      <c r="A84" s="41"/>
      <c r="B84" s="42"/>
      <c r="C84" s="51" t="s">
        <v>257</v>
      </c>
      <c r="D84" s="52"/>
      <c r="E84" s="52"/>
      <c r="F84" s="53"/>
      <c r="G84" s="52"/>
      <c r="H84" s="46"/>
      <c r="I84" s="54">
        <f>'US TELCO'!$D$40</f>
        <v>19.214894465576968</v>
      </c>
      <c r="J84" s="54">
        <f>'US TELCO'!$E$40</f>
        <v>16.71537636399913</v>
      </c>
      <c r="K84" s="54">
        <f>'US TELCO'!$F$40</f>
        <v>14.808303046381596</v>
      </c>
      <c r="L84" s="54">
        <f>'US TELCO'!$G$40</f>
        <v>13.077466088113542</v>
      </c>
      <c r="M84" s="55">
        <f>'US TELCO'!$H$40</f>
        <v>6.4487323949837583E-2</v>
      </c>
      <c r="N84" s="46"/>
      <c r="O84" s="54">
        <f>'US TELCO'!$D$44</f>
        <v>12.896141683059501</v>
      </c>
      <c r="P84" s="54">
        <f>'US TELCO'!$E$44</f>
        <v>12.533526105398932</v>
      </c>
      <c r="Q84" s="54">
        <f>'US TELCO'!$F$44</f>
        <v>11.378316950649831</v>
      </c>
      <c r="R84" s="54">
        <f>'US TELCO'!$G$44</f>
        <v>10.34083266993402</v>
      </c>
      <c r="S84" s="55">
        <f>'US TELCO'!$H$44</f>
        <v>3.9965241834319487E-2</v>
      </c>
      <c r="T84" s="46"/>
      <c r="U84" s="57"/>
      <c r="V84" s="58" t="str">
        <f>V24</f>
        <v>Agg. US Telecoms</v>
      </c>
      <c r="AE84" s="41"/>
      <c r="AF84" s="31"/>
      <c r="AG84" s="31"/>
      <c r="AJ84" s="64"/>
      <c r="AK84" s="64"/>
      <c r="AM84" s="41"/>
      <c r="AN84" s="64"/>
      <c r="AO84" s="64"/>
      <c r="AQ84" s="41"/>
      <c r="AR84" s="64"/>
      <c r="AS84" s="64"/>
    </row>
    <row r="85" spans="1:113" s="5" customFormat="1">
      <c r="A85" s="41"/>
      <c r="B85" s="42"/>
      <c r="C85" s="48"/>
      <c r="D85" s="44"/>
      <c r="E85" s="44"/>
      <c r="F85" s="45"/>
      <c r="G85" s="44"/>
      <c r="H85" s="46"/>
      <c r="I85" s="47"/>
      <c r="J85" s="47"/>
      <c r="K85" s="47"/>
      <c r="L85" s="47"/>
      <c r="M85" s="45"/>
      <c r="N85" s="46"/>
      <c r="O85" s="47"/>
      <c r="P85" s="47"/>
      <c r="Q85" s="47"/>
      <c r="R85" s="47"/>
      <c r="S85" s="45"/>
      <c r="T85" s="46"/>
      <c r="U85" s="48"/>
      <c r="V85" s="44"/>
      <c r="AE85" s="41"/>
      <c r="AF85" s="31"/>
      <c r="AG85" s="31"/>
      <c r="AI85" s="41"/>
      <c r="AJ85" s="64"/>
      <c r="AK85" s="64"/>
      <c r="AM85" s="41"/>
      <c r="AN85" s="64"/>
      <c r="AO85" s="64"/>
      <c r="AQ85" s="41"/>
      <c r="AR85" s="64"/>
      <c r="AS85" s="64"/>
    </row>
    <row r="86" spans="1:113" s="5" customFormat="1">
      <c r="A86" s="41"/>
      <c r="B86" s="42"/>
      <c r="C86" s="48" t="str">
        <f>C26</f>
        <v>NTT</v>
      </c>
      <c r="D86" s="44" t="str">
        <f>D26</f>
        <v>JPY 156</v>
      </c>
      <c r="E86" s="44" t="str">
        <f>E26</f>
        <v>JPY 240</v>
      </c>
      <c r="F86" s="45">
        <f>F26</f>
        <v>0.54340836012861726</v>
      </c>
      <c r="G86" s="44" t="str">
        <f>G26</f>
        <v>Buy</v>
      </c>
      <c r="H86" s="46"/>
      <c r="I86" s="47">
        <f>NTT!$D$40</f>
        <v>24.202852644914316</v>
      </c>
      <c r="J86" s="47">
        <f>NTT!$E$40</f>
        <v>24.603400295699906</v>
      </c>
      <c r="K86" s="47">
        <f>NTT!$F$40</f>
        <v>17.705576960190189</v>
      </c>
      <c r="L86" s="47">
        <f>NTT!$G$40</f>
        <v>15.795255935474401</v>
      </c>
      <c r="M86" s="45">
        <f>NTT!$H$40</f>
        <v>0.11746692517018942</v>
      </c>
      <c r="N86" s="46"/>
      <c r="O86" s="47">
        <f>NTT!$D$44</f>
        <v>10.217787312043999</v>
      </c>
      <c r="P86" s="47">
        <f>NTT!$E$44</f>
        <v>10.53981810603805</v>
      </c>
      <c r="Q86" s="47">
        <f>NTT!$F$44</f>
        <v>8.3992378856584722</v>
      </c>
      <c r="R86" s="47">
        <f>NTT!$G$44</f>
        <v>7.8587388281335349</v>
      </c>
      <c r="S86" s="45">
        <f>NTT!$H$44</f>
        <v>7.115989827515512E-2</v>
      </c>
      <c r="T86" s="46"/>
      <c r="U86" s="48" t="str">
        <f>U26</f>
        <v>JPY 156</v>
      </c>
      <c r="V86" s="44" t="str">
        <f>V26</f>
        <v>NTT</v>
      </c>
      <c r="W86" s="43"/>
      <c r="X86" s="44"/>
      <c r="Y86" s="44"/>
      <c r="Z86" s="68"/>
      <c r="AF86" s="31"/>
      <c r="AG86" s="31"/>
      <c r="AJ86" s="64"/>
      <c r="AK86" s="64"/>
      <c r="AN86" s="64"/>
      <c r="AO86" s="64"/>
      <c r="AR86" s="64"/>
      <c r="AS86" s="64"/>
    </row>
    <row r="87" spans="1:113" s="5" customFormat="1">
      <c r="A87" s="41"/>
      <c r="B87" s="42"/>
      <c r="C87" s="48" t="s">
        <v>884</v>
      </c>
      <c r="D87" s="44" t="str">
        <f t="shared" ref="D87:G89" si="9">D27</f>
        <v>NZD 3.52</v>
      </c>
      <c r="E87" s="44" t="str">
        <f t="shared" si="9"/>
        <v>NZD 5.00</v>
      </c>
      <c r="F87" s="45">
        <f t="shared" si="9"/>
        <v>0.42045454545454541</v>
      </c>
      <c r="G87" s="44" t="str">
        <f t="shared" si="9"/>
        <v>Neutral</v>
      </c>
      <c r="H87" s="46"/>
      <c r="I87" s="47">
        <f>SPK!$D$40</f>
        <v>11.456292775958179</v>
      </c>
      <c r="J87" s="47">
        <f>SPK!$E$40</f>
        <v>10.400650588064401</v>
      </c>
      <c r="K87" s="47">
        <f>SPK!$F$40</f>
        <v>9.4515241942833494</v>
      </c>
      <c r="L87" s="47">
        <f>SPK!$G$40</f>
        <v>8.0636669263691498</v>
      </c>
      <c r="M87" s="45">
        <f>SPK!$H$40</f>
        <v>1.5048879877651355E-2</v>
      </c>
      <c r="N87" s="46"/>
      <c r="O87" s="47">
        <f>SPK!$D$44</f>
        <v>14.382937379843263</v>
      </c>
      <c r="P87" s="47">
        <f>SPK!$E$44</f>
        <v>13.789274753204834</v>
      </c>
      <c r="Q87" s="47">
        <f>SPK!$F$44</f>
        <v>13.369262021151302</v>
      </c>
      <c r="R87" s="47">
        <f>SPK!$G$44</f>
        <v>12.507822502954509</v>
      </c>
      <c r="S87" s="45">
        <f>SPK!$H$44</f>
        <v>4.9395199877763529E-2</v>
      </c>
      <c r="T87" s="46"/>
      <c r="U87" s="48" t="str">
        <f>U27</f>
        <v>NZD 3.52</v>
      </c>
      <c r="V87" s="44" t="str">
        <f>V27</f>
        <v>Spark NZ</v>
      </c>
      <c r="W87" s="43"/>
      <c r="X87" s="44"/>
      <c r="Y87" s="44"/>
      <c r="Z87" s="68"/>
      <c r="AE87" s="41"/>
      <c r="AF87" s="31"/>
      <c r="AG87" s="31"/>
      <c r="AI87" s="41"/>
      <c r="AJ87" s="64"/>
      <c r="AK87" s="64"/>
      <c r="AN87" s="64"/>
      <c r="AO87" s="64"/>
      <c r="AR87" s="64"/>
      <c r="AS87" s="64"/>
    </row>
    <row r="88" spans="1:113" s="5" customFormat="1">
      <c r="A88" s="41"/>
      <c r="B88" s="42"/>
      <c r="C88" s="48" t="str">
        <f>C28</f>
        <v>SingTel (prop.)</v>
      </c>
      <c r="D88" s="44" t="str">
        <f t="shared" si="9"/>
        <v>SGD 3.13</v>
      </c>
      <c r="E88" s="44" t="str">
        <f t="shared" si="9"/>
        <v>SGD 4.60</v>
      </c>
      <c r="F88" s="45">
        <f t="shared" si="9"/>
        <v>0.46964856230031948</v>
      </c>
      <c r="G88" s="44" t="str">
        <f t="shared" si="9"/>
        <v>Buy</v>
      </c>
      <c r="H88" s="46"/>
      <c r="I88" s="47">
        <f>PROPORTIONATES!$G$69</f>
        <v>15.125103393214005</v>
      </c>
      <c r="J88" s="47">
        <f>PROPORTIONATES!$H$69</f>
        <v>12.237444930133973</v>
      </c>
      <c r="K88" s="47">
        <f>PROPORTIONATES!$I$69</f>
        <v>10.133228778838182</v>
      </c>
      <c r="L88" s="47">
        <f>PROPORTIONATES!$J$69</f>
        <v>8.0224732512405392</v>
      </c>
      <c r="M88" s="45">
        <f>SINGTEL!$H$40</f>
        <v>0.10846461396795615</v>
      </c>
      <c r="N88" s="46"/>
      <c r="O88" s="47">
        <f>SINGTEL!$D$44</f>
        <v>65.18095862893081</v>
      </c>
      <c r="P88" s="47">
        <f>SINGTEL!$E$44</f>
        <v>20.368471018589368</v>
      </c>
      <c r="Q88" s="47">
        <f>SINGTEL!$F$44</f>
        <v>17.619265167834367</v>
      </c>
      <c r="R88" s="47">
        <f>SINGTEL!$G$44</f>
        <v>15.640568986050045</v>
      </c>
      <c r="S88" s="45">
        <f>SINGTEL!$H$44</f>
        <v>0.60924708737870259</v>
      </c>
      <c r="T88" s="46"/>
      <c r="U88" s="48" t="str">
        <f>U28</f>
        <v>SGD 3.13</v>
      </c>
      <c r="V88" s="44" t="s">
        <v>211</v>
      </c>
      <c r="W88" s="43"/>
      <c r="X88" s="44"/>
      <c r="Y88" s="44"/>
      <c r="Z88" s="68"/>
      <c r="AE88" s="41"/>
      <c r="AF88" s="31"/>
      <c r="AG88" s="31"/>
      <c r="AI88" s="41"/>
      <c r="AJ88" s="64"/>
      <c r="AK88" s="64"/>
      <c r="AM88" s="41"/>
      <c r="AN88" s="64"/>
      <c r="AO88" s="64"/>
      <c r="AQ88" s="41"/>
      <c r="AR88" s="64"/>
      <c r="AS88" s="64"/>
    </row>
    <row r="89" spans="1:113" s="5" customFormat="1">
      <c r="A89" s="41"/>
      <c r="B89" s="42"/>
      <c r="C89" s="48" t="str">
        <f>C29</f>
        <v xml:space="preserve">Telstra </v>
      </c>
      <c r="D89" s="44" t="str">
        <f t="shared" si="9"/>
        <v>AUD 3.93</v>
      </c>
      <c r="E89" s="44" t="str">
        <f t="shared" si="9"/>
        <v>AUD 3.50</v>
      </c>
      <c r="F89" s="45">
        <f t="shared" si="9"/>
        <v>-0.10941475826972014</v>
      </c>
      <c r="G89" s="44" t="str">
        <f t="shared" si="9"/>
        <v>Buy</v>
      </c>
      <c r="H89" s="46"/>
      <c r="I89" s="47">
        <f>TLS!$D$40</f>
        <v>12.425400152795179</v>
      </c>
      <c r="J89" s="47">
        <f>TLS!$E$40</f>
        <v>10.783205947436191</v>
      </c>
      <c r="K89" s="47">
        <f>TLS!$F$40</f>
        <v>11.128493513414378</v>
      </c>
      <c r="L89" s="47">
        <f>TLS!$G$40</f>
        <v>10.327382425673019</v>
      </c>
      <c r="M89" s="45">
        <f>TLS!$H$40</f>
        <v>-8.8902592586865836E-3</v>
      </c>
      <c r="N89" s="46"/>
      <c r="O89" s="47">
        <f>TLS!$D$44</f>
        <v>15.487419479428189</v>
      </c>
      <c r="P89" s="47">
        <f>TLS!$E$44</f>
        <v>14.52425297235769</v>
      </c>
      <c r="Q89" s="47">
        <f>TLS!$F$44</f>
        <v>16.612950537269018</v>
      </c>
      <c r="R89" s="47">
        <f>TLS!$G$44</f>
        <v>16.325012937413504</v>
      </c>
      <c r="S89" s="45">
        <f>TLS!$H$44</f>
        <v>-1.7403583875296058E-2</v>
      </c>
      <c r="T89" s="46"/>
      <c r="U89" s="48" t="str">
        <f>U29</f>
        <v>AUD 3.93</v>
      </c>
      <c r="V89" s="44" t="str">
        <f>V29</f>
        <v>Telstra</v>
      </c>
      <c r="W89" s="43"/>
      <c r="X89" s="44"/>
      <c r="Y89" s="44"/>
      <c r="Z89" s="68"/>
      <c r="AE89" s="41"/>
      <c r="AF89" s="31"/>
      <c r="AG89" s="31"/>
      <c r="AI89" s="41"/>
      <c r="AJ89" s="64"/>
      <c r="AK89" s="64"/>
      <c r="AM89" s="41"/>
      <c r="AN89" s="64"/>
      <c r="AO89" s="64"/>
      <c r="AQ89" s="41"/>
      <c r="AR89" s="64"/>
      <c r="AS89" s="64"/>
    </row>
    <row r="90" spans="1:113" s="5" customFormat="1">
      <c r="A90" s="41"/>
      <c r="B90" s="42"/>
      <c r="C90" s="51" t="str">
        <f>C30</f>
        <v>Agg. Developed Asia Incumbent</v>
      </c>
      <c r="D90" s="58"/>
      <c r="E90" s="58"/>
      <c r="F90" s="55"/>
      <c r="G90" s="58"/>
      <c r="H90" s="56"/>
      <c r="I90" s="54">
        <f>'DM ASIA INCUMB'!D40</f>
        <v>22.287494503599191</v>
      </c>
      <c r="J90" s="54">
        <f>'DM ASIA INCUMB'!E40</f>
        <v>22.897925887537991</v>
      </c>
      <c r="K90" s="54">
        <f>'DM ASIA INCUMB'!F40</f>
        <v>17.635164374445925</v>
      </c>
      <c r="L90" s="54">
        <f>'DM ASIA INCUMB'!G40</f>
        <v>15.89807602854118</v>
      </c>
      <c r="M90" s="55">
        <f>'DM ASIA INCUMB'!H40</f>
        <v>8.0258894902609512E-2</v>
      </c>
      <c r="N90" s="56"/>
      <c r="O90" s="54">
        <f>'DM ASIA INCUMB'!D44</f>
        <v>14.060020269725744</v>
      </c>
      <c r="P90" s="54">
        <f>'DM ASIA INCUMB'!E44</f>
        <v>12.80268551898282</v>
      </c>
      <c r="Q90" s="54">
        <f>'DM ASIA INCUMB'!F44</f>
        <v>11.010567312686494</v>
      </c>
      <c r="R90" s="54">
        <f>'DM ASIA INCUMB'!G44</f>
        <v>10.31265349582994</v>
      </c>
      <c r="S90" s="55">
        <f>'DM ASIA INCUMB'!H44</f>
        <v>9.8172137212054755E-2</v>
      </c>
      <c r="T90" s="56"/>
      <c r="U90" s="51"/>
      <c r="V90" s="58" t="str">
        <f>V30</f>
        <v xml:space="preserve">Agg. Developed Asia Incumbent </v>
      </c>
      <c r="W90" s="43"/>
      <c r="X90" s="44"/>
      <c r="Y90" s="44"/>
      <c r="Z90" s="68"/>
      <c r="AF90" s="31"/>
      <c r="AG90" s="31"/>
      <c r="AJ90" s="64"/>
      <c r="AK90" s="64"/>
      <c r="AN90" s="64"/>
      <c r="AO90" s="64"/>
      <c r="AR90" s="64"/>
      <c r="AS90" s="64"/>
    </row>
    <row r="91" spans="1:113" s="5" customFormat="1">
      <c r="A91" s="41"/>
      <c r="B91" s="42"/>
      <c r="C91" s="43"/>
      <c r="D91" s="50"/>
      <c r="E91" s="50"/>
      <c r="F91" s="61"/>
      <c r="G91" s="50"/>
      <c r="H91" s="56"/>
      <c r="I91" s="62"/>
      <c r="J91" s="62"/>
      <c r="K91" s="62"/>
      <c r="L91" s="62"/>
      <c r="M91" s="61"/>
      <c r="N91" s="56"/>
      <c r="O91" s="62"/>
      <c r="P91" s="62"/>
      <c r="Q91" s="62"/>
      <c r="R91" s="62"/>
      <c r="S91" s="61"/>
      <c r="T91" s="56"/>
      <c r="U91" s="43"/>
      <c r="V91" s="50"/>
      <c r="W91" s="39"/>
      <c r="X91" s="39"/>
      <c r="Y91" s="39"/>
      <c r="Z91" s="39"/>
      <c r="AF91" s="31"/>
      <c r="AG91" s="31"/>
      <c r="AJ91" s="64"/>
      <c r="AK91" s="64"/>
      <c r="AN91" s="64"/>
      <c r="AO91" s="64"/>
      <c r="AR91" s="64"/>
      <c r="AS91" s="64"/>
    </row>
    <row r="92" spans="1:113" s="5" customFormat="1">
      <c r="A92" s="41"/>
      <c r="B92" s="42"/>
      <c r="C92" s="51" t="s">
        <v>857</v>
      </c>
      <c r="D92" s="58"/>
      <c r="E92" s="58"/>
      <c r="F92" s="55"/>
      <c r="G92" s="58"/>
      <c r="H92" s="56"/>
      <c r="I92" s="54">
        <f>'AGG DM INCUMB'!D40</f>
        <v>19.627650584214877</v>
      </c>
      <c r="J92" s="54">
        <f>'AGG DM INCUMB'!E40</f>
        <v>17.592868993277342</v>
      </c>
      <c r="K92" s="54">
        <f>'AGG DM INCUMB'!F40</f>
        <v>15.488419028052252</v>
      </c>
      <c r="L92" s="54">
        <f>'AGG DM INCUMB'!G40</f>
        <v>13.844587547294973</v>
      </c>
      <c r="M92" s="55">
        <f>'AGG DM INCUMB'!H40</f>
        <v>7.4324833775951449E-2</v>
      </c>
      <c r="N92" s="56"/>
      <c r="O92" s="54">
        <f>'AGG DM INCUMB'!D44</f>
        <v>13.890173591294683</v>
      </c>
      <c r="P92" s="54">
        <f>'AGG DM INCUMB'!E44</f>
        <v>13.151613528435401</v>
      </c>
      <c r="Q92" s="54">
        <f>'AGG DM INCUMB'!F44</f>
        <v>11.629316441135455</v>
      </c>
      <c r="R92" s="54">
        <f>'AGG DM INCUMB'!G44</f>
        <v>10.658048838351267</v>
      </c>
      <c r="S92" s="55">
        <f>'AGG DM INCUMB'!H44</f>
        <v>6.9112376324190539E-2</v>
      </c>
      <c r="T92" s="56"/>
      <c r="U92" s="51"/>
      <c r="V92" s="58" t="str">
        <f>C92</f>
        <v>Agg. DM Incumbent total</v>
      </c>
      <c r="AF92" s="31"/>
      <c r="AG92" s="31"/>
      <c r="AJ92" s="64"/>
      <c r="AK92" s="64"/>
      <c r="AN92" s="64"/>
      <c r="AO92" s="64"/>
      <c r="AR92" s="64"/>
      <c r="AS92" s="64"/>
    </row>
    <row r="93" spans="1:113" s="5" customFormat="1">
      <c r="A93" s="146"/>
      <c r="B93" s="42"/>
      <c r="C93" s="41"/>
      <c r="D93" s="44"/>
      <c r="E93" s="44"/>
      <c r="F93" s="45"/>
      <c r="G93" s="44"/>
      <c r="H93" s="46"/>
      <c r="I93" s="47"/>
      <c r="J93" s="47"/>
      <c r="K93" s="47"/>
      <c r="L93" s="47"/>
      <c r="M93" s="45"/>
      <c r="N93" s="46"/>
      <c r="O93" s="47"/>
      <c r="P93" s="47"/>
      <c r="Q93" s="47"/>
      <c r="R93" s="47"/>
      <c r="S93" s="45"/>
      <c r="T93" s="46"/>
      <c r="U93" s="48"/>
      <c r="V93" s="50"/>
      <c r="AF93" s="31"/>
      <c r="AG93" s="31"/>
      <c r="AI93" s="41"/>
      <c r="AJ93" s="64"/>
      <c r="AK93" s="64"/>
      <c r="AN93" s="64"/>
      <c r="AO93" s="64"/>
      <c r="AR93" s="64"/>
      <c r="AS93" s="64"/>
    </row>
    <row r="94" spans="1:113">
      <c r="A94" s="41" t="s">
        <v>1374</v>
      </c>
      <c r="C94" s="48" t="str">
        <f t="shared" ref="C94:G101" si="10">C34</f>
        <v>1&amp;1</v>
      </c>
      <c r="D94" s="44" t="str">
        <f t="shared" si="10"/>
        <v>EUR 14.0</v>
      </c>
      <c r="E94" s="44" t="str">
        <f t="shared" si="10"/>
        <v>EUR 26.0</v>
      </c>
      <c r="F94" s="45">
        <f t="shared" si="10"/>
        <v>0.85449358059914404</v>
      </c>
      <c r="G94" s="44" t="str">
        <f t="shared" si="10"/>
        <v>Buy</v>
      </c>
      <c r="H94" s="46"/>
      <c r="I94" s="47">
        <f>DRI!$D$40</f>
        <v>15.160080118096328</v>
      </c>
      <c r="J94" s="47">
        <f>DRI!$E$40</f>
        <v>30.311064316551008</v>
      </c>
      <c r="K94" s="47">
        <f>DRI!$F$40</f>
        <v>30.950037810075131</v>
      </c>
      <c r="L94" s="47">
        <f>DRI!$G$40</f>
        <v>21.727177377965784</v>
      </c>
      <c r="M94" s="45">
        <f>DRI!$H$40</f>
        <v>-7.3052346576267024E-2</v>
      </c>
      <c r="N94" s="46"/>
      <c r="O94" s="47">
        <f>DRI!$D$44</f>
        <v>7.8479792950627072</v>
      </c>
      <c r="P94" s="47">
        <f>DRI!$E$44</f>
        <v>8.1635909368620379</v>
      </c>
      <c r="Q94" s="47">
        <f>DRI!$F$44</f>
        <v>8.2044530317164543</v>
      </c>
      <c r="R94" s="47">
        <f>DRI!$G$44</f>
        <v>7.8289800487797274</v>
      </c>
      <c r="S94" s="45">
        <f>DRI!$H$44</f>
        <v>8.0827463379340436E-4</v>
      </c>
      <c r="T94" s="46"/>
      <c r="U94" s="48" t="str">
        <f t="shared" ref="U94:V100" si="11">U34</f>
        <v>EUR 14.0</v>
      </c>
      <c r="V94" s="44" t="str">
        <f t="shared" si="11"/>
        <v>1&amp;1</v>
      </c>
      <c r="AU94" s="10"/>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row>
    <row r="95" spans="1:113" s="5" customFormat="1">
      <c r="A95" s="41"/>
      <c r="B95" s="42"/>
      <c r="C95" s="48" t="str">
        <f t="shared" si="10"/>
        <v>Elisa</v>
      </c>
      <c r="D95" s="44" t="str">
        <f t="shared" si="10"/>
        <v>EUR 46.6</v>
      </c>
      <c r="E95" s="44" t="str">
        <f t="shared" si="10"/>
        <v>EUR 53.0</v>
      </c>
      <c r="F95" s="45">
        <f t="shared" si="10"/>
        <v>0.13831615120274909</v>
      </c>
      <c r="G95" s="44" t="str">
        <f t="shared" si="10"/>
        <v>Neutral</v>
      </c>
      <c r="H95" s="46"/>
      <c r="I95" s="47">
        <f>ELISA!$D$40</f>
        <v>23.993724872946764</v>
      </c>
      <c r="J95" s="47">
        <f>ELISA!$E$40</f>
        <v>22.445289169857833</v>
      </c>
      <c r="K95" s="47">
        <f>ELISA!$F$40</f>
        <v>18.951336259580629</v>
      </c>
      <c r="L95" s="47">
        <f>ELISA!$G$40</f>
        <v>17.312176904986796</v>
      </c>
      <c r="M95" s="45">
        <f>ELISA!$H$40</f>
        <v>8.0684274954947455E-2</v>
      </c>
      <c r="N95" s="46"/>
      <c r="O95" s="47">
        <f>ELISA!$D$44</f>
        <v>19.517307142756181</v>
      </c>
      <c r="P95" s="47">
        <f>ELISA!$E$44</f>
        <v>19.414826646292724</v>
      </c>
      <c r="Q95" s="47">
        <f>ELISA!$F$44</f>
        <v>18.44594889176738</v>
      </c>
      <c r="R95" s="47">
        <f>ELISA!$G$44</f>
        <v>17.522959541658462</v>
      </c>
      <c r="S95" s="45">
        <f>ELISA!$H$44</f>
        <v>3.6583152810227615E-2</v>
      </c>
      <c r="T95" s="46"/>
      <c r="U95" s="48" t="str">
        <f t="shared" si="11"/>
        <v>EUR 46.6</v>
      </c>
      <c r="V95" s="44" t="str">
        <f t="shared" si="11"/>
        <v>Elisa</v>
      </c>
      <c r="AF95" s="31"/>
      <c r="AG95" s="31"/>
      <c r="AI95" s="41"/>
      <c r="AJ95" s="64"/>
      <c r="AK95" s="64"/>
      <c r="AN95" s="64"/>
      <c r="AO95" s="64"/>
      <c r="AR95" s="64"/>
      <c r="AS95" s="64"/>
    </row>
    <row r="96" spans="1:113">
      <c r="A96" s="41"/>
      <c r="C96" s="48" t="str">
        <f t="shared" si="10"/>
        <v>Liberty Global (prop.)</v>
      </c>
      <c r="D96" s="44" t="str">
        <f t="shared" si="10"/>
        <v>USD 20.3</v>
      </c>
      <c r="E96" s="44" t="str">
        <f t="shared" si="10"/>
        <v>USD 23.0</v>
      </c>
      <c r="F96" s="45">
        <f t="shared" si="10"/>
        <v>0.13356333169048806</v>
      </c>
      <c r="G96" s="44" t="str">
        <f t="shared" si="10"/>
        <v>Neutral</v>
      </c>
      <c r="H96" s="46"/>
      <c r="I96" s="47">
        <f>PROPORTIONATES!G35</f>
        <v>23.415150387367607</v>
      </c>
      <c r="J96" s="47">
        <f>PROPORTIONATES!H35</f>
        <v>23.182794849512408</v>
      </c>
      <c r="K96" s="47">
        <f>PROPORTIONATES!I35</f>
        <v>22.087225689436462</v>
      </c>
      <c r="L96" s="47">
        <f>PROPORTIONATES!J35</f>
        <v>18.276229971020193</v>
      </c>
      <c r="M96" s="45">
        <f>LBTY!$H$40</f>
        <v>4.5845641108729795E-2</v>
      </c>
      <c r="N96" s="46"/>
      <c r="O96" s="47">
        <f>LBTY!$D$44</f>
        <v>-7.5785724269957884</v>
      </c>
      <c r="P96" s="47">
        <f>LBTY!$E$44</f>
        <v>-12.937972533723073</v>
      </c>
      <c r="Q96" s="47">
        <f>LBTY!$F$44</f>
        <v>-13.358206091017237</v>
      </c>
      <c r="R96" s="47">
        <f>LBTY!$G$44</f>
        <v>-16.496836896635632</v>
      </c>
      <c r="S96" s="45">
        <f>LBTY!$H$44</f>
        <v>-0.29853871457922765</v>
      </c>
      <c r="T96" s="46"/>
      <c r="U96" s="48" t="str">
        <f t="shared" si="11"/>
        <v>USD 20.3</v>
      </c>
      <c r="V96" s="44" t="str">
        <f t="shared" si="11"/>
        <v>Liberty Global</v>
      </c>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row>
    <row r="97" spans="1:113">
      <c r="A97" s="41"/>
      <c r="C97" s="48" t="str">
        <f t="shared" si="10"/>
        <v>NOS</v>
      </c>
      <c r="D97" s="44" t="str">
        <f t="shared" si="10"/>
        <v>EUR 3.58</v>
      </c>
      <c r="E97" s="44" t="str">
        <f t="shared" si="10"/>
        <v>EUR 3.70</v>
      </c>
      <c r="F97" s="45">
        <f t="shared" si="10"/>
        <v>3.4965034965035002E-2</v>
      </c>
      <c r="G97" s="44" t="str">
        <f t="shared" si="10"/>
        <v>Neutral</v>
      </c>
      <c r="H97" s="46"/>
      <c r="I97" s="47">
        <f>NOS!$D$40</f>
        <v>14.77446931624169</v>
      </c>
      <c r="J97" s="47">
        <f>NOS!$E$40</f>
        <v>13.165335618746976</v>
      </c>
      <c r="K97" s="47">
        <f>NOS!$F$40</f>
        <v>12.120856786551929</v>
      </c>
      <c r="L97" s="47">
        <f>NOS!$G$40</f>
        <v>10.819695866288525</v>
      </c>
      <c r="M97" s="45">
        <f>NOS!$H$40</f>
        <v>3.7383337371192926E-2</v>
      </c>
      <c r="N97" s="46"/>
      <c r="O97" s="47">
        <f>NOS!$D$44</f>
        <v>12.645734249267502</v>
      </c>
      <c r="P97" s="47">
        <f>NOS!$E$44</f>
        <v>13.230588293059027</v>
      </c>
      <c r="Q97" s="47">
        <f>NOS!$F$44</f>
        <v>10.534441157412507</v>
      </c>
      <c r="R97" s="47">
        <f>NOS!$G$44</f>
        <v>10.193918791295889</v>
      </c>
      <c r="S97" s="45">
        <f>NOS!$H$44</f>
        <v>7.4486492883492295E-2</v>
      </c>
      <c r="T97" s="46"/>
      <c r="U97" s="48" t="str">
        <f t="shared" si="11"/>
        <v>EUR 3.58</v>
      </c>
      <c r="V97" s="44" t="str">
        <f t="shared" si="11"/>
        <v>NOS</v>
      </c>
      <c r="AE97" s="140"/>
      <c r="AF97" s="141"/>
      <c r="AG97" s="141"/>
      <c r="AH97" s="141"/>
      <c r="AK97" s="140"/>
      <c r="AL97" s="141"/>
      <c r="AM97" s="141"/>
      <c r="AN97" s="141"/>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row>
    <row r="98" spans="1:113" s="5" customFormat="1">
      <c r="A98" s="146"/>
      <c r="B98" s="42"/>
      <c r="C98" s="48" t="str">
        <f t="shared" si="10"/>
        <v>Orange Belgium</v>
      </c>
      <c r="D98" s="44" t="str">
        <f t="shared" si="10"/>
        <v>EUR 14.8</v>
      </c>
      <c r="E98" s="44" t="str">
        <f t="shared" si="10"/>
        <v>EUR 15.0</v>
      </c>
      <c r="F98" s="45">
        <f t="shared" si="10"/>
        <v>1.3513513513513375E-2</v>
      </c>
      <c r="G98" s="44" t="str">
        <f t="shared" si="10"/>
        <v>Neutral</v>
      </c>
      <c r="H98" s="46"/>
      <c r="I98" s="47">
        <f>OBEL!$D$40</f>
        <v>27.041648066061647</v>
      </c>
      <c r="J98" s="47">
        <f>OBEL!$E$40</f>
        <v>23.271806836403577</v>
      </c>
      <c r="K98" s="47">
        <f>OBEL!$F$40</f>
        <v>18.974050366301032</v>
      </c>
      <c r="L98" s="47">
        <f>OBEL!$G$40</f>
        <v>17.734601916384506</v>
      </c>
      <c r="M98" s="45">
        <f>OBEL!$H$40</f>
        <v>0.11338369131939996</v>
      </c>
      <c r="N98" s="46"/>
      <c r="O98" s="47">
        <f>OBEL!$D$44</f>
        <v>5.3265966967091751</v>
      </c>
      <c r="P98" s="47">
        <f>OBEL!$E$44</f>
        <v>4.5828109867105473</v>
      </c>
      <c r="Q98" s="47">
        <f>OBEL!$F$44</f>
        <v>4.5138669625307388</v>
      </c>
      <c r="R98" s="47">
        <f>OBEL!$G$44</f>
        <v>4.3461124154106212</v>
      </c>
      <c r="S98" s="45">
        <f>OBEL!$H$44</f>
        <v>7.0162232310911898E-2</v>
      </c>
      <c r="T98" s="46"/>
      <c r="U98" s="48" t="str">
        <f t="shared" si="11"/>
        <v>EUR 14.8</v>
      </c>
      <c r="V98" s="44" t="str">
        <f t="shared" si="11"/>
        <v>Mobistar</v>
      </c>
      <c r="AF98" s="31"/>
      <c r="AG98" s="31"/>
      <c r="AI98" s="41"/>
      <c r="AJ98" s="64"/>
      <c r="AK98" s="64"/>
      <c r="AN98" s="64"/>
      <c r="AO98" s="64"/>
      <c r="AR98" s="64"/>
      <c r="AS98" s="64"/>
    </row>
    <row r="99" spans="1:113" s="5" customFormat="1">
      <c r="A99" s="146"/>
      <c r="B99" s="42"/>
      <c r="C99" s="48" t="str">
        <f t="shared" si="10"/>
        <v>Tele2</v>
      </c>
      <c r="D99" s="44" t="str">
        <f t="shared" si="10"/>
        <v>SEK 117.7</v>
      </c>
      <c r="E99" s="44" t="str">
        <f t="shared" si="10"/>
        <v>SEK 109.0</v>
      </c>
      <c r="F99" s="45">
        <f t="shared" si="10"/>
        <v>-7.3523161920951985E-2</v>
      </c>
      <c r="G99" s="44" t="str">
        <f t="shared" si="10"/>
        <v>Neutral</v>
      </c>
      <c r="H99" s="46"/>
      <c r="I99" s="47">
        <f>TELE2!$D$40</f>
        <v>21.724970007088896</v>
      </c>
      <c r="J99" s="47">
        <f>TELE2!$E$40</f>
        <v>20.59103426755798</v>
      </c>
      <c r="K99" s="47">
        <f>TELE2!$F$40</f>
        <v>18.326611468806643</v>
      </c>
      <c r="L99" s="47">
        <f>TELE2!$G$40</f>
        <v>16.164586972779968</v>
      </c>
      <c r="M99" s="45">
        <f>TELE2!$H$40</f>
        <v>5.5154334217220935E-2</v>
      </c>
      <c r="N99" s="46"/>
      <c r="O99" s="47">
        <f>TELE2!$D$44</f>
        <v>21.531046103476012</v>
      </c>
      <c r="P99" s="47">
        <f>TELE2!$E$44</f>
        <v>22.374078717841261</v>
      </c>
      <c r="Q99" s="47">
        <f>TELE2!$F$44</f>
        <v>20.02257522575669</v>
      </c>
      <c r="R99" s="47">
        <f>TELE2!$G$44</f>
        <v>18.896962507234477</v>
      </c>
      <c r="S99" s="45">
        <f>TELE2!$H$44</f>
        <v>4.4458150189770285E-2</v>
      </c>
      <c r="T99" s="46"/>
      <c r="U99" s="48" t="str">
        <f t="shared" si="11"/>
        <v>SEK 117.7</v>
      </c>
      <c r="V99" s="44" t="str">
        <f t="shared" si="11"/>
        <v>Tele2</v>
      </c>
      <c r="AF99" s="31"/>
      <c r="AG99" s="31"/>
      <c r="AI99" s="41"/>
      <c r="AJ99" s="64"/>
      <c r="AK99" s="64"/>
      <c r="AN99" s="64"/>
      <c r="AO99" s="64"/>
      <c r="AR99" s="64"/>
      <c r="AS99" s="64"/>
    </row>
    <row r="100" spans="1:113">
      <c r="A100" s="41"/>
      <c r="C100" s="48" t="str">
        <f t="shared" si="10"/>
        <v>United Internet</v>
      </c>
      <c r="D100" s="44" t="str">
        <f t="shared" si="10"/>
        <v>EUR 19.1</v>
      </c>
      <c r="E100" s="44" t="str">
        <f t="shared" si="10"/>
        <v>EUR 28.0</v>
      </c>
      <c r="F100" s="45">
        <f t="shared" si="10"/>
        <v>0.46904512067156356</v>
      </c>
      <c r="G100" s="44" t="str">
        <f t="shared" si="10"/>
        <v>Buy</v>
      </c>
      <c r="H100" s="46"/>
      <c r="I100" s="47">
        <f>UTDI!$D$40</f>
        <v>37.016268891077623</v>
      </c>
      <c r="J100" s="47">
        <f>UTDI!$E$40</f>
        <v>47.769273518505102</v>
      </c>
      <c r="K100" s="47">
        <f>UTDI!$F$40</f>
        <v>34.710008869449588</v>
      </c>
      <c r="L100" s="47">
        <f>UTDI!$G$40</f>
        <v>24.720754800598598</v>
      </c>
      <c r="M100" s="45">
        <f>UTDI!$H$40</f>
        <v>0.17652206295946304</v>
      </c>
      <c r="N100" s="46"/>
      <c r="O100" s="47">
        <f>UTDI!$D$44</f>
        <v>9.386328575499471</v>
      </c>
      <c r="P100" s="47">
        <f>UTDI!$E$44</f>
        <v>7.7590214507873982</v>
      </c>
      <c r="Q100" s="47">
        <f>UTDI!$F$44</f>
        <v>7.1786870353734056</v>
      </c>
      <c r="R100" s="47">
        <f>UTDI!$G$44</f>
        <v>6.8704794910151126</v>
      </c>
      <c r="S100" s="45">
        <f>UTDI!$H$44</f>
        <v>0.10960797249582788</v>
      </c>
      <c r="T100" s="46"/>
      <c r="U100" s="48" t="str">
        <f t="shared" si="11"/>
        <v>EUR 19.1</v>
      </c>
      <c r="V100" s="44" t="str">
        <f t="shared" si="11"/>
        <v>United Internet</v>
      </c>
      <c r="AU100" s="10"/>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row>
    <row r="101" spans="1:113" s="5" customFormat="1">
      <c r="A101" s="146"/>
      <c r="B101" s="42"/>
      <c r="C101" s="48" t="str">
        <f t="shared" si="10"/>
        <v>Vodafone</v>
      </c>
      <c r="D101" s="44" t="str">
        <f t="shared" si="10"/>
        <v>GBP 0.77</v>
      </c>
      <c r="E101" s="44" t="str">
        <f t="shared" si="10"/>
        <v>GBP 1.40</v>
      </c>
      <c r="F101" s="45">
        <f t="shared" si="10"/>
        <v>0.80785123966942152</v>
      </c>
      <c r="G101" s="44" t="str">
        <f t="shared" si="10"/>
        <v>Buy</v>
      </c>
      <c r="H101" s="46"/>
      <c r="I101" s="47">
        <f>VOD!$D$40</f>
        <v>16.981693076311441</v>
      </c>
      <c r="J101" s="47">
        <f>VOD!$E$40</f>
        <v>13.724758308924924</v>
      </c>
      <c r="K101" s="47">
        <f>VOD!$F$40</f>
        <v>11.666592624943016</v>
      </c>
      <c r="L101" s="47">
        <f>VOD!$G$40</f>
        <v>9.8988560695546663</v>
      </c>
      <c r="M101" s="45">
        <f>VOD!$H$40</f>
        <v>4.8494173085703807E-2</v>
      </c>
      <c r="N101" s="46"/>
      <c r="O101" s="47">
        <f>VOD!$D$44</f>
        <v>10.18352395417841</v>
      </c>
      <c r="P101" s="47">
        <f>VOD!$E$44</f>
        <v>8.4740036584891083</v>
      </c>
      <c r="Q101" s="47">
        <f>VOD!$F$44</f>
        <v>6.257812259693778</v>
      </c>
      <c r="R101" s="47">
        <f>VOD!$G$44</f>
        <v>5.5920572328456624</v>
      </c>
      <c r="S101" s="45">
        <f>VOD!$H$44</f>
        <v>0.14891188737569672</v>
      </c>
      <c r="T101" s="46"/>
      <c r="U101" s="48" t="str">
        <f>U41</f>
        <v>GBP 0.77</v>
      </c>
      <c r="V101" s="44" t="s">
        <v>276</v>
      </c>
      <c r="AF101" s="31"/>
      <c r="AG101" s="31"/>
      <c r="AJ101" s="64"/>
      <c r="AK101" s="64"/>
      <c r="AN101" s="64"/>
      <c r="AO101" s="64"/>
      <c r="AR101" s="64"/>
      <c r="AS101" s="64"/>
    </row>
    <row r="102" spans="1:113">
      <c r="C102" s="51" t="str">
        <f>C42</f>
        <v>Agg. W. Europe Other</v>
      </c>
      <c r="D102" s="52"/>
      <c r="E102" s="52"/>
      <c r="F102" s="53"/>
      <c r="G102" s="52"/>
      <c r="H102" s="46"/>
      <c r="I102" s="54">
        <f>'W.EUR OTHER'!$D$40</f>
        <v>18.782864415708623</v>
      </c>
      <c r="J102" s="54">
        <f>'W.EUR OTHER'!$E$40</f>
        <v>16.344811252802039</v>
      </c>
      <c r="K102" s="54">
        <f>'W.EUR OTHER'!$F$40</f>
        <v>14.257332213491615</v>
      </c>
      <c r="L102" s="54">
        <f>'W.EUR OTHER'!$G$40</f>
        <v>12.325553609893248</v>
      </c>
      <c r="M102" s="55">
        <f>'W.EUR OTHER'!$H$40</f>
        <v>5.8112215141036705E-2</v>
      </c>
      <c r="N102" s="56"/>
      <c r="O102" s="54">
        <f>'W.EUR OTHER'!$D$44</f>
        <v>18.190653543431651</v>
      </c>
      <c r="P102" s="54">
        <f>'W.EUR OTHER'!$E$44</f>
        <v>13.647996044938878</v>
      </c>
      <c r="Q102" s="54">
        <f>'W.EUR OTHER'!$F$44</f>
        <v>10.565198529238016</v>
      </c>
      <c r="R102" s="54">
        <f>'W.EUR OTHER'!$G$44</f>
        <v>9.2374096772312519</v>
      </c>
      <c r="S102" s="55">
        <f>'W.EUR OTHER'!$H$44</f>
        <v>0.20457659904306258</v>
      </c>
      <c r="T102" s="46"/>
      <c r="U102" s="57"/>
      <c r="V102" s="58" t="str">
        <f>C102</f>
        <v>Agg. W. Europe Other</v>
      </c>
      <c r="AB102" s="5"/>
      <c r="AF102" s="31"/>
      <c r="AG102" s="31"/>
      <c r="AI102" s="41"/>
      <c r="AJ102" s="64"/>
      <c r="AK102" s="64"/>
      <c r="AN102" s="64"/>
      <c r="AO102" s="64"/>
      <c r="AR102" s="64"/>
      <c r="AS102" s="64"/>
    </row>
    <row r="103" spans="1:113" s="5" customFormat="1">
      <c r="A103" s="146"/>
      <c r="B103" s="42"/>
      <c r="C103" s="48"/>
      <c r="D103" s="44"/>
      <c r="E103" s="44"/>
      <c r="F103" s="45"/>
      <c r="G103" s="44"/>
      <c r="H103" s="46"/>
      <c r="I103" s="47"/>
      <c r="J103" s="47"/>
      <c r="K103" s="47"/>
      <c r="L103" s="47"/>
      <c r="M103" s="45"/>
      <c r="N103" s="46"/>
      <c r="O103" s="47"/>
      <c r="P103" s="47"/>
      <c r="Q103" s="47"/>
      <c r="R103" s="47"/>
      <c r="S103" s="45"/>
      <c r="T103" s="46"/>
      <c r="U103" s="48"/>
      <c r="V103" s="44"/>
      <c r="AB103" s="63"/>
    </row>
    <row r="104" spans="1:113">
      <c r="A104" s="41"/>
      <c r="B104" s="42" t="s">
        <v>551</v>
      </c>
      <c r="C104" s="48" t="str">
        <f t="shared" ref="C104:G109" si="12">C44</f>
        <v>HKBN</v>
      </c>
      <c r="D104" s="44" t="str">
        <f t="shared" si="12"/>
        <v>HKD 3</v>
      </c>
      <c r="E104" s="44" t="str">
        <f t="shared" si="12"/>
        <v>HKD 16</v>
      </c>
      <c r="F104" s="45">
        <f t="shared" si="12"/>
        <v>4.9925093632958806</v>
      </c>
      <c r="G104" s="44" t="str">
        <f t="shared" si="12"/>
        <v>Buy</v>
      </c>
      <c r="H104" s="46"/>
      <c r="I104" s="47">
        <f>HKBN!$D$40</f>
        <v>5.3306111334762809</v>
      </c>
      <c r="J104" s="47">
        <f>HKBN!$E$40</f>
        <v>4.3789768165751362</v>
      </c>
      <c r="K104" s="47">
        <f>HKBN!$F$40</f>
        <v>3.5313202417026659</v>
      </c>
      <c r="L104" s="47">
        <f>HKBN!$G$40</f>
        <v>2.6416113887192401</v>
      </c>
      <c r="M104" s="45">
        <f>HKBN!$H$40</f>
        <v>4.009651517345092E-2</v>
      </c>
      <c r="N104" s="46"/>
      <c r="O104" s="47">
        <f>HKBN!$D$44</f>
        <v>8.2154721622956188</v>
      </c>
      <c r="P104" s="47">
        <f>HKBN!$E$44</f>
        <v>7.2773238380371792</v>
      </c>
      <c r="Q104" s="47">
        <f>HKBN!$F$44</f>
        <v>6.5141527056813819</v>
      </c>
      <c r="R104" s="47">
        <f>HKBN!$G$44</f>
        <v>5.9022435590482729</v>
      </c>
      <c r="S104" s="45">
        <f>HKBN!$H$44</f>
        <v>0.1165336092763567</v>
      </c>
      <c r="T104" s="46"/>
      <c r="U104" s="48" t="str">
        <f t="shared" ref="U104:U109" si="13">U44</f>
        <v>HKD 3</v>
      </c>
      <c r="V104" s="69" t="str">
        <f>C104</f>
        <v>HKBN</v>
      </c>
      <c r="AU104" s="10"/>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row>
    <row r="105" spans="1:113">
      <c r="C105" s="48" t="str">
        <f t="shared" si="12"/>
        <v>KDDI</v>
      </c>
      <c r="D105" s="44" t="str">
        <f t="shared" si="12"/>
        <v>JPY 4,851</v>
      </c>
      <c r="E105" s="44" t="str">
        <f t="shared" si="12"/>
        <v>JPY 6,600</v>
      </c>
      <c r="F105" s="45">
        <f t="shared" si="12"/>
        <v>0.36054421768707479</v>
      </c>
      <c r="G105" s="44" t="str">
        <f t="shared" si="12"/>
        <v>Buy</v>
      </c>
      <c r="H105" s="46"/>
      <c r="I105" s="47">
        <f>KDDI!$D$40</f>
        <v>20.610818907763665</v>
      </c>
      <c r="J105" s="47">
        <f>KDDI!$E$40</f>
        <v>14.334636331014632</v>
      </c>
      <c r="K105" s="47">
        <f>KDDI!$F$40</f>
        <v>12.673246787704759</v>
      </c>
      <c r="L105" s="47">
        <f>KDDI!$G$40</f>
        <v>11.099705160076144</v>
      </c>
      <c r="M105" s="45">
        <f>KDDI!$H$40</f>
        <v>0.14431862785829885</v>
      </c>
      <c r="N105" s="46"/>
      <c r="O105" s="47">
        <f>KDDI!$D$44</f>
        <v>15.831021408831885</v>
      </c>
      <c r="P105" s="47">
        <f>KDDI!$E$44</f>
        <v>13.227935660814493</v>
      </c>
      <c r="Q105" s="47">
        <f>KDDI!$F$44</f>
        <v>11.9850520672067</v>
      </c>
      <c r="R105" s="47">
        <f>KDDI!$G$44</f>
        <v>10.950379172563315</v>
      </c>
      <c r="S105" s="45">
        <f>KDDI!$H$44</f>
        <v>9.5452327139317283E-2</v>
      </c>
      <c r="T105" s="46"/>
      <c r="U105" s="48" t="str">
        <f t="shared" si="13"/>
        <v>JPY 4,851</v>
      </c>
      <c r="V105" s="44" t="str">
        <f t="shared" ref="V105:V110" si="14">V45</f>
        <v>KDDI</v>
      </c>
      <c r="AB105" s="5"/>
    </row>
    <row r="106" spans="1:113" s="5" customFormat="1">
      <c r="A106" s="41"/>
      <c r="B106" s="42"/>
      <c r="C106" s="48" t="str">
        <f t="shared" si="12"/>
        <v>Macquarie Telecom</v>
      </c>
      <c r="D106" s="44" t="str">
        <f t="shared" si="12"/>
        <v>AUD 76.51</v>
      </c>
      <c r="E106" s="44" t="str">
        <f t="shared" si="12"/>
        <v>AUD 28.00</v>
      </c>
      <c r="F106" s="45">
        <f t="shared" si="12"/>
        <v>-0.63403476669716374</v>
      </c>
      <c r="G106" s="44" t="str">
        <f t="shared" si="12"/>
        <v>Neutral</v>
      </c>
      <c r="H106" s="46"/>
      <c r="I106" s="47">
        <f>MAQ!$D$40</f>
        <v>353.85416883225548</v>
      </c>
      <c r="J106" s="47">
        <f>MAQ!$E$40</f>
        <v>83.554859112968572</v>
      </c>
      <c r="K106" s="47">
        <f>MAQ!$F$40</f>
        <v>59.191299668445843</v>
      </c>
      <c r="L106" s="47">
        <f>MAQ!$G$40</f>
        <v>44.919419440064836</v>
      </c>
      <c r="M106" s="45">
        <f>MAQ!$H$40</f>
        <v>0.98583062966591317</v>
      </c>
      <c r="N106" s="46"/>
      <c r="O106" s="47">
        <f>MAQ!$D$44</f>
        <v>94.551246667487092</v>
      </c>
      <c r="P106" s="47">
        <f>MAQ!$E$44</f>
        <v>85.030679103503189</v>
      </c>
      <c r="Q106" s="47">
        <f>MAQ!$F$44</f>
        <v>73.317818488730055</v>
      </c>
      <c r="R106" s="47">
        <f>MAQ!$G$44</f>
        <v>68.536257092889073</v>
      </c>
      <c r="S106" s="45">
        <f>MAQ!$H$44</f>
        <v>0.12228482003063212</v>
      </c>
      <c r="T106" s="46"/>
      <c r="U106" s="48" t="str">
        <f t="shared" si="13"/>
        <v>AUD 76.51</v>
      </c>
      <c r="V106" s="69" t="str">
        <f t="shared" si="14"/>
        <v>Macquarie Telecom</v>
      </c>
      <c r="W106" s="43"/>
      <c r="X106" s="44"/>
      <c r="Y106" s="44"/>
      <c r="Z106" s="68"/>
      <c r="AE106" s="41"/>
      <c r="AF106" s="31"/>
      <c r="AG106" s="31"/>
      <c r="AI106" s="41"/>
      <c r="AJ106" s="64"/>
      <c r="AK106" s="64"/>
      <c r="AM106" s="41"/>
      <c r="AN106" s="64"/>
      <c r="AO106" s="64"/>
      <c r="AQ106" s="41"/>
      <c r="AR106" s="64"/>
      <c r="AS106" s="64"/>
    </row>
    <row r="107" spans="1:113">
      <c r="C107" s="48" t="str">
        <f t="shared" si="12"/>
        <v>Rakuten</v>
      </c>
      <c r="D107" s="44" t="str">
        <f t="shared" si="12"/>
        <v>JPY 946</v>
      </c>
      <c r="E107" s="44" t="str">
        <f t="shared" si="12"/>
        <v>JPY 400</v>
      </c>
      <c r="F107" s="45">
        <f t="shared" si="12"/>
        <v>-0.57734573119188504</v>
      </c>
      <c r="G107" s="44" t="str">
        <f t="shared" si="12"/>
        <v>Reduce</v>
      </c>
      <c r="H107" s="46"/>
      <c r="I107" s="47">
        <f>RAK!$D$40</f>
        <v>-14.193103514545447</v>
      </c>
      <c r="J107" s="47">
        <f>RAK!$E$40</f>
        <v>-40.990391545812166</v>
      </c>
      <c r="K107" s="47">
        <f>RAK!$F$40</f>
        <v>-1030.252056153691</v>
      </c>
      <c r="L107" s="47">
        <f>RAK!$G$40</f>
        <v>600.65894950649749</v>
      </c>
      <c r="M107" s="45">
        <f>RAK!$H$40</f>
        <v>-1.2864032019758365</v>
      </c>
      <c r="N107" s="46"/>
      <c r="O107" s="47">
        <f>RAK!$D$44</f>
        <v>-5.971558352038743</v>
      </c>
      <c r="P107" s="47">
        <f>RAK!$E$44</f>
        <v>-10.264880578831914</v>
      </c>
      <c r="Q107" s="47">
        <f>RAK!$F$44</f>
        <v>-11.054339929364511</v>
      </c>
      <c r="R107" s="47">
        <f>RAK!$G$44</f>
        <v>-11.808869425172579</v>
      </c>
      <c r="S107" s="45">
        <f>RAK!$H$44</f>
        <v>-0.2033031134195652</v>
      </c>
      <c r="T107" s="46"/>
      <c r="U107" s="48" t="str">
        <f t="shared" si="13"/>
        <v>JPY 946</v>
      </c>
      <c r="V107" s="44" t="str">
        <f t="shared" si="14"/>
        <v>Rakuten</v>
      </c>
    </row>
    <row r="108" spans="1:113">
      <c r="C108" s="48" t="str">
        <f t="shared" si="12"/>
        <v>SoftBank KK (Corp)</v>
      </c>
      <c r="D108" s="44" t="str">
        <f t="shared" si="12"/>
        <v>JPY 1,996</v>
      </c>
      <c r="E108" s="44" t="str">
        <f t="shared" si="12"/>
        <v>JPY 2,700</v>
      </c>
      <c r="F108" s="45">
        <f t="shared" si="12"/>
        <v>0.35270541082164319</v>
      </c>
      <c r="G108" s="44" t="str">
        <f t="shared" si="12"/>
        <v>Buy</v>
      </c>
      <c r="H108" s="46"/>
      <c r="I108" s="47">
        <f>SBKK!$D$40</f>
        <v>15.607056676356189</v>
      </c>
      <c r="J108" s="47">
        <f>SBKK!$E$40</f>
        <v>15.57641970230088</v>
      </c>
      <c r="K108" s="47">
        <f>SBKK!$F$40</f>
        <v>12.838689449164557</v>
      </c>
      <c r="L108" s="47">
        <f>SBKK!$G$40</f>
        <v>11.243442282963013</v>
      </c>
      <c r="M108" s="45">
        <f>SBKK!$H$40</f>
        <v>5.7528290374474933E-2</v>
      </c>
      <c r="N108" s="46"/>
      <c r="O108" s="47">
        <f>SBKK!$D$44</f>
        <v>19.300375916490793</v>
      </c>
      <c r="P108" s="47">
        <f>SBKK!$E$44</f>
        <v>18.274994725883861</v>
      </c>
      <c r="Q108" s="47">
        <f>SBKK!$F$44</f>
        <v>15.675820979107177</v>
      </c>
      <c r="R108" s="47">
        <f>SBKK!$G$44</f>
        <v>14.81493946939216</v>
      </c>
      <c r="S108" s="45">
        <f>SBKK!$H$44</f>
        <v>9.1754204815612805E-2</v>
      </c>
      <c r="T108" s="46"/>
      <c r="U108" s="48" t="str">
        <f t="shared" si="13"/>
        <v>JPY 1,996</v>
      </c>
      <c r="V108" s="44" t="str">
        <f t="shared" si="14"/>
        <v>SoftBank KK (Corp)</v>
      </c>
    </row>
    <row r="109" spans="1:113" s="5" customFormat="1">
      <c r="A109" s="41"/>
      <c r="B109" s="42"/>
      <c r="C109" s="48" t="str">
        <f t="shared" si="12"/>
        <v>TPG</v>
      </c>
      <c r="D109" s="44" t="str">
        <f t="shared" si="12"/>
        <v>AUD 4.99</v>
      </c>
      <c r="E109" s="44" t="str">
        <f t="shared" si="12"/>
        <v>AUD 7.50</v>
      </c>
      <c r="F109" s="45">
        <f t="shared" si="12"/>
        <v>0.50300601202404804</v>
      </c>
      <c r="G109" s="44" t="str">
        <f t="shared" si="12"/>
        <v>Neutral</v>
      </c>
      <c r="H109" s="46"/>
      <c r="I109" s="47">
        <f>TPG!$D$40</f>
        <v>23.238144664912049</v>
      </c>
      <c r="J109" s="47">
        <f>TPG!$E$40</f>
        <v>22.079271224456456</v>
      </c>
      <c r="K109" s="47">
        <f>TPG!$F$40</f>
        <v>21.6756798431405</v>
      </c>
      <c r="L109" s="47">
        <f>TPG!$G$40</f>
        <v>20.376755441006392</v>
      </c>
      <c r="M109" s="45">
        <f>TPG!$H$40</f>
        <v>2.9860284419041871E-2</v>
      </c>
      <c r="N109" s="46"/>
      <c r="O109" s="47">
        <f>TPG!$D$44</f>
        <v>19.105717056831686</v>
      </c>
      <c r="P109" s="47">
        <f>TPG!$E$44</f>
        <v>18.855671232419343</v>
      </c>
      <c r="Q109" s="47">
        <f>TPG!$F$44</f>
        <v>17.578541694729473</v>
      </c>
      <c r="R109" s="47">
        <f>TPG!$G$44</f>
        <v>16.672747983548028</v>
      </c>
      <c r="S109" s="45">
        <f>TPG!$H$44</f>
        <v>4.9066696052127545E-2</v>
      </c>
      <c r="T109" s="46"/>
      <c r="U109" s="48" t="str">
        <f t="shared" si="13"/>
        <v>AUD 4.99</v>
      </c>
      <c r="V109" s="44" t="str">
        <f t="shared" si="14"/>
        <v>TPG</v>
      </c>
      <c r="W109" s="43"/>
      <c r="X109" s="44"/>
      <c r="Y109" s="44"/>
      <c r="Z109" s="68"/>
      <c r="AE109" s="41"/>
      <c r="AF109" s="31"/>
      <c r="AG109" s="31"/>
      <c r="AI109" s="41"/>
      <c r="AJ109" s="64"/>
      <c r="AK109" s="64"/>
      <c r="AM109" s="41"/>
      <c r="AN109" s="64"/>
      <c r="AO109" s="64"/>
      <c r="AQ109" s="41"/>
      <c r="AR109" s="64"/>
      <c r="AS109" s="64"/>
    </row>
    <row r="110" spans="1:113">
      <c r="C110" s="51" t="str">
        <f>C50</f>
        <v>Agg. Developed Asia Other</v>
      </c>
      <c r="D110" s="52"/>
      <c r="E110" s="52"/>
      <c r="F110" s="53"/>
      <c r="G110" s="52"/>
      <c r="H110" s="46"/>
      <c r="I110" s="54">
        <f>'DM ASIA OTHER'!$D$40</f>
        <v>20.806768315723069</v>
      </c>
      <c r="J110" s="54">
        <f>'DM ASIA OTHER'!$E$40</f>
        <v>16.571592610404696</v>
      </c>
      <c r="K110" s="54">
        <f>'DM ASIA OTHER'!$F$40</f>
        <v>13.814330413111364</v>
      </c>
      <c r="L110" s="54">
        <f>'DM ASIA OTHER'!$G$40</f>
        <v>12.166257085531647</v>
      </c>
      <c r="M110" s="55">
        <f>'DM ASIA OTHER'!$H$40</f>
        <v>0.13116206767528893</v>
      </c>
      <c r="N110" s="56"/>
      <c r="O110" s="54">
        <f>'DM ASIA OTHER'!$D$44</f>
        <v>26.371996431865153</v>
      </c>
      <c r="P110" s="54">
        <f>'DM ASIA OTHER'!$E$44</f>
        <v>19.646240301299546</v>
      </c>
      <c r="Q110" s="54">
        <f>'DM ASIA OTHER'!$F$44</f>
        <v>17.008764755528887</v>
      </c>
      <c r="R110" s="54">
        <f>'DM ASIA OTHER'!$G$44</f>
        <v>15.564319966920019</v>
      </c>
      <c r="S110" s="55">
        <f>'DM ASIA OTHER'!$H$44</f>
        <v>0.17550780584293202</v>
      </c>
      <c r="T110" s="46"/>
      <c r="U110" s="57"/>
      <c r="V110" s="58" t="str">
        <f t="shared" si="14"/>
        <v>Agg. Developed Asia Cellular</v>
      </c>
    </row>
    <row r="111" spans="1:113">
      <c r="A111" s="41"/>
      <c r="C111" s="48"/>
      <c r="D111" s="44"/>
      <c r="E111" s="44"/>
      <c r="F111" s="45"/>
      <c r="G111" s="44"/>
      <c r="H111" s="46"/>
      <c r="I111" s="47"/>
      <c r="J111" s="47"/>
      <c r="K111" s="47"/>
      <c r="L111" s="47"/>
      <c r="M111" s="45"/>
      <c r="N111" s="46"/>
      <c r="O111" s="47"/>
      <c r="P111" s="47"/>
      <c r="Q111" s="47"/>
      <c r="R111" s="47"/>
      <c r="S111" s="45"/>
      <c r="T111" s="46"/>
      <c r="U111" s="48"/>
      <c r="V111" s="44"/>
      <c r="AE111" s="140"/>
      <c r="AF111" s="141"/>
      <c r="AG111" s="141"/>
      <c r="AH111" s="141"/>
      <c r="AK111" s="140"/>
      <c r="AL111" s="141"/>
      <c r="AM111" s="141"/>
      <c r="AN111" s="141"/>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row>
    <row r="112" spans="1:113">
      <c r="A112" s="41"/>
      <c r="B112" s="42" t="s">
        <v>514</v>
      </c>
      <c r="C112" s="48" t="s">
        <v>982</v>
      </c>
      <c r="D112" s="44" t="str">
        <f>B112&amp;TEXT(Prices!$C$44,"0.0")</f>
        <v>US$2.1</v>
      </c>
      <c r="E112" s="44" t="str">
        <f>B112&amp;TEXT(Prices!$E$44,"0.0")</f>
        <v>US$4.0</v>
      </c>
      <c r="F112" s="45">
        <f>Prices!$F$44</f>
        <v>0.86915887850467288</v>
      </c>
      <c r="G112" s="44" t="str">
        <f>Prices!$D$44</f>
        <v>Neutral</v>
      </c>
      <c r="H112" s="46"/>
      <c r="I112" s="47">
        <f>ATCUS!$D$40</f>
        <v>20.519330023758314</v>
      </c>
      <c r="J112" s="47">
        <f>ATCUS!$E$40</f>
        <v>20.651243258431904</v>
      </c>
      <c r="K112" s="47">
        <f>ATCUS!$F$40</f>
        <v>20.144785573541451</v>
      </c>
      <c r="L112" s="47">
        <f>ATCUS!$G$40</f>
        <v>18.888777813770105</v>
      </c>
      <c r="M112" s="45">
        <f>ATCUS!$H$40</f>
        <v>2.6093401132669003E-2</v>
      </c>
      <c r="N112" s="46"/>
      <c r="O112" s="47">
        <f>ATCUS!$D$44</f>
        <v>3.0830249231441429</v>
      </c>
      <c r="P112" s="47">
        <f>ATCUS!$E$44</f>
        <v>-16.956903853024592</v>
      </c>
      <c r="Q112" s="47">
        <f>ATCUS!$F$44</f>
        <v>-8.4998870314305162</v>
      </c>
      <c r="R112" s="47">
        <f>ATCUS!$G$44</f>
        <v>-10.110483606610162</v>
      </c>
      <c r="S112" s="45">
        <f>ATCUS!$H$44</f>
        <v>-1.6733566758064373</v>
      </c>
      <c r="T112" s="46"/>
      <c r="U112" s="48" t="str">
        <f t="shared" ref="U112:V114" si="15">U52</f>
        <v>USD 2.1</v>
      </c>
      <c r="V112" s="44" t="str">
        <f t="shared" si="15"/>
        <v>Altice US</v>
      </c>
      <c r="AE112" s="140"/>
      <c r="AF112" s="142"/>
      <c r="AG112" s="142"/>
      <c r="AH112" s="142"/>
      <c r="AK112" s="140"/>
      <c r="AL112" s="142"/>
      <c r="AM112" s="142"/>
      <c r="AN112" s="142"/>
    </row>
    <row r="113" spans="1:69">
      <c r="A113" s="41"/>
      <c r="B113" s="42" t="s">
        <v>514</v>
      </c>
      <c r="C113" s="48" t="s">
        <v>306</v>
      </c>
      <c r="D113" s="44" t="str">
        <f>B113&amp;TEXT(Prices!$C$45,"0.0")</f>
        <v>US$330.8</v>
      </c>
      <c r="E113" s="44" t="str">
        <f>B113&amp;TEXT(Prices!$E$45,"0.0")</f>
        <v>US$581.0</v>
      </c>
      <c r="F113" s="45">
        <f>Prices!$F$45</f>
        <v>0.75645444101819947</v>
      </c>
      <c r="G113" s="44" t="str">
        <f>Prices!$D$45</f>
        <v>Buy</v>
      </c>
      <c r="H113" s="46"/>
      <c r="I113" s="47">
        <f>CHTR!$D$40</f>
        <v>21.673022393739963</v>
      </c>
      <c r="J113" s="47">
        <f>CHTR!$E$40</f>
        <v>22.678032296871319</v>
      </c>
      <c r="K113" s="47">
        <f>CHTR!$F$40</f>
        <v>22.170235417751144</v>
      </c>
      <c r="L113" s="47">
        <f>CHTR!$G$40</f>
        <v>18.127990817568751</v>
      </c>
      <c r="M113" s="45">
        <f>CHTR!$H$40</f>
        <v>5.1955842122821005E-2</v>
      </c>
      <c r="N113" s="46"/>
      <c r="O113" s="47">
        <f>CHTR!$D$44</f>
        <v>12.678646127315918</v>
      </c>
      <c r="P113" s="47">
        <f>CHTR!$E$44</f>
        <v>9.504041623812352</v>
      </c>
      <c r="Q113" s="47">
        <f>CHTR!$F$44</f>
        <v>8.2769784814016614</v>
      </c>
      <c r="R113" s="47">
        <f>CHTR!$G$44</f>
        <v>6.8326164938384863</v>
      </c>
      <c r="S113" s="45">
        <f>CHTR!$H$44</f>
        <v>0.13088040283838387</v>
      </c>
      <c r="T113" s="46"/>
      <c r="U113" s="48" t="str">
        <f t="shared" si="15"/>
        <v>USD 330.8</v>
      </c>
      <c r="V113" s="44" t="str">
        <f t="shared" si="15"/>
        <v>Charter</v>
      </c>
      <c r="AE113" s="140"/>
      <c r="AF113" s="142"/>
      <c r="AG113" s="142"/>
      <c r="AH113" s="142"/>
      <c r="AK113" s="140"/>
      <c r="AL113" s="142"/>
      <c r="AM113" s="142"/>
      <c r="AN113" s="142"/>
    </row>
    <row r="114" spans="1:69">
      <c r="A114" s="41"/>
      <c r="B114" s="42" t="s">
        <v>514</v>
      </c>
      <c r="C114" s="48" t="s">
        <v>304</v>
      </c>
      <c r="D114" s="44" t="str">
        <f>B114&amp;TEXT(Prices!$C$46,"0.0")</f>
        <v>US$39.8</v>
      </c>
      <c r="E114" s="44" t="str">
        <f>B114&amp;TEXT(Prices!$E$46,"0.0")</f>
        <v>US$50.0</v>
      </c>
      <c r="F114" s="45">
        <f>Prices!$F$46</f>
        <v>0.25628140703517599</v>
      </c>
      <c r="G114" s="44" t="str">
        <f>Prices!$D$46</f>
        <v>Buy</v>
      </c>
      <c r="H114" s="46"/>
      <c r="I114" s="47">
        <f>CMCSA!$D$40</f>
        <v>12.468537870188706</v>
      </c>
      <c r="J114" s="47">
        <f>CMCSA!$E$40</f>
        <v>11.252536454163318</v>
      </c>
      <c r="K114" s="47">
        <f>CMCSA!$F$40</f>
        <v>9.8282246049789546</v>
      </c>
      <c r="L114" s="47">
        <f>CMCSA!$G$40</f>
        <v>8.3667834971542803</v>
      </c>
      <c r="M114" s="45">
        <f>CMCSA!$H$40</f>
        <v>8.4821278786819221E-2</v>
      </c>
      <c r="N114" s="46"/>
      <c r="O114" s="47">
        <f>CMCSA!$D$44</f>
        <v>10.401740808397308</v>
      </c>
      <c r="P114" s="47">
        <f>CMCSA!$E$44</f>
        <v>8.9502191019220518</v>
      </c>
      <c r="Q114" s="47">
        <f>CMCSA!$F$44</f>
        <v>7.8842444337464643</v>
      </c>
      <c r="R114" s="47">
        <f>CMCSA!$G$44</f>
        <v>6.5525341913577311</v>
      </c>
      <c r="S114" s="45">
        <f>CMCSA!$H$44</f>
        <v>9.6104590280857494E-2</v>
      </c>
      <c r="T114" s="46"/>
      <c r="U114" s="48" t="str">
        <f t="shared" si="15"/>
        <v>USD 39.8</v>
      </c>
      <c r="V114" s="44" t="str">
        <f t="shared" si="15"/>
        <v>Comcast</v>
      </c>
      <c r="AE114" s="140"/>
      <c r="AF114" s="142"/>
      <c r="AG114" s="142"/>
      <c r="AH114" s="142"/>
      <c r="AK114" s="140"/>
      <c r="AL114" s="142"/>
      <c r="AM114" s="142"/>
      <c r="AN114" s="142"/>
    </row>
    <row r="115" spans="1:69">
      <c r="A115" s="41"/>
      <c r="B115" s="42" t="s">
        <v>522</v>
      </c>
      <c r="C115" s="48" t="s">
        <v>1602</v>
      </c>
      <c r="D115" s="44" t="str">
        <f>B115&amp;TEXT(Prices!C47,"0.00")</f>
        <v>US$ 35.00</v>
      </c>
      <c r="E115" s="44" t="str">
        <f>B115&amp;TEXT(Prices!E47,"0.00")</f>
        <v>US$ 54.00</v>
      </c>
      <c r="F115" s="45">
        <f>Prices!F47</f>
        <v>0.54285714285714293</v>
      </c>
      <c r="G115" s="44" t="str">
        <f>Prices!D47</f>
        <v>Buy</v>
      </c>
      <c r="H115" s="46"/>
      <c r="I115" s="47">
        <f>FYBR!D$40</f>
        <v>-10.459903223499825</v>
      </c>
      <c r="J115" s="47">
        <f>FYBR!E$40</f>
        <v>-27.968069766129933</v>
      </c>
      <c r="K115" s="47">
        <f>FYBR!F$40</f>
        <v>-26.912248800927493</v>
      </c>
      <c r="L115" s="47">
        <f>FYBR!G$40</f>
        <v>-76.468535319787691</v>
      </c>
      <c r="M115" s="45">
        <f>FYBR!H$40</f>
        <v>-0.48428616241598488</v>
      </c>
      <c r="N115" s="46"/>
      <c r="O115" s="47">
        <f>FYBR!D$44</f>
        <v>296.57376959566113</v>
      </c>
      <c r="P115" s="47">
        <f>FYBR!E$44</f>
        <v>-129.20590173982038</v>
      </c>
      <c r="Q115" s="47">
        <f>FYBR!F$44</f>
        <v>-128.20978388493955</v>
      </c>
      <c r="R115" s="47">
        <f>FYBR!G$44</f>
        <v>-159.20718176893084</v>
      </c>
      <c r="S115" s="45">
        <f>FYBR!H$44</f>
        <v>-2.229240611320896</v>
      </c>
      <c r="T115" s="46"/>
      <c r="U115" s="48" t="str">
        <f>D115</f>
        <v>US$ 35.00</v>
      </c>
      <c r="V115" s="44" t="str">
        <f>C115</f>
        <v>Frontier</v>
      </c>
      <c r="AB115" s="5"/>
      <c r="AT115" s="69"/>
    </row>
    <row r="116" spans="1:69">
      <c r="A116" s="41"/>
      <c r="B116" s="42" t="s">
        <v>522</v>
      </c>
      <c r="C116" s="48" t="s">
        <v>1603</v>
      </c>
      <c r="D116" s="44" t="str">
        <f>B116&amp;TEXT(Prices!C48,"0.00")</f>
        <v>US$ 22.28</v>
      </c>
      <c r="E116" s="44" t="str">
        <f>B116&amp;TEXT(Prices!E48,"0.00")</f>
        <v>US$ 100.00</v>
      </c>
      <c r="F116" s="45">
        <f>Prices!F48</f>
        <v>3.4883303411131061</v>
      </c>
      <c r="G116" s="44" t="str">
        <f>Prices!D48</f>
        <v>Buy</v>
      </c>
      <c r="H116" s="46"/>
      <c r="I116" s="47">
        <f>SATS!D$40</f>
        <v>-32.384561516917358</v>
      </c>
      <c r="J116" s="47">
        <f>SATS!E$40</f>
        <v>14.897125196581863</v>
      </c>
      <c r="K116" s="47">
        <f>SATS!F$40</f>
        <v>12.448573282115666</v>
      </c>
      <c r="L116" s="47">
        <f>SATS!G$40</f>
        <v>8.2472989478253176</v>
      </c>
      <c r="M116" s="45">
        <f>SATS!H$40</f>
        <v>-2.4567296895147916</v>
      </c>
      <c r="N116" s="46"/>
      <c r="O116" s="47">
        <f>SATS!D$44</f>
        <v>-27.642403325172726</v>
      </c>
      <c r="P116" s="47">
        <f>SATS!E$44</f>
        <v>802.49055983476603</v>
      </c>
      <c r="Q116" s="47">
        <f>SATS!F$44</f>
        <v>23.58592377322254</v>
      </c>
      <c r="R116" s="47">
        <f>SATS!G$44</f>
        <v>27.880621965877193</v>
      </c>
      <c r="S116" s="45">
        <f>SATS!H$44</f>
        <v>-1.99714377073437</v>
      </c>
      <c r="T116" s="46"/>
      <c r="U116" s="48" t="str">
        <f>D116</f>
        <v>US$ 22.28</v>
      </c>
      <c r="V116" s="44" t="str">
        <f>C116</f>
        <v>EchoStar</v>
      </c>
      <c r="AB116" s="5"/>
      <c r="AT116" s="69"/>
    </row>
    <row r="117" spans="1:69">
      <c r="A117" s="41"/>
      <c r="C117" s="51" t="str">
        <f>C57</f>
        <v>Agg. US Other</v>
      </c>
      <c r="D117" s="58"/>
      <c r="E117" s="58"/>
      <c r="F117" s="55"/>
      <c r="G117" s="58"/>
      <c r="H117" s="56"/>
      <c r="I117" s="54">
        <f>'US OTHER'!$D$40</f>
        <v>19.460370475479301</v>
      </c>
      <c r="J117" s="54">
        <f>'US OTHER'!$E$40</f>
        <v>15.799116916538814</v>
      </c>
      <c r="K117" s="54">
        <f>'US OTHER'!$F$40</f>
        <v>14.366667808632414</v>
      </c>
      <c r="L117" s="54">
        <f>'US OTHER'!$G$40</f>
        <v>11.869951475688792</v>
      </c>
      <c r="M117" s="55">
        <f>'US OTHER'!$H$40</f>
        <v>0.14204708718901382</v>
      </c>
      <c r="N117" s="56"/>
      <c r="O117" s="66">
        <f>'US OTHER'!$D$44</f>
        <v>11.589674186134612</v>
      </c>
      <c r="P117" s="66">
        <f>'US OTHER'!$E$44</f>
        <v>9.8176351313521053</v>
      </c>
      <c r="Q117" s="66">
        <f>'US OTHER'!$F$44</f>
        <v>8.5897880374302709</v>
      </c>
      <c r="R117" s="66">
        <f>'US OTHER'!$G$44</f>
        <v>7.1736568667637073</v>
      </c>
      <c r="S117" s="55">
        <f>'US OTHER'!$H$44</f>
        <v>0.10233723564171293</v>
      </c>
      <c r="T117" s="56"/>
      <c r="U117" s="51"/>
      <c r="V117" s="58" t="str">
        <f>V57</f>
        <v>Agg. US CATV</v>
      </c>
      <c r="AE117" s="140"/>
      <c r="AF117" s="142"/>
      <c r="AG117" s="142"/>
      <c r="AH117" s="142"/>
      <c r="AK117" s="140"/>
      <c r="AL117" s="142"/>
      <c r="AM117" s="142"/>
      <c r="AN117" s="142"/>
    </row>
    <row r="118" spans="1:69">
      <c r="A118" s="41"/>
      <c r="C118" s="48"/>
      <c r="D118" s="44"/>
      <c r="E118" s="44"/>
      <c r="F118" s="45"/>
      <c r="G118" s="44"/>
      <c r="H118" s="46"/>
      <c r="I118" s="47"/>
      <c r="J118" s="47"/>
      <c r="K118" s="47"/>
      <c r="L118" s="47"/>
      <c r="M118" s="45"/>
      <c r="N118" s="46"/>
      <c r="O118" s="47"/>
      <c r="P118" s="47"/>
      <c r="Q118" s="47"/>
      <c r="R118" s="47"/>
      <c r="S118" s="45"/>
      <c r="T118" s="46"/>
      <c r="U118" s="48"/>
      <c r="V118" s="44"/>
      <c r="AE118" s="143"/>
      <c r="AF118" s="143"/>
      <c r="AG118" s="143"/>
      <c r="AH118" s="143"/>
      <c r="AK118" s="143"/>
      <c r="AL118" s="143"/>
      <c r="AM118" s="143"/>
      <c r="AN118" s="143"/>
    </row>
    <row r="119" spans="1:69" s="5" customFormat="1">
      <c r="A119" s="146"/>
      <c r="B119" s="42"/>
      <c r="C119" s="48"/>
      <c r="D119" s="44"/>
      <c r="E119" s="44"/>
      <c r="F119" s="45"/>
      <c r="G119" s="44"/>
      <c r="H119" s="46"/>
      <c r="I119" s="47"/>
      <c r="J119" s="47"/>
      <c r="K119" s="47"/>
      <c r="L119" s="47"/>
      <c r="M119" s="45"/>
      <c r="N119" s="46"/>
      <c r="O119" s="47"/>
      <c r="P119" s="47"/>
      <c r="Q119" s="47"/>
      <c r="R119" s="47"/>
      <c r="S119" s="45"/>
      <c r="T119" s="46"/>
      <c r="U119" s="48"/>
      <c r="V119" s="44"/>
      <c r="AB119" s="63"/>
      <c r="AI119" s="41"/>
      <c r="AJ119" s="64"/>
      <c r="AN119" s="64"/>
      <c r="AR119" s="64"/>
      <c r="AT119" s="69"/>
    </row>
    <row r="120" spans="1:69" s="5" customFormat="1">
      <c r="A120" s="146"/>
      <c r="B120" s="42"/>
      <c r="C120" s="51" t="str">
        <f>C60</f>
        <v>Agg. W Europe</v>
      </c>
      <c r="D120" s="52"/>
      <c r="E120" s="52"/>
      <c r="F120" s="53"/>
      <c r="G120" s="52"/>
      <c r="H120" s="46"/>
      <c r="I120" s="54">
        <f>'W.EUR AGG'!$D$40</f>
        <v>20.361959645589543</v>
      </c>
      <c r="J120" s="54">
        <f>'W.EUR AGG'!$E$40</f>
        <v>18.137439136469933</v>
      </c>
      <c r="K120" s="54">
        <f>'W.EUR AGG'!$F$40</f>
        <v>16.375025211380557</v>
      </c>
      <c r="L120" s="54">
        <f>'W.EUR AGG'!$G$40</f>
        <v>14.63898284015745</v>
      </c>
      <c r="M120" s="55">
        <f>'W.EUR AGG'!$H$40</f>
        <v>8.4284089307849142E-2</v>
      </c>
      <c r="N120" s="56"/>
      <c r="O120" s="54">
        <f>'W.EUR AGG'!$D$44</f>
        <v>18.079063449361282</v>
      </c>
      <c r="P120" s="54">
        <f>'W.EUR AGG'!$E$44</f>
        <v>15.964690595024763</v>
      </c>
      <c r="Q120" s="54">
        <f>'W.EUR AGG'!$F$44</f>
        <v>13.298440583738026</v>
      </c>
      <c r="R120" s="54">
        <f>'W.EUR AGG'!$G$44</f>
        <v>12.0580637271289</v>
      </c>
      <c r="S120" s="55">
        <f>'W.EUR AGG'!$H$44</f>
        <v>0.13387532966203497</v>
      </c>
      <c r="T120" s="46"/>
      <c r="U120" s="57"/>
      <c r="V120" s="58" t="str">
        <f>V60</f>
        <v>Agg. W Europe</v>
      </c>
      <c r="Z120" s="49"/>
      <c r="AT120" s="69"/>
    </row>
    <row r="121" spans="1:69">
      <c r="A121" s="41"/>
      <c r="C121" s="41" t="s">
        <v>1608</v>
      </c>
      <c r="D121" s="44"/>
      <c r="E121" s="44"/>
      <c r="F121" s="45"/>
      <c r="G121" s="44"/>
      <c r="H121" s="46"/>
      <c r="I121" s="60">
        <f>'US AGG'!D$40</f>
        <v>20.261047997621532</v>
      </c>
      <c r="J121" s="60">
        <f>'US AGG'!E$40</f>
        <v>17.449910593680883</v>
      </c>
      <c r="K121" s="60">
        <f>'US AGG'!F$40</f>
        <v>15.670402265817511</v>
      </c>
      <c r="L121" s="60">
        <f>'US AGG'!G$40</f>
        <v>13.615352892196215</v>
      </c>
      <c r="M121" s="59">
        <f>'US AGG'!H$40</f>
        <v>8.6168610036252424E-2</v>
      </c>
      <c r="N121" s="56"/>
      <c r="O121" s="60">
        <f>'US AGG'!D$44</f>
        <v>14.23529459276539</v>
      </c>
      <c r="P121" s="60">
        <f>'US AGG'!E$44</f>
        <v>13.301763140764736</v>
      </c>
      <c r="Q121" s="60">
        <f>'US AGG'!F$44</f>
        <v>11.980311799553833</v>
      </c>
      <c r="R121" s="60">
        <f>'US AGG'!G$44</f>
        <v>10.601435646164511</v>
      </c>
      <c r="S121" s="59">
        <f>'US AGG'!H$44</f>
        <v>6.3334119736071282E-2</v>
      </c>
      <c r="T121" s="46"/>
      <c r="U121" s="48"/>
      <c r="V121" s="50" t="str">
        <f>V61</f>
        <v>Agg. US</v>
      </c>
      <c r="Z121" s="49"/>
      <c r="AB121" s="5"/>
      <c r="AT121" s="69"/>
    </row>
    <row r="122" spans="1:69" s="5" customFormat="1">
      <c r="A122" s="41"/>
      <c r="B122" s="42"/>
      <c r="C122" s="67" t="str">
        <f>C62</f>
        <v xml:space="preserve">Agg. Developed Asia </v>
      </c>
      <c r="D122" s="52"/>
      <c r="E122" s="52"/>
      <c r="F122" s="53"/>
      <c r="G122" s="52"/>
      <c r="H122" s="46"/>
      <c r="I122" s="54">
        <f>'AGG DM ASIA'!$D$40</f>
        <v>21.602251824900758</v>
      </c>
      <c r="J122" s="54">
        <f>'AGG DM ASIA'!$E$40</f>
        <v>19.602708435807113</v>
      </c>
      <c r="K122" s="54">
        <f>'AGG DM ASIA'!$F$40</f>
        <v>15.736388106432045</v>
      </c>
      <c r="L122" s="54">
        <f>'AGG DM ASIA'!$G$40</f>
        <v>14.042468892205573</v>
      </c>
      <c r="M122" s="55">
        <f>'AGG DM ASIA'!$H$40</f>
        <v>0.10439956175693821</v>
      </c>
      <c r="N122" s="56"/>
      <c r="O122" s="54">
        <f>'AGG DM ASIA'!$D$44</f>
        <v>18.048165585431132</v>
      </c>
      <c r="P122" s="54">
        <f>'AGG DM ASIA'!$E$44</f>
        <v>15.322301714964658</v>
      </c>
      <c r="Q122" s="54">
        <f>'AGG DM ASIA'!$F$44</f>
        <v>13.202466106054869</v>
      </c>
      <c r="R122" s="54">
        <f>'AGG DM ASIA'!$G$44</f>
        <v>12.256480026102491</v>
      </c>
      <c r="S122" s="55">
        <f>'AGG DM ASIA'!$H$44</f>
        <v>0.12439730820639383</v>
      </c>
      <c r="T122" s="46"/>
      <c r="U122" s="57"/>
      <c r="V122" s="58" t="str">
        <f>V62</f>
        <v xml:space="preserve">Agg. Developed Asia </v>
      </c>
      <c r="Z122" s="46"/>
      <c r="AB122" s="63"/>
      <c r="AT122" s="69"/>
    </row>
    <row r="123" spans="1:69">
      <c r="A123" s="41"/>
      <c r="C123" s="41"/>
      <c r="D123" s="44"/>
      <c r="E123" s="44"/>
      <c r="F123" s="45"/>
      <c r="G123" s="44"/>
      <c r="H123" s="46"/>
      <c r="I123" s="60"/>
      <c r="J123" s="60"/>
      <c r="K123" s="60"/>
      <c r="L123" s="60"/>
      <c r="M123" s="59"/>
      <c r="N123" s="56"/>
      <c r="O123" s="60"/>
      <c r="P123" s="60"/>
      <c r="Q123" s="60"/>
      <c r="R123" s="60"/>
      <c r="S123" s="59"/>
      <c r="T123" s="46"/>
      <c r="U123" s="48"/>
      <c r="V123" s="50"/>
      <c r="Z123" s="46"/>
      <c r="AB123" s="5"/>
      <c r="AE123" s="41"/>
    </row>
    <row r="124" spans="1:69">
      <c r="A124" s="41"/>
      <c r="C124" s="67" t="str">
        <f>C64</f>
        <v>Agg. Global Developed</v>
      </c>
      <c r="D124" s="52"/>
      <c r="E124" s="52"/>
      <c r="F124" s="53"/>
      <c r="G124" s="52"/>
      <c r="H124" s="46"/>
      <c r="I124" s="54">
        <f>'AGG DM'!$D$40</f>
        <v>20.489606542550682</v>
      </c>
      <c r="J124" s="54">
        <f>'AGG DM'!$E$40</f>
        <v>17.970115833093388</v>
      </c>
      <c r="K124" s="54">
        <f>'AGG DM'!$F$40</f>
        <v>15.895235275753445</v>
      </c>
      <c r="L124" s="54">
        <f>'AGG DM'!$G$40</f>
        <v>13.994564037458879</v>
      </c>
      <c r="M124" s="55">
        <f>'AGG DM'!$H$40</f>
        <v>8.8308894519717684E-2</v>
      </c>
      <c r="N124" s="56"/>
      <c r="O124" s="54">
        <f>'AGG DM'!$D$44</f>
        <v>15.638044643718967</v>
      </c>
      <c r="P124" s="54">
        <f>'AGG DM'!$E$44</f>
        <v>14.220962153693332</v>
      </c>
      <c r="Q124" s="54">
        <f>'AGG DM'!$F$44</f>
        <v>12.502249176356969</v>
      </c>
      <c r="R124" s="54">
        <f>'AGG DM'!$G$44</f>
        <v>11.233113481631298</v>
      </c>
      <c r="S124" s="55">
        <f>'AGG DM'!$H$44</f>
        <v>8.8584802895584236E-2</v>
      </c>
      <c r="T124" s="46"/>
      <c r="U124" s="57"/>
      <c r="V124" s="58" t="str">
        <f>V64</f>
        <v xml:space="preserve">Agg. Global Developed </v>
      </c>
      <c r="Z124" s="46"/>
      <c r="AI124" s="41"/>
      <c r="AJ124" s="64"/>
    </row>
    <row r="125" spans="1:69" s="5" customFormat="1">
      <c r="A125" s="41"/>
      <c r="B125" s="42"/>
      <c r="C125" s="43"/>
      <c r="D125" s="44"/>
      <c r="E125" s="44"/>
      <c r="F125" s="45"/>
      <c r="G125" s="44"/>
      <c r="M125" s="69"/>
      <c r="S125" s="69"/>
      <c r="U125" s="63"/>
      <c r="V125" s="63"/>
      <c r="Z125" s="46"/>
      <c r="AB125" s="63"/>
    </row>
    <row r="126" spans="1:69" s="5" customFormat="1">
      <c r="A126" s="41"/>
      <c r="B126" s="42"/>
      <c r="C126" s="43"/>
      <c r="D126" s="44"/>
      <c r="E126" s="44"/>
      <c r="F126" s="45"/>
      <c r="G126" s="44"/>
      <c r="M126" s="69"/>
      <c r="S126" s="69"/>
      <c r="U126" s="63"/>
      <c r="V126" s="63"/>
      <c r="Z126" s="46"/>
      <c r="AB126" s="63"/>
    </row>
    <row r="127" spans="1:69" s="41" customFormat="1">
      <c r="B127" s="147"/>
      <c r="C127" s="164"/>
      <c r="D127" s="165" t="s">
        <v>459</v>
      </c>
      <c r="E127" s="165" t="s">
        <v>56</v>
      </c>
      <c r="F127" s="165" t="s">
        <v>58</v>
      </c>
      <c r="G127" s="165" t="s">
        <v>55</v>
      </c>
      <c r="H127" s="49"/>
      <c r="I127" s="166" t="s">
        <v>575</v>
      </c>
      <c r="J127" s="166"/>
      <c r="K127" s="166"/>
      <c r="L127" s="166"/>
      <c r="M127" s="166"/>
      <c r="O127" s="166" t="s">
        <v>576</v>
      </c>
      <c r="P127" s="166"/>
      <c r="Q127" s="166"/>
      <c r="R127" s="166"/>
      <c r="S127" s="166"/>
      <c r="T127" s="49"/>
      <c r="U127" s="167" t="s">
        <v>459</v>
      </c>
      <c r="V127" s="165"/>
      <c r="Z127" s="49"/>
      <c r="AC127" s="135"/>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BC127" s="137"/>
      <c r="BD127" s="137"/>
      <c r="BE127" s="137"/>
      <c r="BG127" s="137"/>
      <c r="BH127" s="137"/>
      <c r="BI127" s="137"/>
      <c r="BK127" s="137"/>
      <c r="BL127" s="137"/>
      <c r="BM127" s="137"/>
      <c r="BO127" s="137"/>
      <c r="BP127" s="137"/>
      <c r="BQ127" s="137"/>
    </row>
    <row r="128" spans="1:69" s="5" customFormat="1">
      <c r="A128" s="41" t="s">
        <v>501</v>
      </c>
      <c r="B128" s="42"/>
      <c r="C128" s="48" t="s">
        <v>182</v>
      </c>
      <c r="D128" s="44" t="str">
        <f t="shared" ref="D128:G138" si="16">D68</f>
        <v>GBP1.44</v>
      </c>
      <c r="E128" s="44" t="str">
        <f t="shared" si="16"/>
        <v>GBP2.30</v>
      </c>
      <c r="F128" s="45">
        <f t="shared" si="16"/>
        <v>0.59777700590482818</v>
      </c>
      <c r="G128" s="44" t="str">
        <f t="shared" si="16"/>
        <v>Buy</v>
      </c>
      <c r="H128" s="46"/>
      <c r="I128" s="615">
        <f>BT!$D$45</f>
        <v>5.5574852379298365E-2</v>
      </c>
      <c r="J128" s="615">
        <f>BT!$E$45</f>
        <v>5.779784647447031E-2</v>
      </c>
      <c r="K128" s="615">
        <f>BT!$F$45</f>
        <v>6.0109760333449128E-2</v>
      </c>
      <c r="L128" s="615">
        <f>BT!$G$45</f>
        <v>7.2131712400138936E-2</v>
      </c>
      <c r="M128" s="615">
        <f>BT!$H$45</f>
        <v>8.7454021669845394E-2</v>
      </c>
      <c r="N128" s="46"/>
      <c r="O128" s="615">
        <f>BT!$D$47</f>
        <v>7.5754655930270698E-2</v>
      </c>
      <c r="P128" s="615">
        <f>BT!$E$47</f>
        <v>6.8608690690805912E-2</v>
      </c>
      <c r="Q128" s="615">
        <f>BT!$F$47</f>
        <v>6.9789430744787745E-2</v>
      </c>
      <c r="R128" s="615">
        <f>BT!$G$47</f>
        <v>9.0802825531007533E-2</v>
      </c>
      <c r="S128" s="615">
        <f>BT!$H$47</f>
        <v>5.9439364309655573E-2</v>
      </c>
      <c r="T128" s="46"/>
      <c r="U128" s="48" t="str">
        <f t="shared" ref="U128:V132" si="17">U68</f>
        <v>GBP1.44</v>
      </c>
      <c r="V128" s="69" t="str">
        <f t="shared" si="17"/>
        <v>British Telecom</v>
      </c>
      <c r="Z128" s="46"/>
      <c r="AE128" s="41"/>
      <c r="AF128" s="31"/>
      <c r="AG128" s="31"/>
      <c r="AI128" s="41"/>
      <c r="AJ128" s="64"/>
      <c r="AK128" s="64"/>
      <c r="AM128" s="41"/>
      <c r="AN128" s="17"/>
      <c r="AO128" s="17"/>
      <c r="AQ128" s="41"/>
      <c r="AR128" s="18"/>
      <c r="AS128" s="18"/>
    </row>
    <row r="129" spans="1:45" s="5" customFormat="1">
      <c r="A129" s="41"/>
      <c r="B129" s="42"/>
      <c r="C129" s="48" t="s">
        <v>183</v>
      </c>
      <c r="D129" s="44" t="str">
        <f t="shared" si="16"/>
        <v>EUR 26.13</v>
      </c>
      <c r="E129" s="44" t="str">
        <f t="shared" si="16"/>
        <v>EUR 33.00</v>
      </c>
      <c r="F129" s="45">
        <f t="shared" si="16"/>
        <v>0.26291618828932273</v>
      </c>
      <c r="G129" s="44" t="str">
        <f t="shared" si="16"/>
        <v>Buy</v>
      </c>
      <c r="H129" s="46"/>
      <c r="I129" s="615">
        <f>DT!$D$45</f>
        <v>2.946804439341753E-2</v>
      </c>
      <c r="J129" s="615">
        <f>DT!$E$45</f>
        <v>3.3004209720627634E-2</v>
      </c>
      <c r="K129" s="615">
        <f>DT!$F$45</f>
        <v>3.6964714887102956E-2</v>
      </c>
      <c r="L129" s="615">
        <f>DT!$G$45</f>
        <v>4.0661186375813257E-2</v>
      </c>
      <c r="M129" s="615">
        <f>DT!$H$45</f>
        <v>0.10580083205039381</v>
      </c>
      <c r="N129" s="46"/>
      <c r="O129" s="615">
        <f>DT!$D$47</f>
        <v>6.3451289180136386E-2</v>
      </c>
      <c r="P129" s="615">
        <f>DT!$E$47</f>
        <v>7.9877474409657534E-2</v>
      </c>
      <c r="Q129" s="615">
        <f>DT!$F$47</f>
        <v>8.4529726689313828E-2</v>
      </c>
      <c r="R129" s="615">
        <f>DT!$G$47</f>
        <v>9.1363408977899796E-2</v>
      </c>
      <c r="S129" s="615">
        <f>DT!$H$47</f>
        <v>0.12199412781479291</v>
      </c>
      <c r="T129" s="46"/>
      <c r="U129" s="48" t="str">
        <f t="shared" si="17"/>
        <v>EUR 26.13</v>
      </c>
      <c r="V129" s="69" t="str">
        <f t="shared" si="17"/>
        <v>Deutsche Telekom</v>
      </c>
      <c r="Z129" s="46"/>
      <c r="AE129" s="41"/>
      <c r="AF129" s="31"/>
      <c r="AG129" s="31"/>
      <c r="AI129" s="41"/>
      <c r="AJ129" s="64"/>
      <c r="AK129" s="64"/>
      <c r="AM129" s="41"/>
      <c r="AN129" s="17"/>
      <c r="AO129" s="17"/>
      <c r="AQ129" s="41"/>
      <c r="AR129" s="18"/>
      <c r="AS129" s="18"/>
    </row>
    <row r="130" spans="1:45" s="5" customFormat="1">
      <c r="A130" s="41"/>
      <c r="B130" s="42"/>
      <c r="C130" s="48" t="s">
        <v>453</v>
      </c>
      <c r="D130" s="44" t="str">
        <f t="shared" si="16"/>
        <v>EUR 3.75</v>
      </c>
      <c r="E130" s="44" t="str">
        <f t="shared" si="16"/>
        <v>EUR 3.80</v>
      </c>
      <c r="F130" s="45">
        <f t="shared" si="16"/>
        <v>1.4415376401494928E-2</v>
      </c>
      <c r="G130" s="44" t="str">
        <f t="shared" si="16"/>
        <v>Neutral</v>
      </c>
      <c r="H130" s="46"/>
      <c r="I130" s="615">
        <f>KPN!$D$45</f>
        <v>3.8174052322477309E-2</v>
      </c>
      <c r="J130" s="615">
        <f>KPN!$E$45</f>
        <v>4.5381740523224773E-2</v>
      </c>
      <c r="K130" s="615">
        <f>KPN!$F$45</f>
        <v>4.8558462359850514E-2</v>
      </c>
      <c r="L130" s="615">
        <f>KPN!$G$45</f>
        <v>5.1957554725040059E-2</v>
      </c>
      <c r="M130" s="615">
        <f>KPN!$H$45</f>
        <v>9.2792810165498896E-2</v>
      </c>
      <c r="N130" s="46"/>
      <c r="O130" s="615">
        <f>KPN!$D$47</f>
        <v>4.2168645003003262E-2</v>
      </c>
      <c r="P130" s="615">
        <f>KPN!$E$47</f>
        <v>5.5713238316796296E-2</v>
      </c>
      <c r="Q130" s="615">
        <f>KPN!$F$47</f>
        <v>5.8577351256658958E-2</v>
      </c>
      <c r="R130" s="615">
        <f>KPN!$G$47</f>
        <v>5.981006936394756E-2</v>
      </c>
      <c r="S130" s="615">
        <f>KPN!$H$47</f>
        <v>0.10920608507628371</v>
      </c>
      <c r="T130" s="46"/>
      <c r="U130" s="48" t="str">
        <f t="shared" si="17"/>
        <v>EUR 3.75</v>
      </c>
      <c r="V130" s="69" t="str">
        <f t="shared" si="17"/>
        <v>KPN</v>
      </c>
      <c r="Z130" s="46"/>
      <c r="AE130" s="41"/>
      <c r="AF130" s="31"/>
      <c r="AG130" s="31"/>
      <c r="AI130" s="41"/>
      <c r="AJ130" s="64"/>
      <c r="AK130" s="64"/>
      <c r="AM130" s="41"/>
      <c r="AN130" s="17"/>
      <c r="AO130" s="17"/>
      <c r="AQ130" s="41"/>
      <c r="AR130" s="18"/>
      <c r="AS130" s="18"/>
    </row>
    <row r="131" spans="1:45" s="5" customFormat="1">
      <c r="A131" s="41"/>
      <c r="B131" s="42"/>
      <c r="C131" s="48" t="s">
        <v>722</v>
      </c>
      <c r="D131" s="44" t="str">
        <f t="shared" si="16"/>
        <v>EUR 10.72</v>
      </c>
      <c r="E131" s="44" t="str">
        <f t="shared" si="16"/>
        <v>EUR 14.00</v>
      </c>
      <c r="F131" s="45">
        <f t="shared" si="16"/>
        <v>0.30597014925373123</v>
      </c>
      <c r="G131" s="44" t="str">
        <f t="shared" si="16"/>
        <v>Buy</v>
      </c>
      <c r="H131" s="46"/>
      <c r="I131" s="615">
        <f>ORA!$D$45</f>
        <v>6.7164179104477625E-2</v>
      </c>
      <c r="J131" s="615">
        <f>ORA!$E$45</f>
        <v>6.9962686567164187E-2</v>
      </c>
      <c r="K131" s="615">
        <f>ORA!$F$45</f>
        <v>7.2761194029850748E-2</v>
      </c>
      <c r="L131" s="615">
        <f>ORA!$G$45</f>
        <v>7.5671641791044769E-2</v>
      </c>
      <c r="M131" s="615">
        <f>ORA!$H$45</f>
        <v>4.0555259048362657E-2</v>
      </c>
      <c r="N131" s="46"/>
      <c r="O131" s="615">
        <f>ORA!$D$47</f>
        <v>7.7846783464396233E-2</v>
      </c>
      <c r="P131" s="615">
        <f>ORA!$E$47</f>
        <v>5.2280420269975203E-2</v>
      </c>
      <c r="Q131" s="615">
        <f>ORA!$F$47</f>
        <v>6.5910006930643708E-2</v>
      </c>
      <c r="R131" s="615">
        <f>ORA!$G$47</f>
        <v>8.2193919955241959E-2</v>
      </c>
      <c r="S131" s="615">
        <f>ORA!$H$47</f>
        <v>1.8277951302528406E-2</v>
      </c>
      <c r="T131" s="46"/>
      <c r="U131" s="48" t="str">
        <f t="shared" si="17"/>
        <v>EUR 10.72</v>
      </c>
      <c r="V131" s="69" t="str">
        <f t="shared" si="17"/>
        <v>Orange</v>
      </c>
      <c r="Z131" s="46"/>
      <c r="AE131" s="41"/>
      <c r="AF131" s="31"/>
      <c r="AG131" s="31"/>
      <c r="AI131" s="41"/>
      <c r="AJ131" s="64"/>
      <c r="AK131" s="64"/>
      <c r="AM131" s="41"/>
      <c r="AN131" s="17"/>
      <c r="AO131" s="17"/>
      <c r="AQ131" s="41"/>
      <c r="AR131" s="18"/>
      <c r="AS131" s="18"/>
    </row>
    <row r="132" spans="1:45" s="5" customFormat="1">
      <c r="A132" s="41"/>
      <c r="B132" s="42"/>
      <c r="C132" s="48" t="s">
        <v>454</v>
      </c>
      <c r="D132" s="44" t="str">
        <f t="shared" si="16"/>
        <v>EUR 15.08</v>
      </c>
      <c r="E132" s="44" t="str">
        <f t="shared" si="16"/>
        <v>EUR 18.50</v>
      </c>
      <c r="F132" s="45">
        <f t="shared" si="16"/>
        <v>0.22679045092838201</v>
      </c>
      <c r="G132" s="44" t="str">
        <f t="shared" si="16"/>
        <v>Buy</v>
      </c>
      <c r="H132" s="46"/>
      <c r="I132" s="615">
        <f>OTE!$D$45</f>
        <v>4.7082228116710867E-2</v>
      </c>
      <c r="J132" s="615">
        <f>OTE!$E$45</f>
        <v>4.9436339522546419E-2</v>
      </c>
      <c r="K132" s="615">
        <f>OTE!$F$45</f>
        <v>5.1908156498673745E-2</v>
      </c>
      <c r="L132" s="615">
        <f>OTE!$G$45</f>
        <v>5.450356432360743E-2</v>
      </c>
      <c r="M132" s="615">
        <f>OTE!$H$45</f>
        <v>1.1863743516651537E-2</v>
      </c>
      <c r="N132" s="46"/>
      <c r="O132" s="615">
        <f>OTE!$D$47</f>
        <v>7.4748197552690326E-2</v>
      </c>
      <c r="P132" s="615">
        <f>OTE!$E$47</f>
        <v>8.0742420112391314E-2</v>
      </c>
      <c r="Q132" s="615">
        <f>OTE!$F$47</f>
        <v>8.5652163434862552E-2</v>
      </c>
      <c r="R132" s="615">
        <f>OTE!$G$47</f>
        <v>8.9127429398271646E-2</v>
      </c>
      <c r="S132" s="615">
        <f>OTE!$H$47</f>
        <v>2.6275888995822116E-2</v>
      </c>
      <c r="T132" s="46"/>
      <c r="U132" s="48" t="str">
        <f t="shared" si="17"/>
        <v>EUR 15.08</v>
      </c>
      <c r="V132" s="69" t="str">
        <f t="shared" si="17"/>
        <v>OTE</v>
      </c>
      <c r="Z132" s="46"/>
      <c r="AE132" s="41"/>
      <c r="AF132" s="31"/>
      <c r="AG132" s="31"/>
      <c r="AI132" s="41"/>
      <c r="AJ132" s="64"/>
      <c r="AK132" s="64"/>
      <c r="AM132" s="41"/>
      <c r="AN132" s="17"/>
      <c r="AO132" s="17"/>
      <c r="AQ132" s="41"/>
      <c r="AR132" s="18"/>
      <c r="AS132" s="18"/>
    </row>
    <row r="133" spans="1:45" s="5" customFormat="1">
      <c r="A133" s="41"/>
      <c r="B133" s="42"/>
      <c r="C133" s="48" t="s">
        <v>809</v>
      </c>
      <c r="D133" s="44" t="str">
        <f t="shared" si="16"/>
        <v>EUR 6.8</v>
      </c>
      <c r="E133" s="44" t="str">
        <f t="shared" si="16"/>
        <v>EUR 9.5</v>
      </c>
      <c r="F133" s="45">
        <f t="shared" si="16"/>
        <v>0.39296187683284445</v>
      </c>
      <c r="G133" s="44" t="str">
        <f t="shared" si="16"/>
        <v>Neutral</v>
      </c>
      <c r="H133" s="46"/>
      <c r="I133" s="615">
        <f>PROX!$D$45</f>
        <v>0.17595307917888564</v>
      </c>
      <c r="J133" s="615">
        <f>PROX!$E$45</f>
        <v>0.1466275659824047</v>
      </c>
      <c r="K133" s="615">
        <f>PROX!$F$45</f>
        <v>8.797653958944282E-2</v>
      </c>
      <c r="L133" s="615">
        <f>PROX!$G$45</f>
        <v>8.797653958944282E-2</v>
      </c>
      <c r="M133" s="615">
        <f>PROX!$H$45</f>
        <v>-0.20629947401590021</v>
      </c>
      <c r="N133" s="46"/>
      <c r="O133" s="615">
        <f>PROX!$D$47</f>
        <v>2.5463299342848154E-2</v>
      </c>
      <c r="P133" s="615">
        <f>PROX!$E$47</f>
        <v>4.1184843006605937E-2</v>
      </c>
      <c r="Q133" s="615">
        <f>PROX!$F$47</f>
        <v>6.2525066794028236E-2</v>
      </c>
      <c r="R133" s="615">
        <f>PROX!$G$47</f>
        <v>6.1965314794351418E-2</v>
      </c>
      <c r="S133" s="615">
        <f>PROX!$H$47</f>
        <v>0.34506930359817867</v>
      </c>
      <c r="T133" s="46"/>
      <c r="U133" s="48" t="str">
        <f t="shared" ref="U133:U138" si="18">U73</f>
        <v>EUR 6.8</v>
      </c>
      <c r="V133" s="69" t="s">
        <v>809</v>
      </c>
      <c r="Z133" s="46"/>
      <c r="AE133" s="41"/>
      <c r="AF133" s="31"/>
      <c r="AG133" s="31"/>
      <c r="AI133" s="41"/>
      <c r="AJ133" s="64"/>
      <c r="AK133" s="64"/>
      <c r="AM133" s="41"/>
      <c r="AN133" s="17"/>
      <c r="AO133" s="17"/>
      <c r="AQ133" s="41"/>
      <c r="AR133" s="18"/>
      <c r="AS133" s="18"/>
    </row>
    <row r="134" spans="1:45">
      <c r="C134" s="48" t="s">
        <v>458</v>
      </c>
      <c r="D134" s="44" t="str">
        <f t="shared" si="16"/>
        <v>CHF549</v>
      </c>
      <c r="E134" s="44" t="str">
        <f t="shared" si="16"/>
        <v>CHF600</v>
      </c>
      <c r="F134" s="45">
        <f t="shared" si="16"/>
        <v>9.2896174863388081E-2</v>
      </c>
      <c r="G134" s="44" t="str">
        <f t="shared" si="16"/>
        <v>Neutral</v>
      </c>
      <c r="H134" s="46"/>
      <c r="I134" s="615">
        <f>SWISS!$D$45</f>
        <v>4.0072859744990898E-2</v>
      </c>
      <c r="J134" s="615">
        <f>SWISS!$E$45</f>
        <v>4.0072859744990898E-2</v>
      </c>
      <c r="K134" s="615">
        <f>SWISS!$F$45</f>
        <v>4.7358834244080147E-2</v>
      </c>
      <c r="L134" s="615">
        <f>SWISS!$G$45</f>
        <v>4.9180327868852465E-2</v>
      </c>
      <c r="M134" s="615">
        <f>SWISS!$H$45</f>
        <v>7.0648783255412351E-2</v>
      </c>
      <c r="N134" s="46"/>
      <c r="O134" s="615">
        <f>SWISS!$D$47</f>
        <v>5.3315235393546274E-2</v>
      </c>
      <c r="P134" s="615">
        <f>SWISS!$E$47</f>
        <v>5.0337650386465149E-2</v>
      </c>
      <c r="Q134" s="615">
        <f>SWISS!$F$47</f>
        <v>6.3373999149464483E-2</v>
      </c>
      <c r="R134" s="615">
        <f>SWISS!$G$47</f>
        <v>6.5693469841876559E-2</v>
      </c>
      <c r="S134" s="615">
        <f>SWISS!$H$47</f>
        <v>7.2071185457139197E-2</v>
      </c>
      <c r="T134" s="46"/>
      <c r="U134" s="48" t="str">
        <f t="shared" si="18"/>
        <v>CHF549</v>
      </c>
      <c r="V134" s="69" t="str">
        <f t="shared" ref="V134:V139" si="19">V74</f>
        <v>Swisscom</v>
      </c>
    </row>
    <row r="135" spans="1:45" s="5" customFormat="1">
      <c r="A135" s="41"/>
      <c r="B135" s="42"/>
      <c r="C135" s="48" t="s">
        <v>265</v>
      </c>
      <c r="D135" s="44" t="str">
        <f t="shared" si="16"/>
        <v>EUR 0.24</v>
      </c>
      <c r="E135" s="44" t="str">
        <f t="shared" si="16"/>
        <v>EUR 0.34</v>
      </c>
      <c r="F135" s="45">
        <f t="shared" si="16"/>
        <v>0.44006776789495983</v>
      </c>
      <c r="G135" s="44" t="str">
        <f t="shared" si="16"/>
        <v>Buy</v>
      </c>
      <c r="H135" s="46"/>
      <c r="I135" s="615">
        <f>TI!$D$45</f>
        <v>0</v>
      </c>
      <c r="J135" s="615">
        <f>TI!$E$45</f>
        <v>0</v>
      </c>
      <c r="K135" s="615">
        <f>TI!$F$45</f>
        <v>0</v>
      </c>
      <c r="L135" s="615">
        <f>TI!$G$45</f>
        <v>0</v>
      </c>
      <c r="M135" s="615" t="str">
        <f>TI!$H$45</f>
        <v>nm</v>
      </c>
      <c r="N135" s="46"/>
      <c r="O135" s="615">
        <f>TI!$D$47</f>
        <v>-0.10423256340422951</v>
      </c>
      <c r="P135" s="615">
        <f>TI!$E$47</f>
        <v>-9.7223209142079381E-3</v>
      </c>
      <c r="Q135" s="615">
        <f>TI!$F$47</f>
        <v>-7.9255306268545111E-3</v>
      </c>
      <c r="R135" s="615">
        <f>TI!$G$47</f>
        <v>5.6441900737713609E-2</v>
      </c>
      <c r="S135" s="615">
        <f>TI!$H$47</f>
        <v>-1.8150784370932393</v>
      </c>
      <c r="T135" s="46"/>
      <c r="U135" s="48" t="str">
        <f t="shared" si="18"/>
        <v>EUR 0.24</v>
      </c>
      <c r="V135" s="69" t="str">
        <f t="shared" si="19"/>
        <v>Telecom Italia</v>
      </c>
      <c r="Z135" s="46"/>
      <c r="AE135" s="41"/>
      <c r="AF135" s="31"/>
      <c r="AG135" s="31"/>
      <c r="AI135" s="41"/>
      <c r="AJ135" s="64"/>
      <c r="AK135" s="64"/>
      <c r="AM135" s="41"/>
      <c r="AN135" s="17"/>
      <c r="AO135" s="17"/>
      <c r="AQ135" s="41"/>
      <c r="AR135" s="18"/>
      <c r="AS135" s="18"/>
    </row>
    <row r="136" spans="1:45" s="5" customFormat="1">
      <c r="A136" s="41"/>
      <c r="B136" s="42"/>
      <c r="C136" s="48" t="s">
        <v>456</v>
      </c>
      <c r="D136" s="44" t="str">
        <f t="shared" si="16"/>
        <v>EUR 4.21</v>
      </c>
      <c r="E136" s="44" t="str">
        <f t="shared" si="16"/>
        <v>EUR 4.30</v>
      </c>
      <c r="F136" s="45">
        <f t="shared" si="16"/>
        <v>2.065036790885344E-2</v>
      </c>
      <c r="G136" s="44" t="str">
        <f t="shared" si="16"/>
        <v>Neutral</v>
      </c>
      <c r="H136" s="46"/>
      <c r="I136" s="615">
        <f>TEF!$D$45</f>
        <v>7.1208165202943277E-2</v>
      </c>
      <c r="J136" s="615">
        <f>TEF!$E$45</f>
        <v>7.1208165202943277E-2</v>
      </c>
      <c r="K136" s="615">
        <f>TEF!$F$45</f>
        <v>7.1208165202943277E-2</v>
      </c>
      <c r="L136" s="615">
        <f>TEF!$G$45</f>
        <v>7.1208165202943277E-2</v>
      </c>
      <c r="M136" s="615">
        <f>TEF!$H$45</f>
        <v>0</v>
      </c>
      <c r="N136" s="46"/>
      <c r="O136" s="615">
        <f>TEF!$D$47</f>
        <v>8.6742049435556107E-2</v>
      </c>
      <c r="P136" s="615">
        <f>TEF!$E$47</f>
        <v>8.4293105862794662E-2</v>
      </c>
      <c r="Q136" s="615">
        <f>TEF!$F$47</f>
        <v>8.7580504950818844E-2</v>
      </c>
      <c r="R136" s="615">
        <f>TEF!$G$47</f>
        <v>0.11086055956664025</v>
      </c>
      <c r="S136" s="615">
        <f>TEF!$H$47</f>
        <v>4.613668949591343E-2</v>
      </c>
      <c r="T136" s="46"/>
      <c r="U136" s="48" t="str">
        <f t="shared" si="18"/>
        <v>EUR 4.21</v>
      </c>
      <c r="V136" s="69" t="str">
        <f t="shared" si="19"/>
        <v>Telefonica</v>
      </c>
      <c r="Z136" s="46"/>
      <c r="AE136" s="41"/>
      <c r="AF136" s="31"/>
      <c r="AG136" s="31"/>
      <c r="AI136" s="41"/>
      <c r="AJ136" s="64"/>
      <c r="AK136" s="64"/>
      <c r="AM136" s="41"/>
      <c r="AN136" s="17"/>
      <c r="AO136" s="17"/>
      <c r="AQ136" s="41"/>
      <c r="AR136" s="18"/>
      <c r="AS136" s="18"/>
    </row>
    <row r="137" spans="1:45" s="5" customFormat="1">
      <c r="A137" s="41"/>
      <c r="B137" s="42"/>
      <c r="C137" s="48" t="s">
        <v>457</v>
      </c>
      <c r="D137" s="44" t="str">
        <f t="shared" si="16"/>
        <v>NOK 135</v>
      </c>
      <c r="E137" s="44" t="str">
        <f t="shared" si="16"/>
        <v>NOK 138</v>
      </c>
      <c r="F137" s="45">
        <f t="shared" si="16"/>
        <v>2.3738872403560762E-2</v>
      </c>
      <c r="G137" s="44" t="str">
        <f t="shared" si="16"/>
        <v>Buy</v>
      </c>
      <c r="H137" s="46"/>
      <c r="I137" s="615">
        <f>TNOR!$D$45</f>
        <v>7.0778931750741819E-2</v>
      </c>
      <c r="J137" s="615">
        <f>TNOR!$E$45</f>
        <v>7.1840615727002954E-2</v>
      </c>
      <c r="K137" s="615">
        <f>TNOR!$F$45</f>
        <v>7.3277428041543011E-2</v>
      </c>
      <c r="L137" s="615">
        <f>TNOR!$G$45</f>
        <v>7.584213802299701E-2</v>
      </c>
      <c r="M137" s="615">
        <f>TNOR!$H$45</f>
        <v>2.321153852374902E-2</v>
      </c>
      <c r="N137" s="46"/>
      <c r="O137" s="615">
        <f>TNOR!$D$47</f>
        <v>3.7404926932122205E-3</v>
      </c>
      <c r="P137" s="615">
        <f>TNOR!$E$47</f>
        <v>5.1157648791410923E-2</v>
      </c>
      <c r="Q137" s="615">
        <f>TNOR!$F$47</f>
        <v>5.8194821751289878E-2</v>
      </c>
      <c r="R137" s="615">
        <f>TNOR!$G$47</f>
        <v>6.7192765061552265E-2</v>
      </c>
      <c r="S137" s="615">
        <f>TNOR!$H$47</f>
        <v>1.6187933580347384</v>
      </c>
      <c r="T137" s="46"/>
      <c r="U137" s="48" t="str">
        <f t="shared" si="18"/>
        <v>NOK 135</v>
      </c>
      <c r="V137" s="44" t="str">
        <f t="shared" si="19"/>
        <v>Telenor</v>
      </c>
      <c r="Z137" s="46"/>
      <c r="AE137" s="41"/>
      <c r="AF137" s="31"/>
      <c r="AG137" s="31"/>
      <c r="AI137" s="41"/>
      <c r="AJ137" s="64"/>
      <c r="AK137" s="64"/>
      <c r="AM137" s="41"/>
      <c r="AN137" s="17"/>
      <c r="AO137" s="17"/>
      <c r="AQ137" s="41"/>
      <c r="AR137" s="18"/>
      <c r="AS137" s="18"/>
    </row>
    <row r="138" spans="1:45" s="5" customFormat="1">
      <c r="A138" s="41"/>
      <c r="B138" s="42"/>
      <c r="C138" s="48" t="s">
        <v>1030</v>
      </c>
      <c r="D138" s="44" t="str">
        <f t="shared" si="16"/>
        <v>SEK33.4</v>
      </c>
      <c r="E138" s="44" t="str">
        <f t="shared" si="16"/>
        <v>SEK33.0</v>
      </c>
      <c r="F138" s="45">
        <f t="shared" si="16"/>
        <v>-1.2567324955116699E-2</v>
      </c>
      <c r="G138" s="44" t="str">
        <f t="shared" si="16"/>
        <v>Buy</v>
      </c>
      <c r="H138" s="46"/>
      <c r="I138" s="615">
        <f>TELIA!$D$45</f>
        <v>5.9844404548174739E-2</v>
      </c>
      <c r="J138" s="615">
        <f>TELIA!$E$45</f>
        <v>5.9844404548174739E-2</v>
      </c>
      <c r="K138" s="615">
        <f>TELIA!$F$45</f>
        <v>6.1340514661879099E-2</v>
      </c>
      <c r="L138" s="615">
        <f>TELIA!$G$45</f>
        <v>6.287402752842608E-2</v>
      </c>
      <c r="M138" s="615">
        <f>TELIA!$H$45</f>
        <v>1.6597982758808305E-2</v>
      </c>
      <c r="N138" s="46"/>
      <c r="O138" s="615">
        <f>TELIA!$D$47</f>
        <v>5.2187574920070853E-2</v>
      </c>
      <c r="P138" s="615">
        <f>TELIA!$E$47</f>
        <v>4.8723305071993822E-2</v>
      </c>
      <c r="Q138" s="615">
        <f>TELIA!$F$47</f>
        <v>5.6092921151932616E-2</v>
      </c>
      <c r="R138" s="615">
        <f>TELIA!$G$47</f>
        <v>5.6312475221883942E-2</v>
      </c>
      <c r="S138" s="615">
        <f>TELIA!$H$47</f>
        <v>2.5681448044551525E-2</v>
      </c>
      <c r="T138" s="46"/>
      <c r="U138" s="48" t="str">
        <f t="shared" si="18"/>
        <v>SEK33.4</v>
      </c>
      <c r="V138" s="44" t="str">
        <f t="shared" si="19"/>
        <v>TeliaSonera</v>
      </c>
      <c r="Z138" s="46"/>
      <c r="AE138" s="41"/>
      <c r="AF138" s="31"/>
      <c r="AG138" s="31"/>
      <c r="AI138" s="41"/>
      <c r="AJ138" s="64"/>
      <c r="AK138" s="64"/>
      <c r="AM138" s="41"/>
      <c r="AN138" s="17"/>
      <c r="AO138" s="17"/>
      <c r="AQ138" s="41"/>
      <c r="AR138" s="18"/>
      <c r="AS138" s="18"/>
    </row>
    <row r="139" spans="1:45" s="5" customFormat="1">
      <c r="A139" s="41"/>
      <c r="B139" s="42"/>
      <c r="C139" s="51" t="str">
        <f>C79</f>
        <v>Agg. W.Europe Incumbent</v>
      </c>
      <c r="D139" s="52"/>
      <c r="E139" s="52"/>
      <c r="F139" s="53"/>
      <c r="G139" s="52"/>
      <c r="H139" s="46"/>
      <c r="I139" s="616">
        <f>'W.EUR INCUMB'!$D$45</f>
        <v>4.4323091834910081E-2</v>
      </c>
      <c r="J139" s="616">
        <f>'W.EUR INCUMB'!$E$45</f>
        <v>4.6725700027437436E-2</v>
      </c>
      <c r="K139" s="616">
        <f>'W.EUR INCUMB'!$F$45</f>
        <v>4.9616518166935478E-2</v>
      </c>
      <c r="L139" s="616">
        <f>'W.EUR INCUMB'!$G$45</f>
        <v>5.291804089679604E-2</v>
      </c>
      <c r="M139" s="616">
        <f>'W.EUR INCUMB'!$H$45</f>
        <v>5.581998392399945E-2</v>
      </c>
      <c r="N139" s="56"/>
      <c r="O139" s="616">
        <f>'W.EUR INCUMB'!$D$47</f>
        <v>5.7360528277828914E-2</v>
      </c>
      <c r="P139" s="616">
        <f>'W.EUR INCUMB'!$E$47</f>
        <v>6.6558926097784105E-2</v>
      </c>
      <c r="Q139" s="616">
        <f>'W.EUR INCUMB'!$F$47</f>
        <v>7.2799839240836328E-2</v>
      </c>
      <c r="R139" s="616">
        <f>'W.EUR INCUMB'!$G$47</f>
        <v>8.2318897205598721E-2</v>
      </c>
      <c r="S139" s="616">
        <f>'W.EUR INCUMB'!$H$47</f>
        <v>0.11974444099464954</v>
      </c>
      <c r="T139" s="46"/>
      <c r="U139" s="57"/>
      <c r="V139" s="58" t="str">
        <f t="shared" si="19"/>
        <v>Agg. W.Europe Incumbent</v>
      </c>
      <c r="Z139" s="46"/>
      <c r="AE139" s="41"/>
      <c r="AF139" s="31"/>
      <c r="AG139" s="31"/>
      <c r="AI139" s="41"/>
      <c r="AJ139" s="64"/>
      <c r="AK139" s="64"/>
      <c r="AM139" s="41"/>
      <c r="AN139" s="17"/>
      <c r="AO139" s="17"/>
      <c r="AQ139" s="41"/>
      <c r="AR139" s="18"/>
      <c r="AS139" s="18"/>
    </row>
    <row r="140" spans="1:45" s="5" customFormat="1">
      <c r="A140" s="41"/>
      <c r="B140" s="42"/>
      <c r="C140" s="48"/>
      <c r="D140" s="44"/>
      <c r="E140" s="44"/>
      <c r="F140" s="45"/>
      <c r="G140" s="44"/>
      <c r="H140" s="46"/>
      <c r="I140" s="615"/>
      <c r="J140" s="615"/>
      <c r="K140" s="615"/>
      <c r="L140" s="615"/>
      <c r="M140" s="615"/>
      <c r="N140" s="46"/>
      <c r="O140" s="615"/>
      <c r="P140" s="615"/>
      <c r="Q140" s="615"/>
      <c r="R140" s="615"/>
      <c r="S140" s="615"/>
      <c r="T140" s="46"/>
      <c r="U140" s="48"/>
      <c r="V140" s="44"/>
      <c r="Z140" s="46"/>
      <c r="AE140" s="41"/>
      <c r="AF140" s="31"/>
      <c r="AG140" s="31"/>
      <c r="AI140" s="41"/>
      <c r="AJ140" s="64"/>
      <c r="AK140" s="64"/>
      <c r="AM140" s="41"/>
      <c r="AN140" s="17"/>
      <c r="AO140" s="17"/>
      <c r="AQ140" s="41"/>
      <c r="AR140" s="18"/>
      <c r="AS140" s="18"/>
    </row>
    <row r="141" spans="1:45" s="5" customFormat="1">
      <c r="A141" s="41"/>
      <c r="B141" s="42" t="s">
        <v>514</v>
      </c>
      <c r="C141" s="48" t="s">
        <v>486</v>
      </c>
      <c r="D141" s="44" t="str">
        <f>B141&amp;TEXT(Prices!$C$40,"0.0")</f>
        <v>US$20.7</v>
      </c>
      <c r="E141" s="44" t="str">
        <f>B141&amp;TEXT(Prices!$E$40,"0.00")</f>
        <v>US$21.00</v>
      </c>
      <c r="F141" s="45">
        <f>Prices!$F$40</f>
        <v>1.6949152542373058E-2</v>
      </c>
      <c r="G141" s="44" t="str">
        <f>Prices!$D$40</f>
        <v>Neutral</v>
      </c>
      <c r="H141" s="46"/>
      <c r="I141" s="615">
        <f>ATT!D$45</f>
        <v>5.4824345284211783E-2</v>
      </c>
      <c r="J141" s="615">
        <f>ATT!$E$45</f>
        <v>5.4833809951435802E-2</v>
      </c>
      <c r="K141" s="615">
        <f>ATT!$F$45</f>
        <v>5.4833809951435802E-2</v>
      </c>
      <c r="L141" s="615">
        <f>ATT!$G$45</f>
        <v>5.4833809951435802E-2</v>
      </c>
      <c r="M141" s="615">
        <f>ATT!$H$45</f>
        <v>2.6623524164381962E-4</v>
      </c>
      <c r="N141" s="46"/>
      <c r="O141" s="615">
        <f>ATT!D$47</f>
        <v>8.4100051707641427E-2</v>
      </c>
      <c r="P141" s="615">
        <f>ATT!E$47</f>
        <v>9.6061972525617559E-2</v>
      </c>
      <c r="Q141" s="615">
        <f>ATT!F$47</f>
        <v>0.10346298806614281</v>
      </c>
      <c r="R141" s="615">
        <f>ATT!G$47</f>
        <v>0.10925645283201166</v>
      </c>
      <c r="S141" s="615">
        <f>ATT!$H$47</f>
        <v>9.1375576939584535E-2</v>
      </c>
      <c r="T141" s="46"/>
      <c r="U141" s="48" t="str">
        <f t="shared" ref="U141:V143" si="20">U81</f>
        <v>USD20.7</v>
      </c>
      <c r="V141" s="44" t="str">
        <f t="shared" si="20"/>
        <v>AT&amp;T</v>
      </c>
      <c r="Z141" s="46"/>
      <c r="AE141" s="41"/>
      <c r="AF141" s="31"/>
      <c r="AG141" s="31"/>
      <c r="AI141" s="41"/>
      <c r="AJ141" s="64"/>
      <c r="AK141" s="64"/>
      <c r="AM141" s="41"/>
      <c r="AN141" s="17"/>
      <c r="AO141" s="17"/>
      <c r="AQ141" s="41"/>
      <c r="AR141" s="18"/>
      <c r="AS141" s="18"/>
    </row>
    <row r="142" spans="1:45" s="5" customFormat="1">
      <c r="A142" s="146"/>
      <c r="B142" s="42" t="s">
        <v>514</v>
      </c>
      <c r="C142" s="48" t="s">
        <v>687</v>
      </c>
      <c r="D142" s="44" t="str">
        <f>B142&amp;TEXT(Prices!$C$41,"0.0")</f>
        <v>US$197.2</v>
      </c>
      <c r="E142" s="44" t="str">
        <f>B142&amp;TEXT(Prices!$E$41,"0.0")</f>
        <v>US$205.0</v>
      </c>
      <c r="F142" s="45">
        <f>Prices!$F$41</f>
        <v>3.9659194644487306E-2</v>
      </c>
      <c r="G142" s="44" t="str">
        <f>Prices!$D$41</f>
        <v>Buy</v>
      </c>
      <c r="H142" s="46"/>
      <c r="I142" s="615">
        <f>TMUS!$D$45</f>
        <v>3.0526929933769177E-3</v>
      </c>
      <c r="J142" s="615">
        <f>TMUS!$E$45</f>
        <v>1.3342930476932658E-2</v>
      </c>
      <c r="K142" s="615">
        <f>TMUS!$F$45</f>
        <v>1.4784321324078697E-2</v>
      </c>
      <c r="L142" s="615">
        <f>TMUS!$G$45</f>
        <v>1.717031319861562E-2</v>
      </c>
      <c r="M142" s="615">
        <f>TMUS!$H$45</f>
        <v>0.62471320685589027</v>
      </c>
      <c r="N142" s="46"/>
      <c r="O142" s="615">
        <f>TMUS!D$47</f>
        <v>5.3264793140126838E-2</v>
      </c>
      <c r="P142" s="615">
        <f>TMUS!E$47</f>
        <v>1.3856138746540318E-2</v>
      </c>
      <c r="Q142" s="615">
        <f>TMUS!F$47</f>
        <v>1.8626630441946835E-2</v>
      </c>
      <c r="R142" s="615">
        <f>TMUS!G$47</f>
        <v>2.2641126033434499E-2</v>
      </c>
      <c r="S142" s="615">
        <f>TMUS!$H$47</f>
        <v>-0.31309352922142308</v>
      </c>
      <c r="T142" s="46"/>
      <c r="U142" s="48" t="str">
        <f t="shared" si="20"/>
        <v>USD197.2</v>
      </c>
      <c r="V142" s="44" t="str">
        <f t="shared" si="20"/>
        <v>TMUS</v>
      </c>
      <c r="Z142" s="46"/>
      <c r="AE142" s="41"/>
      <c r="AF142" s="31"/>
      <c r="AG142" s="31"/>
      <c r="AI142" s="41"/>
      <c r="AJ142" s="64"/>
      <c r="AK142" s="64"/>
      <c r="AM142" s="41"/>
      <c r="AN142" s="17"/>
      <c r="AO142" s="17"/>
      <c r="AQ142" s="41"/>
      <c r="AR142" s="18"/>
      <c r="AS142" s="18"/>
    </row>
    <row r="143" spans="1:45" s="5" customFormat="1">
      <c r="A143" s="41"/>
      <c r="B143" s="42" t="s">
        <v>514</v>
      </c>
      <c r="C143" s="48" t="s">
        <v>33</v>
      </c>
      <c r="D143" s="44" t="str">
        <f>B143&amp;TEXT(Prices!$C$39,"0.0")</f>
        <v>US$41.3</v>
      </c>
      <c r="E143" s="44" t="str">
        <f>B143&amp;TEXT(Prices!$E$39,"0.00")</f>
        <v>US$45.00</v>
      </c>
      <c r="F143" s="45">
        <f>Prices!$F$39</f>
        <v>8.9324618736383421E-2</v>
      </c>
      <c r="G143" s="44" t="str">
        <f>Prices!$D$39</f>
        <v>Neutral</v>
      </c>
      <c r="H143" s="46"/>
      <c r="I143" s="615">
        <f>VZN!$D$45</f>
        <v>5.5660275125332177E-2</v>
      </c>
      <c r="J143" s="615">
        <f>VZN!$E$45</f>
        <v>5.7007077329677816E-2</v>
      </c>
      <c r="K143" s="615">
        <f>VZN!$F$45</f>
        <v>5.8068661637493031E-2</v>
      </c>
      <c r="L143" s="615">
        <f>VZN!$G$45</f>
        <v>5.913024594530826E-2</v>
      </c>
      <c r="M143" s="615">
        <f>VZN!$H$45</f>
        <v>2.0403539933700809E-2</v>
      </c>
      <c r="N143" s="46"/>
      <c r="O143" s="615">
        <f>VZN!D$47</f>
        <v>9.4519046983808544E-2</v>
      </c>
      <c r="P143" s="615">
        <f>VZN!E$47</f>
        <v>9.9669992774792326E-2</v>
      </c>
      <c r="Q143" s="615">
        <f>VZN!F$47</f>
        <v>0.10112314272448007</v>
      </c>
      <c r="R143" s="615">
        <f>VZN!G$47</f>
        <v>0.10424343490875035</v>
      </c>
      <c r="S143" s="615">
        <f>VZN!$H$47</f>
        <v>3.322198227270734E-2</v>
      </c>
      <c r="T143" s="46"/>
      <c r="U143" s="48" t="str">
        <f t="shared" si="20"/>
        <v>USD41.3</v>
      </c>
      <c r="V143" s="44" t="str">
        <f t="shared" si="20"/>
        <v>Verizon</v>
      </c>
      <c r="Z143" s="46"/>
      <c r="AE143" s="41"/>
      <c r="AF143" s="31"/>
      <c r="AG143" s="31"/>
      <c r="AI143" s="41"/>
      <c r="AJ143" s="64"/>
      <c r="AK143" s="64"/>
      <c r="AM143" s="41"/>
      <c r="AN143" s="17"/>
      <c r="AO143" s="17"/>
      <c r="AQ143" s="41"/>
      <c r="AR143" s="18"/>
      <c r="AS143" s="18"/>
    </row>
    <row r="144" spans="1:45" s="5" customFormat="1">
      <c r="A144" s="41"/>
      <c r="B144" s="42"/>
      <c r="C144" s="51" t="s">
        <v>257</v>
      </c>
      <c r="D144" s="52"/>
      <c r="E144" s="52"/>
      <c r="F144" s="53"/>
      <c r="G144" s="52"/>
      <c r="H144" s="46"/>
      <c r="I144" s="616">
        <f>'US TELCO'!$D$45</f>
        <v>3.3675032319345051E-2</v>
      </c>
      <c r="J144" s="616">
        <f>'US TELCO'!$E$45</f>
        <v>3.9091509797068692E-2</v>
      </c>
      <c r="K144" s="616">
        <f>'US TELCO'!$F$45</f>
        <v>4.1026830051589948E-2</v>
      </c>
      <c r="L144" s="616">
        <f>'US TELCO'!$G$45</f>
        <v>4.3249954546806017E-2</v>
      </c>
      <c r="M144" s="616">
        <f>'US TELCO'!$H$45</f>
        <v>5.0211107719274395E-2</v>
      </c>
      <c r="N144" s="46"/>
      <c r="O144" s="616">
        <f>'US TELCO'!D$47</f>
        <v>7.4827595527539287E-2</v>
      </c>
      <c r="P144" s="616">
        <f>'US TELCO'!E$47</f>
        <v>6.4631429127890327E-2</v>
      </c>
      <c r="Q144" s="616">
        <f>'US TELCO'!F$47</f>
        <v>7.0925110256389118E-2</v>
      </c>
      <c r="R144" s="616">
        <f>'US TELCO'!G$47</f>
        <v>7.7083219256119953E-2</v>
      </c>
      <c r="S144" s="616">
        <f>'US TELCO'!$H$47</f>
        <v>-2.422411565871474E-2</v>
      </c>
      <c r="T144" s="46"/>
      <c r="U144" s="57"/>
      <c r="V144" s="58" t="str">
        <f>V84</f>
        <v>Agg. US Telecoms</v>
      </c>
      <c r="Z144" s="46"/>
      <c r="AE144" s="41"/>
      <c r="AF144" s="31"/>
      <c r="AG144" s="31"/>
      <c r="AI144" s="41"/>
      <c r="AJ144" s="64"/>
      <c r="AK144" s="64"/>
      <c r="AM144" s="41"/>
      <c r="AN144" s="17"/>
      <c r="AO144" s="17"/>
      <c r="AQ144" s="41"/>
      <c r="AR144" s="18"/>
      <c r="AS144" s="18"/>
    </row>
    <row r="145" spans="1:45" s="5" customFormat="1">
      <c r="A145" s="41"/>
      <c r="B145" s="42"/>
      <c r="C145" s="48"/>
      <c r="D145" s="44"/>
      <c r="E145" s="44"/>
      <c r="F145" s="45"/>
      <c r="G145" s="44"/>
      <c r="H145" s="46"/>
      <c r="I145" s="615"/>
      <c r="J145" s="615"/>
      <c r="K145" s="615"/>
      <c r="L145" s="615"/>
      <c r="M145" s="615"/>
      <c r="N145" s="46"/>
      <c r="O145" s="615"/>
      <c r="P145" s="615"/>
      <c r="Q145" s="615"/>
      <c r="R145" s="615"/>
      <c r="S145" s="615"/>
      <c r="T145" s="46"/>
      <c r="U145" s="48"/>
      <c r="V145" s="44"/>
      <c r="Z145" s="46"/>
      <c r="AE145" s="41"/>
      <c r="AF145" s="31"/>
      <c r="AG145" s="31"/>
      <c r="AI145" s="41"/>
      <c r="AJ145" s="64"/>
      <c r="AK145" s="64"/>
      <c r="AM145" s="41"/>
      <c r="AN145" s="17"/>
      <c r="AO145" s="17"/>
      <c r="AQ145" s="41"/>
      <c r="AR145" s="18"/>
      <c r="AS145" s="18"/>
    </row>
    <row r="146" spans="1:45" s="5" customFormat="1">
      <c r="A146" s="41"/>
      <c r="B146" s="42"/>
      <c r="C146" s="48" t="str">
        <f t="shared" ref="C146:G147" si="21">C86</f>
        <v>NTT</v>
      </c>
      <c r="D146" s="44" t="str">
        <f t="shared" si="21"/>
        <v>JPY 156</v>
      </c>
      <c r="E146" s="44" t="str">
        <f t="shared" si="21"/>
        <v>JPY 240</v>
      </c>
      <c r="F146" s="45">
        <f t="shared" si="21"/>
        <v>0.54340836012861726</v>
      </c>
      <c r="G146" s="44" t="str">
        <f t="shared" si="21"/>
        <v>Buy</v>
      </c>
      <c r="H146" s="46"/>
      <c r="I146" s="615">
        <f>NTT!$D$45</f>
        <v>3.2797427652733115E-2</v>
      </c>
      <c r="J146" s="615">
        <f>NTT!$E$45</f>
        <v>4.1157556270096464E-2</v>
      </c>
      <c r="K146" s="615">
        <f>NTT!$F$45</f>
        <v>4.6302250803858518E-2</v>
      </c>
      <c r="L146" s="615">
        <f>NTT!$G$45</f>
        <v>5.1446945337620578E-2</v>
      </c>
      <c r="M146" s="615">
        <f>NTT!$H$45</f>
        <v>0.14031868726274976</v>
      </c>
      <c r="N146" s="46"/>
      <c r="O146" s="615">
        <f>NTT!$D$47</f>
        <v>6.2700422464650032E-2</v>
      </c>
      <c r="P146" s="615">
        <f>NTT!$E$47</f>
        <v>6.4303867464963915E-2</v>
      </c>
      <c r="Q146" s="615">
        <f>NTT!$F$47</f>
        <v>9.1979082165184398E-2</v>
      </c>
      <c r="R146" s="615">
        <f>NTT!$G$47</f>
        <v>0.10214878388193264</v>
      </c>
      <c r="S146" s="615">
        <f>NTT!$H$47</f>
        <v>0.15480117128552728</v>
      </c>
      <c r="T146" s="46"/>
      <c r="U146" s="48" t="str">
        <f>U86</f>
        <v>JPY 156</v>
      </c>
      <c r="V146" s="44" t="str">
        <f>V86</f>
        <v>NTT</v>
      </c>
      <c r="W146" s="43"/>
      <c r="X146" s="44"/>
      <c r="Z146" s="46"/>
      <c r="AE146" s="41"/>
      <c r="AF146" s="31"/>
      <c r="AG146" s="31"/>
      <c r="AI146" s="41"/>
      <c r="AJ146" s="64"/>
      <c r="AK146" s="64"/>
      <c r="AM146" s="41"/>
      <c r="AN146" s="17"/>
      <c r="AO146" s="17"/>
      <c r="AQ146" s="41"/>
      <c r="AR146" s="18"/>
      <c r="AS146" s="18"/>
    </row>
    <row r="147" spans="1:45" s="5" customFormat="1">
      <c r="A147" s="41"/>
      <c r="B147" s="42"/>
      <c r="C147" s="48" t="str">
        <f t="shared" si="21"/>
        <v>Spark NZ</v>
      </c>
      <c r="D147" s="44" t="str">
        <f t="shared" si="21"/>
        <v>NZD 3.52</v>
      </c>
      <c r="E147" s="44" t="str">
        <f t="shared" si="21"/>
        <v>NZD 5.00</v>
      </c>
      <c r="F147" s="45">
        <f t="shared" si="21"/>
        <v>0.42045454545454541</v>
      </c>
      <c r="G147" s="44" t="str">
        <f t="shared" si="21"/>
        <v>Neutral</v>
      </c>
      <c r="H147" s="46"/>
      <c r="I147" s="615">
        <f>SPK!$D$45</f>
        <v>7.1022727272727279E-2</v>
      </c>
      <c r="J147" s="615">
        <f>SPK!$E$45</f>
        <v>7.1022727272727265E-2</v>
      </c>
      <c r="K147" s="615">
        <f>SPK!$F$45</f>
        <v>7.1022727272727265E-2</v>
      </c>
      <c r="L147" s="615">
        <f>SPK!$G$45</f>
        <v>7.3863636363636367E-2</v>
      </c>
      <c r="M147" s="615">
        <f>SPK!$H$45</f>
        <v>1.4833729194414724E-2</v>
      </c>
      <c r="N147" s="46"/>
      <c r="O147" s="615">
        <f>SPK!$D$47</f>
        <v>7.6041467924994138E-2</v>
      </c>
      <c r="P147" s="615">
        <f>SPK!$E$47</f>
        <v>7.7593961255687266E-2</v>
      </c>
      <c r="Q147" s="615">
        <f>SPK!$F$47</f>
        <v>7.7550058113799836E-2</v>
      </c>
      <c r="R147" s="615">
        <f>SPK!$G$47</f>
        <v>8.065470969997017E-2</v>
      </c>
      <c r="S147" s="615">
        <f>SPK!$H$47</f>
        <v>2.1512126981468205E-2</v>
      </c>
      <c r="T147" s="46"/>
      <c r="U147" s="48" t="str">
        <f>U87</f>
        <v>NZD 3.52</v>
      </c>
      <c r="V147" s="44" t="str">
        <f>V87</f>
        <v>Spark NZ</v>
      </c>
      <c r="W147" s="43"/>
      <c r="X147" s="44"/>
      <c r="Z147" s="46"/>
      <c r="AE147" s="41"/>
      <c r="AF147" s="31"/>
      <c r="AG147" s="31"/>
      <c r="AI147" s="41"/>
      <c r="AJ147" s="64"/>
      <c r="AK147" s="64"/>
      <c r="AM147" s="41"/>
      <c r="AN147" s="17"/>
      <c r="AO147" s="17"/>
      <c r="AQ147" s="41"/>
      <c r="AR147" s="18"/>
      <c r="AS147" s="18"/>
    </row>
    <row r="148" spans="1:45" s="5" customFormat="1">
      <c r="A148" s="41"/>
      <c r="B148" s="42"/>
      <c r="C148" s="48" t="s">
        <v>211</v>
      </c>
      <c r="D148" s="44" t="str">
        <f t="shared" ref="D148:G149" si="22">D88</f>
        <v>SGD 3.13</v>
      </c>
      <c r="E148" s="44" t="str">
        <f t="shared" si="22"/>
        <v>SGD 4.60</v>
      </c>
      <c r="F148" s="45">
        <f t="shared" si="22"/>
        <v>0.46964856230031948</v>
      </c>
      <c r="G148" s="44" t="str">
        <f t="shared" si="22"/>
        <v>Buy</v>
      </c>
      <c r="H148" s="46"/>
      <c r="I148" s="615">
        <f>SINGTEL!$D$45</f>
        <v>4.7923322683706068E-2</v>
      </c>
      <c r="J148" s="615">
        <f>SINGTEL!$E$45</f>
        <v>5.8563693060202114E-2</v>
      </c>
      <c r="K148" s="615">
        <f>SINGTEL!$F$45</f>
        <v>6.471055644680801E-2</v>
      </c>
      <c r="L148" s="615">
        <f>SINGTEL!$G$45</f>
        <v>7.047199983149198E-2</v>
      </c>
      <c r="M148" s="615">
        <f>SINGTEL!$H$45</f>
        <v>0.1371643203366042</v>
      </c>
      <c r="N148" s="46"/>
      <c r="O148" s="615">
        <f>SINGTEL!$D$47</f>
        <v>1.5687061736275591E-2</v>
      </c>
      <c r="P148" s="615">
        <f>SINGTEL!$E$47</f>
        <v>9.9941342181034815E-3</v>
      </c>
      <c r="Q148" s="615">
        <f>SINGTEL!$F$47</f>
        <v>2.2181417012736779E-2</v>
      </c>
      <c r="R148" s="615">
        <f>SINGTEL!$G$47</f>
        <v>2.5725567694562114E-2</v>
      </c>
      <c r="S148" s="615">
        <f>SINGTEL!$H$47</f>
        <v>0.15177198456173535</v>
      </c>
      <c r="T148" s="46"/>
      <c r="U148" s="48" t="str">
        <f>U88</f>
        <v>SGD 3.13</v>
      </c>
      <c r="V148" s="44" t="s">
        <v>211</v>
      </c>
      <c r="W148" s="43"/>
      <c r="X148" s="44"/>
      <c r="Z148" s="46"/>
      <c r="AE148" s="41"/>
      <c r="AF148" s="31"/>
      <c r="AG148" s="31"/>
      <c r="AI148" s="41"/>
      <c r="AJ148" s="64"/>
      <c r="AK148" s="64"/>
      <c r="AM148" s="41"/>
      <c r="AN148" s="17"/>
      <c r="AO148" s="17"/>
      <c r="AQ148" s="41"/>
      <c r="AR148" s="18"/>
      <c r="AS148" s="18"/>
    </row>
    <row r="149" spans="1:45" s="5" customFormat="1">
      <c r="A149" s="41"/>
      <c r="B149" s="42"/>
      <c r="C149" s="48" t="str">
        <f>C89</f>
        <v xml:space="preserve">Telstra </v>
      </c>
      <c r="D149" s="44" t="str">
        <f t="shared" si="22"/>
        <v>AUD 3.93</v>
      </c>
      <c r="E149" s="44" t="str">
        <f t="shared" si="22"/>
        <v>AUD 3.50</v>
      </c>
      <c r="F149" s="45">
        <f t="shared" si="22"/>
        <v>-0.10941475826972014</v>
      </c>
      <c r="G149" s="44" t="str">
        <f t="shared" si="22"/>
        <v>Buy</v>
      </c>
      <c r="H149" s="46"/>
      <c r="I149" s="615">
        <f>TLS!$D$45</f>
        <v>4.071246819338422E-2</v>
      </c>
      <c r="J149" s="615">
        <f>TLS!$E$45</f>
        <v>4.071246819338422E-2</v>
      </c>
      <c r="K149" s="615">
        <f>TLS!$F$45</f>
        <v>4.071246819338422E-2</v>
      </c>
      <c r="L149" s="615">
        <f>TLS!$G$45</f>
        <v>4.3256997455470743E-2</v>
      </c>
      <c r="M149" s="615">
        <f>TLS!$H$45</f>
        <v>2.0413775479336982E-2</v>
      </c>
      <c r="N149" s="46"/>
      <c r="O149" s="615">
        <f>TLS!$D$47</f>
        <v>0.10187886058078002</v>
      </c>
      <c r="P149" s="615">
        <f>TLS!$E$47</f>
        <v>0.11846712223538686</v>
      </c>
      <c r="Q149" s="615">
        <f>TLS!$F$47</f>
        <v>9.3937100321611344E-2</v>
      </c>
      <c r="R149" s="615">
        <f>TLS!$G$47</f>
        <v>9.1084369449515534E-2</v>
      </c>
      <c r="S149" s="615">
        <f>TLS!$H$47</f>
        <v>-3.6644475284147382E-2</v>
      </c>
      <c r="T149" s="46"/>
      <c r="U149" s="48" t="str">
        <f>U89</f>
        <v>AUD 3.93</v>
      </c>
      <c r="V149" s="44" t="str">
        <f>V89</f>
        <v>Telstra</v>
      </c>
      <c r="W149" s="43"/>
      <c r="X149" s="44"/>
      <c r="Z149" s="46"/>
      <c r="AE149" s="41"/>
      <c r="AF149" s="31"/>
      <c r="AG149" s="31"/>
      <c r="AI149" s="41"/>
      <c r="AJ149" s="64"/>
      <c r="AK149" s="64"/>
      <c r="AM149" s="41"/>
      <c r="AN149" s="17"/>
      <c r="AO149" s="17"/>
      <c r="AQ149" s="41"/>
      <c r="AR149" s="18"/>
      <c r="AS149" s="18"/>
    </row>
    <row r="150" spans="1:45" s="5" customFormat="1">
      <c r="A150" s="41"/>
      <c r="B150" s="42"/>
      <c r="C150" s="51" t="str">
        <f>C90</f>
        <v>Agg. Developed Asia Incumbent</v>
      </c>
      <c r="D150" s="58"/>
      <c r="E150" s="58"/>
      <c r="F150" s="55"/>
      <c r="G150" s="58"/>
      <c r="H150" s="56"/>
      <c r="I150" s="616">
        <f>'DM ASIA INCUMB'!$D$45</f>
        <v>4.0009810107620239E-2</v>
      </c>
      <c r="J150" s="616">
        <f>'DM ASIA INCUMB'!$E$45</f>
        <v>4.6932347376612185E-2</v>
      </c>
      <c r="K150" s="616">
        <f>'DM ASIA INCUMB'!$F$45</f>
        <v>5.1102857096753995E-2</v>
      </c>
      <c r="L150" s="616">
        <f>'DM ASIA INCUMB'!$G$45</f>
        <v>5.5814139328009445E-2</v>
      </c>
      <c r="M150" s="616">
        <f>'DM ASIA INCUMB'!$H$45</f>
        <v>0.10660126140941473</v>
      </c>
      <c r="N150" s="56"/>
      <c r="O150" s="616">
        <f>'DM ASIA INCUMB'!$D$47</f>
        <v>4.9510885172196546E-2</v>
      </c>
      <c r="P150" s="616">
        <f>'DM ASIA INCUMB'!$E$47</f>
        <v>4.9880337954900718E-2</v>
      </c>
      <c r="Q150" s="616">
        <f>'DM ASIA INCUMB'!$F$47</f>
        <v>6.2973137470812138E-2</v>
      </c>
      <c r="R150" s="616">
        <f>'DM ASIA INCUMB'!$G$47</f>
        <v>6.8776161004929226E-2</v>
      </c>
      <c r="S150" s="616">
        <f>'DM ASIA INCUMB'!$H$47</f>
        <v>9.6898221235833359E-2</v>
      </c>
      <c r="T150" s="56"/>
      <c r="U150" s="51"/>
      <c r="V150" s="58" t="str">
        <f>V90</f>
        <v xml:space="preserve">Agg. Developed Asia Incumbent </v>
      </c>
      <c r="W150" s="43"/>
      <c r="X150" s="44"/>
      <c r="Z150" s="46"/>
      <c r="AE150" s="41"/>
      <c r="AF150" s="31"/>
      <c r="AG150" s="31"/>
      <c r="AI150" s="41"/>
      <c r="AJ150" s="64"/>
      <c r="AK150" s="64"/>
      <c r="AM150" s="41"/>
      <c r="AN150" s="17"/>
      <c r="AO150" s="17"/>
      <c r="AQ150" s="41"/>
      <c r="AR150" s="18"/>
      <c r="AS150" s="18"/>
    </row>
    <row r="151" spans="1:45" s="5" customFormat="1">
      <c r="A151" s="41"/>
      <c r="B151" s="42"/>
      <c r="C151" s="43"/>
      <c r="D151" s="50"/>
      <c r="E151" s="50"/>
      <c r="F151" s="61"/>
      <c r="G151" s="50"/>
      <c r="H151" s="56"/>
      <c r="I151" s="617"/>
      <c r="J151" s="617"/>
      <c r="K151" s="617"/>
      <c r="L151" s="617"/>
      <c r="M151" s="617"/>
      <c r="N151" s="56"/>
      <c r="O151" s="617"/>
      <c r="P151" s="617"/>
      <c r="Q151" s="617"/>
      <c r="R151" s="617"/>
      <c r="S151" s="617"/>
      <c r="T151" s="56"/>
      <c r="U151" s="43"/>
      <c r="V151" s="50"/>
      <c r="Z151" s="46"/>
      <c r="AE151" s="41"/>
      <c r="AF151" s="31"/>
      <c r="AG151" s="31"/>
      <c r="AI151" s="41"/>
      <c r="AJ151" s="64"/>
      <c r="AK151" s="64"/>
      <c r="AM151" s="41"/>
      <c r="AN151" s="17"/>
      <c r="AO151" s="17"/>
      <c r="AQ151" s="41"/>
      <c r="AR151" s="18"/>
      <c r="AS151" s="18"/>
    </row>
    <row r="152" spans="1:45" s="5" customFormat="1">
      <c r="A152" s="41"/>
      <c r="B152" s="42"/>
      <c r="C152" s="51" t="s">
        <v>857</v>
      </c>
      <c r="D152" s="58"/>
      <c r="E152" s="58"/>
      <c r="F152" s="55"/>
      <c r="G152" s="58"/>
      <c r="H152" s="56"/>
      <c r="I152" s="616">
        <f>'AGG DM INCUMB'!D45</f>
        <v>3.7814072200843984E-2</v>
      </c>
      <c r="J152" s="616">
        <f>'AGG DM INCUMB'!E45</f>
        <v>4.2620168797633258E-2</v>
      </c>
      <c r="K152" s="616">
        <f>'AGG DM INCUMB'!F45</f>
        <v>4.5276266608375491E-2</v>
      </c>
      <c r="L152" s="616">
        <f>'AGG DM INCUMB'!G45</f>
        <v>4.8317946555556726E-2</v>
      </c>
      <c r="M152" s="616">
        <f>'AGG DM INCUMB'!H45</f>
        <v>6.2099101156709802E-2</v>
      </c>
      <c r="N152" s="56"/>
      <c r="O152" s="616">
        <f>'AGG DM INCUMB'!D47</f>
        <v>6.4714590523237331E-2</v>
      </c>
      <c r="P152" s="616">
        <f>'AGG DM INCUMB'!E47</f>
        <v>6.2295472325155983E-2</v>
      </c>
      <c r="Q152" s="616">
        <f>'AGG DM INCUMB'!F47</f>
        <v>6.9926918543703934E-2</v>
      </c>
      <c r="R152" s="616">
        <f>'AGG DM INCUMB'!G47</f>
        <v>7.7069210000475397E-2</v>
      </c>
      <c r="S152" s="616">
        <f>'AGG DM INCUMB'!H47</f>
        <v>3.6102140626693702E-2</v>
      </c>
      <c r="T152" s="56"/>
      <c r="U152" s="51"/>
      <c r="V152" s="58" t="str">
        <f>C152</f>
        <v>Agg. DM Incumbent total</v>
      </c>
      <c r="Z152" s="46"/>
      <c r="AE152" s="41"/>
      <c r="AF152" s="31"/>
      <c r="AG152" s="31"/>
      <c r="AI152" s="41"/>
      <c r="AJ152" s="64"/>
      <c r="AK152" s="64"/>
      <c r="AM152" s="41"/>
      <c r="AN152" s="17"/>
      <c r="AO152" s="17"/>
      <c r="AQ152" s="41"/>
      <c r="AR152" s="18"/>
      <c r="AS152" s="18"/>
    </row>
    <row r="153" spans="1:45" s="5" customFormat="1">
      <c r="A153" s="41"/>
      <c r="B153" s="42"/>
      <c r="C153" s="41"/>
      <c r="D153" s="44"/>
      <c r="E153" s="44"/>
      <c r="F153" s="45"/>
      <c r="G153" s="44"/>
      <c r="H153" s="46"/>
      <c r="I153" s="615"/>
      <c r="J153" s="615"/>
      <c r="K153" s="615"/>
      <c r="L153" s="615"/>
      <c r="M153" s="615"/>
      <c r="N153" s="46"/>
      <c r="O153" s="615"/>
      <c r="P153" s="615"/>
      <c r="Q153" s="615"/>
      <c r="R153" s="615"/>
      <c r="S153" s="615"/>
      <c r="T153" s="46"/>
      <c r="U153" s="48"/>
      <c r="V153" s="50"/>
      <c r="Z153" s="46"/>
      <c r="AE153" s="41"/>
      <c r="AF153" s="31"/>
      <c r="AG153" s="31"/>
      <c r="AI153" s="41"/>
      <c r="AJ153" s="64"/>
      <c r="AK153" s="64"/>
      <c r="AM153" s="41"/>
      <c r="AN153" s="17"/>
      <c r="AO153" s="17"/>
      <c r="AQ153" s="41"/>
      <c r="AR153" s="18"/>
      <c r="AS153" s="18"/>
    </row>
    <row r="154" spans="1:45" s="5" customFormat="1">
      <c r="A154" s="41" t="s">
        <v>1374</v>
      </c>
      <c r="B154" s="42"/>
      <c r="C154" s="48" t="str">
        <f t="shared" ref="C154:G161" si="23">C94</f>
        <v>1&amp;1</v>
      </c>
      <c r="D154" s="44" t="str">
        <f t="shared" si="23"/>
        <v>EUR 14.0</v>
      </c>
      <c r="E154" s="44" t="str">
        <f t="shared" si="23"/>
        <v>EUR 26.0</v>
      </c>
      <c r="F154" s="45">
        <f t="shared" si="23"/>
        <v>0.85449358059914404</v>
      </c>
      <c r="G154" s="44" t="str">
        <f t="shared" si="23"/>
        <v>Buy</v>
      </c>
      <c r="H154" s="46"/>
      <c r="I154" s="615">
        <f>DRI!$D$45</f>
        <v>3.5663338088445084E-3</v>
      </c>
      <c r="J154" s="615">
        <f>DRI!$E$45</f>
        <v>3.5663338088445084E-3</v>
      </c>
      <c r="K154" s="615">
        <f>DRI!$F$45</f>
        <v>7.1326676176890161E-2</v>
      </c>
      <c r="L154" s="615">
        <f>DRI!$G$45</f>
        <v>7.1326676176890161E-2</v>
      </c>
      <c r="M154" s="615">
        <f>DRI!$H$45</f>
        <v>1.7144176165949063</v>
      </c>
      <c r="N154" s="46"/>
      <c r="O154" s="615">
        <f>DRI!$D$47</f>
        <v>-3.341287450664366E-2</v>
      </c>
      <c r="P154" s="615">
        <f>DRI!$E$47</f>
        <v>-7.1446328605465736E-2</v>
      </c>
      <c r="Q154" s="615">
        <f>DRI!$F$47</f>
        <v>-1.2485006667038067E-2</v>
      </c>
      <c r="R154" s="615">
        <f>DRI!$G$47</f>
        <v>3.5323965780536128E-2</v>
      </c>
      <c r="S154" s="615">
        <f>DRI!$H$47</f>
        <v>-2.0178125443195674</v>
      </c>
      <c r="T154" s="46"/>
      <c r="U154" s="48" t="str">
        <f t="shared" ref="U154:V160" si="24">U94</f>
        <v>EUR 14.0</v>
      </c>
      <c r="V154" s="44" t="str">
        <f t="shared" si="24"/>
        <v>1&amp;1</v>
      </c>
      <c r="Z154" s="46"/>
      <c r="AE154" s="41"/>
      <c r="AF154" s="31"/>
      <c r="AG154" s="31"/>
      <c r="AI154" s="41"/>
      <c r="AJ154" s="64"/>
      <c r="AK154" s="64"/>
      <c r="AM154" s="41"/>
      <c r="AN154" s="17"/>
      <c r="AO154" s="17"/>
      <c r="AQ154" s="41"/>
      <c r="AR154" s="18"/>
      <c r="AS154" s="18"/>
    </row>
    <row r="155" spans="1:45" s="5" customFormat="1">
      <c r="A155" s="41"/>
      <c r="B155" s="42"/>
      <c r="C155" s="48" t="str">
        <f t="shared" si="23"/>
        <v>Elisa</v>
      </c>
      <c r="D155" s="44" t="str">
        <f t="shared" si="23"/>
        <v>EUR 46.6</v>
      </c>
      <c r="E155" s="44" t="str">
        <f t="shared" si="23"/>
        <v>EUR 53.0</v>
      </c>
      <c r="F155" s="45">
        <f t="shared" si="23"/>
        <v>0.13831615120274909</v>
      </c>
      <c r="G155" s="44" t="str">
        <f t="shared" si="23"/>
        <v>Neutral</v>
      </c>
      <c r="H155" s="46"/>
      <c r="I155" s="615">
        <f>ELISA!$D$45</f>
        <v>4.8324742268041232E-2</v>
      </c>
      <c r="J155" s="615">
        <f>ELISA!$E$45</f>
        <v>5.0472508591065293E-2</v>
      </c>
      <c r="K155" s="615">
        <f>ELISA!$F$45</f>
        <v>5.2996134020618563E-2</v>
      </c>
      <c r="L155" s="615">
        <f>ELISA!$G$45</f>
        <v>5.5645940721649495E-2</v>
      </c>
      <c r="M155" s="615">
        <f>ELISA!$H$45</f>
        <v>4.8144872461113764E-2</v>
      </c>
      <c r="N155" s="46"/>
      <c r="O155" s="615">
        <f>ELISA!$D$47</f>
        <v>4.4474040834082476E-2</v>
      </c>
      <c r="P155" s="615">
        <f>ELISA!$E$47</f>
        <v>4.8912702482605992E-2</v>
      </c>
      <c r="Q155" s="615">
        <f>ELISA!$F$47</f>
        <v>5.6619530620779186E-2</v>
      </c>
      <c r="R155" s="615">
        <f>ELISA!$G$47</f>
        <v>6.0755202375242214E-2</v>
      </c>
      <c r="S155" s="615">
        <f>ELISA!$H$47</f>
        <v>9.5441377735400401E-2</v>
      </c>
      <c r="T155" s="46"/>
      <c r="U155" s="48" t="str">
        <f t="shared" si="24"/>
        <v>EUR 46.6</v>
      </c>
      <c r="V155" s="44" t="str">
        <f t="shared" si="24"/>
        <v>Elisa</v>
      </c>
      <c r="Z155" s="46"/>
      <c r="AE155" s="41"/>
      <c r="AF155" s="31"/>
      <c r="AG155" s="31"/>
      <c r="AI155" s="41"/>
      <c r="AJ155" s="64"/>
      <c r="AK155" s="64"/>
      <c r="AM155" s="41"/>
      <c r="AN155" s="17"/>
      <c r="AO155" s="17"/>
      <c r="AQ155" s="41"/>
      <c r="AR155" s="18"/>
      <c r="AS155" s="18"/>
    </row>
    <row r="156" spans="1:45" s="5" customFormat="1">
      <c r="A156" s="41"/>
      <c r="B156" s="42"/>
      <c r="C156" s="48" t="str">
        <f t="shared" si="23"/>
        <v>Liberty Global (prop.)</v>
      </c>
      <c r="D156" s="44" t="str">
        <f t="shared" si="23"/>
        <v>USD 20.3</v>
      </c>
      <c r="E156" s="44" t="str">
        <f t="shared" si="23"/>
        <v>USD 23.0</v>
      </c>
      <c r="F156" s="45">
        <f t="shared" si="23"/>
        <v>0.13356333169048806</v>
      </c>
      <c r="G156" s="44" t="str">
        <f t="shared" si="23"/>
        <v>Neutral</v>
      </c>
      <c r="H156" s="46"/>
      <c r="I156" s="615">
        <f>LBTY!$D$45</f>
        <v>0</v>
      </c>
      <c r="J156" s="615">
        <f>LBTY!$E$45</f>
        <v>0</v>
      </c>
      <c r="K156" s="615">
        <f>LBTY!$F$45</f>
        <v>0</v>
      </c>
      <c r="L156" s="615">
        <f>LBTY!$G$45</f>
        <v>0</v>
      </c>
      <c r="M156" s="615" t="str">
        <f>LBTY!$H$45</f>
        <v>nm</v>
      </c>
      <c r="N156" s="46"/>
      <c r="O156" s="615">
        <f>LBTY!$D$47</f>
        <v>-0.10486579431828166</v>
      </c>
      <c r="P156" s="615">
        <f>LBTY!$E$47</f>
        <v>-6.0171754183511159E-2</v>
      </c>
      <c r="Q156" s="615">
        <f>LBTY!$F$47</f>
        <v>-5.7008863442616603E-2</v>
      </c>
      <c r="R156" s="615">
        <f>LBTY!$G$47</f>
        <v>-4.5092908429642246E-2</v>
      </c>
      <c r="S156" s="615">
        <f>LBTY!$H$47</f>
        <v>-0.29853871457922765</v>
      </c>
      <c r="T156" s="46"/>
      <c r="U156" s="48" t="str">
        <f t="shared" si="24"/>
        <v>USD 20.3</v>
      </c>
      <c r="V156" s="44" t="str">
        <f t="shared" si="24"/>
        <v>Liberty Global</v>
      </c>
      <c r="Z156" s="46"/>
      <c r="AE156" s="41"/>
      <c r="AF156" s="31"/>
      <c r="AG156" s="31"/>
      <c r="AI156" s="41"/>
      <c r="AJ156" s="64"/>
      <c r="AK156" s="64"/>
      <c r="AM156" s="41"/>
      <c r="AN156" s="17"/>
      <c r="AO156" s="17"/>
      <c r="AQ156" s="41"/>
      <c r="AR156" s="18"/>
      <c r="AS156" s="18"/>
    </row>
    <row r="157" spans="1:45" s="5" customFormat="1">
      <c r="A157" s="41"/>
      <c r="B157" s="42"/>
      <c r="C157" s="48" t="str">
        <f t="shared" si="23"/>
        <v>NOS</v>
      </c>
      <c r="D157" s="44" t="str">
        <f t="shared" si="23"/>
        <v>EUR 3.58</v>
      </c>
      <c r="E157" s="44" t="str">
        <f t="shared" si="23"/>
        <v>EUR 3.70</v>
      </c>
      <c r="F157" s="45">
        <f t="shared" si="23"/>
        <v>3.4965034965035002E-2</v>
      </c>
      <c r="G157" s="44" t="str">
        <f t="shared" si="23"/>
        <v>Neutral</v>
      </c>
      <c r="H157" s="46"/>
      <c r="I157" s="615">
        <f>NOS!$D$45</f>
        <v>9.790209790209789E-2</v>
      </c>
      <c r="J157" s="615">
        <f>NOS!$E$45</f>
        <v>9.790209790209789E-2</v>
      </c>
      <c r="K157" s="615">
        <f>NOS!$F$45</f>
        <v>9.790209790209789E-2</v>
      </c>
      <c r="L157" s="615">
        <f>NOS!$G$45</f>
        <v>9.790209790209789E-2</v>
      </c>
      <c r="M157" s="615">
        <f>NOS!$H$45</f>
        <v>0</v>
      </c>
      <c r="N157" s="46"/>
      <c r="O157" s="615">
        <f>NOS!$D$47</f>
        <v>0.10364364083816041</v>
      </c>
      <c r="P157" s="615">
        <f>NOS!$E$47</f>
        <v>0.11042384697266129</v>
      </c>
      <c r="Q157" s="615">
        <f>NOS!$F$47</f>
        <v>0.12738863713484536</v>
      </c>
      <c r="R157" s="615">
        <f>NOS!$G$47</f>
        <v>0.14030139402983396</v>
      </c>
      <c r="S157" s="615">
        <f>NOS!$H$47</f>
        <v>2.2002822539026301E-2</v>
      </c>
      <c r="T157" s="46"/>
      <c r="U157" s="48" t="str">
        <f t="shared" si="24"/>
        <v>EUR 3.58</v>
      </c>
      <c r="V157" s="44" t="str">
        <f t="shared" si="24"/>
        <v>NOS</v>
      </c>
      <c r="Z157" s="46"/>
      <c r="AE157" s="41"/>
      <c r="AF157" s="31"/>
      <c r="AG157" s="31"/>
      <c r="AI157" s="41"/>
      <c r="AJ157" s="64"/>
      <c r="AK157" s="64"/>
      <c r="AM157" s="41"/>
      <c r="AN157" s="17"/>
      <c r="AO157" s="17"/>
      <c r="AQ157" s="41"/>
      <c r="AR157" s="18"/>
      <c r="AS157" s="18"/>
    </row>
    <row r="158" spans="1:45" s="5" customFormat="1">
      <c r="A158" s="146"/>
      <c r="B158" s="42"/>
      <c r="C158" s="48" t="str">
        <f t="shared" si="23"/>
        <v>Orange Belgium</v>
      </c>
      <c r="D158" s="44" t="str">
        <f t="shared" si="23"/>
        <v>EUR 14.8</v>
      </c>
      <c r="E158" s="44" t="str">
        <f t="shared" si="23"/>
        <v>EUR 15.0</v>
      </c>
      <c r="F158" s="45">
        <f t="shared" si="23"/>
        <v>1.3513513513513375E-2</v>
      </c>
      <c r="G158" s="44" t="str">
        <f t="shared" si="23"/>
        <v>Neutral</v>
      </c>
      <c r="H158" s="46"/>
      <c r="I158" s="615">
        <f>OBEL!$D$45</f>
        <v>0</v>
      </c>
      <c r="J158" s="615">
        <f>OBEL!$E$45</f>
        <v>0</v>
      </c>
      <c r="K158" s="615">
        <f>OBEL!$F$45</f>
        <v>0</v>
      </c>
      <c r="L158" s="615">
        <f>OBEL!$G$45</f>
        <v>0</v>
      </c>
      <c r="M158" s="615" t="str">
        <f>OBEL!$H$45</f>
        <v>nm</v>
      </c>
      <c r="N158" s="46"/>
      <c r="O158" s="615">
        <f>OBEL!$D$47</f>
        <v>6.2459530380292234E-2</v>
      </c>
      <c r="P158" s="615">
        <f>OBEL!$E$47</f>
        <v>5.2298045347715746E-2</v>
      </c>
      <c r="Q158" s="615">
        <f>OBEL!$F$47</f>
        <v>8.3520544580403908E-2</v>
      </c>
      <c r="R158" s="615">
        <f>OBEL!$G$47</f>
        <v>0.12993751684444441</v>
      </c>
      <c r="S158" s="615">
        <f>OBEL!$H$47</f>
        <v>0.12300194610841109</v>
      </c>
      <c r="T158" s="46"/>
      <c r="U158" s="48" t="str">
        <f t="shared" si="24"/>
        <v>EUR 14.8</v>
      </c>
      <c r="V158" s="44" t="str">
        <f t="shared" si="24"/>
        <v>Mobistar</v>
      </c>
      <c r="Z158" s="46"/>
      <c r="AE158" s="41"/>
      <c r="AF158" s="31"/>
      <c r="AG158" s="31"/>
      <c r="AI158" s="41"/>
      <c r="AJ158" s="64"/>
      <c r="AK158" s="64"/>
      <c r="AM158" s="41"/>
      <c r="AN158" s="17"/>
      <c r="AO158" s="17"/>
      <c r="AQ158" s="41"/>
      <c r="AR158" s="18"/>
      <c r="AS158" s="18"/>
    </row>
    <row r="159" spans="1:45" s="5" customFormat="1">
      <c r="A159" s="146"/>
      <c r="B159" s="42"/>
      <c r="C159" s="48" t="str">
        <f t="shared" si="23"/>
        <v>Tele2</v>
      </c>
      <c r="D159" s="44" t="str">
        <f t="shared" si="23"/>
        <v>SEK 117.7</v>
      </c>
      <c r="E159" s="44" t="str">
        <f t="shared" si="23"/>
        <v>SEK 109.0</v>
      </c>
      <c r="F159" s="45">
        <f t="shared" si="23"/>
        <v>-7.3523161920951985E-2</v>
      </c>
      <c r="G159" s="44" t="str">
        <f t="shared" si="23"/>
        <v>Neutral</v>
      </c>
      <c r="H159" s="46"/>
      <c r="I159" s="615">
        <f>TELE2!$D$45</f>
        <v>4.9682747519226085E-2</v>
      </c>
      <c r="J159" s="615">
        <f>TELE2!$E$45</f>
        <v>5.2166884895187386E-2</v>
      </c>
      <c r="K159" s="615">
        <f>TELE2!$F$45</f>
        <v>5.4775229139946757E-2</v>
      </c>
      <c r="L159" s="615">
        <f>TELE2!$G$45</f>
        <v>5.4775229139946757E-2</v>
      </c>
      <c r="M159" s="615">
        <f>TELE2!$H$45</f>
        <v>3.3061554146506911E-2</v>
      </c>
      <c r="N159" s="46"/>
      <c r="O159" s="615">
        <f>TELE2!$D$47</f>
        <v>5.3559008251297592E-2</v>
      </c>
      <c r="P159" s="615">
        <f>TELE2!$E$47</f>
        <v>5.2401617296483655E-2</v>
      </c>
      <c r="Q159" s="615">
        <f>TELE2!$F$47</f>
        <v>5.683911493031342E-2</v>
      </c>
      <c r="R159" s="615">
        <f>TELE2!$G$47</f>
        <v>6.5984850624360811E-2</v>
      </c>
      <c r="S159" s="615">
        <f>TELE2!$H$47</f>
        <v>4.6215008117570289E-2</v>
      </c>
      <c r="T159" s="46"/>
      <c r="U159" s="48" t="str">
        <f t="shared" si="24"/>
        <v>SEK 117.7</v>
      </c>
      <c r="V159" s="44" t="str">
        <f t="shared" si="24"/>
        <v>Tele2</v>
      </c>
      <c r="Z159" s="46"/>
      <c r="AE159" s="41"/>
      <c r="AF159" s="31"/>
      <c r="AG159" s="31"/>
      <c r="AI159" s="41"/>
      <c r="AJ159" s="64"/>
      <c r="AK159" s="64"/>
      <c r="AM159" s="41"/>
      <c r="AN159" s="17"/>
      <c r="AO159" s="17"/>
      <c r="AQ159" s="41"/>
      <c r="AR159" s="18"/>
      <c r="AS159" s="18"/>
    </row>
    <row r="160" spans="1:45" s="5" customFormat="1">
      <c r="A160" s="41"/>
      <c r="B160" s="42"/>
      <c r="C160" s="48" t="str">
        <f t="shared" si="23"/>
        <v>United Internet</v>
      </c>
      <c r="D160" s="44" t="str">
        <f t="shared" si="23"/>
        <v>EUR 19.1</v>
      </c>
      <c r="E160" s="44" t="str">
        <f t="shared" si="23"/>
        <v>EUR 28.0</v>
      </c>
      <c r="F160" s="45">
        <f t="shared" si="23"/>
        <v>0.46904512067156356</v>
      </c>
      <c r="G160" s="44" t="str">
        <f t="shared" si="23"/>
        <v>Buy</v>
      </c>
      <c r="H160" s="46"/>
      <c r="I160" s="615">
        <f>UTDI!$D$45</f>
        <v>2.6232948583420779E-2</v>
      </c>
      <c r="J160" s="615">
        <f>UTDI!$E$45</f>
        <v>2.6232948583420779E-2</v>
      </c>
      <c r="K160" s="615">
        <f>UTDI!$F$45</f>
        <v>2.6232948583420779E-2</v>
      </c>
      <c r="L160" s="615">
        <f>UTDI!$G$45</f>
        <v>2.6232948583420779E-2</v>
      </c>
      <c r="M160" s="615">
        <f>UTDI!$H$45</f>
        <v>0</v>
      </c>
      <c r="N160" s="46"/>
      <c r="O160" s="615">
        <f>UTDI!$D$47</f>
        <v>-3.4656909381771274E-2</v>
      </c>
      <c r="P160" s="615">
        <f>UTDI!$E$47</f>
        <v>-0.1028255721670102</v>
      </c>
      <c r="Q160" s="615">
        <f>UTDI!$F$47</f>
        <v>-1.29830530160733E-2</v>
      </c>
      <c r="R160" s="615">
        <f>UTDI!$G$47</f>
        <v>4.600193977385654E-2</v>
      </c>
      <c r="S160" s="615">
        <f>UTDI!$H$47</f>
        <v>-2.0981976516986092</v>
      </c>
      <c r="T160" s="46"/>
      <c r="U160" s="48" t="str">
        <f t="shared" si="24"/>
        <v>EUR 19.1</v>
      </c>
      <c r="V160" s="44" t="str">
        <f t="shared" si="24"/>
        <v>United Internet</v>
      </c>
      <c r="Z160" s="46"/>
      <c r="AE160" s="41"/>
      <c r="AF160" s="31"/>
      <c r="AG160" s="31"/>
      <c r="AI160" s="41"/>
      <c r="AJ160" s="64"/>
      <c r="AK160" s="64"/>
      <c r="AM160" s="41"/>
      <c r="AN160" s="17"/>
      <c r="AO160" s="17"/>
      <c r="AQ160" s="41"/>
      <c r="AR160" s="18"/>
      <c r="AS160" s="18"/>
    </row>
    <row r="161" spans="1:45" s="5" customFormat="1">
      <c r="A161" s="146"/>
      <c r="B161" s="42"/>
      <c r="C161" s="48" t="str">
        <f t="shared" si="23"/>
        <v>Vodafone</v>
      </c>
      <c r="D161" s="44" t="str">
        <f t="shared" si="23"/>
        <v>GBP 0.77</v>
      </c>
      <c r="E161" s="44" t="str">
        <f t="shared" si="23"/>
        <v>GBP 1.40</v>
      </c>
      <c r="F161" s="45">
        <f t="shared" si="23"/>
        <v>0.80785123966942152</v>
      </c>
      <c r="G161" s="44" t="str">
        <f t="shared" si="23"/>
        <v>Buy</v>
      </c>
      <c r="H161" s="46"/>
      <c r="I161" s="615">
        <f>VOD!$D$45</f>
        <v>0.10030546487603306</v>
      </c>
      <c r="J161" s="615">
        <f>VOD!$E$45</f>
        <v>4.9564680962680796E-2</v>
      </c>
      <c r="K161" s="615">
        <f>VOD!$F$45</f>
        <v>4.9560849367252066E-2</v>
      </c>
      <c r="L161" s="615">
        <f>VOD!$G$45</f>
        <v>4.9560849367252066E-2</v>
      </c>
      <c r="M161" s="615">
        <f>VOD!$H$45</f>
        <v>-0.25621181116765468</v>
      </c>
      <c r="N161" s="46"/>
      <c r="O161" s="615">
        <f>VOD!$D$47</f>
        <v>6.4161954737633586E-2</v>
      </c>
      <c r="P161" s="615">
        <f>VOD!$E$47</f>
        <v>6.3628975253773715E-2</v>
      </c>
      <c r="Q161" s="615">
        <f>VOD!$F$47</f>
        <v>0.1169022824604157</v>
      </c>
      <c r="R161" s="615">
        <f>VOD!$G$47</f>
        <v>0.14358130983309075</v>
      </c>
      <c r="S161" s="615">
        <f>VOD!$H$47</f>
        <v>0.23060309733426587</v>
      </c>
      <c r="T161" s="46"/>
      <c r="U161" s="48" t="str">
        <f>U101</f>
        <v>GBP 0.77</v>
      </c>
      <c r="V161" s="44" t="s">
        <v>276</v>
      </c>
      <c r="Z161" s="46"/>
      <c r="AE161" s="41"/>
      <c r="AF161" s="31"/>
      <c r="AG161" s="31"/>
      <c r="AI161" s="41"/>
      <c r="AJ161" s="64"/>
      <c r="AK161" s="64"/>
      <c r="AM161" s="41"/>
      <c r="AN161" s="17"/>
      <c r="AO161" s="17"/>
      <c r="AQ161" s="41"/>
      <c r="AR161" s="18"/>
      <c r="AS161" s="18"/>
    </row>
    <row r="162" spans="1:45" s="5" customFormat="1">
      <c r="A162" s="146"/>
      <c r="B162" s="42"/>
      <c r="C162" s="51" t="str">
        <f>C102</f>
        <v>Agg. W. Europe Other</v>
      </c>
      <c r="D162" s="52"/>
      <c r="E162" s="52"/>
      <c r="F162" s="53"/>
      <c r="G162" s="52"/>
      <c r="H162" s="46"/>
      <c r="I162" s="616">
        <f>'W.EUR OTHER'!$D$45</f>
        <v>6.6143118778113894E-2</v>
      </c>
      <c r="J162" s="616">
        <f>'W.EUR OTHER'!$E$45</f>
        <v>4.3051326641435336E-2</v>
      </c>
      <c r="K162" s="616">
        <f>'W.EUR OTHER'!$F$45</f>
        <v>4.4102284782265591E-2</v>
      </c>
      <c r="L162" s="616">
        <f>'W.EUR OTHER'!$G$45</f>
        <v>4.5021641876791196E-2</v>
      </c>
      <c r="M162" s="616">
        <f>'W.EUR OTHER'!$H$45</f>
        <v>-0.15462913486104612</v>
      </c>
      <c r="N162" s="56"/>
      <c r="O162" s="616">
        <f>'W.EUR OTHER'!$D$47</f>
        <v>2.7744076038576149E-2</v>
      </c>
      <c r="P162" s="616">
        <f>'W.EUR OTHER'!$E$47</f>
        <v>2.8993295370742325E-2</v>
      </c>
      <c r="Q162" s="616">
        <f>'W.EUR OTHER'!$F$47</f>
        <v>6.1396003571689631E-2</v>
      </c>
      <c r="R162" s="616">
        <f>'W.EUR OTHER'!$G$47</f>
        <v>8.3740943124088682E-2</v>
      </c>
      <c r="S162" s="616">
        <f>'W.EUR OTHER'!$H$47</f>
        <v>0.37754240659126448</v>
      </c>
      <c r="T162" s="46"/>
      <c r="U162" s="57"/>
      <c r="V162" s="58" t="str">
        <f>C162</f>
        <v>Agg. W. Europe Other</v>
      </c>
      <c r="Z162" s="46"/>
      <c r="AE162" s="41"/>
      <c r="AF162" s="31"/>
      <c r="AG162" s="31"/>
      <c r="AI162" s="41"/>
      <c r="AJ162" s="64"/>
      <c r="AK162" s="64"/>
      <c r="AM162" s="41"/>
      <c r="AN162" s="17"/>
      <c r="AO162" s="17"/>
      <c r="AQ162" s="41"/>
      <c r="AR162" s="18"/>
      <c r="AS162" s="18"/>
    </row>
    <row r="163" spans="1:45" s="5" customFormat="1">
      <c r="A163" s="146"/>
      <c r="B163" s="42"/>
      <c r="C163" s="48"/>
      <c r="D163" s="44"/>
      <c r="E163" s="44"/>
      <c r="F163" s="45"/>
      <c r="G163" s="44"/>
      <c r="H163" s="46"/>
      <c r="I163" s="615"/>
      <c r="J163" s="615"/>
      <c r="K163" s="615"/>
      <c r="L163" s="615"/>
      <c r="M163" s="615"/>
      <c r="N163" s="46"/>
      <c r="O163" s="615"/>
      <c r="P163" s="615"/>
      <c r="Q163" s="615"/>
      <c r="R163" s="615"/>
      <c r="S163" s="615"/>
      <c r="T163" s="46"/>
      <c r="U163" s="48"/>
      <c r="V163" s="44"/>
      <c r="Z163" s="46"/>
      <c r="AE163" s="41"/>
      <c r="AF163" s="31"/>
      <c r="AG163" s="31"/>
      <c r="AI163" s="41"/>
      <c r="AJ163" s="64"/>
      <c r="AK163" s="64"/>
      <c r="AM163" s="41"/>
      <c r="AN163" s="17"/>
      <c r="AO163" s="17"/>
      <c r="AQ163" s="41"/>
      <c r="AR163" s="18"/>
      <c r="AS163" s="18"/>
    </row>
    <row r="164" spans="1:45" s="5" customFormat="1">
      <c r="A164" s="41"/>
      <c r="B164" s="42" t="s">
        <v>551</v>
      </c>
      <c r="C164" s="48" t="str">
        <f t="shared" ref="C164:G169" si="25">C104</f>
        <v>HKBN</v>
      </c>
      <c r="D164" s="44" t="str">
        <f t="shared" si="25"/>
        <v>HKD 3</v>
      </c>
      <c r="E164" s="44" t="str">
        <f t="shared" si="25"/>
        <v>HKD 16</v>
      </c>
      <c r="F164" s="45">
        <f t="shared" si="25"/>
        <v>4.9925093632958806</v>
      </c>
      <c r="G164" s="44" t="str">
        <f t="shared" si="25"/>
        <v>Buy</v>
      </c>
      <c r="H164" s="46"/>
      <c r="I164" s="615">
        <f>HKBN!$D$45</f>
        <v>0.37689275980445741</v>
      </c>
      <c r="J164" s="615">
        <f>HKBN!$E$45</f>
        <v>0.40543821668265395</v>
      </c>
      <c r="K164" s="615">
        <f>HKBN!$F$45</f>
        <v>0.42322488607772663</v>
      </c>
      <c r="L164" s="615">
        <f>HKBN!$G$45</f>
        <v>0.45216090062754133</v>
      </c>
      <c r="M164" s="615">
        <f>HKBN!$H$45</f>
        <v>6.2572087987454283E-2</v>
      </c>
      <c r="N164" s="46"/>
      <c r="O164" s="615">
        <f>HKBN!$D$47</f>
        <v>0.48812533999127206</v>
      </c>
      <c r="P164" s="615">
        <f>HKBN!$E$47</f>
        <v>0.5145285761888444</v>
      </c>
      <c r="Q164" s="615">
        <f>HKBN!$F$47</f>
        <v>0.53059862970309857</v>
      </c>
      <c r="R164" s="615">
        <f>HKBN!$G$47</f>
        <v>0.55745208852387385</v>
      </c>
      <c r="S164" s="615">
        <f>HKBN!$H$47</f>
        <v>4.5262567078461435E-2</v>
      </c>
      <c r="T164" s="46"/>
      <c r="U164" s="48" t="str">
        <f t="shared" ref="U164:U169" si="26">U104</f>
        <v>HKD 3</v>
      </c>
      <c r="V164" s="69" t="str">
        <f>C164</f>
        <v>HKBN</v>
      </c>
      <c r="Z164" s="46"/>
      <c r="AE164" s="41"/>
      <c r="AF164" s="31"/>
      <c r="AG164" s="31"/>
      <c r="AI164" s="41"/>
      <c r="AJ164" s="64"/>
      <c r="AK164" s="64"/>
      <c r="AM164" s="41"/>
      <c r="AN164" s="17"/>
      <c r="AO164" s="17"/>
      <c r="AQ164" s="41"/>
      <c r="AR164" s="18"/>
      <c r="AS164" s="18"/>
    </row>
    <row r="165" spans="1:45" s="5" customFormat="1">
      <c r="A165" s="146"/>
      <c r="B165" s="42"/>
      <c r="C165" s="48" t="str">
        <f t="shared" si="25"/>
        <v>KDDI</v>
      </c>
      <c r="D165" s="44" t="str">
        <f t="shared" si="25"/>
        <v>JPY 4,851</v>
      </c>
      <c r="E165" s="44" t="str">
        <f t="shared" si="25"/>
        <v>JPY 6,600</v>
      </c>
      <c r="F165" s="45">
        <f t="shared" si="25"/>
        <v>0.36054421768707479</v>
      </c>
      <c r="G165" s="44" t="str">
        <f t="shared" si="25"/>
        <v>Buy</v>
      </c>
      <c r="H165" s="46"/>
      <c r="I165" s="615">
        <f>KDDI!$D$45</f>
        <v>2.8860028860028853E-2</v>
      </c>
      <c r="J165" s="615">
        <f>KDDI!$E$45</f>
        <v>2.9890744176458459E-2</v>
      </c>
      <c r="K165" s="615">
        <f>KDDI!$F$45</f>
        <v>3.0921459492888066E-2</v>
      </c>
      <c r="L165" s="615">
        <f>KDDI!$G$45</f>
        <v>3.1952174809317668E-2</v>
      </c>
      <c r="M165" s="615">
        <f>KDDI!$H$45</f>
        <v>2.231642593188754E-3</v>
      </c>
      <c r="N165" s="46"/>
      <c r="O165" s="615">
        <f>KDDI!$D$47</f>
        <v>5.8696478276311956E-2</v>
      </c>
      <c r="P165" s="615">
        <f>KDDI!$E$47</f>
        <v>8.379643160809469E-2</v>
      </c>
      <c r="Q165" s="615">
        <f>KDDI!$F$47</f>
        <v>8.9263542512411698E-2</v>
      </c>
      <c r="R165" s="615">
        <f>KDDI!$G$47</f>
        <v>9.4769491213573157E-2</v>
      </c>
      <c r="S165" s="615">
        <f>KDDI!$H$47</f>
        <v>0.1365426143864199</v>
      </c>
      <c r="T165" s="46"/>
      <c r="U165" s="48" t="str">
        <f t="shared" si="26"/>
        <v>JPY 4,851</v>
      </c>
      <c r="V165" s="44" t="str">
        <f t="shared" ref="V165:V170" si="27">V105</f>
        <v>KDDI</v>
      </c>
      <c r="Z165" s="46"/>
      <c r="AB165" s="63"/>
      <c r="AE165" s="41"/>
      <c r="AF165" s="31"/>
      <c r="AG165" s="31"/>
      <c r="AI165" s="41"/>
      <c r="AJ165" s="64"/>
      <c r="AK165" s="64"/>
      <c r="AM165" s="41"/>
      <c r="AN165" s="17"/>
      <c r="AO165" s="17"/>
      <c r="AQ165" s="41"/>
      <c r="AR165" s="18"/>
      <c r="AS165" s="18"/>
    </row>
    <row r="166" spans="1:45" s="5" customFormat="1">
      <c r="A166" s="41"/>
      <c r="B166" s="42"/>
      <c r="C166" s="48" t="str">
        <f t="shared" si="25"/>
        <v>Macquarie Telecom</v>
      </c>
      <c r="D166" s="44" t="str">
        <f t="shared" si="25"/>
        <v>AUD 76.51</v>
      </c>
      <c r="E166" s="44" t="str">
        <f t="shared" si="25"/>
        <v>AUD 28.00</v>
      </c>
      <c r="F166" s="45">
        <f t="shared" si="25"/>
        <v>-0.63403476669716374</v>
      </c>
      <c r="G166" s="44" t="str">
        <f t="shared" si="25"/>
        <v>Neutral</v>
      </c>
      <c r="H166" s="46"/>
      <c r="I166" s="615">
        <f>MAQ!$D$45</f>
        <v>0</v>
      </c>
      <c r="J166" s="615">
        <f>MAQ!$E$45</f>
        <v>3.2675467259181807E-3</v>
      </c>
      <c r="K166" s="615">
        <f>MAQ!$F$45</f>
        <v>6.5350934518363622E-3</v>
      </c>
      <c r="L166" s="615">
        <f>MAQ!$G$45</f>
        <v>7.1886027970199965E-3</v>
      </c>
      <c r="M166" s="615" t="str">
        <f>MAQ!$H$45</f>
        <v>nm</v>
      </c>
      <c r="N166" s="46"/>
      <c r="O166" s="615">
        <f>MAQ!$D$47</f>
        <v>6.6605520555161274E-3</v>
      </c>
      <c r="P166" s="615">
        <f>MAQ!$E$47</f>
        <v>1.4872062725241379E-2</v>
      </c>
      <c r="Q166" s="615">
        <f>MAQ!$F$47</f>
        <v>1.8613054174810923E-2</v>
      </c>
      <c r="R166" s="615">
        <f>MAQ!$G$47</f>
        <v>2.3510336613131962E-2</v>
      </c>
      <c r="S166" s="615">
        <f>MAQ!$H$47</f>
        <v>0.5437620034685513</v>
      </c>
      <c r="T166" s="46"/>
      <c r="U166" s="48" t="str">
        <f t="shared" si="26"/>
        <v>AUD 76.51</v>
      </c>
      <c r="V166" s="69" t="str">
        <f t="shared" si="27"/>
        <v>Macquarie Telecom</v>
      </c>
      <c r="W166" s="43"/>
      <c r="X166" s="44"/>
      <c r="Z166" s="46"/>
      <c r="AE166" s="41"/>
      <c r="AF166" s="31"/>
      <c r="AG166" s="31"/>
      <c r="AI166" s="41"/>
      <c r="AJ166" s="64"/>
      <c r="AK166" s="64"/>
      <c r="AM166" s="41"/>
      <c r="AN166" s="17"/>
      <c r="AO166" s="17"/>
      <c r="AQ166" s="41"/>
      <c r="AR166" s="18"/>
      <c r="AS166" s="18"/>
    </row>
    <row r="167" spans="1:45" s="5" customFormat="1">
      <c r="A167" s="146"/>
      <c r="B167" s="42"/>
      <c r="C167" s="48" t="str">
        <f t="shared" si="25"/>
        <v>Rakuten</v>
      </c>
      <c r="D167" s="44" t="str">
        <f t="shared" si="25"/>
        <v>JPY 946</v>
      </c>
      <c r="E167" s="44" t="str">
        <f t="shared" si="25"/>
        <v>JPY 400</v>
      </c>
      <c r="F167" s="45">
        <f t="shared" si="25"/>
        <v>-0.57734573119188504</v>
      </c>
      <c r="G167" s="44" t="str">
        <f t="shared" si="25"/>
        <v>Reduce</v>
      </c>
      <c r="H167" s="46"/>
      <c r="I167" s="615">
        <f>RAK!$D$45</f>
        <v>0</v>
      </c>
      <c r="J167" s="615">
        <f>RAK!$E$45</f>
        <v>0</v>
      </c>
      <c r="K167" s="615">
        <f>RAK!$F$45</f>
        <v>0</v>
      </c>
      <c r="L167" s="615">
        <f>RAK!$G$45</f>
        <v>0</v>
      </c>
      <c r="M167" s="615" t="str">
        <f>RAK!$H$45</f>
        <v>nm</v>
      </c>
      <c r="N167" s="46"/>
      <c r="O167" s="615">
        <f>RAK!$D$47</f>
        <v>-0.20271027543167164</v>
      </c>
      <c r="P167" s="615">
        <f>RAK!$E$47</f>
        <v>-9.4437661775432336E-2</v>
      </c>
      <c r="Q167" s="615">
        <f>RAK!$F$47</f>
        <v>-7.2044154521865147E-2</v>
      </c>
      <c r="R167" s="615">
        <f>RAK!$G$47</f>
        <v>-8.6279552161075496E-2</v>
      </c>
      <c r="S167" s="615">
        <f>RAK!$H$47</f>
        <v>-0.24778144930655122</v>
      </c>
      <c r="T167" s="46"/>
      <c r="U167" s="48" t="str">
        <f t="shared" si="26"/>
        <v>JPY 946</v>
      </c>
      <c r="V167" s="44" t="str">
        <f t="shared" si="27"/>
        <v>Rakuten</v>
      </c>
      <c r="Z167" s="46"/>
      <c r="AE167" s="41"/>
      <c r="AF167" s="31"/>
      <c r="AG167" s="31"/>
      <c r="AI167" s="41"/>
      <c r="AJ167" s="64"/>
      <c r="AK167" s="64"/>
      <c r="AM167" s="41"/>
      <c r="AN167" s="17"/>
      <c r="AO167" s="17"/>
      <c r="AQ167" s="41"/>
      <c r="AR167" s="18"/>
      <c r="AS167" s="18"/>
    </row>
    <row r="168" spans="1:45" s="5" customFormat="1">
      <c r="A168" s="146"/>
      <c r="B168" s="42"/>
      <c r="C168" s="48" t="str">
        <f t="shared" si="25"/>
        <v>SoftBank KK (Corp)</v>
      </c>
      <c r="D168" s="44" t="str">
        <f t="shared" si="25"/>
        <v>JPY 1,996</v>
      </c>
      <c r="E168" s="44" t="str">
        <f t="shared" si="25"/>
        <v>JPY 2,700</v>
      </c>
      <c r="F168" s="45">
        <f t="shared" si="25"/>
        <v>0.35270541082164319</v>
      </c>
      <c r="G168" s="44" t="str">
        <f t="shared" si="25"/>
        <v>Buy</v>
      </c>
      <c r="H168" s="46"/>
      <c r="I168" s="615">
        <f>SBKK!$D$45</f>
        <v>4.3086172344689394E-2</v>
      </c>
      <c r="J168" s="615">
        <f>SBKK!$E$45</f>
        <v>4.4088176352705406E-2</v>
      </c>
      <c r="K168" s="615">
        <f>SBKK!$F$45</f>
        <v>5.1034009706173895E-2</v>
      </c>
      <c r="L168" s="615">
        <f>SBKK!$G$45</f>
        <v>5.3999545637888668E-2</v>
      </c>
      <c r="M168" s="615">
        <f>SBKK!$H$45</f>
        <v>7.7755649786392045E-2</v>
      </c>
      <c r="N168" s="46"/>
      <c r="O168" s="615">
        <f>SBKK!$D$47</f>
        <v>7.2114471077673201E-2</v>
      </c>
      <c r="P168" s="615">
        <f>SBKK!$E$47</f>
        <v>7.5756010944044036E-2</v>
      </c>
      <c r="Q168" s="615">
        <f>SBKK!$F$47</f>
        <v>9.0608779931379557E-2</v>
      </c>
      <c r="R168" s="615">
        <f>SBKK!$G$47</f>
        <v>9.6444285592890172E-2</v>
      </c>
      <c r="S168" s="615">
        <f>SBKK!$H$47</f>
        <v>0.10133879344557228</v>
      </c>
      <c r="T168" s="46"/>
      <c r="U168" s="48" t="str">
        <f t="shared" si="26"/>
        <v>JPY 1,996</v>
      </c>
      <c r="V168" s="44" t="str">
        <f t="shared" si="27"/>
        <v>SoftBank KK (Corp)</v>
      </c>
      <c r="Z168" s="46"/>
      <c r="AE168" s="41"/>
      <c r="AF168" s="31"/>
      <c r="AG168" s="31"/>
      <c r="AI168" s="41"/>
      <c r="AJ168" s="64"/>
      <c r="AK168" s="64"/>
      <c r="AM168" s="41"/>
      <c r="AN168" s="17"/>
      <c r="AO168" s="17"/>
      <c r="AQ168" s="41"/>
      <c r="AR168" s="18"/>
      <c r="AS168" s="18"/>
    </row>
    <row r="169" spans="1:45" s="5" customFormat="1">
      <c r="A169" s="41"/>
      <c r="B169" s="42"/>
      <c r="C169" s="48" t="str">
        <f t="shared" si="25"/>
        <v>TPG</v>
      </c>
      <c r="D169" s="44" t="str">
        <f t="shared" si="25"/>
        <v>AUD 4.99</v>
      </c>
      <c r="E169" s="44" t="str">
        <f t="shared" si="25"/>
        <v>AUD 7.50</v>
      </c>
      <c r="F169" s="45">
        <f t="shared" si="25"/>
        <v>0.50300601202404804</v>
      </c>
      <c r="G169" s="44" t="str">
        <f t="shared" si="25"/>
        <v>Neutral</v>
      </c>
      <c r="H169" s="46"/>
      <c r="I169" s="615">
        <f>TPG!$D$45</f>
        <v>2.2044088176352703E-2</v>
      </c>
      <c r="J169" s="615">
        <f>TPG!$E$45</f>
        <v>2.4048096192384769E-2</v>
      </c>
      <c r="K169" s="615">
        <f>TPG!$F$45</f>
        <v>2.6052104208416832E-2</v>
      </c>
      <c r="L169" s="615">
        <f>TPG!$G$45</f>
        <v>2.8056112224448891E-2</v>
      </c>
      <c r="M169" s="615">
        <f>TPG!$H$45</f>
        <v>8.6416029568481711E-2</v>
      </c>
      <c r="N169" s="46"/>
      <c r="O169" s="615">
        <f>TPG!$D$47</f>
        <v>4.6632479948181225E-2</v>
      </c>
      <c r="P169" s="615">
        <f>TPG!$E$47</f>
        <v>5.1986358426658455E-2</v>
      </c>
      <c r="Q169" s="615">
        <f>TPG!$F$47</f>
        <v>4.7830874404774369E-2</v>
      </c>
      <c r="R169" s="615">
        <f>TPG!$G$47</f>
        <v>5.1702226195534266E-2</v>
      </c>
      <c r="S169" s="615">
        <f>TPG!$H$47</f>
        <v>3.7587246610938374E-2</v>
      </c>
      <c r="T169" s="46"/>
      <c r="U169" s="48" t="str">
        <f t="shared" si="26"/>
        <v>AUD 4.99</v>
      </c>
      <c r="V169" s="44" t="str">
        <f t="shared" si="27"/>
        <v>TPG</v>
      </c>
      <c r="W169" s="43"/>
      <c r="X169" s="44"/>
      <c r="Z169" s="46"/>
      <c r="AE169" s="41"/>
      <c r="AF169" s="31"/>
      <c r="AG169" s="31"/>
      <c r="AI169" s="41"/>
      <c r="AJ169" s="64"/>
      <c r="AK169" s="64"/>
      <c r="AM169" s="41"/>
      <c r="AN169" s="17"/>
      <c r="AO169" s="17"/>
      <c r="AQ169" s="41"/>
      <c r="AR169" s="18"/>
      <c r="AS169" s="18"/>
    </row>
    <row r="170" spans="1:45" s="5" customFormat="1">
      <c r="A170" s="146"/>
      <c r="B170" s="42"/>
      <c r="C170" s="51" t="str">
        <f>C110</f>
        <v>Agg. Developed Asia Other</v>
      </c>
      <c r="D170" s="52"/>
      <c r="E170" s="52"/>
      <c r="F170" s="53"/>
      <c r="G170" s="52"/>
      <c r="H170" s="46"/>
      <c r="I170" s="616">
        <f>'DM ASIA OTHER'!$D$45</f>
        <v>3.3544552198318908E-2</v>
      </c>
      <c r="J170" s="616">
        <f>'DM ASIA OTHER'!$E$45</f>
        <v>3.468266016036306E-2</v>
      </c>
      <c r="K170" s="616">
        <f>'DM ASIA OTHER'!$F$45</f>
        <v>3.8382102847477083E-2</v>
      </c>
      <c r="L170" s="616">
        <f>'DM ASIA OTHER'!$G$45</f>
        <v>4.0412140678726664E-2</v>
      </c>
      <c r="M170" s="616">
        <f>'DM ASIA OTHER'!$H$45</f>
        <v>4.918285214174678E-2</v>
      </c>
      <c r="N170" s="56"/>
      <c r="O170" s="616">
        <f>'DM ASIA OTHER'!$D$47</f>
        <v>8.4483137610526407E-2</v>
      </c>
      <c r="P170" s="616">
        <f>'DM ASIA OTHER'!$E$47</f>
        <v>0.13204879871551481</v>
      </c>
      <c r="Q170" s="616">
        <f>'DM ASIA OTHER'!$F$47</f>
        <v>0.15590189916094357</v>
      </c>
      <c r="R170" s="616">
        <f>'DM ASIA OTHER'!$G$47</f>
        <v>0.16566380308949857</v>
      </c>
      <c r="S170" s="616">
        <f>'DM ASIA OTHER'!$H$47</f>
        <v>0.21630389250420778</v>
      </c>
      <c r="T170" s="46"/>
      <c r="U170" s="57"/>
      <c r="V170" s="58" t="str">
        <f t="shared" si="27"/>
        <v>Agg. Developed Asia Cellular</v>
      </c>
      <c r="Z170" s="46"/>
      <c r="AE170" s="41"/>
      <c r="AF170" s="31"/>
      <c r="AG170" s="31"/>
      <c r="AI170" s="41"/>
      <c r="AJ170" s="64"/>
      <c r="AK170" s="64"/>
      <c r="AM170" s="41"/>
      <c r="AN170" s="17"/>
      <c r="AO170" s="17"/>
      <c r="AQ170" s="41"/>
      <c r="AR170" s="18"/>
      <c r="AS170" s="18"/>
    </row>
    <row r="171" spans="1:45" s="5" customFormat="1">
      <c r="A171" s="41"/>
      <c r="B171" s="42"/>
      <c r="C171" s="48"/>
      <c r="D171" s="44"/>
      <c r="E171" s="44"/>
      <c r="F171" s="45"/>
      <c r="G171" s="44"/>
      <c r="H171" s="46"/>
      <c r="I171" s="615"/>
      <c r="J171" s="615"/>
      <c r="K171" s="615"/>
      <c r="L171" s="615"/>
      <c r="M171" s="615"/>
      <c r="N171" s="46"/>
      <c r="O171" s="615"/>
      <c r="P171" s="615"/>
      <c r="Q171" s="615"/>
      <c r="R171" s="615"/>
      <c r="S171" s="615"/>
      <c r="T171" s="46"/>
      <c r="U171" s="48"/>
      <c r="V171" s="44"/>
      <c r="Z171" s="46"/>
      <c r="AE171" s="41"/>
      <c r="AF171" s="31"/>
      <c r="AG171" s="31"/>
      <c r="AI171" s="41"/>
      <c r="AJ171" s="64"/>
      <c r="AK171" s="64"/>
      <c r="AM171" s="41"/>
      <c r="AN171" s="17"/>
      <c r="AO171" s="17"/>
      <c r="AQ171" s="41"/>
      <c r="AR171" s="18"/>
      <c r="AS171" s="18"/>
    </row>
    <row r="172" spans="1:45" s="5" customFormat="1">
      <c r="A172" s="41"/>
      <c r="B172" s="42" t="s">
        <v>514</v>
      </c>
      <c r="C172" s="48" t="str">
        <f>C112</f>
        <v>Altice US</v>
      </c>
      <c r="D172" s="44" t="str">
        <f>D112</f>
        <v>US$2.1</v>
      </c>
      <c r="E172" s="44" t="str">
        <f>E112</f>
        <v>US$4.0</v>
      </c>
      <c r="F172" s="45">
        <f>F112</f>
        <v>0.86915887850467288</v>
      </c>
      <c r="G172" s="44" t="str">
        <f>G112</f>
        <v>Neutral</v>
      </c>
      <c r="H172" s="46"/>
      <c r="I172" s="615">
        <f>ATCUS!D$45</f>
        <v>0</v>
      </c>
      <c r="J172" s="615">
        <f>ATCUS!E$45</f>
        <v>0</v>
      </c>
      <c r="K172" s="615">
        <f>ATCUS!F$45</f>
        <v>0</v>
      </c>
      <c r="L172" s="615">
        <f>ATCUS!G$45</f>
        <v>0</v>
      </c>
      <c r="M172" s="615" t="str">
        <f>ATCUS!H$45</f>
        <v>nm</v>
      </c>
      <c r="N172" s="46"/>
      <c r="O172" s="615">
        <f>ATCUS!D$47</f>
        <v>0.26221314509944943</v>
      </c>
      <c r="P172" s="615">
        <f>ATCUS!E$47</f>
        <v>-6.4077008073924746E-2</v>
      </c>
      <c r="Q172" s="615">
        <f>ATCUS!F$47</f>
        <v>7.0212341890889037E-3</v>
      </c>
      <c r="R172" s="615">
        <f>ATCUS!G$47</f>
        <v>0.12553687133460439</v>
      </c>
      <c r="S172" s="615">
        <f>ATCUS!H$47</f>
        <v>-0.21738335246278884</v>
      </c>
      <c r="T172" s="46"/>
      <c r="U172" s="48" t="str">
        <f t="shared" ref="U172:V174" si="28">U112</f>
        <v>USD 2.1</v>
      </c>
      <c r="V172" s="44" t="str">
        <f t="shared" si="28"/>
        <v>Altice US</v>
      </c>
      <c r="Z172" s="46"/>
      <c r="AE172" s="41"/>
      <c r="AF172" s="31"/>
      <c r="AG172" s="31"/>
      <c r="AI172" s="41"/>
      <c r="AJ172" s="64"/>
      <c r="AK172" s="64"/>
      <c r="AM172" s="41"/>
      <c r="AN172" s="17"/>
      <c r="AO172" s="17"/>
      <c r="AQ172" s="41"/>
      <c r="AR172" s="18"/>
      <c r="AS172" s="18"/>
    </row>
    <row r="173" spans="1:45" s="5" customFormat="1">
      <c r="A173" s="41"/>
      <c r="B173" s="42" t="s">
        <v>514</v>
      </c>
      <c r="C173" s="48" t="s">
        <v>306</v>
      </c>
      <c r="D173" s="44" t="str">
        <f>B173&amp;TEXT(Prices!$C$45,"0.0")</f>
        <v>US$330.8</v>
      </c>
      <c r="E173" s="44" t="str">
        <f>B173&amp;TEXT(Prices!$E$45,"0.0")</f>
        <v>US$581.0</v>
      </c>
      <c r="F173" s="45">
        <f>Prices!$F$45</f>
        <v>0.75645444101819947</v>
      </c>
      <c r="G173" s="44" t="str">
        <f>Prices!$D$45</f>
        <v>Buy</v>
      </c>
      <c r="H173" s="46"/>
      <c r="I173" s="615">
        <f>CHTR!D$45</f>
        <v>0</v>
      </c>
      <c r="J173" s="615">
        <f>CHTR!E$45</f>
        <v>0</v>
      </c>
      <c r="K173" s="615">
        <f>CHTR!F$45</f>
        <v>0</v>
      </c>
      <c r="L173" s="615">
        <f>CHTR!G$45</f>
        <v>0</v>
      </c>
      <c r="M173" s="615" t="str">
        <f>CHTR!H$45</f>
        <v>nm</v>
      </c>
      <c r="N173" s="46"/>
      <c r="O173" s="615">
        <f>CHTR!D$47</f>
        <v>3.4714951864259339E-2</v>
      </c>
      <c r="P173" s="615">
        <f>CHTR!E$47</f>
        <v>5.568571835316026E-2</v>
      </c>
      <c r="Q173" s="615">
        <f>CHTR!F$47</f>
        <v>7.1073347430443676E-2</v>
      </c>
      <c r="R173" s="615">
        <f>CHTR!G$47</f>
        <v>0.1231100904326666</v>
      </c>
      <c r="S173" s="615">
        <f>CHTR!H$47</f>
        <v>0.40339662366130269</v>
      </c>
      <c r="T173" s="46"/>
      <c r="U173" s="48" t="str">
        <f t="shared" si="28"/>
        <v>USD 330.8</v>
      </c>
      <c r="V173" s="44" t="str">
        <f t="shared" si="28"/>
        <v>Charter</v>
      </c>
      <c r="Z173" s="46"/>
      <c r="AE173" s="41"/>
      <c r="AF173" s="31"/>
      <c r="AG173" s="31"/>
      <c r="AI173" s="41"/>
      <c r="AJ173" s="64"/>
      <c r="AK173" s="64"/>
      <c r="AM173" s="41"/>
      <c r="AN173" s="17"/>
      <c r="AO173" s="17"/>
      <c r="AQ173" s="41"/>
      <c r="AR173" s="18"/>
      <c r="AS173" s="18"/>
    </row>
    <row r="174" spans="1:45" s="5" customFormat="1">
      <c r="A174" s="41"/>
      <c r="B174" s="42" t="s">
        <v>514</v>
      </c>
      <c r="C174" s="48" t="s">
        <v>304</v>
      </c>
      <c r="D174" s="44" t="str">
        <f>B174&amp;TEXT(Prices!$C$46,"0.0")</f>
        <v>US$39.8</v>
      </c>
      <c r="E174" s="44" t="str">
        <f>B174&amp;TEXT(Prices!$E$46,"0.0")</f>
        <v>US$50.0</v>
      </c>
      <c r="F174" s="45">
        <f>Prices!$F$46</f>
        <v>0.25628140703517599</v>
      </c>
      <c r="G174" s="44" t="str">
        <f>Prices!$D$46</f>
        <v>Buy</v>
      </c>
      <c r="H174" s="46"/>
      <c r="I174" s="615">
        <f>CMCSA!D$45</f>
        <v>2.9007993628694832E-2</v>
      </c>
      <c r="J174" s="615">
        <f>CMCSA!E$45</f>
        <v>3.2351011098524875E-2</v>
      </c>
      <c r="K174" s="615">
        <f>CMCSA!F$45</f>
        <v>3.3966621944393288E-2</v>
      </c>
      <c r="L174" s="615">
        <f>CMCSA!G$45</f>
        <v>3.5676081165688621E-2</v>
      </c>
      <c r="M174" s="615">
        <f>CMCSA!H$45</f>
        <v>6.714297299340366E-3</v>
      </c>
      <c r="N174" s="46"/>
      <c r="O174" s="615">
        <f>CMCSA!D$47</f>
        <v>0.24338095385968925</v>
      </c>
      <c r="P174" s="615">
        <f>CMCSA!E$47</f>
        <v>0.26631063482529266</v>
      </c>
      <c r="Q174" s="615">
        <f>CMCSA!F$47</f>
        <v>0.28290958849354675</v>
      </c>
      <c r="R174" s="615">
        <f>CMCSA!G$47</f>
        <v>0.30847948952048315</v>
      </c>
      <c r="S174" s="615">
        <f>CMCSA!H$47</f>
        <v>1.687207424806525E-2</v>
      </c>
      <c r="T174" s="46"/>
      <c r="U174" s="48" t="str">
        <f t="shared" si="28"/>
        <v>USD 39.8</v>
      </c>
      <c r="V174" s="44" t="str">
        <f t="shared" si="28"/>
        <v>Comcast</v>
      </c>
      <c r="Z174" s="46"/>
      <c r="AE174" s="41"/>
      <c r="AF174" s="31"/>
      <c r="AG174" s="31"/>
      <c r="AI174" s="41"/>
      <c r="AJ174" s="64"/>
      <c r="AK174" s="64"/>
      <c r="AM174" s="41"/>
      <c r="AN174" s="17"/>
      <c r="AO174" s="17"/>
      <c r="AQ174" s="41"/>
      <c r="AR174" s="18"/>
      <c r="AS174" s="18"/>
    </row>
    <row r="175" spans="1:45" s="5" customFormat="1">
      <c r="A175" s="41"/>
      <c r="B175" s="42" t="s">
        <v>522</v>
      </c>
      <c r="C175" s="48" t="s">
        <v>1602</v>
      </c>
      <c r="D175" s="44" t="str">
        <f>B175&amp;TEXT(Prices!C$47,"0.00")</f>
        <v>US$ 35.00</v>
      </c>
      <c r="E175" s="44" t="str">
        <f>B175&amp;TEXT(Prices!E$47,"0.00")</f>
        <v>US$ 54.00</v>
      </c>
      <c r="F175" s="45">
        <f>Prices!F$47</f>
        <v>0.54285714285714293</v>
      </c>
      <c r="G175" s="44" t="str">
        <f>Prices!D$47</f>
        <v>Buy</v>
      </c>
      <c r="H175" s="46"/>
      <c r="I175" s="615">
        <f>FYBR!D$45</f>
        <v>0</v>
      </c>
      <c r="J175" s="615">
        <f>FYBR!E$45</f>
        <v>0</v>
      </c>
      <c r="K175" s="615">
        <f>FYBR!F$45</f>
        <v>0</v>
      </c>
      <c r="L175" s="615">
        <f>FYBR!G$45</f>
        <v>0</v>
      </c>
      <c r="M175" s="615" t="str">
        <f>FYBR!H$45</f>
        <v>nm</v>
      </c>
      <c r="N175" s="46"/>
      <c r="O175" s="615">
        <f>FYBR!D$47</f>
        <v>-0.20544984327450802</v>
      </c>
      <c r="P175" s="615">
        <f>FYBR!E$47</f>
        <v>-8.6473824166040311E-2</v>
      </c>
      <c r="Q175" s="615">
        <f>FYBR!F$47</f>
        <v>-7.1111389719572399E-2</v>
      </c>
      <c r="R175" s="615">
        <f>FYBR!G$47</f>
        <v>-3.1371320490796932E-2</v>
      </c>
      <c r="S175" s="615">
        <f>FYBR!H$47</f>
        <v>-0.46602302081487634</v>
      </c>
      <c r="T175" s="46"/>
      <c r="U175" s="48" t="str">
        <f>D175</f>
        <v>US$ 35.00</v>
      </c>
      <c r="V175" s="44" t="str">
        <f>C175</f>
        <v>Frontier</v>
      </c>
      <c r="AE175" s="41"/>
      <c r="AF175" s="31"/>
      <c r="AG175" s="31"/>
      <c r="AI175" s="41"/>
      <c r="AJ175" s="64"/>
      <c r="AK175" s="64"/>
      <c r="AM175" s="41"/>
      <c r="AN175" s="17"/>
      <c r="AO175" s="17"/>
      <c r="AQ175" s="41"/>
      <c r="AR175" s="18"/>
      <c r="AS175" s="18"/>
    </row>
    <row r="176" spans="1:45" s="5" customFormat="1">
      <c r="A176" s="41"/>
      <c r="B176" s="42" t="s">
        <v>522</v>
      </c>
      <c r="C176" s="48" t="s">
        <v>1603</v>
      </c>
      <c r="D176" s="44" t="str">
        <f>B176&amp;TEXT(Prices!C$48,"0.00")</f>
        <v>US$ 22.28</v>
      </c>
      <c r="E176" s="44" t="str">
        <f>B176&amp;TEXT(Prices!E$48,"0.00")</f>
        <v>US$ 100.00</v>
      </c>
      <c r="F176" s="45">
        <f>Prices!F$48</f>
        <v>3.4883303411131061</v>
      </c>
      <c r="G176" s="44" t="str">
        <f>Prices!D$48</f>
        <v>Buy</v>
      </c>
      <c r="H176" s="46"/>
      <c r="I176" s="615">
        <f>SATS!D$45</f>
        <v>0</v>
      </c>
      <c r="J176" s="615">
        <f>SATS!E$45</f>
        <v>0</v>
      </c>
      <c r="K176" s="615">
        <f>SATS!F$45</f>
        <v>0</v>
      </c>
      <c r="L176" s="615">
        <f>SATS!G$45</f>
        <v>0</v>
      </c>
      <c r="M176" s="615" t="str">
        <f>SATS!H$45</f>
        <v>nm</v>
      </c>
      <c r="N176" s="46"/>
      <c r="O176" s="615">
        <f>SATS!D$47</f>
        <v>-0.26841717780185892</v>
      </c>
      <c r="P176" s="615">
        <f>SATS!E$47</f>
        <v>0.10384627165747297</v>
      </c>
      <c r="Q176" s="615">
        <f>SATS!F$47</f>
        <v>0.16770531838143177</v>
      </c>
      <c r="R176" s="615">
        <f>SATS!G$47</f>
        <v>0.28523209962917356</v>
      </c>
      <c r="S176" s="615">
        <f>SATS!H$47</f>
        <v>-2.0204601059978318</v>
      </c>
      <c r="T176" s="46"/>
      <c r="U176" s="48" t="str">
        <f>D176</f>
        <v>US$ 22.28</v>
      </c>
      <c r="V176" s="44" t="str">
        <f>C176</f>
        <v>EchoStar</v>
      </c>
      <c r="AE176" s="41"/>
      <c r="AF176" s="31"/>
      <c r="AG176" s="31"/>
      <c r="AI176" s="41"/>
      <c r="AJ176" s="64"/>
      <c r="AK176" s="64"/>
      <c r="AM176" s="41"/>
      <c r="AN176" s="17"/>
      <c r="AO176" s="17"/>
      <c r="AQ176" s="41"/>
      <c r="AR176" s="18"/>
      <c r="AS176" s="18"/>
    </row>
    <row r="177" spans="1:69" s="5" customFormat="1">
      <c r="A177" s="41"/>
      <c r="B177" s="42"/>
      <c r="C177" s="51" t="str">
        <f>C117</f>
        <v>Agg. US Other</v>
      </c>
      <c r="D177" s="58"/>
      <c r="E177" s="58"/>
      <c r="F177" s="55"/>
      <c r="G177" s="58"/>
      <c r="H177" s="56"/>
      <c r="I177" s="616">
        <f>'US OTHER'!D$45</f>
        <v>2.0337906612049358E-2</v>
      </c>
      <c r="J177" s="616">
        <f>'US OTHER'!E$45</f>
        <v>2.2697199181179739E-2</v>
      </c>
      <c r="K177" s="616">
        <f>'US OTHER'!F$45</f>
        <v>2.3716257475136997E-2</v>
      </c>
      <c r="L177" s="616">
        <f>'US OTHER'!G$45</f>
        <v>2.5027193590269611E-2</v>
      </c>
      <c r="M177" s="616">
        <f>'US OTHER'!H$45</f>
        <v>6.714297299340366E-3</v>
      </c>
      <c r="N177" s="56"/>
      <c r="O177" s="616">
        <f>'US OTHER'!D$47</f>
        <v>0.1771534882727748</v>
      </c>
      <c r="P177" s="616">
        <f>'US OTHER'!E$47</f>
        <v>0.21378735801670312</v>
      </c>
      <c r="Q177" s="616">
        <f>'US OTHER'!F$47</f>
        <v>0.23293310811702245</v>
      </c>
      <c r="R177" s="616">
        <f>'US OTHER'!G$47</f>
        <v>0.27321006376748752</v>
      </c>
      <c r="S177" s="616">
        <f>'US OTHER'!H$47</f>
        <v>8.0117819415815195E-2</v>
      </c>
      <c r="T177" s="56"/>
      <c r="U177" s="51"/>
      <c r="V177" s="58" t="str">
        <f>V117</f>
        <v>Agg. US CATV</v>
      </c>
      <c r="W177" s="45"/>
      <c r="X177" s="45"/>
      <c r="Y177" s="138"/>
      <c r="Z177" s="46"/>
      <c r="AE177" s="41"/>
      <c r="AF177" s="31"/>
      <c r="AG177" s="31"/>
      <c r="AI177" s="41"/>
      <c r="AJ177" s="64"/>
      <c r="AK177" s="64"/>
      <c r="AM177" s="41"/>
      <c r="AN177" s="17"/>
      <c r="AO177" s="17"/>
      <c r="AQ177" s="41"/>
      <c r="AR177" s="18"/>
      <c r="AS177" s="18"/>
    </row>
    <row r="178" spans="1:69" s="5" customFormat="1">
      <c r="A178" s="41"/>
      <c r="B178" s="42"/>
      <c r="C178" s="48"/>
      <c r="D178" s="44"/>
      <c r="E178" s="44"/>
      <c r="F178" s="45"/>
      <c r="G178" s="44"/>
      <c r="H178" s="46"/>
      <c r="I178" s="615"/>
      <c r="J178" s="615"/>
      <c r="K178" s="615"/>
      <c r="L178" s="615"/>
      <c r="M178" s="615"/>
      <c r="N178" s="46"/>
      <c r="O178" s="615"/>
      <c r="P178" s="615"/>
      <c r="Q178" s="615"/>
      <c r="R178" s="615"/>
      <c r="S178" s="615"/>
      <c r="T178" s="46"/>
      <c r="U178" s="48"/>
      <c r="V178" s="44"/>
      <c r="W178" s="56"/>
      <c r="X178" s="56"/>
      <c r="Y178" s="56"/>
      <c r="Z178" s="56"/>
      <c r="AE178" s="41"/>
      <c r="AF178" s="31"/>
      <c r="AG178" s="31"/>
      <c r="AI178" s="41"/>
      <c r="AJ178" s="64"/>
      <c r="AK178" s="64"/>
      <c r="AM178" s="41"/>
      <c r="AN178" s="17"/>
      <c r="AO178" s="17"/>
      <c r="AQ178" s="41"/>
      <c r="AR178" s="18"/>
      <c r="AS178" s="18"/>
    </row>
    <row r="179" spans="1:69" s="5" customFormat="1">
      <c r="A179" s="146"/>
      <c r="B179" s="42"/>
      <c r="C179" s="48"/>
      <c r="D179" s="44"/>
      <c r="E179" s="44"/>
      <c r="F179" s="45"/>
      <c r="G179" s="44"/>
      <c r="H179" s="46"/>
      <c r="I179" s="615"/>
      <c r="J179" s="615"/>
      <c r="K179" s="615"/>
      <c r="L179" s="615"/>
      <c r="M179" s="615"/>
      <c r="N179" s="46"/>
      <c r="O179" s="615"/>
      <c r="P179" s="615"/>
      <c r="Q179" s="615"/>
      <c r="R179" s="615"/>
      <c r="S179" s="615"/>
      <c r="T179" s="46"/>
      <c r="U179" s="48"/>
      <c r="V179" s="44"/>
      <c r="AE179" s="41"/>
      <c r="AF179" s="31"/>
      <c r="AG179" s="31"/>
      <c r="AI179" s="41"/>
      <c r="AJ179" s="64"/>
      <c r="AK179" s="64"/>
      <c r="AM179" s="41"/>
      <c r="AN179" s="17"/>
      <c r="AO179" s="17"/>
      <c r="AQ179" s="41"/>
      <c r="AR179" s="18"/>
      <c r="AS179" s="18"/>
    </row>
    <row r="180" spans="1:69" s="5" customFormat="1">
      <c r="A180" s="146"/>
      <c r="B180" s="42"/>
      <c r="C180" s="51" t="str">
        <f>C120</f>
        <v>Agg. W Europe</v>
      </c>
      <c r="D180" s="52"/>
      <c r="E180" s="52"/>
      <c r="F180" s="53"/>
      <c r="G180" s="52"/>
      <c r="H180" s="46"/>
      <c r="I180" s="616">
        <f>'W.EUR AGG'!$D$45</f>
        <v>4.4486712049222873E-2</v>
      </c>
      <c r="J180" s="616">
        <f>'W.EUR AGG'!$E$45</f>
        <v>4.3147250199898506E-2</v>
      </c>
      <c r="K180" s="616">
        <f>'W.EUR AGG'!$F$45</f>
        <v>4.5635014347915746E-2</v>
      </c>
      <c r="L180" s="616">
        <f>'W.EUR AGG'!$G$45</f>
        <v>4.9641105415154506E-2</v>
      </c>
      <c r="M180" s="616">
        <f>'W.EUR AGG'!$H$45</f>
        <v>2.7549849186711883E-2</v>
      </c>
      <c r="N180" s="56"/>
      <c r="O180" s="616">
        <f>'W.EUR AGG'!$D$47</f>
        <v>4.8997623285596911E-2</v>
      </c>
      <c r="P180" s="616">
        <f>'W.EUR AGG'!$E$47</f>
        <v>5.6693591307749223E-2</v>
      </c>
      <c r="Q180" s="616">
        <f>'W.EUR AGG'!$F$47</f>
        <v>6.6282127010992065E-2</v>
      </c>
      <c r="R180" s="616">
        <f>'W.EUR AGG'!$G$47</f>
        <v>7.7555819100347825E-2</v>
      </c>
      <c r="S180" s="616">
        <f>'W.EUR AGG'!$H$47</f>
        <v>0.15095479305648385</v>
      </c>
      <c r="T180" s="46"/>
      <c r="U180" s="57"/>
      <c r="V180" s="58" t="str">
        <f>V120</f>
        <v>Agg. W Europe</v>
      </c>
      <c r="AE180" s="41"/>
      <c r="AF180" s="31"/>
      <c r="AG180" s="31"/>
      <c r="AI180" s="41"/>
      <c r="AJ180" s="64"/>
      <c r="AK180" s="64"/>
      <c r="AM180" s="41"/>
      <c r="AN180" s="17"/>
      <c r="AO180" s="17"/>
      <c r="AQ180" s="41"/>
      <c r="AR180" s="18"/>
      <c r="AS180" s="18"/>
    </row>
    <row r="181" spans="1:69" s="5" customFormat="1">
      <c r="A181" s="41"/>
      <c r="B181" s="42"/>
      <c r="C181" s="41" t="s">
        <v>1608</v>
      </c>
      <c r="D181" s="44"/>
      <c r="E181" s="44"/>
      <c r="F181" s="45"/>
      <c r="G181" s="44"/>
      <c r="H181" s="46"/>
      <c r="I181" s="618">
        <f>'US AGG'!D$45</f>
        <v>3.0281938685475202E-2</v>
      </c>
      <c r="J181" s="618">
        <f>'US AGG'!E$45</f>
        <v>3.6746630411524851E-2</v>
      </c>
      <c r="K181" s="618">
        <f>'US AGG'!F$45</f>
        <v>3.8874551254701691E-2</v>
      </c>
      <c r="L181" s="618">
        <f>'US AGG'!G$45</f>
        <v>4.127807376721588E-2</v>
      </c>
      <c r="M181" s="618">
        <f>'US AGG'!H$45</f>
        <v>6.8680141560880426E-2</v>
      </c>
      <c r="N181" s="56"/>
      <c r="O181" s="618">
        <f>'US AGG'!D$47</f>
        <v>9.0341852300528575E-2</v>
      </c>
      <c r="P181" s="618">
        <f>'US AGG'!E$47</f>
        <v>9.1627269190158775E-2</v>
      </c>
      <c r="Q181" s="618">
        <f>'US AGG'!F$47</f>
        <v>9.917695460189406E-2</v>
      </c>
      <c r="R181" s="618">
        <f>'US AGG'!G$47</f>
        <v>0.11052708916988496</v>
      </c>
      <c r="S181" s="618">
        <f>'US AGG'!H$47</f>
        <v>3.0232212958454241E-2</v>
      </c>
      <c r="T181" s="46"/>
      <c r="U181" s="48"/>
      <c r="V181" s="50" t="str">
        <f>V121</f>
        <v>Agg. US</v>
      </c>
      <c r="AE181" s="41"/>
      <c r="AF181" s="31"/>
      <c r="AG181" s="31"/>
      <c r="AI181" s="41"/>
      <c r="AJ181" s="64"/>
      <c r="AK181" s="64"/>
      <c r="AM181" s="41"/>
      <c r="AN181" s="17"/>
      <c r="AO181" s="17"/>
      <c r="AQ181" s="41"/>
      <c r="AR181" s="18"/>
      <c r="AS181" s="18"/>
    </row>
    <row r="182" spans="1:69" s="5" customFormat="1">
      <c r="A182" s="41"/>
      <c r="B182" s="42"/>
      <c r="C182" s="67" t="str">
        <f>C122</f>
        <v xml:space="preserve">Agg. Developed Asia </v>
      </c>
      <c r="D182" s="52"/>
      <c r="E182" s="52"/>
      <c r="F182" s="53"/>
      <c r="G182" s="52"/>
      <c r="H182" s="46"/>
      <c r="I182" s="616">
        <f>'AGG DM ASIA'!$D$45</f>
        <v>3.6949686255070092E-2</v>
      </c>
      <c r="J182" s="616">
        <f>'AGG DM ASIA'!$E$45</f>
        <v>4.1149615120798226E-2</v>
      </c>
      <c r="K182" s="616">
        <f>'AGG DM ASIA'!$F$45</f>
        <v>4.5114188009200577E-2</v>
      </c>
      <c r="L182" s="616">
        <f>'AGG DM ASIA'!$G$45</f>
        <v>4.8574751584717607E-2</v>
      </c>
      <c r="M182" s="616">
        <f>'AGG DM ASIA'!$H$45</f>
        <v>8.2673000667110141E-2</v>
      </c>
      <c r="N182" s="56"/>
      <c r="O182" s="616">
        <f>'AGG DM ASIA'!$D$47</f>
        <v>5.8482029578625007E-2</v>
      </c>
      <c r="P182" s="616">
        <f>'AGG DM ASIA'!$E$47</f>
        <v>7.0525484952846648E-2</v>
      </c>
      <c r="Q182" s="616">
        <f>'AGG DM ASIA'!$F$47</f>
        <v>8.6197378756617482E-2</v>
      </c>
      <c r="R182" s="616">
        <f>'AGG DM ASIA'!$G$47</f>
        <v>9.2993227410139628E-2</v>
      </c>
      <c r="S182" s="616">
        <f>'AGG DM ASIA'!$H$47</f>
        <v>0.14407955917292203</v>
      </c>
      <c r="T182" s="46"/>
      <c r="U182" s="57"/>
      <c r="V182" s="58" t="str">
        <f>V122</f>
        <v xml:space="preserve">Agg. Developed Asia </v>
      </c>
      <c r="AE182" s="41"/>
      <c r="AF182" s="31"/>
      <c r="AG182" s="31"/>
      <c r="AI182" s="41"/>
      <c r="AJ182" s="64"/>
      <c r="AK182" s="64"/>
      <c r="AM182" s="41"/>
      <c r="AN182" s="17"/>
      <c r="AO182" s="17"/>
      <c r="AQ182" s="41"/>
      <c r="AR182" s="18"/>
      <c r="AS182" s="18"/>
    </row>
    <row r="183" spans="1:69" s="5" customFormat="1">
      <c r="A183" s="41"/>
      <c r="B183" s="42"/>
      <c r="C183" s="41"/>
      <c r="D183" s="44"/>
      <c r="E183" s="44"/>
      <c r="F183" s="45"/>
      <c r="G183" s="44"/>
      <c r="H183" s="46"/>
      <c r="I183" s="618"/>
      <c r="J183" s="618"/>
      <c r="K183" s="618"/>
      <c r="L183" s="618"/>
      <c r="M183" s="618"/>
      <c r="N183" s="56"/>
      <c r="O183" s="618"/>
      <c r="P183" s="618"/>
      <c r="Q183" s="618"/>
      <c r="R183" s="618"/>
      <c r="S183" s="618"/>
      <c r="T183" s="46"/>
      <c r="U183" s="48"/>
      <c r="V183" s="50"/>
      <c r="AE183" s="41"/>
      <c r="AF183" s="31"/>
      <c r="AG183" s="31"/>
      <c r="AI183" s="41"/>
      <c r="AJ183" s="64"/>
      <c r="AK183" s="64"/>
      <c r="AM183" s="41"/>
      <c r="AN183" s="17"/>
      <c r="AO183" s="17"/>
      <c r="AQ183" s="41"/>
      <c r="AR183" s="18"/>
      <c r="AS183" s="18"/>
    </row>
    <row r="184" spans="1:69" s="5" customFormat="1">
      <c r="A184" s="41"/>
      <c r="B184" s="42"/>
      <c r="C184" s="67" t="str">
        <f>C124</f>
        <v>Agg. Global Developed</v>
      </c>
      <c r="D184" s="52"/>
      <c r="E184" s="52"/>
      <c r="F184" s="53"/>
      <c r="G184" s="52"/>
      <c r="H184" s="46"/>
      <c r="I184" s="616">
        <f>'AGG DM'!$D$45</f>
        <v>3.4882136259379262E-2</v>
      </c>
      <c r="J184" s="616">
        <f>'AGG DM'!$E$45</f>
        <v>3.9102516199963799E-2</v>
      </c>
      <c r="K184" s="616">
        <f>'AGG DM'!$F$45</f>
        <v>4.1707724632137386E-2</v>
      </c>
      <c r="L184" s="616">
        <f>'AGG DM'!$G$45</f>
        <v>4.4771308784022613E-2</v>
      </c>
      <c r="M184" s="616">
        <f>'AGG DM'!$H$45</f>
        <v>5.9498643383417704E-2</v>
      </c>
      <c r="N184" s="56"/>
      <c r="O184" s="616">
        <f>'AGG DM'!$D$47</f>
        <v>7.4223349466054356E-2</v>
      </c>
      <c r="P184" s="616">
        <f>'AGG DM'!$E$47</f>
        <v>7.8889340851345524E-2</v>
      </c>
      <c r="Q184" s="616">
        <f>'AGG DM'!$F$47</f>
        <v>8.8221731485078517E-2</v>
      </c>
      <c r="R184" s="616">
        <f>'AGG DM'!$G$47</f>
        <v>9.8568635995919168E-2</v>
      </c>
      <c r="S184" s="616">
        <f>'AGG DM'!$H$47</f>
        <v>6.900159277298723E-2</v>
      </c>
      <c r="T184" s="46"/>
      <c r="U184" s="57"/>
      <c r="V184" s="58" t="str">
        <f>V124</f>
        <v xml:space="preserve">Agg. Global Developed </v>
      </c>
      <c r="AE184" s="41"/>
      <c r="AF184" s="31"/>
      <c r="AG184" s="31"/>
      <c r="AI184" s="41"/>
      <c r="AJ184" s="64"/>
      <c r="AK184" s="64"/>
      <c r="AM184" s="41"/>
      <c r="AN184" s="17"/>
      <c r="AO184" s="17"/>
      <c r="AQ184" s="41"/>
      <c r="AR184" s="18"/>
      <c r="AS184" s="18"/>
    </row>
    <row r="185" spans="1:69" s="5" customFormat="1">
      <c r="A185" s="41"/>
      <c r="B185" s="42"/>
      <c r="C185" s="41"/>
      <c r="D185" s="44"/>
      <c r="E185" s="44"/>
      <c r="F185" s="45"/>
      <c r="G185" s="44"/>
      <c r="H185" s="46"/>
      <c r="I185" s="70"/>
      <c r="J185" s="70"/>
      <c r="K185" s="70"/>
      <c r="L185" s="70"/>
      <c r="M185" s="59"/>
      <c r="N185" s="71"/>
      <c r="O185" s="70"/>
      <c r="P185" s="70"/>
      <c r="Q185" s="70"/>
      <c r="R185" s="70"/>
      <c r="S185" s="59"/>
      <c r="T185" s="46"/>
      <c r="U185" s="48"/>
      <c r="V185" s="50"/>
      <c r="AE185" s="41"/>
      <c r="AF185" s="31"/>
      <c r="AG185" s="31"/>
      <c r="AI185" s="41"/>
      <c r="AJ185" s="64"/>
      <c r="AK185" s="64"/>
      <c r="AM185" s="41"/>
      <c r="AN185" s="17"/>
      <c r="AO185" s="17"/>
      <c r="AQ185" s="41"/>
      <c r="AR185" s="18"/>
      <c r="AS185" s="18"/>
    </row>
    <row r="186" spans="1:69" s="5" customFormat="1">
      <c r="A186" s="41"/>
      <c r="B186" s="42"/>
      <c r="C186" s="41"/>
      <c r="D186" s="44"/>
      <c r="E186" s="44"/>
      <c r="F186" s="45"/>
      <c r="G186" s="44"/>
      <c r="H186" s="46"/>
      <c r="I186" s="70"/>
      <c r="J186" s="70"/>
      <c r="K186" s="70"/>
      <c r="L186" s="70"/>
      <c r="M186" s="59"/>
      <c r="N186" s="71"/>
      <c r="O186" s="70"/>
      <c r="P186" s="70"/>
      <c r="Q186" s="70"/>
      <c r="R186" s="70"/>
      <c r="S186" s="59"/>
      <c r="T186" s="46"/>
      <c r="U186" s="48"/>
      <c r="V186" s="50"/>
      <c r="AE186" s="41"/>
      <c r="AF186" s="31"/>
      <c r="AG186" s="31"/>
      <c r="AI186" s="41"/>
      <c r="AJ186" s="64"/>
      <c r="AK186" s="64"/>
      <c r="AM186" s="41"/>
      <c r="AN186" s="17"/>
      <c r="AO186" s="17"/>
      <c r="AQ186" s="41"/>
      <c r="AR186" s="18"/>
      <c r="AS186" s="18"/>
    </row>
    <row r="187" spans="1:69" s="41" customFormat="1">
      <c r="B187" s="147"/>
      <c r="C187" s="164"/>
      <c r="D187" s="165" t="s">
        <v>459</v>
      </c>
      <c r="E187" s="165" t="s">
        <v>56</v>
      </c>
      <c r="F187" s="165" t="s">
        <v>58</v>
      </c>
      <c r="G187" s="165" t="s">
        <v>55</v>
      </c>
      <c r="H187" s="49"/>
      <c r="I187" s="166" t="s">
        <v>525</v>
      </c>
      <c r="J187" s="166"/>
      <c r="K187" s="166"/>
      <c r="L187" s="166"/>
      <c r="M187" s="166"/>
      <c r="O187" s="166" t="s">
        <v>268</v>
      </c>
      <c r="P187" s="166"/>
      <c r="Q187" s="166"/>
      <c r="R187" s="166"/>
      <c r="S187" s="166"/>
      <c r="T187" s="49"/>
      <c r="U187" s="167" t="s">
        <v>459</v>
      </c>
      <c r="V187" s="165"/>
      <c r="Z187" s="49"/>
      <c r="AC187" s="135"/>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BC187" s="137"/>
      <c r="BD187" s="137"/>
      <c r="BE187" s="137"/>
      <c r="BG187" s="137"/>
      <c r="BH187" s="137"/>
      <c r="BI187" s="137"/>
      <c r="BK187" s="137"/>
      <c r="BL187" s="137"/>
      <c r="BM187" s="137"/>
      <c r="BO187" s="137"/>
      <c r="BP187" s="137"/>
      <c r="BQ187" s="137"/>
    </row>
    <row r="188" spans="1:69" s="5" customFormat="1">
      <c r="A188" s="41" t="s">
        <v>501</v>
      </c>
      <c r="B188" s="42"/>
      <c r="C188" s="48" t="s">
        <v>182</v>
      </c>
      <c r="D188" s="44" t="str">
        <f t="shared" ref="D188:G198" si="29">D128</f>
        <v>GBP1.44</v>
      </c>
      <c r="E188" s="44" t="str">
        <f t="shared" si="29"/>
        <v>GBP2.30</v>
      </c>
      <c r="F188" s="45">
        <f t="shared" si="29"/>
        <v>0.59777700590482818</v>
      </c>
      <c r="G188" s="44" t="str">
        <f t="shared" si="29"/>
        <v>Buy</v>
      </c>
      <c r="H188" s="46"/>
      <c r="I188" s="47">
        <f>BT!$D$41</f>
        <v>1.3074233763627929</v>
      </c>
      <c r="J188" s="47">
        <f>BT!$E$41</f>
        <v>1.2273412258519902</v>
      </c>
      <c r="K188" s="47">
        <f>BT!$F$41</f>
        <v>1.1514940289024602</v>
      </c>
      <c r="L188" s="47">
        <f>BT!$G$41</f>
        <v>1.0739677682214257</v>
      </c>
      <c r="M188" s="45">
        <f>BT!$H$41</f>
        <v>3.5416907064302672E-2</v>
      </c>
      <c r="N188" s="46"/>
      <c r="O188" s="47">
        <f>BT!$D$37</f>
        <v>1.693880787840812</v>
      </c>
      <c r="P188" s="47">
        <f>BT!$E$37</f>
        <v>1.6624541408145663</v>
      </c>
      <c r="Q188" s="47">
        <f>BT!$F$37</f>
        <v>1.607029013606659</v>
      </c>
      <c r="R188" s="47">
        <f>BT!$G$37</f>
        <v>1.5431010145895097</v>
      </c>
      <c r="S188" s="45">
        <f>BT!$H$37</f>
        <v>3.1415556474456707E-4</v>
      </c>
      <c r="T188" s="46"/>
      <c r="U188" s="48" t="str">
        <f t="shared" ref="U188:V192" si="30">U128</f>
        <v>GBP1.44</v>
      </c>
      <c r="V188" s="69" t="str">
        <f t="shared" si="30"/>
        <v>British Telecom</v>
      </c>
      <c r="AE188" s="41"/>
      <c r="AF188" s="31"/>
      <c r="AG188" s="31"/>
      <c r="AI188" s="41"/>
      <c r="AJ188" s="64"/>
      <c r="AK188" s="64"/>
      <c r="AM188" s="41"/>
      <c r="AN188" s="17"/>
      <c r="AO188" s="17"/>
      <c r="AQ188" s="41"/>
      <c r="AR188" s="18"/>
      <c r="AS188" s="18"/>
    </row>
    <row r="189" spans="1:69" s="5" customFormat="1">
      <c r="A189" s="41"/>
      <c r="B189" s="42"/>
      <c r="C189" s="48" t="s">
        <v>183</v>
      </c>
      <c r="D189" s="44" t="str">
        <f t="shared" si="29"/>
        <v>EUR 26.13</v>
      </c>
      <c r="E189" s="44" t="str">
        <f t="shared" si="29"/>
        <v>EUR 33.00</v>
      </c>
      <c r="F189" s="45">
        <f t="shared" si="29"/>
        <v>0.26291618828932273</v>
      </c>
      <c r="G189" s="44" t="str">
        <f t="shared" si="29"/>
        <v>Buy</v>
      </c>
      <c r="H189" s="46"/>
      <c r="I189" s="47">
        <f>DT!$D$41</f>
        <v>1.7175538498711711</v>
      </c>
      <c r="J189" s="47">
        <f>DT!$E$41</f>
        <v>1.5506421884965509</v>
      </c>
      <c r="K189" s="47">
        <f>DT!$F$41</f>
        <v>1.4268041534649143</v>
      </c>
      <c r="L189" s="47">
        <f>DT!$G$41</f>
        <v>1.3209246955027987</v>
      </c>
      <c r="M189" s="45">
        <f>DT!$H$41</f>
        <v>7.3228233999019343E-2</v>
      </c>
      <c r="N189" s="46"/>
      <c r="O189" s="47">
        <f>DT!$D$37</f>
        <v>2.7420166938231598</v>
      </c>
      <c r="P189" s="47">
        <f>DT!$E$37</f>
        <v>2.6474873991004846</v>
      </c>
      <c r="Q189" s="47">
        <f>DT!$F$37</f>
        <v>2.5401036397220498</v>
      </c>
      <c r="R189" s="47">
        <f>DT!$G$37</f>
        <v>2.3941415573532523</v>
      </c>
      <c r="S189" s="45">
        <f>DT!$H$37</f>
        <v>2.8777391588370893E-2</v>
      </c>
      <c r="T189" s="46"/>
      <c r="U189" s="48" t="str">
        <f t="shared" si="30"/>
        <v>EUR 26.13</v>
      </c>
      <c r="V189" s="69" t="str">
        <f t="shared" si="30"/>
        <v>Deutsche Telekom</v>
      </c>
      <c r="AE189" s="41"/>
      <c r="AF189" s="31"/>
      <c r="AG189" s="31"/>
      <c r="AI189" s="41"/>
      <c r="AJ189" s="64"/>
      <c r="AK189" s="64"/>
      <c r="AM189" s="41"/>
      <c r="AN189" s="17"/>
      <c r="AO189" s="17"/>
      <c r="AQ189" s="41"/>
      <c r="AR189" s="18"/>
      <c r="AS189" s="18"/>
    </row>
    <row r="190" spans="1:69" s="5" customFormat="1">
      <c r="A190" s="41"/>
      <c r="B190" s="42"/>
      <c r="C190" s="48" t="s">
        <v>453</v>
      </c>
      <c r="D190" s="44" t="str">
        <f t="shared" si="29"/>
        <v>EUR 3.75</v>
      </c>
      <c r="E190" s="44" t="str">
        <f t="shared" si="29"/>
        <v>EUR 3.80</v>
      </c>
      <c r="F190" s="45">
        <f t="shared" si="29"/>
        <v>1.4415376401494928E-2</v>
      </c>
      <c r="G190" s="44" t="str">
        <f t="shared" si="29"/>
        <v>Neutral</v>
      </c>
      <c r="H190" s="46"/>
      <c r="I190" s="47">
        <f>KPN!$D$41</f>
        <v>2.3596102155157364</v>
      </c>
      <c r="J190" s="47">
        <f>KPN!$E$41</f>
        <v>2.714267000070699</v>
      </c>
      <c r="K190" s="47">
        <f>KPN!$F$41</f>
        <v>2.6245656891284734</v>
      </c>
      <c r="L190" s="47">
        <f>KPN!$G$41</f>
        <v>2.6206228778003622</v>
      </c>
      <c r="M190" s="45">
        <f>KPN!$H$41</f>
        <v>-5.3772662477283184E-2</v>
      </c>
      <c r="N190" s="46"/>
      <c r="O190" s="47">
        <f>KPN!$D$37</f>
        <v>3.8628201804988223</v>
      </c>
      <c r="P190" s="47">
        <f>KPN!$E$37</f>
        <v>3.7491679703020822</v>
      </c>
      <c r="Q190" s="47">
        <f>KPN!$F$37</f>
        <v>3.6192180278091546</v>
      </c>
      <c r="R190" s="47">
        <f>KPN!$G$37</f>
        <v>3.4187102398607081</v>
      </c>
      <c r="S190" s="45">
        <f>KPN!$H$37</f>
        <v>2.0620555480699521E-2</v>
      </c>
      <c r="T190" s="46"/>
      <c r="U190" s="48" t="str">
        <f t="shared" si="30"/>
        <v>EUR 3.75</v>
      </c>
      <c r="V190" s="69" t="str">
        <f t="shared" si="30"/>
        <v>KPN</v>
      </c>
      <c r="AE190" s="41"/>
      <c r="AF190" s="31"/>
      <c r="AG190" s="31"/>
      <c r="AI190" s="41"/>
      <c r="AJ190" s="64"/>
      <c r="AK190" s="64"/>
      <c r="AM190" s="41"/>
      <c r="AN190" s="17"/>
      <c r="AO190" s="17"/>
      <c r="AQ190" s="41"/>
      <c r="AR190" s="18"/>
      <c r="AS190" s="18"/>
    </row>
    <row r="191" spans="1:69" s="5" customFormat="1">
      <c r="A191" s="41"/>
      <c r="B191" s="42"/>
      <c r="C191" s="48" t="s">
        <v>722</v>
      </c>
      <c r="D191" s="44" t="str">
        <f t="shared" si="29"/>
        <v>EUR 10.72</v>
      </c>
      <c r="E191" s="44" t="str">
        <f t="shared" si="29"/>
        <v>EUR 14.00</v>
      </c>
      <c r="F191" s="45">
        <f t="shared" si="29"/>
        <v>0.30597014925373123</v>
      </c>
      <c r="G191" s="44" t="str">
        <f t="shared" si="29"/>
        <v>Buy</v>
      </c>
      <c r="H191" s="46"/>
      <c r="I191" s="47">
        <f>ORA!$D$41</f>
        <v>1.2339234202550475</v>
      </c>
      <c r="J191" s="47">
        <f>ORA!$E$41</f>
        <v>1.2203840055702988</v>
      </c>
      <c r="K191" s="47">
        <f>ORA!$F$41</f>
        <v>1.1555082170415427</v>
      </c>
      <c r="L191" s="47">
        <f>ORA!$G$41</f>
        <v>1.0900576365182728</v>
      </c>
      <c r="M191" s="45">
        <f>ORA!$H$41</f>
        <v>-1.1118436072145244E-2</v>
      </c>
      <c r="N191" s="46"/>
      <c r="O191" s="47">
        <f>ORA!$D$37</f>
        <v>1.9114745509645585</v>
      </c>
      <c r="P191" s="47">
        <f>ORA!$E$37</f>
        <v>1.7669443270823444</v>
      </c>
      <c r="Q191" s="47">
        <f>ORA!$F$37</f>
        <v>1.688630750428201</v>
      </c>
      <c r="R191" s="47">
        <f>ORA!$G$37</f>
        <v>1.6110114004746254</v>
      </c>
      <c r="S191" s="45">
        <f>ORA!$H$37</f>
        <v>4.5109313910738358E-3</v>
      </c>
      <c r="T191" s="46"/>
      <c r="U191" s="48" t="str">
        <f t="shared" si="30"/>
        <v>EUR 10.72</v>
      </c>
      <c r="V191" s="69" t="str">
        <f t="shared" si="30"/>
        <v>Orange</v>
      </c>
      <c r="AE191" s="41"/>
      <c r="AF191" s="31"/>
      <c r="AG191" s="31"/>
      <c r="AI191" s="41"/>
      <c r="AJ191" s="64"/>
      <c r="AK191" s="64"/>
      <c r="AM191" s="41"/>
      <c r="AN191" s="17"/>
      <c r="AO191" s="17"/>
      <c r="AQ191" s="41"/>
      <c r="AR191" s="18"/>
      <c r="AS191" s="18"/>
    </row>
    <row r="192" spans="1:69" s="5" customFormat="1">
      <c r="A192" s="41"/>
      <c r="B192" s="42"/>
      <c r="C192" s="48" t="s">
        <v>454</v>
      </c>
      <c r="D192" s="44" t="str">
        <f t="shared" si="29"/>
        <v>EUR 15.08</v>
      </c>
      <c r="E192" s="44" t="str">
        <f t="shared" si="29"/>
        <v>EUR 18.50</v>
      </c>
      <c r="F192" s="45">
        <f t="shared" si="29"/>
        <v>0.22679045092838201</v>
      </c>
      <c r="G192" s="44" t="str">
        <f t="shared" si="29"/>
        <v>Buy</v>
      </c>
      <c r="H192" s="46"/>
      <c r="I192" s="47">
        <f>OTE!$D$41</f>
        <v>2.9149687245502642</v>
      </c>
      <c r="J192" s="47">
        <f>OTE!$E$41</f>
        <v>2.7108447762318457</v>
      </c>
      <c r="K192" s="47">
        <f>OTE!$F$41</f>
        <v>2.5144823611704021</v>
      </c>
      <c r="L192" s="47">
        <f>OTE!$G$41</f>
        <v>2.3163383360458574</v>
      </c>
      <c r="M192" s="45">
        <f>OTE!$H$41</f>
        <v>2.2565165636820872E-3</v>
      </c>
      <c r="N192" s="46"/>
      <c r="O192" s="47">
        <f>OTE!$D$37</f>
        <v>2.1935590718287536</v>
      </c>
      <c r="P192" s="47">
        <f>OTE!$E$37</f>
        <v>2.0251804148847246</v>
      </c>
      <c r="Q192" s="47">
        <f>OTE!$F$37</f>
        <v>1.8562866789152142</v>
      </c>
      <c r="R192" s="47">
        <f>OTE!$G$37</f>
        <v>1.6873767995121376</v>
      </c>
      <c r="S192" s="45">
        <f>OTE!$H$37</f>
        <v>1.3166155968846738E-2</v>
      </c>
      <c r="T192" s="46"/>
      <c r="U192" s="48" t="str">
        <f t="shared" si="30"/>
        <v>EUR 15.08</v>
      </c>
      <c r="V192" s="69" t="str">
        <f t="shared" si="30"/>
        <v>OTE</v>
      </c>
      <c r="AE192" s="41"/>
      <c r="AF192" s="31"/>
      <c r="AG192" s="31"/>
      <c r="AI192" s="41"/>
      <c r="AJ192" s="64"/>
      <c r="AK192" s="64"/>
      <c r="AM192" s="41"/>
      <c r="AN192" s="17"/>
      <c r="AO192" s="17"/>
      <c r="AQ192" s="41"/>
      <c r="AR192" s="18"/>
      <c r="AS192" s="18"/>
    </row>
    <row r="193" spans="1:45" s="5" customFormat="1">
      <c r="A193" s="41"/>
      <c r="B193" s="42"/>
      <c r="C193" s="48" t="s">
        <v>809</v>
      </c>
      <c r="D193" s="44" t="str">
        <f t="shared" si="29"/>
        <v>EUR 6.8</v>
      </c>
      <c r="E193" s="44" t="str">
        <f t="shared" si="29"/>
        <v>EUR 9.5</v>
      </c>
      <c r="F193" s="45">
        <f t="shared" si="29"/>
        <v>0.39296187683284445</v>
      </c>
      <c r="G193" s="44" t="str">
        <f t="shared" si="29"/>
        <v>Neutral</v>
      </c>
      <c r="H193" s="46"/>
      <c r="I193" s="47">
        <f>PROX!$D$41</f>
        <v>1.0447182473834848</v>
      </c>
      <c r="J193" s="47">
        <f>PROX!$E$41</f>
        <v>0.96996370891841421</v>
      </c>
      <c r="K193" s="47">
        <f>PROX!$F$41</f>
        <v>0.96409610209702723</v>
      </c>
      <c r="L193" s="47">
        <f>PROX!$G$41</f>
        <v>0.9525391073763485</v>
      </c>
      <c r="M193" s="45">
        <f>PROX!$H$41</f>
        <v>-5.400615870502079E-2</v>
      </c>
      <c r="N193" s="46"/>
      <c r="O193" s="47">
        <f>PROX!$D$37</f>
        <v>1.3994261937965404</v>
      </c>
      <c r="P193" s="47">
        <f>PROX!$E$37</f>
        <v>1.1165867578599111</v>
      </c>
      <c r="Q193" s="47">
        <f>PROX!$F$37</f>
        <v>1.0681068321544296</v>
      </c>
      <c r="R193" s="47">
        <f>PROX!$G$37</f>
        <v>1.014250128575259</v>
      </c>
      <c r="S193" s="45">
        <f>PROX!$H$37</f>
        <v>2.1216515260999547E-2</v>
      </c>
      <c r="T193" s="46"/>
      <c r="U193" s="48" t="str">
        <f t="shared" ref="U193:U198" si="31">U133</f>
        <v>EUR 6.8</v>
      </c>
      <c r="V193" s="69" t="s">
        <v>809</v>
      </c>
      <c r="AE193" s="41"/>
      <c r="AF193" s="31"/>
      <c r="AG193" s="31"/>
      <c r="AI193" s="41"/>
      <c r="AJ193" s="64"/>
      <c r="AK193" s="64"/>
      <c r="AM193" s="41"/>
      <c r="AN193" s="17"/>
      <c r="AO193" s="17"/>
      <c r="AQ193" s="41"/>
      <c r="AR193" s="18"/>
      <c r="AS193" s="18"/>
    </row>
    <row r="194" spans="1:45">
      <c r="C194" s="48" t="s">
        <v>458</v>
      </c>
      <c r="D194" s="44" t="str">
        <f t="shared" si="29"/>
        <v>CHF549</v>
      </c>
      <c r="E194" s="44" t="str">
        <f t="shared" si="29"/>
        <v>CHF600</v>
      </c>
      <c r="F194" s="45">
        <f t="shared" si="29"/>
        <v>9.2896174863388081E-2</v>
      </c>
      <c r="G194" s="44" t="str">
        <f t="shared" si="29"/>
        <v>Neutral</v>
      </c>
      <c r="H194" s="46"/>
      <c r="I194" s="47">
        <f>SWISS!$D$41</f>
        <v>2.1764646755160055</v>
      </c>
      <c r="J194" s="47">
        <f>SWISS!$E$41</f>
        <v>2.1085897850992961</v>
      </c>
      <c r="K194" s="47">
        <f>SWISS!$F$41</f>
        <v>1.9228051200079959</v>
      </c>
      <c r="L194" s="47">
        <f>SWISS!$G$41</f>
        <v>1.5330674832504503</v>
      </c>
      <c r="M194" s="45">
        <f>SWISS!$H$41</f>
        <v>0.16621503627329615</v>
      </c>
      <c r="N194" s="46"/>
      <c r="O194" s="47">
        <f>SWISS!$D$37</f>
        <v>3.3638221515518785</v>
      </c>
      <c r="P194" s="47">
        <f>SWISS!$E$37</f>
        <v>2.4166533364689857</v>
      </c>
      <c r="Q194" s="47">
        <f>SWISS!$F$37</f>
        <v>2.2960506445006734</v>
      </c>
      <c r="R194" s="47">
        <f>SWISS!$G$37</f>
        <v>2.6944502082056272</v>
      </c>
      <c r="S194" s="45">
        <f>SWISS!$H$37</f>
        <v>0.11729916515339012</v>
      </c>
      <c r="T194" s="46"/>
      <c r="U194" s="48" t="str">
        <f t="shared" si="31"/>
        <v>CHF549</v>
      </c>
      <c r="V194" s="69" t="str">
        <f t="shared" ref="V194:V199" si="32">V134</f>
        <v>Swisscom</v>
      </c>
    </row>
    <row r="195" spans="1:45" s="5" customFormat="1">
      <c r="A195" s="41"/>
      <c r="B195" s="42"/>
      <c r="C195" s="48" t="s">
        <v>265</v>
      </c>
      <c r="D195" s="44" t="str">
        <f t="shared" si="29"/>
        <v>EUR 0.24</v>
      </c>
      <c r="E195" s="44" t="str">
        <f t="shared" si="29"/>
        <v>EUR 0.34</v>
      </c>
      <c r="F195" s="45">
        <f t="shared" si="29"/>
        <v>0.44006776789495983</v>
      </c>
      <c r="G195" s="44" t="str">
        <f t="shared" si="29"/>
        <v>Buy</v>
      </c>
      <c r="H195" s="46"/>
      <c r="I195" s="47">
        <f>TI!$D$41</f>
        <v>0.83533930723630245</v>
      </c>
      <c r="J195" s="47">
        <f>TI!$E$41</f>
        <v>0.84900034663395374</v>
      </c>
      <c r="K195" s="47">
        <f>TI!$F$41</f>
        <v>0.85461066619902171</v>
      </c>
      <c r="L195" s="47">
        <f>TI!$G$41</f>
        <v>0.85510064935748997</v>
      </c>
      <c r="M195" s="45">
        <f>TI!$H$41</f>
        <v>-9.7900761998320762E-3</v>
      </c>
      <c r="N195" s="46"/>
      <c r="O195" s="47">
        <f>TI!$D$37</f>
        <v>1.9819517934601629</v>
      </c>
      <c r="P195" s="47">
        <f>TI!$E$37</f>
        <v>2.0020064823963311</v>
      </c>
      <c r="Q195" s="47">
        <f>TI!$F$37</f>
        <v>1.9915793807690847</v>
      </c>
      <c r="R195" s="47">
        <f>TI!$G$37</f>
        <v>1.9532066106713921</v>
      </c>
      <c r="S195" s="45">
        <f>TI!$H$37</f>
        <v>2.82930017453209E-3</v>
      </c>
      <c r="T195" s="46"/>
      <c r="U195" s="48" t="str">
        <f t="shared" si="31"/>
        <v>EUR 0.24</v>
      </c>
      <c r="V195" s="69" t="str">
        <f t="shared" si="32"/>
        <v>Telecom Italia</v>
      </c>
      <c r="AE195" s="41"/>
      <c r="AF195" s="31"/>
      <c r="AG195" s="31"/>
      <c r="AI195" s="41"/>
      <c r="AJ195" s="64"/>
      <c r="AK195" s="64"/>
      <c r="AM195" s="41"/>
      <c r="AN195" s="17"/>
      <c r="AO195" s="17"/>
      <c r="AQ195" s="41"/>
      <c r="AR195" s="18"/>
      <c r="AS195" s="18"/>
    </row>
    <row r="196" spans="1:45" s="5" customFormat="1">
      <c r="A196" s="41"/>
      <c r="B196" s="42"/>
      <c r="C196" s="48" t="s">
        <v>456</v>
      </c>
      <c r="D196" s="44" t="str">
        <f t="shared" si="29"/>
        <v>EUR 4.21</v>
      </c>
      <c r="E196" s="44" t="str">
        <f t="shared" si="29"/>
        <v>EUR 4.30</v>
      </c>
      <c r="F196" s="45">
        <f t="shared" si="29"/>
        <v>2.065036790885344E-2</v>
      </c>
      <c r="G196" s="44" t="str">
        <f t="shared" si="29"/>
        <v>Neutral</v>
      </c>
      <c r="H196" s="46"/>
      <c r="I196" s="47">
        <f>TEF!$D$41</f>
        <v>1.1057737199249624</v>
      </c>
      <c r="J196" s="47">
        <f>TEF!$E$41</f>
        <v>1.1273295986896581</v>
      </c>
      <c r="K196" s="47">
        <f>TEF!$F$41</f>
        <v>1.1289303218477105</v>
      </c>
      <c r="L196" s="47">
        <f>TEF!$G$41</f>
        <v>1.1218594042260415</v>
      </c>
      <c r="M196" s="45">
        <f>TEF!$H$41</f>
        <v>-4.2727763519372908E-2</v>
      </c>
      <c r="N196" s="46"/>
      <c r="O196" s="47">
        <f>TEF!$D$37</f>
        <v>1.486154037473862</v>
      </c>
      <c r="P196" s="47">
        <f>TEF!$E$37</f>
        <v>1.4707808827691544</v>
      </c>
      <c r="Q196" s="47">
        <f>TEF!$F$37</f>
        <v>1.3946770081463387</v>
      </c>
      <c r="R196" s="47">
        <f>TEF!$G$37</f>
        <v>1.314696314056087</v>
      </c>
      <c r="S196" s="45">
        <f>TEF!$H$37</f>
        <v>2.0105935473027081E-3</v>
      </c>
      <c r="T196" s="46"/>
      <c r="U196" s="48" t="str">
        <f t="shared" si="31"/>
        <v>EUR 4.21</v>
      </c>
      <c r="V196" s="69" t="str">
        <f t="shared" si="32"/>
        <v>Telefonica</v>
      </c>
      <c r="AE196" s="41"/>
      <c r="AF196" s="31"/>
      <c r="AG196" s="31"/>
      <c r="AI196" s="41"/>
      <c r="AJ196" s="64"/>
      <c r="AK196" s="64"/>
      <c r="AM196" s="41"/>
      <c r="AN196" s="17"/>
      <c r="AO196" s="17"/>
      <c r="AQ196" s="41"/>
      <c r="AR196" s="18"/>
      <c r="AS196" s="18"/>
    </row>
    <row r="197" spans="1:45" s="5" customFormat="1">
      <c r="A197" s="41"/>
      <c r="B197" s="42"/>
      <c r="C197" s="48" t="s">
        <v>494</v>
      </c>
      <c r="D197" s="44" t="str">
        <f t="shared" si="29"/>
        <v>NOK 135</v>
      </c>
      <c r="E197" s="44" t="str">
        <f t="shared" si="29"/>
        <v>NOK 138</v>
      </c>
      <c r="F197" s="45">
        <f t="shared" si="29"/>
        <v>2.3738872403560762E-2</v>
      </c>
      <c r="G197" s="44" t="str">
        <f t="shared" si="29"/>
        <v>Buy</v>
      </c>
      <c r="H197" s="46"/>
      <c r="I197" s="47">
        <f>TNOR!$D$41</f>
        <v>1.5970303318992245</v>
      </c>
      <c r="J197" s="47">
        <f>TNOR!$E$41</f>
        <v>6.1211648664498215</v>
      </c>
      <c r="K197" s="47">
        <f>TNOR!$F$41</f>
        <v>6.3979015929285445</v>
      </c>
      <c r="L197" s="47">
        <f>TNOR!$G$41</f>
        <v>5.9962349201813865</v>
      </c>
      <c r="M197" s="45">
        <f>TNOR!$H$41</f>
        <v>-0.39095106285712211</v>
      </c>
      <c r="N197" s="46"/>
      <c r="O197" s="47">
        <f>TNOR!$D$37</f>
        <v>2.9650836122676956</v>
      </c>
      <c r="P197" s="47">
        <f>TNOR!$E$37</f>
        <v>2.9881242853195924</v>
      </c>
      <c r="Q197" s="47">
        <f>TNOR!$F$37</f>
        <v>2.7635859493786601</v>
      </c>
      <c r="R197" s="47">
        <f>TNOR!$G$37</f>
        <v>2.582393778680828</v>
      </c>
      <c r="S197" s="45">
        <f>TNOR!$H$37</f>
        <v>-8.7599511224496496E-3</v>
      </c>
      <c r="T197" s="46"/>
      <c r="U197" s="48" t="str">
        <f t="shared" si="31"/>
        <v>NOK 135</v>
      </c>
      <c r="V197" s="44" t="str">
        <f t="shared" si="32"/>
        <v>Telenor</v>
      </c>
      <c r="AE197" s="41"/>
      <c r="AF197" s="31"/>
      <c r="AG197" s="31"/>
      <c r="AI197" s="41"/>
      <c r="AJ197" s="64"/>
      <c r="AK197" s="64"/>
      <c r="AM197" s="41"/>
      <c r="AN197" s="17"/>
      <c r="AO197" s="17"/>
      <c r="AQ197" s="41"/>
      <c r="AR197" s="18"/>
      <c r="AS197" s="18"/>
    </row>
    <row r="198" spans="1:45" s="5" customFormat="1">
      <c r="A198" s="41"/>
      <c r="B198" s="42"/>
      <c r="C198" s="48" t="s">
        <v>1030</v>
      </c>
      <c r="D198" s="44" t="str">
        <f t="shared" si="29"/>
        <v>SEK33.4</v>
      </c>
      <c r="E198" s="44" t="str">
        <f t="shared" si="29"/>
        <v>SEK33.0</v>
      </c>
      <c r="F198" s="45">
        <f t="shared" si="29"/>
        <v>-1.2567324955116699E-2</v>
      </c>
      <c r="G198" s="44" t="str">
        <f t="shared" si="29"/>
        <v>Buy</v>
      </c>
      <c r="H198" s="46"/>
      <c r="I198" s="47">
        <f>TELIA!$D$41</f>
        <v>2.0800098666150295</v>
      </c>
      <c r="J198" s="47">
        <f>TELIA!$E$41</f>
        <v>2.1439311366432605</v>
      </c>
      <c r="K198" s="47">
        <f>TELIA!$F$41</f>
        <v>2.0770961491613322</v>
      </c>
      <c r="L198" s="47">
        <f>TELIA!$G$41</f>
        <v>2.0079386395785042</v>
      </c>
      <c r="M198" s="45">
        <f>TELIA!$H$41</f>
        <v>-3.0959175307437858E-2</v>
      </c>
      <c r="N198" s="46"/>
      <c r="O198" s="47">
        <f>TELIA!$D$37</f>
        <v>2.7989835607107154</v>
      </c>
      <c r="P198" s="47">
        <f>TELIA!$E$37</f>
        <v>2.6271892309476335</v>
      </c>
      <c r="Q198" s="47">
        <f>TELIA!$F$37</f>
        <v>2.5198796833358221</v>
      </c>
      <c r="R198" s="47">
        <f>TELIA!$G$37</f>
        <v>2.4041551418997051</v>
      </c>
      <c r="S198" s="45">
        <f>TELIA!$H$37</f>
        <v>7.5107929533639872E-3</v>
      </c>
      <c r="T198" s="46"/>
      <c r="U198" s="48" t="str">
        <f t="shared" si="31"/>
        <v>SEK33.4</v>
      </c>
      <c r="V198" s="44" t="str">
        <f t="shared" si="32"/>
        <v>TeliaSonera</v>
      </c>
      <c r="AE198" s="41"/>
      <c r="AF198" s="31"/>
      <c r="AG198" s="31"/>
      <c r="AI198" s="41"/>
      <c r="AJ198" s="64"/>
      <c r="AK198" s="64"/>
      <c r="AM198" s="41"/>
      <c r="AN198" s="17"/>
      <c r="AO198" s="17"/>
      <c r="AQ198" s="41"/>
      <c r="AR198" s="18"/>
      <c r="AS198" s="18"/>
    </row>
    <row r="199" spans="1:45" s="5" customFormat="1">
      <c r="A199" s="41"/>
      <c r="B199" s="42"/>
      <c r="C199" s="51" t="str">
        <f>C139</f>
        <v>Agg. W.Europe Incumbent</v>
      </c>
      <c r="D199" s="52"/>
      <c r="E199" s="52"/>
      <c r="F199" s="53"/>
      <c r="G199" s="52"/>
      <c r="H199" s="46"/>
      <c r="I199" s="54">
        <f>'W.EUR INCUMB'!$D$41</f>
        <v>1.4963585316428831</v>
      </c>
      <c r="J199" s="54">
        <f>'W.EUR INCUMB'!$E$41</f>
        <v>1.4595584324228235</v>
      </c>
      <c r="K199" s="54">
        <f>'W.EUR INCUMB'!$F$41</f>
        <v>1.3772749698197708</v>
      </c>
      <c r="L199" s="54">
        <f>'W.EUR INCUMB'!$G$41</f>
        <v>1.2932307425394174</v>
      </c>
      <c r="M199" s="55">
        <f>'W.EUR INCUMB'!$H$41</f>
        <v>2.5913859999424194E-2</v>
      </c>
      <c r="N199" s="56"/>
      <c r="O199" s="54">
        <f>'W.EUR INCUMB'!$D$37</f>
        <v>2.3218994404228583</v>
      </c>
      <c r="P199" s="54">
        <f>'W.EUR INCUMB'!$E$37</f>
        <v>2.2112132980417805</v>
      </c>
      <c r="Q199" s="54">
        <f>'W.EUR INCUMB'!$F$37</f>
        <v>2.1231409626976925</v>
      </c>
      <c r="R199" s="54">
        <f>'W.EUR INCUMB'!$G$37</f>
        <v>2.0433931848973041</v>
      </c>
      <c r="S199" s="55">
        <f>'W.EUR INCUMB'!$H$37</f>
        <v>1.9736985261286089E-2</v>
      </c>
      <c r="T199" s="46"/>
      <c r="U199" s="57"/>
      <c r="V199" s="58" t="str">
        <f t="shared" si="32"/>
        <v>Agg. W.Europe Incumbent</v>
      </c>
      <c r="AE199" s="41"/>
      <c r="AF199" s="31"/>
      <c r="AG199" s="31"/>
      <c r="AI199" s="41"/>
      <c r="AJ199" s="64"/>
      <c r="AK199" s="64"/>
      <c r="AM199" s="41"/>
      <c r="AN199" s="17"/>
      <c r="AO199" s="17"/>
      <c r="AQ199" s="41"/>
      <c r="AR199" s="18"/>
      <c r="AS199" s="18"/>
    </row>
    <row r="200" spans="1:45" s="5" customFormat="1">
      <c r="A200" s="41"/>
      <c r="B200" s="42"/>
      <c r="C200" s="48"/>
      <c r="D200" s="44"/>
      <c r="E200" s="44"/>
      <c r="F200" s="45"/>
      <c r="G200" s="44"/>
      <c r="H200" s="46"/>
      <c r="I200" s="47"/>
      <c r="J200" s="47"/>
      <c r="K200" s="47"/>
      <c r="L200" s="47"/>
      <c r="M200" s="45"/>
      <c r="N200" s="46"/>
      <c r="O200" s="47"/>
      <c r="P200" s="47"/>
      <c r="Q200" s="47"/>
      <c r="R200" s="47"/>
      <c r="S200" s="45"/>
      <c r="T200" s="46"/>
      <c r="U200" s="48"/>
      <c r="V200" s="44"/>
      <c r="AE200" s="41"/>
      <c r="AF200" s="31"/>
      <c r="AG200" s="31"/>
      <c r="AI200" s="41"/>
      <c r="AJ200" s="64"/>
      <c r="AK200" s="64"/>
      <c r="AM200" s="41"/>
      <c r="AN200" s="17"/>
      <c r="AO200" s="17"/>
      <c r="AQ200" s="41"/>
      <c r="AR200" s="18"/>
      <c r="AS200" s="18"/>
    </row>
    <row r="201" spans="1:45" s="5" customFormat="1">
      <c r="A201" s="41"/>
      <c r="B201" s="42" t="s">
        <v>514</v>
      </c>
      <c r="C201" s="48" t="s">
        <v>486</v>
      </c>
      <c r="D201" s="44" t="str">
        <f>B201&amp;TEXT(Prices!$C$40,"0.0")</f>
        <v>US$20.7</v>
      </c>
      <c r="E201" s="44" t="str">
        <f>B201&amp;TEXT(Prices!$E$40,"0.00")</f>
        <v>US$21.00</v>
      </c>
      <c r="F201" s="45">
        <f>Prices!$F$40</f>
        <v>1.6949152542373058E-2</v>
      </c>
      <c r="G201" s="44" t="str">
        <f>Prices!$D$40</f>
        <v>Neutral</v>
      </c>
      <c r="H201" s="46"/>
      <c r="I201" s="47">
        <f>ATT!$D$41</f>
        <v>1.197883872153771</v>
      </c>
      <c r="J201" s="47">
        <f>ATT!$E$41</f>
        <v>1.1177925065111287</v>
      </c>
      <c r="K201" s="47">
        <f>ATT!$F$41</f>
        <v>1.04251731330764</v>
      </c>
      <c r="L201" s="47">
        <f>ATT!$G$41</f>
        <v>0.96385468237800886</v>
      </c>
      <c r="M201" s="45">
        <f>ATT!$H$41</f>
        <v>2.6762116959775373E-3</v>
      </c>
      <c r="N201" s="46"/>
      <c r="O201" s="47">
        <f>ATT!$D$37</f>
        <v>2.288628622537328</v>
      </c>
      <c r="P201" s="47">
        <f>ATT!$E$37</f>
        <v>2.1443292081325409</v>
      </c>
      <c r="Q201" s="47">
        <f>ATT!$F$37</f>
        <v>1.9834174128106341</v>
      </c>
      <c r="R201" s="47">
        <f>ATT!$G$37</f>
        <v>1.8166307768277974</v>
      </c>
      <c r="S201" s="45">
        <f>ATT!$H$37</f>
        <v>7.2312971710009055E-3</v>
      </c>
      <c r="T201" s="46"/>
      <c r="U201" s="48" t="str">
        <f t="shared" ref="U201:V203" si="33">U141</f>
        <v>USD20.7</v>
      </c>
      <c r="V201" s="44" t="str">
        <f t="shared" si="33"/>
        <v>AT&amp;T</v>
      </c>
      <c r="AE201" s="41"/>
      <c r="AF201" s="31"/>
      <c r="AG201" s="31"/>
      <c r="AI201" s="41"/>
      <c r="AJ201" s="64"/>
      <c r="AK201" s="64"/>
      <c r="AM201" s="41"/>
      <c r="AN201" s="17"/>
      <c r="AO201" s="17"/>
      <c r="AQ201" s="41"/>
      <c r="AR201" s="18"/>
      <c r="AS201" s="18"/>
    </row>
    <row r="202" spans="1:45" s="5" customFormat="1">
      <c r="A202" s="146"/>
      <c r="B202" s="42" t="s">
        <v>514</v>
      </c>
      <c r="C202" s="48" t="s">
        <v>687</v>
      </c>
      <c r="D202" s="44" t="str">
        <f>B202&amp;TEXT(Prices!$C$41,"0.0")</f>
        <v>US$197.2</v>
      </c>
      <c r="E202" s="44" t="str">
        <f>B202&amp;TEXT(Prices!$E$41,"0.0")</f>
        <v>US$205.0</v>
      </c>
      <c r="F202" s="45">
        <f>Prices!$F$41</f>
        <v>3.9659194644487306E-2</v>
      </c>
      <c r="G202" s="44" t="str">
        <f>Prices!$D$41</f>
        <v>Buy</v>
      </c>
      <c r="H202" s="46"/>
      <c r="I202" s="47">
        <f>TMUS!$D$41</f>
        <v>2.176778672688465</v>
      </c>
      <c r="J202" s="47">
        <f>TMUS!$E$41</f>
        <v>2.1122793849944128</v>
      </c>
      <c r="K202" s="47">
        <f>TMUS!$F$41</f>
        <v>2.0110676955735318</v>
      </c>
      <c r="L202" s="47">
        <f>TMUS!$G$41</f>
        <v>1.9270572857130701</v>
      </c>
      <c r="M202" s="45">
        <f>TMUS!$H$41</f>
        <v>-1.9046279566965474E-2</v>
      </c>
      <c r="N202" s="46"/>
      <c r="O202" s="47">
        <f>TMUS!$D$37</f>
        <v>3.9549883335900864</v>
      </c>
      <c r="P202" s="47">
        <f>TMUS!$E$37</f>
        <v>3.6498648746315787</v>
      </c>
      <c r="Q202" s="47">
        <f>TMUS!$F$37</f>
        <v>3.2581201293561004</v>
      </c>
      <c r="R202" s="47">
        <f>TMUS!$G$37</f>
        <v>2.9222101104519647</v>
      </c>
      <c r="S202" s="45">
        <f>TMUS!$H$37</f>
        <v>4.188525468612303E-2</v>
      </c>
      <c r="T202" s="46"/>
      <c r="U202" s="48" t="str">
        <f t="shared" si="33"/>
        <v>USD197.2</v>
      </c>
      <c r="V202" s="44" t="str">
        <f t="shared" si="33"/>
        <v>TMUS</v>
      </c>
      <c r="AE202" s="41"/>
      <c r="AF202" s="31"/>
      <c r="AG202" s="31"/>
      <c r="AI202" s="41"/>
      <c r="AJ202" s="64"/>
      <c r="AK202" s="64"/>
      <c r="AM202" s="41"/>
      <c r="AN202" s="17"/>
      <c r="AO202" s="17"/>
      <c r="AQ202" s="41"/>
      <c r="AR202" s="18"/>
      <c r="AS202" s="18"/>
    </row>
    <row r="203" spans="1:45" s="5" customFormat="1">
      <c r="A203" s="41"/>
      <c r="B203" s="42" t="s">
        <v>514</v>
      </c>
      <c r="C203" s="48" t="s">
        <v>33</v>
      </c>
      <c r="D203" s="44" t="str">
        <f>B203&amp;TEXT(Prices!$C$39,"0.0")</f>
        <v>US$41.3</v>
      </c>
      <c r="E203" s="44" t="str">
        <f>B203&amp;TEXT(Prices!$E$39,"0.00")</f>
        <v>US$45.00</v>
      </c>
      <c r="F203" s="45">
        <f>Prices!$F$39</f>
        <v>8.9324618736383421E-2</v>
      </c>
      <c r="G203" s="44" t="str">
        <f>Prices!$D$39</f>
        <v>Neutral</v>
      </c>
      <c r="H203" s="46"/>
      <c r="I203" s="47">
        <f>VZN!$D$41</f>
        <v>1.1338849937457862</v>
      </c>
      <c r="J203" s="47">
        <f>VZN!$E$41</f>
        <v>2.4631634055145688</v>
      </c>
      <c r="K203" s="47">
        <f>VZN!$F$41</f>
        <v>2.4642166120136957</v>
      </c>
      <c r="L203" s="47">
        <f>VZN!$G$41</f>
        <v>2.4701262587518724</v>
      </c>
      <c r="M203" s="45">
        <f>VZN!$H$41</f>
        <v>-0.27941138864136561</v>
      </c>
      <c r="N203" s="46"/>
      <c r="O203" s="47">
        <f>VZN!$D$37</f>
        <v>2.3322557735082929</v>
      </c>
      <c r="P203" s="47">
        <f>VZN!$E$37</f>
        <v>2.1657696914156506</v>
      </c>
      <c r="Q203" s="47">
        <f>VZN!$F$37</f>
        <v>1.9907657674040029</v>
      </c>
      <c r="R203" s="47">
        <f>VZN!$G$37</f>
        <v>1.8186669441558423</v>
      </c>
      <c r="S203" s="45">
        <f>VZN!$H$37</f>
        <v>1.4873182799269635E-2</v>
      </c>
      <c r="T203" s="46"/>
      <c r="U203" s="48" t="str">
        <f t="shared" si="33"/>
        <v>USD41.3</v>
      </c>
      <c r="V203" s="44" t="str">
        <f t="shared" si="33"/>
        <v>Verizon</v>
      </c>
      <c r="AE203" s="41"/>
      <c r="AF203" s="31"/>
      <c r="AG203" s="31"/>
      <c r="AI203" s="41"/>
      <c r="AJ203" s="64"/>
      <c r="AK203" s="64"/>
      <c r="AM203" s="41"/>
      <c r="AN203" s="17"/>
      <c r="AO203" s="17"/>
      <c r="AQ203" s="41"/>
      <c r="AR203" s="18"/>
      <c r="AS203" s="18"/>
    </row>
    <row r="204" spans="1:45" s="5" customFormat="1">
      <c r="A204" s="41"/>
      <c r="B204" s="42"/>
      <c r="C204" s="51" t="s">
        <v>257</v>
      </c>
      <c r="D204" s="52"/>
      <c r="E204" s="52"/>
      <c r="F204" s="53"/>
      <c r="G204" s="52"/>
      <c r="H204" s="46"/>
      <c r="I204" s="54">
        <f>'US TELCO'!$D$41</f>
        <v>1.3850697361796853</v>
      </c>
      <c r="J204" s="54">
        <f>'US TELCO'!$E$41</f>
        <v>1.725261392221999</v>
      </c>
      <c r="K204" s="54">
        <f>'US TELCO'!$F$41</f>
        <v>1.6455244527361086</v>
      </c>
      <c r="L204" s="54">
        <f>'US TELCO'!$G$41</f>
        <v>1.56576442945581</v>
      </c>
      <c r="M204" s="55">
        <f>'US TELCO'!$H$41</f>
        <v>-0.10115646387707644</v>
      </c>
      <c r="N204" s="46"/>
      <c r="O204" s="54">
        <f>'US TELCO'!$D$37</f>
        <v>2.6968886837537913</v>
      </c>
      <c r="P204" s="54">
        <f>'US TELCO'!$E$37</f>
        <v>2.5146711450844865</v>
      </c>
      <c r="Q204" s="54">
        <f>'US TELCO'!$F$37</f>
        <v>2.2999891851781435</v>
      </c>
      <c r="R204" s="54">
        <f>'US TELCO'!$G$37</f>
        <v>2.0949250903192609</v>
      </c>
      <c r="S204" s="55">
        <f>'US TELCO'!$H$37</f>
        <v>1.8592642260168768E-2</v>
      </c>
      <c r="T204" s="46"/>
      <c r="U204" s="57"/>
      <c r="V204" s="58" t="str">
        <f>V144</f>
        <v>Agg. US Telecoms</v>
      </c>
      <c r="AE204" s="41"/>
      <c r="AF204" s="31"/>
      <c r="AG204" s="31"/>
      <c r="AI204" s="41"/>
      <c r="AJ204" s="64"/>
      <c r="AK204" s="64"/>
      <c r="AM204" s="41"/>
      <c r="AN204" s="17"/>
      <c r="AO204" s="17"/>
      <c r="AQ204" s="41"/>
      <c r="AR204" s="18"/>
      <c r="AS204" s="18"/>
    </row>
    <row r="205" spans="1:45" s="5" customFormat="1">
      <c r="A205" s="41"/>
      <c r="B205" s="42"/>
      <c r="C205" s="48"/>
      <c r="D205" s="44"/>
      <c r="E205" s="44"/>
      <c r="F205" s="45"/>
      <c r="G205" s="44"/>
      <c r="H205" s="46"/>
      <c r="I205" s="47"/>
      <c r="J205" s="47"/>
      <c r="K205" s="47"/>
      <c r="L205" s="47"/>
      <c r="M205" s="45"/>
      <c r="N205" s="46"/>
      <c r="O205" s="47"/>
      <c r="P205" s="47"/>
      <c r="Q205" s="47"/>
      <c r="R205" s="47"/>
      <c r="S205" s="45"/>
      <c r="T205" s="46"/>
      <c r="U205" s="48"/>
      <c r="V205" s="44"/>
      <c r="AE205" s="41"/>
      <c r="AF205" s="31"/>
      <c r="AG205" s="31"/>
      <c r="AI205" s="41"/>
      <c r="AJ205" s="64"/>
      <c r="AK205" s="64"/>
      <c r="AM205" s="41"/>
      <c r="AN205" s="17"/>
      <c r="AO205" s="17"/>
      <c r="AQ205" s="41"/>
      <c r="AR205" s="18"/>
      <c r="AS205" s="18"/>
    </row>
    <row r="206" spans="1:45">
      <c r="A206" s="41"/>
      <c r="C206" s="48" t="str">
        <f t="shared" ref="C206:G207" si="34">C146</f>
        <v>NTT</v>
      </c>
      <c r="D206" s="44" t="str">
        <f t="shared" si="34"/>
        <v>JPY 156</v>
      </c>
      <c r="E206" s="44" t="str">
        <f t="shared" si="34"/>
        <v>JPY 240</v>
      </c>
      <c r="F206" s="45">
        <f t="shared" si="34"/>
        <v>0.54340836012861726</v>
      </c>
      <c r="G206" s="44" t="str">
        <f t="shared" si="34"/>
        <v>Buy</v>
      </c>
      <c r="H206" s="46"/>
      <c r="I206" s="47">
        <f>NTT!$D$41</f>
        <v>1.3762096646160265</v>
      </c>
      <c r="J206" s="47">
        <f>NTT!$E$41</f>
        <v>1.2677558372311009</v>
      </c>
      <c r="K206" s="47">
        <f>NTT!$F$41</f>
        <v>1.1262498621327928</v>
      </c>
      <c r="L206" s="47">
        <f>NTT!$G$41</f>
        <v>0.99873090307539703</v>
      </c>
      <c r="M206" s="45">
        <f>NTT!$H$41</f>
        <v>7.8615738649971734E-2</v>
      </c>
      <c r="N206" s="46"/>
      <c r="O206" s="47">
        <f>NTT!$D$37</f>
        <v>1.7449522777871112</v>
      </c>
      <c r="P206" s="47">
        <f>NTT!$E$37</f>
        <v>1.6919520490023776</v>
      </c>
      <c r="Q206" s="47">
        <f>NTT!$F$37</f>
        <v>1.5754489970661476</v>
      </c>
      <c r="R206" s="47">
        <f>NTT!$G$37</f>
        <v>1.4585833451236636</v>
      </c>
      <c r="S206" s="45">
        <f>NTT!$H$37</f>
        <v>2.8976562032333453E-2</v>
      </c>
      <c r="T206" s="46"/>
      <c r="U206" s="48" t="str">
        <f t="shared" ref="U206:V209" si="35">U146</f>
        <v>JPY 156</v>
      </c>
      <c r="V206" s="44" t="str">
        <f t="shared" si="35"/>
        <v>NTT</v>
      </c>
      <c r="AB206" s="5"/>
      <c r="AE206" s="41"/>
      <c r="AF206" s="31"/>
      <c r="AG206" s="31"/>
      <c r="AI206" s="41"/>
      <c r="AJ206" s="64"/>
      <c r="AK206" s="64"/>
      <c r="AM206" s="41"/>
      <c r="AN206" s="17"/>
      <c r="AO206" s="17"/>
      <c r="AQ206" s="41"/>
      <c r="AR206" s="18"/>
      <c r="AS206" s="18"/>
    </row>
    <row r="207" spans="1:45">
      <c r="A207" s="41"/>
      <c r="C207" s="48" t="str">
        <f t="shared" si="34"/>
        <v>Spark NZ</v>
      </c>
      <c r="D207" s="44" t="str">
        <f t="shared" si="34"/>
        <v>NZD 3.52</v>
      </c>
      <c r="E207" s="44" t="str">
        <f t="shared" si="34"/>
        <v>NZD 5.00</v>
      </c>
      <c r="F207" s="45">
        <f t="shared" si="34"/>
        <v>0.42045454545454541</v>
      </c>
      <c r="G207" s="44" t="str">
        <f t="shared" si="34"/>
        <v>Neutral</v>
      </c>
      <c r="H207" s="46"/>
      <c r="I207" s="47">
        <f>SPK!$D$41</f>
        <v>1.7169407455443186</v>
      </c>
      <c r="J207" s="47">
        <f>SPK!$E$41</f>
        <v>1.5835488276614913</v>
      </c>
      <c r="K207" s="47">
        <f>SPK!$F$41</f>
        <v>1.4408563199772928</v>
      </c>
      <c r="L207" s="47">
        <f>SPK!$G$41</f>
        <v>1.2851173495556365</v>
      </c>
      <c r="M207" s="45">
        <f>SPK!$H$41</f>
        <v>-5.5400699397566422E-3</v>
      </c>
      <c r="N207" s="46"/>
      <c r="O207" s="47">
        <f>SPK!$D$37</f>
        <v>1.6106737709659755</v>
      </c>
      <c r="P207" s="47">
        <f>SPK!$E$37</f>
        <v>1.4389422047999179</v>
      </c>
      <c r="Q207" s="47">
        <f>SPK!$F$37</f>
        <v>1.2657658850867199</v>
      </c>
      <c r="R207" s="47">
        <f>SPK!$G$37</f>
        <v>1.0992846466175108</v>
      </c>
      <c r="S207" s="45">
        <f>SPK!$H$37</f>
        <v>2.5531307948985615E-2</v>
      </c>
      <c r="T207" s="46"/>
      <c r="U207" s="48" t="str">
        <f t="shared" si="35"/>
        <v>NZD 3.52</v>
      </c>
      <c r="V207" s="44" t="str">
        <f t="shared" si="35"/>
        <v>Spark NZ</v>
      </c>
      <c r="AC207" s="63"/>
      <c r="AE207" s="41"/>
      <c r="AF207" s="31"/>
      <c r="AG207" s="31"/>
      <c r="AI207" s="41"/>
      <c r="AJ207" s="64"/>
      <c r="AK207" s="64"/>
      <c r="AM207" s="41"/>
      <c r="AN207" s="17"/>
      <c r="AO207" s="17"/>
      <c r="AQ207" s="41"/>
      <c r="AR207" s="18"/>
      <c r="AS207" s="18"/>
    </row>
    <row r="208" spans="1:45">
      <c r="A208" s="41"/>
      <c r="C208" s="48" t="s">
        <v>211</v>
      </c>
      <c r="D208" s="44" t="str">
        <f t="shared" ref="D208:G209" si="36">D148</f>
        <v>SGD 3.13</v>
      </c>
      <c r="E208" s="44" t="str">
        <f t="shared" si="36"/>
        <v>SGD 4.60</v>
      </c>
      <c r="F208" s="45">
        <f t="shared" si="36"/>
        <v>0.46964856230031948</v>
      </c>
      <c r="G208" s="44" t="str">
        <f t="shared" si="36"/>
        <v>Buy</v>
      </c>
      <c r="H208" s="46"/>
      <c r="I208" s="47">
        <f>SINGTEL!$D$41</f>
        <v>1.8044377095603832</v>
      </c>
      <c r="J208" s="47">
        <f>SINGTEL!$E$41</f>
        <v>1.7637647963369418</v>
      </c>
      <c r="K208" s="47">
        <f>SINGTEL!$F$41</f>
        <v>1.691087342295063</v>
      </c>
      <c r="L208" s="47">
        <f>SINGTEL!$G$41</f>
        <v>1.6060390750997284</v>
      </c>
      <c r="M208" s="45">
        <f>SINGTEL!$H$41</f>
        <v>2.6986877685935662E-2</v>
      </c>
      <c r="N208" s="46"/>
      <c r="O208" s="47">
        <f>SINGTEL!$D$37</f>
        <v>4.0530879300105607</v>
      </c>
      <c r="P208" s="47">
        <f>SINGTEL!$E$37</f>
        <v>4.2077133802564237</v>
      </c>
      <c r="Q208" s="47">
        <f>SINGTEL!$F$37</f>
        <v>3.9078963945021274</v>
      </c>
      <c r="R208" s="47">
        <f>SINGTEL!$G$37</f>
        <v>3.6611563194022412</v>
      </c>
      <c r="S208" s="45">
        <f>SINGTEL!$H$37</f>
        <v>2.1940356753366919E-2</v>
      </c>
      <c r="T208" s="46"/>
      <c r="U208" s="48" t="str">
        <f t="shared" si="35"/>
        <v>SGD 3.13</v>
      </c>
      <c r="V208" s="44" t="str">
        <f t="shared" si="35"/>
        <v>SingTel</v>
      </c>
      <c r="AC208" s="63"/>
      <c r="AE208" s="41"/>
      <c r="AF208" s="31"/>
      <c r="AG208" s="31"/>
      <c r="AI208" s="41"/>
      <c r="AJ208" s="64"/>
      <c r="AK208" s="64"/>
      <c r="AM208" s="41"/>
      <c r="AN208" s="17"/>
      <c r="AO208" s="17"/>
      <c r="AQ208" s="41"/>
      <c r="AR208" s="18"/>
      <c r="AS208" s="18"/>
    </row>
    <row r="209" spans="1:113">
      <c r="A209" s="41"/>
      <c r="C209" s="48" t="str">
        <f>C149</f>
        <v xml:space="preserve">Telstra </v>
      </c>
      <c r="D209" s="44" t="str">
        <f t="shared" si="36"/>
        <v>AUD 3.93</v>
      </c>
      <c r="E209" s="44" t="str">
        <f t="shared" si="36"/>
        <v>AUD 3.50</v>
      </c>
      <c r="F209" s="45">
        <f t="shared" si="36"/>
        <v>-0.10941475826972014</v>
      </c>
      <c r="G209" s="44" t="str">
        <f t="shared" si="36"/>
        <v>Buy</v>
      </c>
      <c r="H209" s="46"/>
      <c r="I209" s="47">
        <f>TLS!$D$41</f>
        <v>1.6514818694759408</v>
      </c>
      <c r="J209" s="47">
        <f>TLS!$E$41</f>
        <v>1.5349174213818444</v>
      </c>
      <c r="K209" s="47">
        <f>TLS!$F$41</f>
        <v>1.4217364533678323</v>
      </c>
      <c r="L209" s="47">
        <f>TLS!$G$41</f>
        <v>1.3102417446891035</v>
      </c>
      <c r="M209" s="45">
        <f>TLS!$H$41</f>
        <v>6.5974572890621364E-3</v>
      </c>
      <c r="N209" s="46"/>
      <c r="O209" s="47">
        <f>TLS!$D$37</f>
        <v>1.9237580064648871</v>
      </c>
      <c r="P209" s="47">
        <f>TLS!$E$37</f>
        <v>1.8288981760332923</v>
      </c>
      <c r="Q209" s="47">
        <f>TLS!$F$37</f>
        <v>1.7519269959751105</v>
      </c>
      <c r="R209" s="47">
        <f>TLS!$G$37</f>
        <v>1.5907143623390982</v>
      </c>
      <c r="S209" s="45">
        <f>TLS!$H$37</f>
        <v>-7.1862522661734207E-3</v>
      </c>
      <c r="T209" s="46"/>
      <c r="U209" s="48" t="str">
        <f t="shared" si="35"/>
        <v>AUD 3.93</v>
      </c>
      <c r="V209" s="44" t="str">
        <f t="shared" si="35"/>
        <v>Telstra</v>
      </c>
    </row>
    <row r="210" spans="1:113">
      <c r="A210" s="41"/>
      <c r="C210" s="51" t="str">
        <f>C150</f>
        <v>Agg. Developed Asia Incumbent</v>
      </c>
      <c r="D210" s="58"/>
      <c r="E210" s="58"/>
      <c r="F210" s="55"/>
      <c r="G210" s="58"/>
      <c r="H210" s="56"/>
      <c r="I210" s="54">
        <f>'DM ASIA INCUMB'!$D$41</f>
        <v>1.4834974531693985</v>
      </c>
      <c r="J210" s="54">
        <f>'DM ASIA INCUMB'!$E$41</f>
        <v>1.381629219792103</v>
      </c>
      <c r="K210" s="54">
        <f>'DM ASIA INCUMB'!$F$41</f>
        <v>1.2466750185075619</v>
      </c>
      <c r="L210" s="54">
        <f>'DM ASIA INCUMB'!$G$41</f>
        <v>1.1193771977908766</v>
      </c>
      <c r="M210" s="55">
        <f>'DM ASIA INCUMB'!$H$41</f>
        <v>6.0211248282848739E-2</v>
      </c>
      <c r="N210" s="56"/>
      <c r="O210" s="54">
        <f>'DM ASIA INCUMB'!$D$37</f>
        <v>1.9596141118899613</v>
      </c>
      <c r="P210" s="54">
        <f>'DM ASIA INCUMB'!$E$37</f>
        <v>1.913513691536058</v>
      </c>
      <c r="Q210" s="54">
        <f>'DM ASIA INCUMB'!$F$37</f>
        <v>1.7843026208266715</v>
      </c>
      <c r="R210" s="54">
        <f>'DM ASIA INCUMB'!$G$37</f>
        <v>1.6451592967052429</v>
      </c>
      <c r="S210" s="55">
        <f>'DM ASIA INCUMB'!$H$37</f>
        <v>2.3159070246300706E-2</v>
      </c>
      <c r="T210" s="56"/>
      <c r="U210" s="51"/>
      <c r="V210" s="58" t="str">
        <f>V150</f>
        <v xml:space="preserve">Agg. Developed Asia Incumbent </v>
      </c>
      <c r="AI210" s="41"/>
      <c r="AJ210" s="64"/>
      <c r="AK210" s="64"/>
    </row>
    <row r="211" spans="1:113">
      <c r="A211" s="41"/>
      <c r="C211" s="43"/>
      <c r="D211" s="50"/>
      <c r="E211" s="50"/>
      <c r="F211" s="61"/>
      <c r="G211" s="50"/>
      <c r="H211" s="56"/>
      <c r="I211" s="62"/>
      <c r="J211" s="62"/>
      <c r="K211" s="62"/>
      <c r="L211" s="62"/>
      <c r="M211" s="61"/>
      <c r="N211" s="56"/>
      <c r="O211" s="62"/>
      <c r="P211" s="62"/>
      <c r="Q211" s="62"/>
      <c r="R211" s="62"/>
      <c r="S211" s="61"/>
      <c r="T211" s="56"/>
      <c r="U211" s="43"/>
      <c r="V211" s="50"/>
      <c r="AI211" s="41"/>
      <c r="AJ211" s="64"/>
      <c r="AK211" s="64"/>
    </row>
    <row r="212" spans="1:113">
      <c r="A212" s="41"/>
      <c r="C212" s="51" t="s">
        <v>857</v>
      </c>
      <c r="D212" s="58"/>
      <c r="E212" s="58"/>
      <c r="F212" s="55"/>
      <c r="G212" s="58"/>
      <c r="H212" s="56"/>
      <c r="I212" s="54">
        <f>'AGG DM INCUMB'!D41</f>
        <v>1.4390555221298496</v>
      </c>
      <c r="J212" s="54">
        <f>'AGG DM INCUMB'!E41</f>
        <v>1.5609057522173537</v>
      </c>
      <c r="K212" s="54">
        <f>'AGG DM INCUMB'!F41</f>
        <v>1.4665814171864127</v>
      </c>
      <c r="L212" s="54">
        <f>'AGG DM INCUMB'!G41</f>
        <v>1.3715618633223414</v>
      </c>
      <c r="M212" s="55">
        <f>'AGG DM INCUMB'!H41</f>
        <v>-2.8237283173074057E-2</v>
      </c>
      <c r="N212" s="56"/>
      <c r="O212" s="54">
        <f>'AGG DM INCUMB'!D37</f>
        <v>2.4237389247441983</v>
      </c>
      <c r="P212" s="54">
        <f>'AGG DM INCUMB'!E37</f>
        <v>2.2926623901996601</v>
      </c>
      <c r="Q212" s="54">
        <f>'AGG DM INCUMB'!F37</f>
        <v>2.143052358465634</v>
      </c>
      <c r="R212" s="54">
        <f>'AGG DM INCUMB'!G37</f>
        <v>1.9986709188222755</v>
      </c>
      <c r="S212" s="55">
        <f>'AGG DM INCUMB'!H37</f>
        <v>1.9814143833132514E-2</v>
      </c>
      <c r="T212" s="56"/>
      <c r="U212" s="51"/>
      <c r="V212" s="58" t="str">
        <f>C212</f>
        <v>Agg. DM Incumbent total</v>
      </c>
      <c r="AI212" s="41"/>
      <c r="AJ212" s="64"/>
      <c r="AK212" s="64"/>
    </row>
    <row r="213" spans="1:113">
      <c r="A213" s="41"/>
      <c r="C213" s="41"/>
      <c r="D213" s="44"/>
      <c r="E213" s="44"/>
      <c r="F213" s="45"/>
      <c r="G213" s="44"/>
      <c r="H213" s="46"/>
      <c r="I213" s="47"/>
      <c r="J213" s="47"/>
      <c r="K213" s="47"/>
      <c r="L213" s="47"/>
      <c r="M213" s="45"/>
      <c r="N213" s="46"/>
      <c r="O213" s="47"/>
      <c r="P213" s="47"/>
      <c r="Q213" s="47"/>
      <c r="R213" s="47"/>
      <c r="S213" s="45"/>
      <c r="T213" s="46"/>
      <c r="U213" s="48"/>
      <c r="V213" s="50"/>
      <c r="AE213" s="41"/>
      <c r="AF213" s="31"/>
      <c r="AG213" s="31"/>
      <c r="AM213" s="41"/>
      <c r="AN213" s="17"/>
      <c r="AO213" s="17"/>
      <c r="AQ213" s="41"/>
      <c r="AR213" s="18"/>
      <c r="AS213" s="18"/>
    </row>
    <row r="214" spans="1:113">
      <c r="A214" s="41" t="s">
        <v>1374</v>
      </c>
      <c r="C214" s="48" t="str">
        <f t="shared" ref="C214:G221" si="37">C154</f>
        <v>1&amp;1</v>
      </c>
      <c r="D214" s="44" t="str">
        <f t="shared" si="37"/>
        <v>EUR 14.0</v>
      </c>
      <c r="E214" s="44" t="str">
        <f t="shared" si="37"/>
        <v>EUR 26.0</v>
      </c>
      <c r="F214" s="45">
        <f t="shared" si="37"/>
        <v>0.85449358059914404</v>
      </c>
      <c r="G214" s="44" t="str">
        <f t="shared" si="37"/>
        <v>Buy</v>
      </c>
      <c r="H214" s="46"/>
      <c r="I214" s="47">
        <f>DRI!$D$41</f>
        <v>0.62275593084400849</v>
      </c>
      <c r="J214" s="47">
        <f>DRI!$E$41</f>
        <v>0.61393318114160278</v>
      </c>
      <c r="K214" s="47">
        <f>DRI!$F$41</f>
        <v>0.5958951523814997</v>
      </c>
      <c r="L214" s="47">
        <f>DRI!$G$41</f>
        <v>0.56840438895973566</v>
      </c>
      <c r="M214" s="45">
        <f>DRI!$H$41</f>
        <v>7.7397500557419008E-2</v>
      </c>
      <c r="N214" s="46"/>
      <c r="O214" s="47">
        <f>DRI!$D$37</f>
        <v>0.85435025087328187</v>
      </c>
      <c r="P214" s="47">
        <f>DRI!$E$37</f>
        <v>0.91924394713559043</v>
      </c>
      <c r="Q214" s="47">
        <f>DRI!$F$37</f>
        <v>0.94191083497933026</v>
      </c>
      <c r="R214" s="47">
        <f>DRI!$G$37</f>
        <v>0.92587937061665071</v>
      </c>
      <c r="S214" s="45">
        <f>DRI!$H$37</f>
        <v>1.7457619254806822E-2</v>
      </c>
      <c r="T214" s="46"/>
      <c r="U214" s="48" t="str">
        <f t="shared" ref="U214:V220" si="38">U154</f>
        <v>EUR 14.0</v>
      </c>
      <c r="V214" s="44" t="str">
        <f t="shared" si="38"/>
        <v>1&amp;1</v>
      </c>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row>
    <row r="215" spans="1:113">
      <c r="C215" s="48" t="str">
        <f t="shared" si="37"/>
        <v>Elisa</v>
      </c>
      <c r="D215" s="44" t="str">
        <f t="shared" si="37"/>
        <v>EUR 46.6</v>
      </c>
      <c r="E215" s="44" t="str">
        <f t="shared" si="37"/>
        <v>EUR 53.0</v>
      </c>
      <c r="F215" s="45">
        <f t="shared" si="37"/>
        <v>0.13831615120274909</v>
      </c>
      <c r="G215" s="44" t="str">
        <f t="shared" si="37"/>
        <v>Neutral</v>
      </c>
      <c r="H215" s="46"/>
      <c r="I215" s="47">
        <f>ELISA!$D$41</f>
        <v>3.4914070146567648</v>
      </c>
      <c r="J215" s="47">
        <f>ELISA!$E$41</f>
        <v>3.5453457292835089</v>
      </c>
      <c r="K215" s="47">
        <f>ELISA!$F$41</f>
        <v>3.3953778028799269</v>
      </c>
      <c r="L215" s="47">
        <f>ELISA!$G$41</f>
        <v>3.2301998433185721</v>
      </c>
      <c r="M215" s="45">
        <f>ELISA!$H$41</f>
        <v>-5.2654623642267584E-3</v>
      </c>
      <c r="N215" s="46"/>
      <c r="O215" s="47">
        <f>ELISA!$D$37</f>
        <v>4.0518777835765327</v>
      </c>
      <c r="P215" s="47">
        <f>ELISA!$E$37</f>
        <v>3.9187144911839558</v>
      </c>
      <c r="Q215" s="47">
        <f>ELISA!$F$37</f>
        <v>3.6277980970810009</v>
      </c>
      <c r="R215" s="47">
        <f>ELISA!$G$37</f>
        <v>3.3441761093024587</v>
      </c>
      <c r="S215" s="45">
        <f>ELISA!$H$37</f>
        <v>3.3330464580151764E-2</v>
      </c>
      <c r="T215" s="46"/>
      <c r="U215" s="48" t="str">
        <f t="shared" si="38"/>
        <v>EUR 46.6</v>
      </c>
      <c r="V215" s="44" t="str">
        <f t="shared" si="38"/>
        <v>Elisa</v>
      </c>
      <c r="AE215" s="41"/>
      <c r="AF215" s="31"/>
      <c r="AG215" s="31"/>
      <c r="AM215" s="41"/>
      <c r="AN215" s="17"/>
      <c r="AO215" s="17"/>
      <c r="AQ215" s="41"/>
      <c r="AR215" s="18"/>
      <c r="AS215" s="18"/>
    </row>
    <row r="216" spans="1:113">
      <c r="A216" s="41"/>
      <c r="C216" s="48" t="str">
        <f t="shared" si="37"/>
        <v>Liberty Global (prop.)</v>
      </c>
      <c r="D216" s="44" t="str">
        <f t="shared" si="37"/>
        <v>USD 20.3</v>
      </c>
      <c r="E216" s="44" t="str">
        <f t="shared" si="37"/>
        <v>USD 23.0</v>
      </c>
      <c r="F216" s="45">
        <f t="shared" si="37"/>
        <v>0.13356333169048806</v>
      </c>
      <c r="G216" s="44" t="str">
        <f t="shared" si="37"/>
        <v>Neutral</v>
      </c>
      <c r="H216" s="46"/>
      <c r="I216" s="47">
        <f>LBTY!$D$41</f>
        <v>1.00614232466924</v>
      </c>
      <c r="J216" s="47">
        <f>LBTY!$E$41</f>
        <v>0.93962613972849929</v>
      </c>
      <c r="K216" s="47">
        <f>LBTY!$F$41</f>
        <v>0.88846907369222194</v>
      </c>
      <c r="L216" s="47">
        <f>LBTY!$G$41</f>
        <v>0.84282107361668313</v>
      </c>
      <c r="M216" s="45">
        <f>LBTY!$H$41</f>
        <v>8.8546565681120182E-3</v>
      </c>
      <c r="N216" s="46"/>
      <c r="O216" s="47">
        <f>LBTY!$D$37</f>
        <v>6.0166734370187065</v>
      </c>
      <c r="P216" s="47">
        <f>LBTY!$E$37</f>
        <v>5.4623683781103782</v>
      </c>
      <c r="Q216" s="47">
        <f>LBTY!$F$37</f>
        <v>5.2061448173008529</v>
      </c>
      <c r="R216" s="47">
        <f>LBTY!$G$37</f>
        <v>5.1674344463381026</v>
      </c>
      <c r="S216" s="45">
        <f>LBTY!$H$37</f>
        <v>4.9382724075885953E-4</v>
      </c>
      <c r="T216" s="46"/>
      <c r="U216" s="48" t="str">
        <f t="shared" si="38"/>
        <v>USD 20.3</v>
      </c>
      <c r="V216" s="44" t="str">
        <f t="shared" si="38"/>
        <v>Liberty Global</v>
      </c>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row>
    <row r="217" spans="1:113">
      <c r="A217" s="41"/>
      <c r="C217" s="48" t="str">
        <f t="shared" si="37"/>
        <v>NOS</v>
      </c>
      <c r="D217" s="44" t="str">
        <f t="shared" si="37"/>
        <v>EUR 3.58</v>
      </c>
      <c r="E217" s="44" t="str">
        <f t="shared" si="37"/>
        <v>EUR 3.70</v>
      </c>
      <c r="F217" s="45">
        <f t="shared" si="37"/>
        <v>3.4965034965035002E-2</v>
      </c>
      <c r="G217" s="44" t="str">
        <f t="shared" si="37"/>
        <v>Neutral</v>
      </c>
      <c r="H217" s="46"/>
      <c r="I217" s="47">
        <f>NOS!$D$41</f>
        <v>1.6030740733345263</v>
      </c>
      <c r="J217" s="47">
        <f>NOS!$E$41</f>
        <v>1.6376832753220993</v>
      </c>
      <c r="K217" s="47">
        <f>NOS!$F$41</f>
        <v>1.457645654040906</v>
      </c>
      <c r="L217" s="47">
        <f>NOS!$G$41</f>
        <v>1.2886964408232722</v>
      </c>
      <c r="M217" s="45">
        <f>NOS!$H$41</f>
        <v>5.6371517931639303E-3</v>
      </c>
      <c r="N217" s="46"/>
      <c r="O217" s="47">
        <f>NOS!$D$37</f>
        <v>2.077802294176661</v>
      </c>
      <c r="P217" s="47">
        <f>NOS!$E$37</f>
        <v>2.0681684175839212</v>
      </c>
      <c r="Q217" s="47">
        <f>NOS!$F$37</f>
        <v>1.9234706522157521</v>
      </c>
      <c r="R217" s="47">
        <f>NOS!$G$37</f>
        <v>1.7417823201757401</v>
      </c>
      <c r="S217" s="45">
        <f>NOS!$H$37</f>
        <v>-8.307329457125201E-3</v>
      </c>
      <c r="T217" s="46"/>
      <c r="U217" s="48" t="str">
        <f t="shared" si="38"/>
        <v>EUR 3.58</v>
      </c>
      <c r="V217" s="44" t="str">
        <f t="shared" si="38"/>
        <v>NOS</v>
      </c>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row>
    <row r="218" spans="1:113">
      <c r="C218" s="48" t="str">
        <f t="shared" si="37"/>
        <v>Orange Belgium</v>
      </c>
      <c r="D218" s="44" t="str">
        <f t="shared" si="37"/>
        <v>EUR 14.8</v>
      </c>
      <c r="E218" s="44" t="str">
        <f t="shared" si="37"/>
        <v>EUR 15.0</v>
      </c>
      <c r="F218" s="45">
        <f t="shared" si="37"/>
        <v>1.3513513513513375E-2</v>
      </c>
      <c r="G218" s="44" t="str">
        <f t="shared" si="37"/>
        <v>Neutral</v>
      </c>
      <c r="H218" s="46"/>
      <c r="I218" s="47">
        <f>OBEL!$D$41</f>
        <v>2.7685139262606229</v>
      </c>
      <c r="J218" s="47">
        <f>OBEL!$E$41</f>
        <v>2.6260335872948053</v>
      </c>
      <c r="K218" s="47">
        <f>OBEL!$F$41</f>
        <v>2.5028370613602098</v>
      </c>
      <c r="L218" s="47">
        <f>OBEL!$G$41</f>
        <v>2.3848241889565256</v>
      </c>
      <c r="M218" s="45">
        <f>OBEL!$H$41</f>
        <v>1.6649066857119754E-2</v>
      </c>
      <c r="N218" s="46"/>
      <c r="O218" s="47">
        <f>OBEL!$D$37</f>
        <v>1.6405000868433217</v>
      </c>
      <c r="P218" s="47">
        <f>OBEL!$E$37</f>
        <v>1.5557221457376271</v>
      </c>
      <c r="Q218" s="47">
        <f>OBEL!$F$37</f>
        <v>1.4794083730933918</v>
      </c>
      <c r="R218" s="47">
        <f>OBEL!$G$37</f>
        <v>1.4025078665624111</v>
      </c>
      <c r="S218" s="45">
        <f>OBEL!$H$37</f>
        <v>1.921217333309988E-2</v>
      </c>
      <c r="T218" s="46"/>
      <c r="U218" s="48" t="str">
        <f t="shared" si="38"/>
        <v>EUR 14.8</v>
      </c>
      <c r="V218" s="44" t="str">
        <f t="shared" si="38"/>
        <v>Mobistar</v>
      </c>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row>
    <row r="219" spans="1:113">
      <c r="C219" s="48" t="str">
        <f t="shared" si="37"/>
        <v>Tele2</v>
      </c>
      <c r="D219" s="44" t="str">
        <f t="shared" si="37"/>
        <v>SEK 117.7</v>
      </c>
      <c r="E219" s="44" t="str">
        <f t="shared" si="37"/>
        <v>SEK 109.0</v>
      </c>
      <c r="F219" s="45">
        <f t="shared" si="37"/>
        <v>-7.3523161920951985E-2</v>
      </c>
      <c r="G219" s="44" t="str">
        <f t="shared" si="37"/>
        <v>Neutral</v>
      </c>
      <c r="H219" s="46"/>
      <c r="I219" s="47">
        <f>TELE2!$D$41</f>
        <v>2.3417671621070788</v>
      </c>
      <c r="J219" s="47">
        <f>TELE2!$E$41</f>
        <v>2.3124722575022592</v>
      </c>
      <c r="K219" s="47">
        <f>TELE2!$F$41</f>
        <v>2.260805484797781</v>
      </c>
      <c r="L219" s="47">
        <f>TELE2!$G$41</f>
        <v>2.2074597332092933</v>
      </c>
      <c r="M219" s="45">
        <f>TELE2!$H$41</f>
        <v>-2.4857458660562992E-2</v>
      </c>
      <c r="N219" s="46"/>
      <c r="O219" s="47">
        <f>TELE2!$D$37</f>
        <v>3.8131416333526249</v>
      </c>
      <c r="P219" s="47">
        <f>TELE2!$E$37</f>
        <v>3.6112079958606609</v>
      </c>
      <c r="Q219" s="47">
        <f>TELE2!$F$37</f>
        <v>3.4108637970346605</v>
      </c>
      <c r="R219" s="47">
        <f>TELE2!$G$37</f>
        <v>3.1980348513081336</v>
      </c>
      <c r="S219" s="45">
        <f>TELE2!$H$37</f>
        <v>1.3874914140054262E-2</v>
      </c>
      <c r="T219" s="46"/>
      <c r="U219" s="48" t="str">
        <f t="shared" si="38"/>
        <v>SEK 117.7</v>
      </c>
      <c r="V219" s="44" t="str">
        <f t="shared" si="38"/>
        <v>Tele2</v>
      </c>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row>
    <row r="220" spans="1:113">
      <c r="A220" s="41"/>
      <c r="C220" s="48" t="str">
        <f t="shared" si="37"/>
        <v>United Internet</v>
      </c>
      <c r="D220" s="44" t="str">
        <f t="shared" si="37"/>
        <v>EUR 19.1</v>
      </c>
      <c r="E220" s="44" t="str">
        <f t="shared" si="37"/>
        <v>EUR 28.0</v>
      </c>
      <c r="F220" s="45">
        <f t="shared" si="37"/>
        <v>0.46904512067156356</v>
      </c>
      <c r="G220" s="44" t="str">
        <f t="shared" si="37"/>
        <v>Buy</v>
      </c>
      <c r="H220" s="46"/>
      <c r="I220" s="47">
        <f>UTDI!$D$41</f>
        <v>1.0645450011573763</v>
      </c>
      <c r="J220" s="47">
        <f>UTDI!$E$41</f>
        <v>1.0099679822721803</v>
      </c>
      <c r="K220" s="47">
        <f>UTDI!$F$41</f>
        <v>0.95148481846760047</v>
      </c>
      <c r="L220" s="47">
        <f>UTDI!$G$41</f>
        <v>0.91102497884094658</v>
      </c>
      <c r="M220" s="45">
        <f>UTDI!$H$41</f>
        <v>8.3180960714586583E-2</v>
      </c>
      <c r="N220" s="46"/>
      <c r="O220" s="47">
        <f>UTDI!$D$37</f>
        <v>1.4398098172401863</v>
      </c>
      <c r="P220" s="47">
        <f>UTDI!$E$37</f>
        <v>1.4828368324401571</v>
      </c>
      <c r="Q220" s="47">
        <f>UTDI!$F$37</f>
        <v>1.4712766605439487</v>
      </c>
      <c r="R220" s="47">
        <f>UTDI!$G$37</f>
        <v>1.446406874852916</v>
      </c>
      <c r="S220" s="45">
        <f>UTDI!$H$37</f>
        <v>2.6820795056666569E-2</v>
      </c>
      <c r="T220" s="46"/>
      <c r="U220" s="48" t="str">
        <f t="shared" si="38"/>
        <v>EUR 19.1</v>
      </c>
      <c r="V220" s="44" t="str">
        <f t="shared" si="38"/>
        <v>United Internet</v>
      </c>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row>
    <row r="221" spans="1:113">
      <c r="C221" s="48" t="str">
        <f t="shared" si="37"/>
        <v>Vodafone</v>
      </c>
      <c r="D221" s="44" t="str">
        <f t="shared" si="37"/>
        <v>GBP 0.77</v>
      </c>
      <c r="E221" s="44" t="str">
        <f t="shared" si="37"/>
        <v>GBP 1.40</v>
      </c>
      <c r="F221" s="45">
        <f t="shared" si="37"/>
        <v>0.80785123966942152</v>
      </c>
      <c r="G221" s="44" t="str">
        <f t="shared" si="37"/>
        <v>Buy</v>
      </c>
      <c r="H221" s="46"/>
      <c r="I221" s="47">
        <f>VOD!$D$41</f>
        <v>0.63101806855565212</v>
      </c>
      <c r="J221" s="47">
        <f>VOD!$E$41</f>
        <v>0.56859350302278111</v>
      </c>
      <c r="K221" s="47">
        <f>VOD!$F$41</f>
        <v>0.53956293069589201</v>
      </c>
      <c r="L221" s="47">
        <f>VOD!$G$41</f>
        <v>0.50497147643920248</v>
      </c>
      <c r="M221" s="45">
        <f>VOD!$H$41</f>
        <v>-5.6607662319735241E-2</v>
      </c>
      <c r="N221" s="46"/>
      <c r="O221" s="47">
        <f>VOD!$D$37</f>
        <v>1.6132707622510742</v>
      </c>
      <c r="P221" s="47">
        <f>VOD!$E$37</f>
        <v>1.2020515850805333</v>
      </c>
      <c r="Q221" s="47">
        <f>VOD!$F$37</f>
        <v>1.1193388688068577</v>
      </c>
      <c r="R221" s="47">
        <f>VOD!$G$37</f>
        <v>1.0282166534493116</v>
      </c>
      <c r="S221" s="45">
        <f>VOD!$H$37</f>
        <v>1.775107984944535E-2</v>
      </c>
      <c r="T221" s="46"/>
      <c r="U221" s="48" t="str">
        <f>U161</f>
        <v>GBP 0.77</v>
      </c>
      <c r="V221" s="44" t="s">
        <v>627</v>
      </c>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row>
    <row r="222" spans="1:113">
      <c r="C222" s="51" t="str">
        <f>C162</f>
        <v>Agg. W. Europe Other</v>
      </c>
      <c r="D222" s="52"/>
      <c r="E222" s="52"/>
      <c r="F222" s="53"/>
      <c r="G222" s="52"/>
      <c r="H222" s="46"/>
      <c r="I222" s="54">
        <f>'W.EUR OTHER'!$D$41</f>
        <v>0.84442389849965394</v>
      </c>
      <c r="J222" s="54">
        <f>'W.EUR OTHER'!$E$41</f>
        <v>0.81498961294635097</v>
      </c>
      <c r="K222" s="54">
        <f>'W.EUR OTHER'!$F$41</f>
        <v>0.77498610757856878</v>
      </c>
      <c r="L222" s="54">
        <f>'W.EUR OTHER'!$G$41</f>
        <v>0.73281741958307633</v>
      </c>
      <c r="M222" s="55">
        <f>'W.EUR OTHER'!$H$41</f>
        <v>-3.6019662148356391E-2</v>
      </c>
      <c r="N222" s="56"/>
      <c r="O222" s="54">
        <f>'W.EUR OTHER'!$D$37</f>
        <v>1.9589195361329668</v>
      </c>
      <c r="P222" s="54">
        <f>'W.EUR OTHER'!$E$37</f>
        <v>1.6383796798063159</v>
      </c>
      <c r="Q222" s="54">
        <f>'W.EUR OTHER'!$F$37</f>
        <v>1.5411744049087741</v>
      </c>
      <c r="R222" s="54">
        <f>'W.EUR OTHER'!$G$37</f>
        <v>1.4434676732212866</v>
      </c>
      <c r="S222" s="55">
        <f>'W.EUR OTHER'!$H$37</f>
        <v>1.8004685546411769E-2</v>
      </c>
      <c r="T222" s="46"/>
      <c r="U222" s="57"/>
      <c r="V222" s="58" t="str">
        <f>C222</f>
        <v>Agg. W. Europe Other</v>
      </c>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row>
    <row r="223" spans="1:113">
      <c r="C223" s="48"/>
      <c r="D223" s="44"/>
      <c r="E223" s="44"/>
      <c r="F223" s="45"/>
      <c r="G223" s="44"/>
      <c r="H223" s="46"/>
      <c r="I223" s="47"/>
      <c r="J223" s="47"/>
      <c r="K223" s="47"/>
      <c r="L223" s="47"/>
      <c r="M223" s="45"/>
      <c r="N223" s="46"/>
      <c r="O223" s="47"/>
      <c r="P223" s="47"/>
      <c r="Q223" s="47"/>
      <c r="R223" s="47"/>
      <c r="S223" s="45"/>
      <c r="T223" s="46"/>
      <c r="U223" s="48"/>
      <c r="V223" s="44"/>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row>
    <row r="224" spans="1:113">
      <c r="A224" s="41"/>
      <c r="B224" s="42" t="s">
        <v>551</v>
      </c>
      <c r="C224" s="48" t="str">
        <f t="shared" ref="C224:G229" si="39">C164</f>
        <v>HKBN</v>
      </c>
      <c r="D224" s="44" t="str">
        <f t="shared" si="39"/>
        <v>HKD 3</v>
      </c>
      <c r="E224" s="44" t="str">
        <f t="shared" si="39"/>
        <v>HKD 16</v>
      </c>
      <c r="F224" s="45">
        <f t="shared" si="39"/>
        <v>4.9925093632958806</v>
      </c>
      <c r="G224" s="44" t="str">
        <f t="shared" si="39"/>
        <v>Buy</v>
      </c>
      <c r="H224" s="46"/>
      <c r="I224" s="47">
        <f>HKBN!$D$41</f>
        <v>0.81378866612285083</v>
      </c>
      <c r="J224" s="47">
        <f>HKBN!$E$41</f>
        <v>0.77079429946143785</v>
      </c>
      <c r="K224" s="47">
        <f>HKBN!$F$41</f>
        <v>0.71240934113469212</v>
      </c>
      <c r="L224" s="47">
        <f>HKBN!$G$41</f>
        <v>0.63104496484480244</v>
      </c>
      <c r="M224" s="45">
        <f>HKBN!$H$41</f>
        <v>-0.10410992137637043</v>
      </c>
      <c r="N224" s="46"/>
      <c r="O224" s="47">
        <f>HKBN!$D$37</f>
        <v>1.0071012685639682</v>
      </c>
      <c r="P224" s="47">
        <f>HKBN!$E$37</f>
        <v>0.83695653121222813</v>
      </c>
      <c r="Q224" s="47">
        <f>HKBN!$F$37</f>
        <v>0.67226699662370459</v>
      </c>
      <c r="R224" s="47">
        <f>HKBN!$G$37</f>
        <v>0.50896252043182755</v>
      </c>
      <c r="S224" s="45">
        <f>HKBN!$H$37</f>
        <v>3.3316577648039525E-2</v>
      </c>
      <c r="T224" s="46"/>
      <c r="U224" s="48" t="str">
        <f t="shared" ref="U224:U229" si="40">U164</f>
        <v>HKD 3</v>
      </c>
      <c r="V224" s="69" t="str">
        <f>C224</f>
        <v>HKBN</v>
      </c>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row>
    <row r="225" spans="1:113">
      <c r="C225" s="48" t="str">
        <f t="shared" si="39"/>
        <v>KDDI</v>
      </c>
      <c r="D225" s="44" t="str">
        <f t="shared" si="39"/>
        <v>JPY 4,851</v>
      </c>
      <c r="E225" s="44" t="str">
        <f t="shared" si="39"/>
        <v>JPY 6,600</v>
      </c>
      <c r="F225" s="45">
        <f t="shared" si="39"/>
        <v>0.36054421768707479</v>
      </c>
      <c r="G225" s="44" t="str">
        <f t="shared" si="39"/>
        <v>Buy</v>
      </c>
      <c r="H225" s="46"/>
      <c r="I225" s="47">
        <f>KDDI!$D$41</f>
        <v>1.5297423732953428</v>
      </c>
      <c r="J225" s="47">
        <f>KDDI!$E$41</f>
        <v>1.404222575232102</v>
      </c>
      <c r="K225" s="47">
        <f>KDDI!$F$41</f>
        <v>1.2442567853899673</v>
      </c>
      <c r="L225" s="47">
        <f>KDDI!$G$41</f>
        <v>1.0974850526111766</v>
      </c>
      <c r="M225" s="45">
        <f>KDDI!$H$41</f>
        <v>3.9981451832616921E-2</v>
      </c>
      <c r="N225" s="46"/>
      <c r="O225" s="47">
        <f>KDDI!$D$37</f>
        <v>2.0224611059891155</v>
      </c>
      <c r="P225" s="47">
        <f>KDDI!$E$37</f>
        <v>1.8791646716589843</v>
      </c>
      <c r="Q225" s="47">
        <f>KDDI!$F$37</f>
        <v>1.6779548715470345</v>
      </c>
      <c r="R225" s="47">
        <f>KDDI!$G$37</f>
        <v>1.4870135242638958</v>
      </c>
      <c r="S225" s="45">
        <f>KDDI!$H$37</f>
        <v>3.1511607659277852E-2</v>
      </c>
      <c r="T225" s="46"/>
      <c r="U225" s="48" t="str">
        <f t="shared" si="40"/>
        <v>JPY 4,851</v>
      </c>
      <c r="V225" s="44" t="str">
        <f t="shared" ref="V225:V230" si="41">V165</f>
        <v>KDDI</v>
      </c>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row>
    <row r="226" spans="1:113">
      <c r="A226" s="41"/>
      <c r="C226" s="48" t="str">
        <f t="shared" si="39"/>
        <v>Macquarie Telecom</v>
      </c>
      <c r="D226" s="44" t="str">
        <f t="shared" si="39"/>
        <v>AUD 76.51</v>
      </c>
      <c r="E226" s="44" t="str">
        <f t="shared" si="39"/>
        <v>AUD 28.00</v>
      </c>
      <c r="F226" s="45">
        <f t="shared" si="39"/>
        <v>-0.63403476669716374</v>
      </c>
      <c r="G226" s="44" t="str">
        <f t="shared" si="39"/>
        <v>Neutral</v>
      </c>
      <c r="H226" s="46"/>
      <c r="I226" s="47">
        <f>MAQ!$D$41</f>
        <v>15.074772217446403</v>
      </c>
      <c r="J226" s="47">
        <f>MAQ!$E$41</f>
        <v>14.162599421264131</v>
      </c>
      <c r="K226" s="47">
        <f>MAQ!$F$41</f>
        <v>13.72903948165021</v>
      </c>
      <c r="L226" s="47">
        <f>MAQ!$G$41</f>
        <v>14.064171447014528</v>
      </c>
      <c r="M226" s="45">
        <f>MAQ!$H$41</f>
        <v>2.1388616458056786E-2</v>
      </c>
      <c r="N226" s="46"/>
      <c r="O226" s="47">
        <f>MAQ!$D$37</f>
        <v>6.1226648364817935</v>
      </c>
      <c r="P226" s="47">
        <f>MAQ!$E$37</f>
        <v>5.7535318285855226</v>
      </c>
      <c r="Q226" s="47">
        <f>MAQ!$F$37</f>
        <v>5.5275924821134419</v>
      </c>
      <c r="R226" s="47">
        <f>MAQ!$G$37</f>
        <v>5.3627182635056005</v>
      </c>
      <c r="S226" s="45">
        <f>MAQ!$H$37</f>
        <v>4.311129002235381E-2</v>
      </c>
      <c r="T226" s="46"/>
      <c r="U226" s="48" t="str">
        <f t="shared" si="40"/>
        <v>AUD 76.51</v>
      </c>
      <c r="V226" s="69" t="str">
        <f t="shared" si="41"/>
        <v>Macquarie Telecom</v>
      </c>
    </row>
    <row r="227" spans="1:113">
      <c r="C227" s="48" t="str">
        <f t="shared" si="39"/>
        <v>Rakuten</v>
      </c>
      <c r="D227" s="44" t="str">
        <f t="shared" si="39"/>
        <v>JPY 946</v>
      </c>
      <c r="E227" s="44" t="str">
        <f t="shared" si="39"/>
        <v>JPY 400</v>
      </c>
      <c r="F227" s="45">
        <f t="shared" si="39"/>
        <v>-0.57734573119188504</v>
      </c>
      <c r="G227" s="44" t="str">
        <f t="shared" si="39"/>
        <v>Reduce</v>
      </c>
      <c r="H227" s="46"/>
      <c r="I227" s="47">
        <f>RAK!$D$41</f>
        <v>1.4767859448188996</v>
      </c>
      <c r="J227" s="47">
        <f>RAK!$E$41</f>
        <v>1.4434368200508911</v>
      </c>
      <c r="K227" s="47">
        <f>RAK!$F$41</f>
        <v>1.451554457172064</v>
      </c>
      <c r="L227" s="47">
        <f>RAK!$G$41</f>
        <v>1.3958515552782134</v>
      </c>
      <c r="M227" s="45">
        <f>RAK!$H$41</f>
        <v>1.6999723635801933E-2</v>
      </c>
      <c r="N227" s="46"/>
      <c r="O227" s="47">
        <f>RAK!$D$37</f>
        <v>1.1238293164120461</v>
      </c>
      <c r="P227" s="47">
        <f>RAK!$E$37</f>
        <v>1.0219429740071186</v>
      </c>
      <c r="Q227" s="47">
        <f>RAK!$F$37</f>
        <v>0.92948950544512365</v>
      </c>
      <c r="R227" s="47">
        <f>RAK!$G$37</f>
        <v>0.85190302199554657</v>
      </c>
      <c r="S227" s="45">
        <f>RAK!$H$37</f>
        <v>9.4623571043125354E-2</v>
      </c>
      <c r="T227" s="46"/>
      <c r="U227" s="48" t="str">
        <f t="shared" si="40"/>
        <v>JPY 946</v>
      </c>
      <c r="V227" s="44" t="str">
        <f t="shared" si="41"/>
        <v>Rakuten</v>
      </c>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row>
    <row r="228" spans="1:113">
      <c r="C228" s="48" t="str">
        <f t="shared" si="39"/>
        <v>SoftBank KK (Corp)</v>
      </c>
      <c r="D228" s="44" t="str">
        <f t="shared" si="39"/>
        <v>JPY 1,996</v>
      </c>
      <c r="E228" s="44" t="str">
        <f t="shared" si="39"/>
        <v>JPY 2,700</v>
      </c>
      <c r="F228" s="45">
        <f t="shared" si="39"/>
        <v>0.35270541082164319</v>
      </c>
      <c r="G228" s="44" t="str">
        <f t="shared" si="39"/>
        <v>Buy</v>
      </c>
      <c r="H228" s="46"/>
      <c r="I228" s="47">
        <f>SBKK!$D$41</f>
        <v>3.0496587608258574</v>
      </c>
      <c r="J228" s="47">
        <f>SBKK!$E$41</f>
        <v>3.2314807119321176</v>
      </c>
      <c r="K228" s="47">
        <f>SBKK!$F$41</f>
        <v>3.3329036264434131</v>
      </c>
      <c r="L228" s="47">
        <f>SBKK!$G$41</f>
        <v>3.4837064744902873</v>
      </c>
      <c r="M228" s="45">
        <f>SBKK!$H$41</f>
        <v>-9.3109915085966555E-2</v>
      </c>
      <c r="N228" s="46"/>
      <c r="O228" s="47">
        <f>SBKK!$D$37</f>
        <v>2.308102574904916</v>
      </c>
      <c r="P228" s="47">
        <f>SBKK!$E$37</f>
        <v>2.2130479176617031</v>
      </c>
      <c r="Q228" s="47">
        <f>SBKK!$F$37</f>
        <v>1.8932236105787597</v>
      </c>
      <c r="R228" s="47">
        <f>SBKK!$G$37</f>
        <v>1.6620696975982445</v>
      </c>
      <c r="S228" s="45">
        <f>SBKK!$H$37</f>
        <v>5.7677781439682718E-2</v>
      </c>
      <c r="T228" s="46"/>
      <c r="U228" s="48" t="str">
        <f t="shared" si="40"/>
        <v>JPY 1,996</v>
      </c>
      <c r="V228" s="44" t="str">
        <f t="shared" si="41"/>
        <v>SoftBank KK (Corp)</v>
      </c>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row>
    <row r="229" spans="1:113">
      <c r="A229" s="41"/>
      <c r="C229" s="48" t="str">
        <f t="shared" si="39"/>
        <v>TPG</v>
      </c>
      <c r="D229" s="44" t="str">
        <f t="shared" si="39"/>
        <v>AUD 4.99</v>
      </c>
      <c r="E229" s="44" t="str">
        <f t="shared" si="39"/>
        <v>AUD 7.50</v>
      </c>
      <c r="F229" s="45">
        <f t="shared" si="39"/>
        <v>0.50300601202404804</v>
      </c>
      <c r="G229" s="44" t="str">
        <f t="shared" si="39"/>
        <v>Neutral</v>
      </c>
      <c r="H229" s="46"/>
      <c r="I229" s="47">
        <f>TPG!$D$41</f>
        <v>1.2962019713209065</v>
      </c>
      <c r="J229" s="47">
        <f>TPG!$E$41</f>
        <v>1.2674030573577502</v>
      </c>
      <c r="K229" s="47">
        <f>TPG!$F$41</f>
        <v>1.2353750020291618</v>
      </c>
      <c r="L229" s="47">
        <f>TPG!$G$41</f>
        <v>1.2031726250968509</v>
      </c>
      <c r="M229" s="45">
        <f>TPG!$H$41</f>
        <v>1.0503331129055438E-2</v>
      </c>
      <c r="N229" s="46"/>
      <c r="O229" s="47">
        <f>TPG!$D$37</f>
        <v>2.2050981913372785</v>
      </c>
      <c r="P229" s="47">
        <f>TPG!$E$37</f>
        <v>2.0792342992615298</v>
      </c>
      <c r="Q229" s="47">
        <f>TPG!$F$37</f>
        <v>1.9928102909216243</v>
      </c>
      <c r="R229" s="47">
        <f>TPG!$G$37</f>
        <v>1.9185930510180345</v>
      </c>
      <c r="S229" s="45">
        <f>TPG!$H$37</f>
        <v>3.2534392300954673E-2</v>
      </c>
      <c r="T229" s="46"/>
      <c r="U229" s="48" t="str">
        <f t="shared" si="40"/>
        <v>AUD 4.99</v>
      </c>
      <c r="V229" s="44" t="str">
        <f t="shared" si="41"/>
        <v>TPG</v>
      </c>
    </row>
    <row r="230" spans="1:113">
      <c r="C230" s="51" t="str">
        <f>C170</f>
        <v>Agg. Developed Asia Other</v>
      </c>
      <c r="D230" s="52"/>
      <c r="E230" s="52"/>
      <c r="F230" s="53"/>
      <c r="G230" s="52"/>
      <c r="H230" s="46"/>
      <c r="I230" s="54">
        <f>'DM ASIA OTHER'!$D$41</f>
        <v>1.931062543264519</v>
      </c>
      <c r="J230" s="54">
        <f>'DM ASIA OTHER'!$E$41</f>
        <v>1.8750073972072721</v>
      </c>
      <c r="K230" s="54">
        <f>'DM ASIA OTHER'!$F$41</f>
        <v>1.7691118623052557</v>
      </c>
      <c r="L230" s="54">
        <f>'DM ASIA OTHER'!$G$41</f>
        <v>1.6541168115993607</v>
      </c>
      <c r="M230" s="55">
        <f>'DM ASIA OTHER'!$H$41</f>
        <v>-4.0160486580771426E-3</v>
      </c>
      <c r="N230" s="56"/>
      <c r="O230" s="54">
        <f>'DM ASIA OTHER'!$D$37</f>
        <v>1.9744449599107277</v>
      </c>
      <c r="P230" s="54">
        <f>'DM ASIA OTHER'!$E$37</f>
        <v>1.8490173864069028</v>
      </c>
      <c r="Q230" s="54">
        <f>'DM ASIA OTHER'!$F$37</f>
        <v>1.6231667198154929</v>
      </c>
      <c r="R230" s="54">
        <f>'DM ASIA OTHER'!$G$37</f>
        <v>1.4362808154165028</v>
      </c>
      <c r="S230" s="55">
        <f>'DM ASIA OTHER'!$H$37</f>
        <v>5.1745937424389377E-2</v>
      </c>
      <c r="T230" s="46"/>
      <c r="U230" s="57"/>
      <c r="V230" s="58" t="str">
        <f t="shared" si="41"/>
        <v>Agg. Developed Asia Cellular</v>
      </c>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row>
    <row r="231" spans="1:113">
      <c r="A231" s="41"/>
      <c r="C231" s="48"/>
      <c r="D231" s="44"/>
      <c r="E231" s="44"/>
      <c r="F231" s="45"/>
      <c r="G231" s="44"/>
      <c r="H231" s="46"/>
      <c r="I231" s="47"/>
      <c r="J231" s="47"/>
      <c r="K231" s="47"/>
      <c r="L231" s="47"/>
      <c r="M231" s="45"/>
      <c r="N231" s="46"/>
      <c r="O231" s="47"/>
      <c r="P231" s="47"/>
      <c r="Q231" s="47"/>
      <c r="R231" s="47"/>
      <c r="S231" s="45"/>
      <c r="T231" s="46"/>
      <c r="U231" s="48"/>
      <c r="V231" s="44"/>
    </row>
    <row r="232" spans="1:113" s="5" customFormat="1">
      <c r="A232" s="41"/>
      <c r="B232" s="42" t="s">
        <v>514</v>
      </c>
      <c r="C232" s="48" t="str">
        <f>C172</f>
        <v>Altice US</v>
      </c>
      <c r="D232" s="44" t="str">
        <f>D172</f>
        <v>US$2.1</v>
      </c>
      <c r="E232" s="44" t="str">
        <f>E172</f>
        <v>US$4.0</v>
      </c>
      <c r="F232" s="45">
        <f>F172</f>
        <v>0.86915887850467288</v>
      </c>
      <c r="G232" s="44" t="str">
        <f>G172</f>
        <v>Neutral</v>
      </c>
      <c r="H232" s="46"/>
      <c r="I232" s="47">
        <f>ATCUS!D$41</f>
        <v>1.0583191456786656</v>
      </c>
      <c r="J232" s="47">
        <f>ATCUS!E$41</f>
        <v>1.0634513753635713</v>
      </c>
      <c r="K232" s="47">
        <f>ATCUS!F$41</f>
        <v>1.0712173550675568</v>
      </c>
      <c r="L232" s="47">
        <f>ATCUS!G$41</f>
        <v>1.0786569841698121</v>
      </c>
      <c r="M232" s="45">
        <f>ATCUS!H$41</f>
        <v>-8.15253841910768E-3</v>
      </c>
      <c r="N232" s="46"/>
      <c r="O232" s="47">
        <f>ATCUS!D$37</f>
        <v>2.7493342586995175</v>
      </c>
      <c r="P232" s="47">
        <f>ATCUS!E$37</f>
        <v>2.8017244577889415</v>
      </c>
      <c r="Q232" s="47">
        <f>ATCUS!F$37</f>
        <v>2.8410690911899641</v>
      </c>
      <c r="R232" s="47">
        <f>ATCUS!G$37</f>
        <v>2.8369201395203714</v>
      </c>
      <c r="S232" s="45">
        <f>ATCUS!H$37</f>
        <v>-1.2219156094296912E-2</v>
      </c>
      <c r="T232" s="46"/>
      <c r="U232" s="48" t="str">
        <f t="shared" ref="U232:V234" si="42">U172</f>
        <v>USD 2.1</v>
      </c>
      <c r="V232" s="44" t="str">
        <f t="shared" si="42"/>
        <v>Altice US</v>
      </c>
      <c r="Z232" s="49"/>
      <c r="AB232" s="63"/>
    </row>
    <row r="233" spans="1:113" s="5" customFormat="1">
      <c r="A233" s="41"/>
      <c r="B233" s="42" t="s">
        <v>514</v>
      </c>
      <c r="C233" s="48" t="s">
        <v>306</v>
      </c>
      <c r="D233" s="44" t="str">
        <f>B233&amp;TEXT(Prices!$C$45,"0.0")</f>
        <v>US$330.8</v>
      </c>
      <c r="E233" s="44" t="str">
        <f>B233&amp;TEXT(Prices!$E$45,"0.0")</f>
        <v>US$581.0</v>
      </c>
      <c r="F233" s="45">
        <f>Prices!$F$45</f>
        <v>0.75645444101819947</v>
      </c>
      <c r="G233" s="44" t="str">
        <f>Prices!$D$45</f>
        <v>Buy</v>
      </c>
      <c r="H233" s="46"/>
      <c r="I233" s="47">
        <f>CHTR!D$41</f>
        <v>1.3873822944720551</v>
      </c>
      <c r="J233" s="47">
        <f>CHTR!E$41</f>
        <v>1.3837052125993168</v>
      </c>
      <c r="K233" s="47">
        <f>CHTR!F$41</f>
        <v>1.3856582438520531</v>
      </c>
      <c r="L233" s="47">
        <f>CHTR!G$41</f>
        <v>1.4077385143867243</v>
      </c>
      <c r="M233" s="45">
        <f>CHTR!H$41</f>
        <v>-1.36471756094243E-2</v>
      </c>
      <c r="N233" s="46"/>
      <c r="O233" s="47">
        <f>CHTR!D$37</f>
        <v>2.7807566877576133</v>
      </c>
      <c r="P233" s="47">
        <f>CHTR!E$37</f>
        <v>2.717280459166918</v>
      </c>
      <c r="Q233" s="47">
        <f>CHTR!F$37</f>
        <v>2.678789549513517</v>
      </c>
      <c r="R233" s="47">
        <f>CHTR!G$37</f>
        <v>2.5976955812898681</v>
      </c>
      <c r="S233" s="45">
        <f>CHTR!H$37</f>
        <v>1.3909406851535078E-2</v>
      </c>
      <c r="T233" s="46"/>
      <c r="U233" s="48" t="str">
        <f t="shared" si="42"/>
        <v>USD 330.8</v>
      </c>
      <c r="V233" s="44" t="str">
        <f t="shared" si="42"/>
        <v>Charter</v>
      </c>
      <c r="AB233" s="63"/>
    </row>
    <row r="234" spans="1:113" s="5" customFormat="1">
      <c r="A234" s="41"/>
      <c r="B234" s="42" t="s">
        <v>514</v>
      </c>
      <c r="C234" s="48" t="s">
        <v>304</v>
      </c>
      <c r="D234" s="44" t="str">
        <f>B234&amp;TEXT(Prices!$C$46,"0.0")</f>
        <v>US$39.8</v>
      </c>
      <c r="E234" s="44" t="str">
        <f>B234&amp;TEXT(Prices!$E$46,"0.0")</f>
        <v>US$50.0</v>
      </c>
      <c r="F234" s="45">
        <f>Prices!$F$46</f>
        <v>0.25628140703517599</v>
      </c>
      <c r="G234" s="44" t="str">
        <f>Prices!$D$46</f>
        <v>Buy</v>
      </c>
      <c r="H234" s="46"/>
      <c r="I234" s="47">
        <f>CMCSA!D$41</f>
        <v>1.1984302507903244</v>
      </c>
      <c r="J234" s="47">
        <f>CMCSA!E$41</f>
        <v>1.1207018692045589</v>
      </c>
      <c r="K234" s="47">
        <f>CMCSA!F$41</f>
        <v>1.0549630819040658</v>
      </c>
      <c r="L234" s="47">
        <f>CMCSA!G$41</f>
        <v>1.0051943858876442</v>
      </c>
      <c r="M234" s="45">
        <f>CMCSA!H$41</f>
        <v>7.0710207377844281E-3</v>
      </c>
      <c r="N234" s="46"/>
      <c r="O234" s="47">
        <f>CMCSA!D$37</f>
        <v>1.6928115307427853</v>
      </c>
      <c r="P234" s="47">
        <f>CMCSA!E$37</f>
        <v>1.5786349914044819</v>
      </c>
      <c r="Q234" s="47">
        <f>CMCSA!F$37</f>
        <v>1.4895635874861959</v>
      </c>
      <c r="R234" s="47">
        <f>CMCSA!G$37</f>
        <v>1.3847132798468771</v>
      </c>
      <c r="S234" s="45">
        <f>CMCSA!H$37</f>
        <v>1.5520698985130199E-2</v>
      </c>
      <c r="T234" s="46"/>
      <c r="U234" s="48" t="str">
        <f t="shared" si="42"/>
        <v>USD 39.8</v>
      </c>
      <c r="V234" s="44" t="str">
        <f t="shared" si="42"/>
        <v>Comcast</v>
      </c>
      <c r="Z234" s="49"/>
      <c r="AB234" s="63"/>
    </row>
    <row r="235" spans="1:113" s="5" customFormat="1">
      <c r="A235" s="41"/>
      <c r="B235" s="42" t="s">
        <v>522</v>
      </c>
      <c r="C235" s="48" t="s">
        <v>1602</v>
      </c>
      <c r="D235" s="44" t="str">
        <f>B235&amp;TEXT(Prices!C$47,"0.00")</f>
        <v>US$ 35.00</v>
      </c>
      <c r="E235" s="44" t="str">
        <f>B235&amp;TEXT(Prices!E$47,"0.00")</f>
        <v>US$ 54.00</v>
      </c>
      <c r="F235" s="45">
        <f>Prices!F$47</f>
        <v>0.54285714285714293</v>
      </c>
      <c r="G235" s="44" t="str">
        <f>Prices!D$47</f>
        <v>Buy</v>
      </c>
      <c r="H235" s="46"/>
      <c r="I235" s="47">
        <f>FYBR!D$41</f>
        <v>1.3618297990428294</v>
      </c>
      <c r="J235" s="47">
        <f>FYBR!E$41</f>
        <v>1.2672820038693244</v>
      </c>
      <c r="K235" s="47">
        <f>FYBR!F$41</f>
        <v>1.2760485124872492</v>
      </c>
      <c r="L235" s="47">
        <f>FYBR!G$41</f>
        <v>1.2463823334509516</v>
      </c>
      <c r="M235" s="45">
        <f>FYBR!H$41</f>
        <v>3.090268112846406E-2</v>
      </c>
      <c r="N235" s="46"/>
      <c r="O235" s="47">
        <f>FYBR!D$37</f>
        <v>3.3956945432575507</v>
      </c>
      <c r="P235" s="47">
        <f>FYBR!E$37</f>
        <v>13.222537917277778</v>
      </c>
      <c r="Q235" s="47">
        <f>FYBR!F$37</f>
        <v>13.735253898413482</v>
      </c>
      <c r="R235" s="47">
        <f>FYBR!G$37</f>
        <v>13.68869108374218</v>
      </c>
      <c r="S235" s="45">
        <f>FYBR!$H$37</f>
        <v>-0.37109837392480916</v>
      </c>
      <c r="T235" s="46"/>
      <c r="U235" s="48" t="str">
        <f>D235</f>
        <v>US$ 35.00</v>
      </c>
      <c r="V235" s="44" t="str">
        <f>C235</f>
        <v>Frontier</v>
      </c>
      <c r="Z235" s="49"/>
      <c r="AE235" s="41"/>
      <c r="AF235" s="31"/>
      <c r="AG235" s="31"/>
      <c r="AI235" s="41"/>
      <c r="AJ235" s="64"/>
      <c r="AK235" s="64"/>
      <c r="AM235" s="41"/>
      <c r="AN235" s="64"/>
      <c r="AO235" s="64"/>
      <c r="AQ235" s="41"/>
      <c r="AR235" s="64"/>
      <c r="AS235" s="64"/>
    </row>
    <row r="236" spans="1:113" s="5" customFormat="1">
      <c r="A236" s="41"/>
      <c r="B236" s="42" t="s">
        <v>522</v>
      </c>
      <c r="C236" s="48" t="s">
        <v>1603</v>
      </c>
      <c r="D236" s="44" t="str">
        <f>B236&amp;TEXT(Prices!C$48,"0.00")</f>
        <v>US$ 22.28</v>
      </c>
      <c r="E236" s="44" t="str">
        <f>B236&amp;TEXT(Prices!E$48,"0.00")</f>
        <v>US$ 100.00</v>
      </c>
      <c r="F236" s="45">
        <f>Prices!F$48</f>
        <v>3.4883303411131061</v>
      </c>
      <c r="G236" s="44" t="str">
        <f>Prices!D$48</f>
        <v>Buy</v>
      </c>
      <c r="H236" s="46"/>
      <c r="I236" s="47">
        <f>SATS!D$41</f>
        <v>0.71876435282452233</v>
      </c>
      <c r="J236" s="47">
        <f>SATS!E$41</f>
        <v>0.70360509125583592</v>
      </c>
      <c r="K236" s="47">
        <f>SATS!F$41</f>
        <v>0.68252495786231338</v>
      </c>
      <c r="L236" s="47">
        <f>SATS!G$41</f>
        <v>0.5761442945651426</v>
      </c>
      <c r="M236" s="45">
        <f>SATS!H$41</f>
        <v>-5.9948561048273064E-3</v>
      </c>
      <c r="N236" s="46"/>
      <c r="O236" s="47">
        <f>SATS!D$37</f>
        <v>1.5653355826192195</v>
      </c>
      <c r="P236" s="47">
        <f>SATS!E$37</f>
        <v>1.5596499623238278</v>
      </c>
      <c r="Q236" s="47">
        <f>SATS!F$37</f>
        <v>1.4540217492399596</v>
      </c>
      <c r="R236" s="47">
        <f>SATS!G$37</f>
        <v>1.1713034910876465</v>
      </c>
      <c r="S236" s="45">
        <f>SATS!$H$37</f>
        <v>1.7066969438098267E-2</v>
      </c>
      <c r="T236" s="46"/>
      <c r="U236" s="48" t="str">
        <f>D236</f>
        <v>US$ 22.28</v>
      </c>
      <c r="V236" s="44" t="str">
        <f>C236</f>
        <v>EchoStar</v>
      </c>
      <c r="Z236" s="49"/>
      <c r="AE236" s="41"/>
      <c r="AF236" s="31"/>
      <c r="AG236" s="31"/>
      <c r="AI236" s="41"/>
      <c r="AJ236" s="64"/>
      <c r="AK236" s="64"/>
      <c r="AM236" s="41"/>
      <c r="AN236" s="64"/>
      <c r="AO236" s="64"/>
      <c r="AQ236" s="41"/>
      <c r="AR236" s="64"/>
      <c r="AS236" s="64"/>
    </row>
    <row r="237" spans="1:113" s="5" customFormat="1">
      <c r="A237" s="41"/>
      <c r="B237" s="42"/>
      <c r="C237" s="51" t="str">
        <f>C177</f>
        <v>Agg. US Other</v>
      </c>
      <c r="D237" s="58"/>
      <c r="E237" s="58"/>
      <c r="F237" s="55"/>
      <c r="G237" s="58"/>
      <c r="H237" s="56"/>
      <c r="I237" s="54">
        <f>'US OTHER'!D$41</f>
        <v>1.2036175965808336</v>
      </c>
      <c r="J237" s="54">
        <f>'US OTHER'!E$41</f>
        <v>1.1592310186707702</v>
      </c>
      <c r="K237" s="54">
        <f>'US OTHER'!F$41</f>
        <v>1.125914878616818</v>
      </c>
      <c r="L237" s="54">
        <f>'US OTHER'!G$41</f>
        <v>1.0954740100112548</v>
      </c>
      <c r="M237" s="55">
        <f>'US OTHER'!H$41</f>
        <v>-5.8597350806643966E-4</v>
      </c>
      <c r="N237" s="56"/>
      <c r="O237" s="66">
        <f>'US OTHER'!D$37</f>
        <v>2.0615992706049235</v>
      </c>
      <c r="P237" s="66">
        <f>'US OTHER'!E$37</f>
        <v>2.0145901059151643</v>
      </c>
      <c r="Q237" s="66">
        <f>'US OTHER'!F$37</f>
        <v>1.9460103757669567</v>
      </c>
      <c r="R237" s="66">
        <f>'US OTHER'!G$37</f>
        <v>1.8352364265652237</v>
      </c>
      <c r="S237" s="55">
        <f>'US OTHER'!H$37</f>
        <v>6.8251004257615655E-3</v>
      </c>
      <c r="T237" s="56"/>
      <c r="U237" s="51"/>
      <c r="V237" s="58" t="str">
        <f>V177</f>
        <v>Agg. US CATV</v>
      </c>
      <c r="Z237" s="49"/>
    </row>
    <row r="238" spans="1:113" s="5" customFormat="1">
      <c r="A238" s="41"/>
      <c r="B238" s="42"/>
      <c r="C238" s="48"/>
      <c r="D238" s="44"/>
      <c r="E238" s="44"/>
      <c r="F238" s="45"/>
      <c r="G238" s="44"/>
      <c r="H238" s="46"/>
      <c r="I238" s="47"/>
      <c r="J238" s="47"/>
      <c r="K238" s="47"/>
      <c r="L238" s="47"/>
      <c r="M238" s="45"/>
      <c r="N238" s="46"/>
      <c r="O238" s="47"/>
      <c r="P238" s="47"/>
      <c r="Q238" s="47"/>
      <c r="R238" s="47"/>
      <c r="S238" s="45"/>
      <c r="T238" s="46"/>
      <c r="U238" s="48"/>
      <c r="V238" s="44"/>
      <c r="Z238" s="49"/>
    </row>
    <row r="239" spans="1:113" s="5" customFormat="1">
      <c r="A239" s="146"/>
      <c r="B239" s="42"/>
      <c r="C239" s="48"/>
      <c r="D239" s="44"/>
      <c r="E239" s="44"/>
      <c r="F239" s="45"/>
      <c r="G239" s="44"/>
      <c r="H239" s="46"/>
      <c r="I239" s="47"/>
      <c r="J239" s="47"/>
      <c r="K239" s="47"/>
      <c r="L239" s="47"/>
      <c r="M239" s="45"/>
      <c r="N239" s="46"/>
      <c r="O239" s="47"/>
      <c r="P239" s="47"/>
      <c r="Q239" s="47"/>
      <c r="R239" s="47"/>
      <c r="S239" s="45"/>
      <c r="T239" s="46"/>
      <c r="U239" s="48"/>
      <c r="V239" s="44"/>
      <c r="Z239" s="49"/>
      <c r="AE239" s="41"/>
      <c r="AF239" s="31"/>
      <c r="AG239" s="31"/>
      <c r="AI239" s="41"/>
      <c r="AJ239" s="64"/>
      <c r="AK239" s="64"/>
      <c r="AM239" s="41"/>
      <c r="AN239" s="64"/>
      <c r="AO239" s="64"/>
      <c r="AQ239" s="41"/>
      <c r="AR239" s="64"/>
      <c r="AS239" s="64"/>
    </row>
    <row r="240" spans="1:113" s="5" customFormat="1">
      <c r="A240" s="146"/>
      <c r="B240" s="42"/>
      <c r="C240" s="51" t="str">
        <f>C180</f>
        <v>Agg. W Europe</v>
      </c>
      <c r="D240" s="52"/>
      <c r="E240" s="52"/>
      <c r="F240" s="53"/>
      <c r="G240" s="52"/>
      <c r="H240" s="46"/>
      <c r="I240" s="54">
        <f>'W.EUR AGG'!$D$41</f>
        <v>1.3560328454352542</v>
      </c>
      <c r="J240" s="54">
        <f>'W.EUR AGG'!$E$41</f>
        <v>1.3379123873879983</v>
      </c>
      <c r="K240" s="54">
        <f>'W.EUR AGG'!$F$41</f>
        <v>1.2704189340244258</v>
      </c>
      <c r="L240" s="54">
        <f>'W.EUR AGG'!$G$41</f>
        <v>1.2011390834799305</v>
      </c>
      <c r="M240" s="55">
        <f>'W.EUR AGG'!$H$41</f>
        <v>1.1422238221558301E-2</v>
      </c>
      <c r="N240" s="56"/>
      <c r="O240" s="54">
        <f>'W.EUR AGG'!$D$37</f>
        <v>2.3948433393856994</v>
      </c>
      <c r="P240" s="54">
        <f>'W.EUR AGG'!$E$37</f>
        <v>2.2496862676581229</v>
      </c>
      <c r="Q240" s="54">
        <f>'W.EUR AGG'!$F$37</f>
        <v>2.1564011537338974</v>
      </c>
      <c r="R240" s="54">
        <f>'W.EUR AGG'!$G$37</f>
        <v>2.0694612250980282</v>
      </c>
      <c r="S240" s="55">
        <f>'W.EUR AGG'!$H$37</f>
        <v>1.9796381358042403E-2</v>
      </c>
      <c r="T240" s="46"/>
      <c r="U240" s="57"/>
      <c r="V240" s="58" t="str">
        <f>V180</f>
        <v>Agg. W Europe</v>
      </c>
      <c r="Z240" s="49"/>
      <c r="AE240" s="41"/>
      <c r="AF240" s="31"/>
      <c r="AG240" s="31"/>
      <c r="AI240" s="41"/>
      <c r="AJ240" s="64"/>
      <c r="AK240" s="64"/>
      <c r="AM240" s="41"/>
      <c r="AN240" s="64"/>
      <c r="AO240" s="64"/>
      <c r="AQ240" s="41"/>
      <c r="AR240" s="64"/>
      <c r="AS240" s="64"/>
    </row>
    <row r="241" spans="1:69">
      <c r="C241" s="41" t="s">
        <v>1608</v>
      </c>
      <c r="D241" s="44"/>
      <c r="E241" s="44"/>
      <c r="F241" s="45"/>
      <c r="G241" s="44"/>
      <c r="H241" s="46"/>
      <c r="I241" s="60">
        <f>'US AGG'!D$41</f>
        <v>1.4504236221292566</v>
      </c>
      <c r="J241" s="60">
        <f>'US AGG'!E$41</f>
        <v>1.6393955208778173</v>
      </c>
      <c r="K241" s="60">
        <f>'US AGG'!F$41</f>
        <v>1.590098965503169</v>
      </c>
      <c r="L241" s="60">
        <f>'US AGG'!G$41</f>
        <v>1.5445240274899803</v>
      </c>
      <c r="M241" s="59">
        <f>'US AGG'!H$41</f>
        <v>-6.8349592237772261E-2</v>
      </c>
      <c r="N241" s="56"/>
      <c r="O241" s="60">
        <f>'US AGG'!D$37</f>
        <v>2.7978514385399422</v>
      </c>
      <c r="P241" s="60">
        <f>'US AGG'!E$37</f>
        <v>2.6647353043296209</v>
      </c>
      <c r="Q241" s="60">
        <f>'US AGG'!F$37</f>
        <v>2.4908865364974768</v>
      </c>
      <c r="R241" s="60">
        <f>'US AGG'!G$37</f>
        <v>2.3069657153487486</v>
      </c>
      <c r="S241" s="59">
        <f>'US AGG'!H$37</f>
        <v>1.456704127626085E-2</v>
      </c>
      <c r="T241" s="46"/>
      <c r="U241" s="48"/>
      <c r="V241" s="50" t="str">
        <f>V181</f>
        <v>Agg. US</v>
      </c>
      <c r="Z241" s="49"/>
      <c r="AB241" s="5"/>
      <c r="AE241" s="41"/>
      <c r="AF241" s="31"/>
      <c r="AG241" s="31"/>
      <c r="AI241" s="41"/>
      <c r="AJ241" s="64"/>
      <c r="AK241" s="64"/>
      <c r="AM241" s="41"/>
      <c r="AN241" s="64"/>
      <c r="AO241" s="64"/>
      <c r="AQ241" s="41"/>
      <c r="AR241" s="64"/>
      <c r="AS241" s="64"/>
    </row>
    <row r="242" spans="1:69" s="5" customFormat="1">
      <c r="A242" s="146"/>
      <c r="B242" s="42"/>
      <c r="C242" s="67" t="str">
        <f>C182</f>
        <v xml:space="preserve">Agg. Developed Asia </v>
      </c>
      <c r="D242" s="52"/>
      <c r="E242" s="52"/>
      <c r="F242" s="53"/>
      <c r="G242" s="52"/>
      <c r="H242" s="46"/>
      <c r="I242" s="54">
        <f>'AGG DM ASIA'!$D$41</f>
        <v>1.6544118954276832</v>
      </c>
      <c r="J242" s="54">
        <f>'AGG DM ASIA'!$E$41</f>
        <v>1.5626926293761227</v>
      </c>
      <c r="K242" s="54">
        <f>'AGG DM ASIA'!$F$41</f>
        <v>1.4310362247413813</v>
      </c>
      <c r="L242" s="54">
        <f>'AGG DM ASIA'!$G$41</f>
        <v>1.3004963167948864</v>
      </c>
      <c r="M242" s="55">
        <f>'AGG DM ASIA'!$H$41</f>
        <v>3.6619116438933119E-2</v>
      </c>
      <c r="N242" s="56"/>
      <c r="O242" s="54">
        <f>'AGG DM ASIA'!$D$37</f>
        <v>1.9661971028425513</v>
      </c>
      <c r="P242" s="54">
        <f>'AGG DM ASIA'!$E$37</f>
        <v>1.8845678750820321</v>
      </c>
      <c r="Q242" s="54">
        <f>'AGG DM ASIA'!$F$37</f>
        <v>1.7102354922782459</v>
      </c>
      <c r="R242" s="54">
        <f>'AGG DM ASIA'!$G$37</f>
        <v>1.5481640802498227</v>
      </c>
      <c r="S242" s="55">
        <f>'AGG DM ASIA'!$H$37</f>
        <v>3.604287710804277E-2</v>
      </c>
      <c r="T242" s="46"/>
      <c r="U242" s="57"/>
      <c r="V242" s="58" t="str">
        <f>V182</f>
        <v xml:space="preserve">Agg. Developed Asia </v>
      </c>
      <c r="Z242" s="49"/>
      <c r="AB242" s="63"/>
      <c r="AE242" s="41"/>
      <c r="AF242" s="31"/>
      <c r="AG242" s="31"/>
      <c r="AI242" s="41"/>
      <c r="AJ242" s="64"/>
      <c r="AK242" s="64"/>
      <c r="AM242" s="41"/>
      <c r="AN242" s="64"/>
      <c r="AO242" s="64"/>
      <c r="AQ242" s="41"/>
      <c r="AR242" s="64"/>
      <c r="AS242" s="64"/>
    </row>
    <row r="243" spans="1:69" s="5" customFormat="1">
      <c r="A243" s="146"/>
      <c r="B243" s="42"/>
      <c r="C243" s="41"/>
      <c r="D243" s="44"/>
      <c r="E243" s="44"/>
      <c r="F243" s="45"/>
      <c r="G243" s="44"/>
      <c r="H243" s="46"/>
      <c r="I243" s="60"/>
      <c r="J243" s="60"/>
      <c r="K243" s="60"/>
      <c r="L243" s="60"/>
      <c r="M243" s="59"/>
      <c r="N243" s="56"/>
      <c r="O243" s="60"/>
      <c r="P243" s="60"/>
      <c r="Q243" s="60"/>
      <c r="R243" s="60"/>
      <c r="S243" s="59"/>
      <c r="T243" s="46"/>
      <c r="U243" s="48"/>
      <c r="V243" s="50"/>
      <c r="Z243" s="49"/>
      <c r="AE243" s="41"/>
      <c r="AF243" s="31"/>
      <c r="AG243" s="31"/>
      <c r="AI243" s="41"/>
      <c r="AJ243" s="64"/>
      <c r="AK243" s="64"/>
      <c r="AM243" s="41"/>
      <c r="AN243" s="64"/>
      <c r="AO243" s="64"/>
      <c r="AQ243" s="41"/>
      <c r="AR243" s="64"/>
      <c r="AS243" s="64"/>
    </row>
    <row r="244" spans="1:69" s="5" customFormat="1">
      <c r="A244" s="146"/>
      <c r="B244" s="42"/>
      <c r="C244" s="67" t="str">
        <f>C184</f>
        <v>Agg. Global Developed</v>
      </c>
      <c r="D244" s="52"/>
      <c r="E244" s="52"/>
      <c r="F244" s="53"/>
      <c r="G244" s="52"/>
      <c r="H244" s="46"/>
      <c r="I244" s="54">
        <f>'AGG DM'!$D$41</f>
        <v>1.4470918356278057</v>
      </c>
      <c r="J244" s="54">
        <f>'AGG DM'!$E$41</f>
        <v>1.522056669150271</v>
      </c>
      <c r="K244" s="54">
        <f>'AGG DM'!$F$41</f>
        <v>1.4505018131011718</v>
      </c>
      <c r="L244" s="54">
        <f>'AGG DM'!$G$41</f>
        <v>1.3783663643110371</v>
      </c>
      <c r="M244" s="55">
        <f>'AGG DM'!$H$41</f>
        <v>-2.5897691811048396E-2</v>
      </c>
      <c r="N244" s="56"/>
      <c r="O244" s="54">
        <f>'AGG DM'!$D$37</f>
        <v>2.5038932049878952</v>
      </c>
      <c r="P244" s="54">
        <f>'AGG DM'!$E$37</f>
        <v>2.3751373534835727</v>
      </c>
      <c r="Q244" s="54">
        <f>'AGG DM'!$F$37</f>
        <v>2.224221292978434</v>
      </c>
      <c r="R244" s="54">
        <f>'AGG DM'!$G$37</f>
        <v>2.0739026532457836</v>
      </c>
      <c r="S244" s="55">
        <f>'AGG DM'!$H$37</f>
        <v>2.0555376527773284E-2</v>
      </c>
      <c r="T244" s="46"/>
      <c r="U244" s="57"/>
      <c r="V244" s="58" t="str">
        <f>V184</f>
        <v xml:space="preserve">Agg. Global Developed </v>
      </c>
      <c r="Z244" s="49"/>
      <c r="AE244" s="41"/>
      <c r="AF244" s="31"/>
      <c r="AG244" s="31"/>
      <c r="AI244" s="41"/>
      <c r="AJ244" s="64"/>
      <c r="AK244" s="64"/>
      <c r="AM244" s="41"/>
      <c r="AN244" s="64"/>
      <c r="AO244" s="64"/>
      <c r="AQ244" s="41"/>
      <c r="AR244" s="64"/>
      <c r="AS244" s="64"/>
    </row>
    <row r="245" spans="1:69" s="5" customFormat="1">
      <c r="A245" s="146"/>
      <c r="B245" s="42"/>
      <c r="C245" s="41"/>
      <c r="D245" s="69"/>
      <c r="E245" s="10"/>
      <c r="G245" s="10"/>
      <c r="M245" s="69"/>
      <c r="S245" s="69"/>
      <c r="U245" s="63"/>
      <c r="V245" s="63"/>
      <c r="Z245" s="49"/>
      <c r="AE245" s="41"/>
      <c r="AF245" s="31"/>
      <c r="AG245" s="31"/>
      <c r="AI245" s="41"/>
      <c r="AJ245" s="64"/>
      <c r="AK245" s="64"/>
      <c r="AM245" s="41"/>
      <c r="AN245" s="64"/>
      <c r="AO245" s="64"/>
      <c r="AQ245" s="41"/>
      <c r="AR245" s="64"/>
      <c r="AS245" s="64"/>
    </row>
    <row r="246" spans="1:69" s="5" customFormat="1">
      <c r="A246" s="146"/>
      <c r="B246" s="42"/>
      <c r="C246" s="41"/>
      <c r="D246" s="69"/>
      <c r="E246" s="10"/>
      <c r="G246" s="10"/>
      <c r="M246" s="69"/>
      <c r="S246" s="69"/>
      <c r="U246" s="63"/>
      <c r="V246" s="63"/>
      <c r="Z246" s="49"/>
      <c r="AE246" s="41"/>
      <c r="AF246" s="31"/>
      <c r="AG246" s="31"/>
      <c r="AI246" s="41"/>
      <c r="AJ246" s="64"/>
      <c r="AK246" s="64"/>
      <c r="AM246" s="41"/>
      <c r="AN246" s="64"/>
      <c r="AO246" s="64"/>
      <c r="AQ246" s="41"/>
      <c r="AR246" s="64"/>
      <c r="AS246" s="64"/>
    </row>
    <row r="247" spans="1:69" s="41" customFormat="1">
      <c r="B247" s="147"/>
      <c r="C247" s="164"/>
      <c r="D247" s="165" t="s">
        <v>459</v>
      </c>
      <c r="E247" s="165" t="s">
        <v>56</v>
      </c>
      <c r="F247" s="165" t="s">
        <v>58</v>
      </c>
      <c r="G247" s="165" t="s">
        <v>55</v>
      </c>
      <c r="H247" s="49"/>
      <c r="I247" s="166" t="s">
        <v>588</v>
      </c>
      <c r="J247" s="166"/>
      <c r="K247" s="166"/>
      <c r="L247" s="166"/>
      <c r="M247" s="166"/>
      <c r="O247" s="166" t="s">
        <v>283</v>
      </c>
      <c r="P247" s="166"/>
      <c r="Q247" s="166"/>
      <c r="R247" s="166"/>
      <c r="S247" s="166"/>
      <c r="T247" s="49"/>
      <c r="U247" s="167" t="s">
        <v>459</v>
      </c>
      <c r="V247" s="165"/>
      <c r="Z247" s="49"/>
      <c r="AC247" s="135"/>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BC247" s="137"/>
      <c r="BD247" s="137"/>
      <c r="BE247" s="137"/>
      <c r="BG247" s="137"/>
      <c r="BH247" s="137"/>
      <c r="BI247" s="137"/>
      <c r="BK247" s="137"/>
      <c r="BL247" s="137"/>
      <c r="BM247" s="137"/>
      <c r="BO247" s="137"/>
      <c r="BP247" s="137"/>
      <c r="BQ247" s="137"/>
    </row>
    <row r="248" spans="1:69" s="5" customFormat="1">
      <c r="A248" s="41" t="s">
        <v>501</v>
      </c>
      <c r="B248" s="42"/>
      <c r="C248" s="48" t="s">
        <v>182</v>
      </c>
      <c r="D248" s="44" t="str">
        <f t="shared" ref="D248:G258" si="43">D188</f>
        <v>GBP1.44</v>
      </c>
      <c r="E248" s="44" t="str">
        <f t="shared" si="43"/>
        <v>GBP2.30</v>
      </c>
      <c r="F248" s="45">
        <f t="shared" si="43"/>
        <v>0.59777700590482818</v>
      </c>
      <c r="G248" s="44" t="str">
        <f t="shared" si="43"/>
        <v>Buy</v>
      </c>
      <c r="H248" s="46"/>
      <c r="I248" s="47">
        <f>BT!$D$42</f>
        <v>1.5670305355732048</v>
      </c>
      <c r="J248" s="47">
        <f>BT!$E$42</f>
        <v>1.504571104028531</v>
      </c>
      <c r="K248" s="47">
        <f>BT!$F$42</f>
        <v>1.4300147712463236</v>
      </c>
      <c r="L248" s="47">
        <f>BT!$G$42</f>
        <v>1.362400467041164</v>
      </c>
      <c r="M248" s="45">
        <f>BT!$H$42</f>
        <v>1.6009599514313022E-2</v>
      </c>
      <c r="N248" s="46"/>
      <c r="O248" s="615">
        <f>(BT!$D$23/BT!$C$23)-1</f>
        <v>1.7946480161565859E-3</v>
      </c>
      <c r="P248" s="615">
        <f>(BT!$E$23/BT!$D$23)-1</f>
        <v>-1.0653286803047335E-3</v>
      </c>
      <c r="Q248" s="615">
        <f>(BT!$F$23/BT!$E$23)-1</f>
        <v>8.9239565659893216E-4</v>
      </c>
      <c r="R248" s="615">
        <f>(BT!$G$23/BT!$F$23)-1</f>
        <v>1.1168407252064583E-3</v>
      </c>
      <c r="S248" s="615">
        <f>BT!$H$23</f>
        <v>3.1415556474456707E-4</v>
      </c>
      <c r="T248" s="46"/>
      <c r="U248" s="48" t="str">
        <f t="shared" ref="U248:V252" si="44">U188</f>
        <v>GBP1.44</v>
      </c>
      <c r="V248" s="69" t="str">
        <f t="shared" si="44"/>
        <v>British Telecom</v>
      </c>
      <c r="Z248" s="49"/>
      <c r="AE248" s="41"/>
      <c r="AF248" s="31"/>
      <c r="AG248" s="31"/>
      <c r="AI248" s="41"/>
      <c r="AJ248" s="64"/>
      <c r="AK248" s="64"/>
      <c r="AM248" s="41"/>
      <c r="AN248" s="64"/>
      <c r="AO248" s="64"/>
      <c r="AQ248" s="41"/>
      <c r="AR248" s="64"/>
      <c r="AS248" s="64"/>
    </row>
    <row r="249" spans="1:69" s="5" customFormat="1">
      <c r="A249" s="41"/>
      <c r="B249" s="42"/>
      <c r="C249" s="48" t="s">
        <v>183</v>
      </c>
      <c r="D249" s="44" t="str">
        <f t="shared" si="43"/>
        <v>EUR 26.13</v>
      </c>
      <c r="E249" s="44" t="str">
        <f t="shared" si="43"/>
        <v>EUR 33.00</v>
      </c>
      <c r="F249" s="45">
        <f t="shared" si="43"/>
        <v>0.26291618828932273</v>
      </c>
      <c r="G249" s="44" t="str">
        <f t="shared" si="43"/>
        <v>Buy</v>
      </c>
      <c r="H249" s="46"/>
      <c r="I249" s="47">
        <f>DT!$D$42</f>
        <v>4.8848169461381694</v>
      </c>
      <c r="J249" s="47">
        <f>DT!$E$42</f>
        <v>4.9290448461867129</v>
      </c>
      <c r="K249" s="47">
        <f>DT!$F$42</f>
        <v>4.9303750980567678</v>
      </c>
      <c r="L249" s="47">
        <f>DT!$G$42</f>
        <v>4.8202746570125603</v>
      </c>
      <c r="M249" s="45">
        <f>DT!$H$42</f>
        <v>-1.2341456688290009E-2</v>
      </c>
      <c r="N249" s="46"/>
      <c r="O249" s="615">
        <f>(DT!$D$23/DT!$C$23)-1</f>
        <v>3.4694717380263862E-2</v>
      </c>
      <c r="P249" s="615">
        <f>(DT!$E$23/DT!$D$23)-1</f>
        <v>3.0167206959064607E-2</v>
      </c>
      <c r="Q249" s="615">
        <f>(DT!$F$23/DT!$E$23)-1</f>
        <v>2.9617754332752044E-2</v>
      </c>
      <c r="R249" s="615">
        <f>(DT!$G$23/DT!$F$23)-1</f>
        <v>2.6550907212467223E-2</v>
      </c>
      <c r="S249" s="615">
        <f>DT!$H$23</f>
        <v>2.8777391588370893E-2</v>
      </c>
      <c r="T249" s="46"/>
      <c r="U249" s="48" t="str">
        <f t="shared" si="44"/>
        <v>EUR 26.13</v>
      </c>
      <c r="V249" s="69" t="str">
        <f t="shared" si="44"/>
        <v>Deutsche Telekom</v>
      </c>
      <c r="Z249" s="49"/>
      <c r="AE249" s="41"/>
      <c r="AF249" s="31"/>
      <c r="AG249" s="31"/>
      <c r="AI249" s="41"/>
      <c r="AJ249" s="64"/>
      <c r="AK249" s="64"/>
      <c r="AM249" s="41"/>
      <c r="AN249" s="64"/>
      <c r="AO249" s="64"/>
      <c r="AQ249" s="41"/>
      <c r="AR249" s="64"/>
      <c r="AS249" s="64"/>
    </row>
    <row r="250" spans="1:69" s="5" customFormat="1">
      <c r="A250" s="41"/>
      <c r="B250" s="42"/>
      <c r="C250" s="48" t="s">
        <v>453</v>
      </c>
      <c r="D250" s="44" t="str">
        <f t="shared" si="43"/>
        <v>EUR 3.75</v>
      </c>
      <c r="E250" s="44" t="str">
        <f t="shared" si="43"/>
        <v>EUR 3.80</v>
      </c>
      <c r="F250" s="45">
        <f t="shared" si="43"/>
        <v>1.4415376401494928E-2</v>
      </c>
      <c r="G250" s="44" t="str">
        <f t="shared" si="43"/>
        <v>Neutral</v>
      </c>
      <c r="H250" s="46"/>
      <c r="I250" s="47">
        <f>KPN!$D$42</f>
        <v>3.6301390207740836</v>
      </c>
      <c r="J250" s="47">
        <f>KPN!$E$42</f>
        <v>3.7051013605166321</v>
      </c>
      <c r="K250" s="47">
        <f>KPN!$F$42</f>
        <v>3.7476342672321761</v>
      </c>
      <c r="L250" s="47">
        <f>KPN!$G$42</f>
        <v>3.6930389382833395</v>
      </c>
      <c r="M250" s="45">
        <f>KPN!$H$42</f>
        <v>-2.5691028903779278E-2</v>
      </c>
      <c r="N250" s="46"/>
      <c r="O250" s="615">
        <f>(KPN!$D$23/KPN!$C$23)-1</f>
        <v>1.9349690554683496E-2</v>
      </c>
      <c r="P250" s="615">
        <f>(KPN!$E$23/KPN!$D$23)-1</f>
        <v>2.2544938314719154E-2</v>
      </c>
      <c r="Q250" s="615">
        <f>(KPN!$F$23/KPN!$E$23)-1</f>
        <v>2.0093497578224984E-2</v>
      </c>
      <c r="R250" s="615">
        <f>(KPN!$G$23/KPN!$F$23)-1</f>
        <v>1.9226132056521683E-2</v>
      </c>
      <c r="S250" s="615">
        <f>KPN!$H$23</f>
        <v>2.0620555480699521E-2</v>
      </c>
      <c r="T250" s="46"/>
      <c r="U250" s="48" t="str">
        <f t="shared" si="44"/>
        <v>EUR 3.75</v>
      </c>
      <c r="V250" s="69" t="str">
        <f t="shared" si="44"/>
        <v>KPN</v>
      </c>
      <c r="Z250" s="49"/>
      <c r="AE250" s="41"/>
      <c r="AF250" s="31"/>
      <c r="AG250" s="31"/>
      <c r="AI250" s="41"/>
      <c r="AJ250" s="64"/>
      <c r="AK250" s="64"/>
      <c r="AM250" s="41"/>
      <c r="AN250" s="64"/>
      <c r="AO250" s="64"/>
      <c r="AQ250" s="41"/>
      <c r="AR250" s="64"/>
      <c r="AS250" s="64"/>
    </row>
    <row r="251" spans="1:69" s="5" customFormat="1">
      <c r="A251" s="41"/>
      <c r="B251" s="42"/>
      <c r="C251" s="48" t="s">
        <v>722</v>
      </c>
      <c r="D251" s="44" t="str">
        <f t="shared" si="43"/>
        <v>EUR 10.72</v>
      </c>
      <c r="E251" s="44" t="str">
        <f t="shared" si="43"/>
        <v>EUR 14.00</v>
      </c>
      <c r="F251" s="45">
        <f t="shared" si="43"/>
        <v>0.30597014925373123</v>
      </c>
      <c r="G251" s="44" t="str">
        <f t="shared" si="43"/>
        <v>Buy</v>
      </c>
      <c r="H251" s="46"/>
      <c r="I251" s="47">
        <f>ORA!$D$42</f>
        <v>2.3085014133122463</v>
      </c>
      <c r="J251" s="47">
        <f>ORA!$E$42</f>
        <v>2.4886326037530297</v>
      </c>
      <c r="K251" s="47">
        <f>ORA!$F$42</f>
        <v>2.3612042850013548</v>
      </c>
      <c r="L251" s="47">
        <f>ORA!$G$42</f>
        <v>2.2195307520795753</v>
      </c>
      <c r="M251" s="45">
        <f>ORA!$H$42</f>
        <v>-3.863636316336172E-2</v>
      </c>
      <c r="N251" s="46"/>
      <c r="O251" s="615">
        <f>(ORA!$D$23/ORA!$C$23)-1</f>
        <v>-9.1637344690644329E-2</v>
      </c>
      <c r="P251" s="615">
        <f>(ORA!$E$23/ORA!$D$23)-1</f>
        <v>2.1420096314346271E-3</v>
      </c>
      <c r="Q251" s="615">
        <f>(ORA!$F$23/ORA!$E$23)-1</f>
        <v>4.5926664053810295E-3</v>
      </c>
      <c r="R251" s="615">
        <f>(ORA!$G$23/ORA!$F$23)-1</f>
        <v>6.8035313876879666E-3</v>
      </c>
      <c r="S251" s="615">
        <f>ORA!$H$23</f>
        <v>4.5109313910738358E-3</v>
      </c>
      <c r="T251" s="46"/>
      <c r="U251" s="48" t="str">
        <f t="shared" si="44"/>
        <v>EUR 10.72</v>
      </c>
      <c r="V251" s="69" t="str">
        <f t="shared" si="44"/>
        <v>Orange</v>
      </c>
      <c r="Z251" s="49"/>
      <c r="AE251" s="41"/>
      <c r="AF251" s="31"/>
      <c r="AG251" s="31"/>
      <c r="AI251" s="41"/>
      <c r="AJ251" s="64"/>
      <c r="AK251" s="64"/>
      <c r="AM251" s="41"/>
      <c r="AN251" s="64"/>
      <c r="AO251" s="64"/>
      <c r="AQ251" s="41"/>
      <c r="AR251" s="64"/>
      <c r="AS251" s="64"/>
    </row>
    <row r="252" spans="1:69" s="5" customFormat="1">
      <c r="A252" s="41"/>
      <c r="B252" s="42"/>
      <c r="C252" s="48" t="s">
        <v>454</v>
      </c>
      <c r="D252" s="44" t="str">
        <f t="shared" si="43"/>
        <v>EUR 15.08</v>
      </c>
      <c r="E252" s="44" t="str">
        <f t="shared" si="43"/>
        <v>EUR 18.50</v>
      </c>
      <c r="F252" s="45">
        <f t="shared" si="43"/>
        <v>0.22679045092838201</v>
      </c>
      <c r="G252" s="44" t="str">
        <f t="shared" si="43"/>
        <v>Buy</v>
      </c>
      <c r="H252" s="46"/>
      <c r="I252" s="47">
        <f>OTE!$D$42</f>
        <v>3.6325548196538731</v>
      </c>
      <c r="J252" s="47">
        <f>OTE!$E$42</f>
        <v>3.4782018483907713</v>
      </c>
      <c r="K252" s="47">
        <f>OTE!$F$42</f>
        <v>3.2698348060245856</v>
      </c>
      <c r="L252" s="47">
        <f>OTE!$G$42</f>
        <v>3.0511048687030251</v>
      </c>
      <c r="M252" s="45">
        <f>OTE!$H$42</f>
        <v>-1.609477277511917E-2</v>
      </c>
      <c r="N252" s="46"/>
      <c r="O252" s="615">
        <f>(OTE!$D$23/OTE!$C$23)-1</f>
        <v>4.4667112446516777E-2</v>
      </c>
      <c r="P252" s="615">
        <f>(OTE!$E$23/OTE!$D$23)-1</f>
        <v>1.497818521702543E-2</v>
      </c>
      <c r="Q252" s="615">
        <f>(OTE!$F$23/OTE!$E$23)-1</f>
        <v>1.0259792655651356E-2</v>
      </c>
      <c r="R252" s="615">
        <f>(OTE!$G$23/OTE!$F$23)-1</f>
        <v>1.4266882568254147E-2</v>
      </c>
      <c r="S252" s="615">
        <f>OTE!$H$23</f>
        <v>1.3166155968846738E-2</v>
      </c>
      <c r="T252" s="46"/>
      <c r="U252" s="48" t="str">
        <f t="shared" si="44"/>
        <v>EUR 15.08</v>
      </c>
      <c r="V252" s="69" t="str">
        <f t="shared" si="44"/>
        <v>OTE</v>
      </c>
      <c r="Z252" s="49"/>
      <c r="AE252" s="41"/>
      <c r="AF252" s="31"/>
      <c r="AG252" s="31"/>
      <c r="AI252" s="41"/>
      <c r="AJ252" s="64"/>
      <c r="AK252" s="64"/>
      <c r="AM252" s="41"/>
      <c r="AN252" s="64"/>
      <c r="AO252" s="64"/>
      <c r="AQ252" s="41"/>
      <c r="AR252" s="64"/>
      <c r="AS252" s="64"/>
    </row>
    <row r="253" spans="1:69" s="5" customFormat="1">
      <c r="A253" s="41"/>
      <c r="B253" s="42"/>
      <c r="C253" s="48" t="s">
        <v>809</v>
      </c>
      <c r="D253" s="44" t="str">
        <f t="shared" si="43"/>
        <v>EUR 6.8</v>
      </c>
      <c r="E253" s="44" t="str">
        <f t="shared" si="43"/>
        <v>EUR 9.5</v>
      </c>
      <c r="F253" s="45">
        <f t="shared" si="43"/>
        <v>0.39296187683284445</v>
      </c>
      <c r="G253" s="44" t="str">
        <f t="shared" si="43"/>
        <v>Neutral</v>
      </c>
      <c r="H253" s="46"/>
      <c r="I253" s="47">
        <f>PROX!$D$42</f>
        <v>2.4390383495903944</v>
      </c>
      <c r="J253" s="47">
        <f>PROX!$E$42</f>
        <v>1.5509715689627697</v>
      </c>
      <c r="K253" s="47">
        <f>PROX!$F$42</f>
        <v>1.4192770857547852</v>
      </c>
      <c r="L253" s="47">
        <f>PROX!$G$42</f>
        <v>1.2876369755861177</v>
      </c>
      <c r="M253" s="45">
        <f>PROX!$H$42</f>
        <v>0.13498794936079017</v>
      </c>
      <c r="N253" s="46"/>
      <c r="O253" s="615">
        <f>(PROX!$D$23/PROX!$C$23)-1</f>
        <v>8.6716461601700434E-2</v>
      </c>
      <c r="P253" s="615">
        <f>(PROX!$E$23/PROX!$D$23)-1</f>
        <v>2.9537983567155424E-2</v>
      </c>
      <c r="Q253" s="615">
        <f>(PROX!$F$23/PROX!$E$23)-1</f>
        <v>2.2255165037952329E-2</v>
      </c>
      <c r="R253" s="615">
        <f>(PROX!$G$23/PROX!$F$23)-1</f>
        <v>1.1933099178687012E-2</v>
      </c>
      <c r="S253" s="615">
        <f>PROX!$H$23</f>
        <v>2.1216515260999547E-2</v>
      </c>
      <c r="T253" s="46"/>
      <c r="U253" s="48" t="str">
        <f t="shared" ref="U253:U258" si="45">U193</f>
        <v>EUR 6.8</v>
      </c>
      <c r="V253" s="69" t="s">
        <v>809</v>
      </c>
      <c r="Z253" s="49"/>
      <c r="AE253" s="41"/>
      <c r="AF253" s="31"/>
      <c r="AG253" s="31"/>
      <c r="AI253" s="41"/>
      <c r="AJ253" s="64"/>
      <c r="AK253" s="64"/>
      <c r="AM253" s="41"/>
      <c r="AN253" s="64"/>
      <c r="AO253" s="64"/>
      <c r="AQ253" s="41"/>
      <c r="AR253" s="64"/>
      <c r="AS253" s="64"/>
    </row>
    <row r="254" spans="1:69">
      <c r="C254" s="48" t="s">
        <v>458</v>
      </c>
      <c r="D254" s="44" t="str">
        <f t="shared" si="43"/>
        <v>CHF549</v>
      </c>
      <c r="E254" s="44" t="str">
        <f t="shared" si="43"/>
        <v>CHF600</v>
      </c>
      <c r="F254" s="45">
        <f t="shared" si="43"/>
        <v>9.2896174863388081E-2</v>
      </c>
      <c r="G254" s="44" t="str">
        <f t="shared" si="43"/>
        <v>Neutral</v>
      </c>
      <c r="H254" s="46"/>
      <c r="I254" s="47">
        <f>SWISS!$D$42</f>
        <v>3.6037471266876917</v>
      </c>
      <c r="J254" s="47">
        <f>SWISS!$E$42</f>
        <v>3.5296383875666608</v>
      </c>
      <c r="K254" s="47">
        <f>SWISS!$F$42</f>
        <v>3.1709054171205162</v>
      </c>
      <c r="L254" s="47">
        <f>SWISS!$G$42</f>
        <v>3.5614412465785303</v>
      </c>
      <c r="M254" s="45">
        <f>SWISS!$H$42</f>
        <v>4.1736852481159881E-2</v>
      </c>
      <c r="N254" s="46"/>
      <c r="O254" s="615">
        <f>(SWISS!$D$23/SWISS!$C$23)-1</f>
        <v>1.085814771418625E-2</v>
      </c>
      <c r="P254" s="615">
        <f>(SWISS!$E$23/SWISS!$D$23)-1</f>
        <v>0.39193408536899121</v>
      </c>
      <c r="Q254" s="615">
        <f>(SWISS!$F$23/SWISS!$E$23)-1</f>
        <v>5.10401649634451E-4</v>
      </c>
      <c r="R254" s="615">
        <f>(SWISS!$G$23/SWISS!$F$23)-1</f>
        <v>1.5396443844579721E-3</v>
      </c>
      <c r="S254" s="615">
        <f>SWISS!$H$23</f>
        <v>0.11729916515339012</v>
      </c>
      <c r="T254" s="46"/>
      <c r="U254" s="48" t="str">
        <f t="shared" si="45"/>
        <v>CHF549</v>
      </c>
      <c r="V254" s="69" t="str">
        <f t="shared" ref="V254:V259" si="46">V194</f>
        <v>Swisscom</v>
      </c>
    </row>
    <row r="255" spans="1:69" s="5" customFormat="1">
      <c r="A255" s="41"/>
      <c r="B255" s="42"/>
      <c r="C255" s="48" t="s">
        <v>265</v>
      </c>
      <c r="D255" s="44" t="str">
        <f t="shared" si="43"/>
        <v>EUR 0.24</v>
      </c>
      <c r="E255" s="44" t="str">
        <f t="shared" si="43"/>
        <v>EUR 0.34</v>
      </c>
      <c r="F255" s="45">
        <f t="shared" si="43"/>
        <v>0.44006776789495983</v>
      </c>
      <c r="G255" s="44" t="str">
        <f t="shared" si="43"/>
        <v>Buy</v>
      </c>
      <c r="H255" s="46"/>
      <c r="I255" s="47">
        <f>TI!$D$42</f>
        <v>2.152710104177844</v>
      </c>
      <c r="J255" s="47">
        <f>TI!$E$42</f>
        <v>2.1803613210785153</v>
      </c>
      <c r="K255" s="47">
        <f>TI!$F$42</f>
        <v>2.1847412665781687</v>
      </c>
      <c r="L255" s="47">
        <f>TI!$G$42</f>
        <v>2.1951358132157681</v>
      </c>
      <c r="M255" s="45">
        <f>TI!$H$42</f>
        <v>-8.5135912277238823E-3</v>
      </c>
      <c r="N255" s="46"/>
      <c r="O255" s="615">
        <f>(TI!$D$23/TI!$C$23)-1</f>
        <v>-2.0752738021323158E-2</v>
      </c>
      <c r="P255" s="615">
        <f>(TI!$E$23/TI!$D$23)-1</f>
        <v>-3.9502658002690261E-3</v>
      </c>
      <c r="Q255" s="615">
        <f>(TI!$F$23/TI!$E$23)-1</f>
        <v>5.1605445968383457E-3</v>
      </c>
      <c r="R255" s="615">
        <f>(TI!$G$23/TI!$F$23)-1</f>
        <v>7.3133426194769147E-3</v>
      </c>
      <c r="S255" s="615">
        <f>TI!$H$23</f>
        <v>2.82930017453209E-3</v>
      </c>
      <c r="T255" s="46"/>
      <c r="U255" s="48" t="str">
        <f t="shared" si="45"/>
        <v>EUR 0.24</v>
      </c>
      <c r="V255" s="69" t="str">
        <f t="shared" si="46"/>
        <v>Telecom Italia</v>
      </c>
      <c r="Z255" s="49"/>
      <c r="AE255" s="41"/>
      <c r="AF255" s="31"/>
      <c r="AG255" s="31"/>
      <c r="AI255" s="41"/>
      <c r="AJ255" s="64"/>
      <c r="AK255" s="64"/>
      <c r="AM255" s="41"/>
      <c r="AN255" s="64"/>
      <c r="AO255" s="64"/>
      <c r="AQ255" s="41"/>
      <c r="AR255" s="64"/>
      <c r="AS255" s="64"/>
    </row>
    <row r="256" spans="1:69" s="5" customFormat="1">
      <c r="A256" s="41"/>
      <c r="B256" s="42"/>
      <c r="C256" s="48" t="s">
        <v>456</v>
      </c>
      <c r="D256" s="44" t="str">
        <f t="shared" si="43"/>
        <v>EUR 4.21</v>
      </c>
      <c r="E256" s="44" t="str">
        <f t="shared" si="43"/>
        <v>EUR 4.30</v>
      </c>
      <c r="F256" s="45">
        <f t="shared" si="43"/>
        <v>2.065036790885344E-2</v>
      </c>
      <c r="G256" s="44" t="str">
        <f t="shared" si="43"/>
        <v>Neutral</v>
      </c>
      <c r="H256" s="46"/>
      <c r="I256" s="47">
        <f>TEF!$D$42</f>
        <v>2.6239339900612872</v>
      </c>
      <c r="J256" s="47">
        <f>TEF!$E$42</f>
        <v>2.5320213476918583</v>
      </c>
      <c r="K256" s="47">
        <f>TEF!$F$42</f>
        <v>2.5447415198170189</v>
      </c>
      <c r="L256" s="47">
        <f>TEF!$G$42</f>
        <v>2.5654874021979417</v>
      </c>
      <c r="M256" s="45">
        <f>TEF!$H$42</f>
        <v>-3.0858496631693155E-2</v>
      </c>
      <c r="N256" s="46"/>
      <c r="O256" s="615">
        <f>(TEF!$D$23/TEF!$C$23)-1</f>
        <v>-3.5114936172601086E-3</v>
      </c>
      <c r="P256" s="615">
        <f>(TEF!$E$23/TEF!$D$23)-1</f>
        <v>-9.2189384000503916E-3</v>
      </c>
      <c r="Q256" s="615">
        <f>(TEF!$F$23/TEF!$E$23)-1</f>
        <v>6.353359324851926E-3</v>
      </c>
      <c r="R256" s="615">
        <f>(TEF!$G$23/TEF!$F$23)-1</f>
        <v>8.9943674145949171E-3</v>
      </c>
      <c r="S256" s="615">
        <f>TEF!$H$23</f>
        <v>2.0105935473027081E-3</v>
      </c>
      <c r="T256" s="46"/>
      <c r="U256" s="48" t="str">
        <f t="shared" si="45"/>
        <v>EUR 4.21</v>
      </c>
      <c r="V256" s="69" t="str">
        <f t="shared" si="46"/>
        <v>Telefonica</v>
      </c>
      <c r="Z256" s="49"/>
      <c r="AE256" s="41"/>
      <c r="AF256" s="31"/>
      <c r="AG256" s="31"/>
      <c r="AI256" s="41"/>
      <c r="AJ256" s="64"/>
      <c r="AK256" s="64"/>
      <c r="AM256" s="41"/>
      <c r="AN256" s="64"/>
      <c r="AO256" s="64"/>
      <c r="AQ256" s="41"/>
      <c r="AR256" s="64"/>
      <c r="AS256" s="64"/>
    </row>
    <row r="257" spans="1:45" s="5" customFormat="1">
      <c r="A257" s="41"/>
      <c r="B257" s="42"/>
      <c r="C257" s="48" t="s">
        <v>494</v>
      </c>
      <c r="D257" s="44" t="str">
        <f t="shared" si="43"/>
        <v>NOK 135</v>
      </c>
      <c r="E257" s="44" t="str">
        <f t="shared" si="43"/>
        <v>NOK 138</v>
      </c>
      <c r="F257" s="45">
        <f t="shared" si="43"/>
        <v>2.3738872403560762E-2</v>
      </c>
      <c r="G257" s="44" t="str">
        <f t="shared" si="43"/>
        <v>Buy</v>
      </c>
      <c r="H257" s="46"/>
      <c r="I257" s="47">
        <f>TNOR!$D$42</f>
        <v>4.6464182424974458</v>
      </c>
      <c r="J257" s="47">
        <f>TNOR!$E$42</f>
        <v>-3.4296192567779098</v>
      </c>
      <c r="K257" s="47">
        <f>TNOR!$F$42</f>
        <v>-2.7484145523809449</v>
      </c>
      <c r="L257" s="47">
        <f>TNOR!$G$42</f>
        <v>-2.4057144021988939</v>
      </c>
      <c r="M257" s="45">
        <f>TNOR!$H$42</f>
        <v>-2.1788686677116793</v>
      </c>
      <c r="N257" s="46"/>
      <c r="O257" s="615">
        <f>(TNOR!$D$23/TNOR!$C$23)-1</f>
        <v>5.6663434104538002E-3</v>
      </c>
      <c r="P257" s="615">
        <f>(TNOR!$E$23/TNOR!$D$23)-1</f>
        <v>-4.5585718606813375E-2</v>
      </c>
      <c r="Q257" s="615">
        <f>(TNOR!$F$23/TNOR!$E$23)-1</f>
        <v>1.0147526341925284E-2</v>
      </c>
      <c r="R257" s="615">
        <f>(TNOR!$G$23/TNOR!$F$23)-1</f>
        <v>1.0217266997751606E-2</v>
      </c>
      <c r="S257" s="615">
        <f>TNOR!$H$23</f>
        <v>-8.7599511224496496E-3</v>
      </c>
      <c r="T257" s="46"/>
      <c r="U257" s="48" t="str">
        <f t="shared" si="45"/>
        <v>NOK 135</v>
      </c>
      <c r="V257" s="44" t="str">
        <f t="shared" si="46"/>
        <v>Telenor</v>
      </c>
      <c r="Z257" s="49"/>
      <c r="AE257" s="41"/>
      <c r="AF257" s="31"/>
      <c r="AG257" s="31"/>
      <c r="AI257" s="41"/>
      <c r="AJ257" s="64"/>
      <c r="AK257" s="64"/>
      <c r="AM257" s="41"/>
      <c r="AN257" s="64"/>
      <c r="AO257" s="64"/>
      <c r="AQ257" s="41"/>
      <c r="AR257" s="64"/>
      <c r="AS257" s="64"/>
    </row>
    <row r="258" spans="1:45" s="5" customFormat="1">
      <c r="A258" s="41"/>
      <c r="B258" s="42"/>
      <c r="C258" s="48" t="s">
        <v>1030</v>
      </c>
      <c r="D258" s="44" t="str">
        <f t="shared" si="43"/>
        <v>SEK33.4</v>
      </c>
      <c r="E258" s="44" t="str">
        <f t="shared" si="43"/>
        <v>SEK33.0</v>
      </c>
      <c r="F258" s="45">
        <f t="shared" si="43"/>
        <v>-1.2567324955116699E-2</v>
      </c>
      <c r="G258" s="44" t="str">
        <f t="shared" si="43"/>
        <v>Buy</v>
      </c>
      <c r="H258" s="46"/>
      <c r="I258" s="47">
        <f>TELIA!$D$42</f>
        <v>3.3345870932818884</v>
      </c>
      <c r="J258" s="47">
        <f>TELIA!$E$42</f>
        <v>3.8484079777595106</v>
      </c>
      <c r="K258" s="47">
        <f>TELIA!$F$42</f>
        <v>3.9837931622839626</v>
      </c>
      <c r="L258" s="47">
        <f>TELIA!$G$42</f>
        <v>4.1401881969391878</v>
      </c>
      <c r="M258" s="45">
        <f>TELIA!$H$42</f>
        <v>-0.10893151940265366</v>
      </c>
      <c r="N258" s="46"/>
      <c r="O258" s="615">
        <f>(TELIA!$D$23/TELIA!$C$23)-1</f>
        <v>6.5640409724014859E-3</v>
      </c>
      <c r="P258" s="615">
        <f>(TELIA!$E$23/TELIA!$D$23)-1</f>
        <v>9.7725485437210047E-3</v>
      </c>
      <c r="Q258" s="615">
        <f>(TELIA!$F$23/TELIA!$E$23)-1</f>
        <v>4.5134138163593907E-3</v>
      </c>
      <c r="R258" s="615">
        <f>(TELIA!$G$23/TELIA!$F$23)-1</f>
        <v>8.2536926824881007E-3</v>
      </c>
      <c r="S258" s="615">
        <f>TELIA!$H$23</f>
        <v>7.5107929533639872E-3</v>
      </c>
      <c r="T258" s="46"/>
      <c r="U258" s="48" t="str">
        <f t="shared" si="45"/>
        <v>SEK33.4</v>
      </c>
      <c r="V258" s="44" t="str">
        <f t="shared" si="46"/>
        <v>TeliaSonera</v>
      </c>
      <c r="Z258" s="49"/>
      <c r="AE258" s="41"/>
      <c r="AF258" s="31"/>
      <c r="AG258" s="31"/>
      <c r="AI258" s="41"/>
      <c r="AJ258" s="64"/>
      <c r="AK258" s="64"/>
      <c r="AM258" s="41"/>
      <c r="AN258" s="64"/>
      <c r="AO258" s="64"/>
      <c r="AQ258" s="41"/>
      <c r="AR258" s="64"/>
      <c r="AS258" s="64"/>
    </row>
    <row r="259" spans="1:45" s="5" customFormat="1">
      <c r="A259" s="41"/>
      <c r="B259" s="42"/>
      <c r="C259" s="51" t="str">
        <f>C199</f>
        <v>Agg. W.Europe Incumbent</v>
      </c>
      <c r="D259" s="52"/>
      <c r="E259" s="52"/>
      <c r="F259" s="53"/>
      <c r="G259" s="52"/>
      <c r="H259" s="46"/>
      <c r="I259" s="54">
        <f>'W.EUR INCUMB'!$D$42</f>
        <v>3.3018414806759897</v>
      </c>
      <c r="J259" s="54">
        <f>'W.EUR INCUMB'!$E$42</f>
        <v>3.4986841397092472</v>
      </c>
      <c r="K259" s="54">
        <f>'W.EUR INCUMB'!$F$42</f>
        <v>3.443626478370386</v>
      </c>
      <c r="L259" s="54">
        <f>'W.EUR INCUMB'!$G$42</f>
        <v>3.3920965847495546</v>
      </c>
      <c r="M259" s="55">
        <f>'W.EUR INCUMB'!$H$42</f>
        <v>-3.1528111845970708E-2</v>
      </c>
      <c r="N259" s="56"/>
      <c r="O259" s="616">
        <f>('W.EUR INCUMB'!$D$23/'W.EUR INCUMB'!$C$23)-1</f>
        <v>1.4929089099566806E-3</v>
      </c>
      <c r="P259" s="616">
        <f>('W.EUR INCUMB'!$E$23/'W.EUR INCUMB'!$D$23)-1</f>
        <v>2.8396498486107591E-2</v>
      </c>
      <c r="Q259" s="616">
        <f>('W.EUR INCUMB'!$F$23/'W.EUR INCUMB'!$E$23)-1</f>
        <v>1.5626545785404344E-2</v>
      </c>
      <c r="R259" s="616">
        <f>('W.EUR INCUMB'!$G$23/'W.EUR INCUMB'!$F$23)-1</f>
        <v>1.5242712221328558E-2</v>
      </c>
      <c r="S259" s="616">
        <f>'W.EUR INCUMB'!$H$23</f>
        <v>1.9736985261286089E-2</v>
      </c>
      <c r="T259" s="46"/>
      <c r="U259" s="57"/>
      <c r="V259" s="58" t="str">
        <f t="shared" si="46"/>
        <v>Agg. W.Europe Incumbent</v>
      </c>
      <c r="Z259" s="49"/>
      <c r="AE259" s="41"/>
      <c r="AF259" s="31"/>
      <c r="AG259" s="31"/>
      <c r="AI259" s="41"/>
      <c r="AJ259" s="64"/>
      <c r="AK259" s="64"/>
      <c r="AM259" s="41"/>
      <c r="AN259" s="64"/>
      <c r="AO259" s="64"/>
      <c r="AQ259" s="41"/>
      <c r="AR259" s="64"/>
      <c r="AS259" s="64"/>
    </row>
    <row r="260" spans="1:45" s="5" customFormat="1">
      <c r="A260" s="41"/>
      <c r="B260" s="42"/>
      <c r="C260" s="48"/>
      <c r="D260" s="44"/>
      <c r="E260" s="44"/>
      <c r="F260" s="45"/>
      <c r="G260" s="44"/>
      <c r="H260" s="46"/>
      <c r="I260" s="47"/>
      <c r="J260" s="47"/>
      <c r="K260" s="47"/>
      <c r="L260" s="47"/>
      <c r="M260" s="45"/>
      <c r="N260" s="46"/>
      <c r="O260" s="615"/>
      <c r="P260" s="615"/>
      <c r="Q260" s="615"/>
      <c r="R260" s="615"/>
      <c r="S260" s="615"/>
      <c r="T260" s="46"/>
      <c r="U260" s="48"/>
      <c r="V260" s="44"/>
      <c r="Z260" s="46"/>
      <c r="AE260" s="41"/>
      <c r="AF260" s="31"/>
      <c r="AG260" s="31"/>
      <c r="AI260" s="41"/>
      <c r="AJ260" s="64"/>
      <c r="AK260" s="64"/>
      <c r="AM260" s="41"/>
      <c r="AN260" s="64"/>
      <c r="AO260" s="64"/>
      <c r="AQ260" s="41"/>
      <c r="AR260" s="64"/>
      <c r="AS260" s="64"/>
    </row>
    <row r="261" spans="1:45" s="5" customFormat="1">
      <c r="A261" s="41"/>
      <c r="B261" s="42" t="s">
        <v>514</v>
      </c>
      <c r="C261" s="48" t="s">
        <v>486</v>
      </c>
      <c r="D261" s="44" t="str">
        <f>B261&amp;TEXT(Prices!$C$40,"0.0")</f>
        <v>US$20.7</v>
      </c>
      <c r="E261" s="44" t="str">
        <f>B261&amp;TEXT(Prices!$E$40,"0.00")</f>
        <v>US$21.00</v>
      </c>
      <c r="F261" s="45">
        <f>Prices!$F$40</f>
        <v>1.6949152542373058E-2</v>
      </c>
      <c r="G261" s="44" t="str">
        <f>Prices!$D$40</f>
        <v>Neutral</v>
      </c>
      <c r="H261" s="46"/>
      <c r="I261" s="47">
        <f>ATT!$D$42</f>
        <v>2.180670913463409</v>
      </c>
      <c r="J261" s="47">
        <f>ATT!$E$42</f>
        <v>2.0153804486132341</v>
      </c>
      <c r="K261" s="47">
        <f>ATT!$F$42</f>
        <v>1.8696351728146083</v>
      </c>
      <c r="L261" s="47">
        <f>ATT!$G$42</f>
        <v>1.7239405934558503</v>
      </c>
      <c r="M261" s="45">
        <f>ATT!$H$42</f>
        <v>8.5921980087044769E-3</v>
      </c>
      <c r="N261" s="46"/>
      <c r="O261" s="615">
        <f>(ATT!$D$23/ATT!$C$23)-1</f>
        <v>1.3972055888223478E-2</v>
      </c>
      <c r="P261" s="615">
        <f>(ATT!$E$23/ATT!$D$23)-1</f>
        <v>1.0296968752494529E-3</v>
      </c>
      <c r="Q261" s="615">
        <f>(ATT!$F$23/ATT!$E$23)-1</f>
        <v>9.1735588620391884E-3</v>
      </c>
      <c r="R261" s="615">
        <f>(ATT!$G$23/ATT!$F$23)-1</f>
        <v>1.1520784567278008E-2</v>
      </c>
      <c r="S261" s="615">
        <f>ATT!$H$23</f>
        <v>7.2312971710009055E-3</v>
      </c>
      <c r="T261" s="46"/>
      <c r="U261" s="48" t="str">
        <f t="shared" ref="U261:V263" si="47">U201</f>
        <v>USD20.7</v>
      </c>
      <c r="V261" s="44" t="str">
        <f t="shared" si="47"/>
        <v>AT&amp;T</v>
      </c>
      <c r="Z261" s="46"/>
      <c r="AE261" s="41"/>
      <c r="AF261" s="31"/>
      <c r="AG261" s="31"/>
      <c r="AI261" s="41"/>
      <c r="AJ261" s="64"/>
      <c r="AK261" s="64"/>
      <c r="AM261" s="41"/>
      <c r="AN261" s="64"/>
      <c r="AO261" s="64"/>
      <c r="AQ261" s="41"/>
      <c r="AR261" s="64"/>
      <c r="AS261" s="64"/>
    </row>
    <row r="262" spans="1:45" s="5" customFormat="1">
      <c r="A262" s="146"/>
      <c r="B262" s="42" t="s">
        <v>514</v>
      </c>
      <c r="C262" s="48" t="s">
        <v>687</v>
      </c>
      <c r="D262" s="44" t="str">
        <f>B262&amp;TEXT(Prices!$C$41,"0.0")</f>
        <v>US$197.2</v>
      </c>
      <c r="E262" s="44" t="str">
        <f>B262&amp;TEXT(Prices!$E$41,"0.0")</f>
        <v>US$205.0</v>
      </c>
      <c r="F262" s="45">
        <f>Prices!$F$41</f>
        <v>3.9659194644487306E-2</v>
      </c>
      <c r="G262" s="44" t="str">
        <f>Prices!$D$41</f>
        <v>Buy</v>
      </c>
      <c r="H262" s="46"/>
      <c r="I262" s="47">
        <f>TMUS!$D$42</f>
        <v>7.6844077342246244</v>
      </c>
      <c r="J262" s="47">
        <f>TMUS!$E$42</f>
        <v>8.3069972624595323</v>
      </c>
      <c r="K262" s="47">
        <f>TMUS!$F$42</f>
        <v>8.7611701997847948</v>
      </c>
      <c r="L262" s="47">
        <f>TMUS!$G$42</f>
        <v>9.4141036262919915</v>
      </c>
      <c r="M262" s="45">
        <f>TMUS!$H$42</f>
        <v>-0.11972349374419411</v>
      </c>
      <c r="N262" s="46"/>
      <c r="O262" s="615">
        <f>(TMUS!$D$23/TMUS!$C$23)-1</f>
        <v>-1.2730768747407972E-2</v>
      </c>
      <c r="P262" s="615">
        <f>(TMUS!$E$23/TMUS!$D$23)-1</f>
        <v>4.0522286382031592E-2</v>
      </c>
      <c r="Q262" s="615">
        <f>(TMUS!$F$23/TMUS!$E$23)-1</f>
        <v>4.4961623573918086E-2</v>
      </c>
      <c r="R262" s="615">
        <f>(TMUS!$G$23/TMUS!$F$23)-1</f>
        <v>4.0178678437440274E-2</v>
      </c>
      <c r="S262" s="615">
        <f>TMUS!$H$23</f>
        <v>4.188525468612303E-2</v>
      </c>
      <c r="T262" s="46"/>
      <c r="U262" s="48" t="str">
        <f t="shared" si="47"/>
        <v>USD197.2</v>
      </c>
      <c r="V262" s="44" t="str">
        <f t="shared" si="47"/>
        <v>TMUS</v>
      </c>
      <c r="Z262" s="46"/>
      <c r="AE262" s="41"/>
      <c r="AF262" s="31"/>
      <c r="AG262" s="31"/>
      <c r="AI262" s="41"/>
      <c r="AJ262" s="64"/>
      <c r="AK262" s="64"/>
      <c r="AM262" s="41"/>
      <c r="AN262" s="64"/>
      <c r="AO262" s="64"/>
      <c r="AQ262" s="41"/>
      <c r="AR262" s="64"/>
      <c r="AS262" s="64"/>
    </row>
    <row r="263" spans="1:45" s="5" customFormat="1">
      <c r="A263" s="41"/>
      <c r="B263" s="42" t="s">
        <v>514</v>
      </c>
      <c r="C263" s="48" t="s">
        <v>33</v>
      </c>
      <c r="D263" s="44" t="str">
        <f>B263&amp;TEXT(Prices!$C$39,"0.0")</f>
        <v>US$41.3</v>
      </c>
      <c r="E263" s="44" t="str">
        <f>B263&amp;TEXT(Prices!$E$39,"0.00")</f>
        <v>US$45.00</v>
      </c>
      <c r="F263" s="45">
        <f>Prices!$F$39</f>
        <v>8.9324618736383421E-2</v>
      </c>
      <c r="G263" s="44" t="str">
        <f>Prices!$D$39</f>
        <v>Neutral</v>
      </c>
      <c r="H263" s="46"/>
      <c r="I263" s="47">
        <f>VZN!$D$42</f>
        <v>3.3994629277049451</v>
      </c>
      <c r="J263" s="47">
        <f>VZN!$E$42</f>
        <v>3.2014780998228272</v>
      </c>
      <c r="K263" s="47">
        <f>VZN!$F$42</f>
        <v>2.9899163364986108</v>
      </c>
      <c r="L263" s="47">
        <f>VZN!$G$42</f>
        <v>2.7709113787633797</v>
      </c>
      <c r="M263" s="45">
        <f>VZN!$H$42</f>
        <v>0</v>
      </c>
      <c r="N263" s="46"/>
      <c r="O263" s="615">
        <f>(VZN!$D$23/VZN!$C$23)-1</f>
        <v>-2.090839332042238E-2</v>
      </c>
      <c r="P263" s="615">
        <f>(VZN!$E$23/VZN!$D$23)-1</f>
        <v>1.4154520942268212E-2</v>
      </c>
      <c r="Q263" s="615">
        <f>(VZN!$F$23/VZN!$E$23)-1</f>
        <v>1.601614322805367E-2</v>
      </c>
      <c r="R263" s="615">
        <f>(VZN!$G$23/VZN!$F$23)-1</f>
        <v>1.4449870232817075E-2</v>
      </c>
      <c r="S263" s="615">
        <f>VZN!$H$23</f>
        <v>1.4873182799269635E-2</v>
      </c>
      <c r="T263" s="46"/>
      <c r="U263" s="48" t="str">
        <f t="shared" si="47"/>
        <v>USD41.3</v>
      </c>
      <c r="V263" s="44" t="str">
        <f t="shared" si="47"/>
        <v>Verizon</v>
      </c>
      <c r="Z263" s="46"/>
      <c r="AE263" s="41"/>
      <c r="AF263" s="31"/>
      <c r="AG263" s="31"/>
      <c r="AI263" s="41"/>
      <c r="AJ263" s="64"/>
      <c r="AK263" s="64"/>
      <c r="AM263" s="41"/>
      <c r="AN263" s="64"/>
      <c r="AO263" s="64"/>
      <c r="AQ263" s="41"/>
      <c r="AR263" s="64"/>
      <c r="AS263" s="64"/>
    </row>
    <row r="264" spans="1:45" s="5" customFormat="1">
      <c r="A264" s="41"/>
      <c r="B264" s="42"/>
      <c r="C264" s="51" t="s">
        <v>257</v>
      </c>
      <c r="D264" s="52"/>
      <c r="E264" s="52"/>
      <c r="F264" s="53"/>
      <c r="G264" s="52"/>
      <c r="H264" s="46"/>
      <c r="I264" s="54">
        <f>'US TELCO'!$D$42</f>
        <v>3.4632866380030749</v>
      </c>
      <c r="J264" s="54">
        <f>'US TELCO'!$E$42</f>
        <v>3.3126311431167741</v>
      </c>
      <c r="K264" s="54">
        <f>'US TELCO'!$F$42</f>
        <v>3.1324767196320553</v>
      </c>
      <c r="L264" s="54">
        <f>'US TELCO'!$G$42</f>
        <v>2.9507296796827212</v>
      </c>
      <c r="M264" s="55">
        <f>'US TELCO'!$H$42</f>
        <v>-1.2306873951881125E-2</v>
      </c>
      <c r="N264" s="46"/>
      <c r="O264" s="616">
        <f>('US TELCO'!D$23/'US TELCO'!C$23)-1</f>
        <v>-6.4867846962897158E-3</v>
      </c>
      <c r="P264" s="616">
        <f>('US TELCO'!E$23/'US TELCO'!D$23)-1</f>
        <v>1.5541411784577575E-2</v>
      </c>
      <c r="Q264" s="616">
        <f>('US TELCO'!F$23/'US TELCO'!E$23)-1</f>
        <v>2.0506472154624422E-2</v>
      </c>
      <c r="R264" s="616">
        <f>('US TELCO'!G$23/'US TELCO'!F$23)-1</f>
        <v>1.9737060129902284E-2</v>
      </c>
      <c r="S264" s="616">
        <f>'US TELCO'!$H$23</f>
        <v>1.8592642260168768E-2</v>
      </c>
      <c r="T264" s="46"/>
      <c r="U264" s="57"/>
      <c r="V264" s="58" t="str">
        <f>V204</f>
        <v>Agg. US Telecoms</v>
      </c>
      <c r="Z264" s="46"/>
      <c r="AE264" s="41"/>
      <c r="AF264" s="31"/>
      <c r="AG264" s="31"/>
      <c r="AI264" s="41"/>
      <c r="AJ264" s="64"/>
      <c r="AK264" s="64"/>
      <c r="AM264" s="41"/>
      <c r="AN264" s="64"/>
      <c r="AO264" s="64"/>
      <c r="AQ264" s="41"/>
      <c r="AR264" s="64"/>
      <c r="AS264" s="64"/>
    </row>
    <row r="265" spans="1:45" s="5" customFormat="1">
      <c r="A265" s="41"/>
      <c r="B265" s="42"/>
      <c r="C265" s="48"/>
      <c r="D265" s="44"/>
      <c r="E265" s="44"/>
      <c r="F265" s="45"/>
      <c r="G265" s="44"/>
      <c r="H265" s="46"/>
      <c r="I265" s="47"/>
      <c r="J265" s="47"/>
      <c r="K265" s="47"/>
      <c r="L265" s="47"/>
      <c r="M265" s="45"/>
      <c r="N265" s="46"/>
      <c r="O265" s="615"/>
      <c r="P265" s="615"/>
      <c r="Q265" s="615"/>
      <c r="R265" s="615"/>
      <c r="S265" s="615"/>
      <c r="T265" s="46"/>
      <c r="U265" s="48"/>
      <c r="V265" s="44"/>
      <c r="Z265" s="46"/>
      <c r="AE265" s="41"/>
      <c r="AF265" s="31"/>
      <c r="AG265" s="31"/>
      <c r="AI265" s="41"/>
      <c r="AJ265" s="64"/>
      <c r="AK265" s="64"/>
      <c r="AM265" s="41"/>
      <c r="AN265" s="64"/>
      <c r="AO265" s="64"/>
      <c r="AQ265" s="41"/>
      <c r="AR265" s="64"/>
      <c r="AS265" s="64"/>
    </row>
    <row r="266" spans="1:45" s="5" customFormat="1">
      <c r="A266" s="41"/>
      <c r="B266" s="42"/>
      <c r="C266" s="48" t="str">
        <f t="shared" ref="C266:G269" si="48">C206</f>
        <v>NTT</v>
      </c>
      <c r="D266" s="44" t="str">
        <f t="shared" si="48"/>
        <v>JPY 156</v>
      </c>
      <c r="E266" s="44" t="str">
        <f t="shared" si="48"/>
        <v>JPY 240</v>
      </c>
      <c r="F266" s="45">
        <f t="shared" si="48"/>
        <v>0.54340836012861726</v>
      </c>
      <c r="G266" s="44" t="str">
        <f t="shared" si="48"/>
        <v>Buy</v>
      </c>
      <c r="H266" s="46"/>
      <c r="I266" s="47">
        <f>NTT!$D$42</f>
        <v>2.239305194251727</v>
      </c>
      <c r="J266" s="47">
        <f>NTT!$E$42</f>
        <v>2.1286589735363708</v>
      </c>
      <c r="K266" s="47">
        <f>NTT!$F$42</f>
        <v>2.0179491831957002</v>
      </c>
      <c r="L266" s="47">
        <f>NTT!$G$42</f>
        <v>1.906338920602582</v>
      </c>
      <c r="M266" s="45">
        <f>NTT!$H$42</f>
        <v>2.2725549503101128E-2</v>
      </c>
      <c r="N266" s="46"/>
      <c r="O266" s="615">
        <f>(NTT!$D$23/NTT!$C$23)-1</f>
        <v>1.8163824604141565E-2</v>
      </c>
      <c r="P266" s="615">
        <f>(NTT!$E$23/NTT!$D$23)-1</f>
        <v>1.8576010821717892E-2</v>
      </c>
      <c r="Q266" s="615">
        <f>(NTT!$F$23/NTT!$E$23)-1</f>
        <v>3.332934919618924E-2</v>
      </c>
      <c r="R266" s="615">
        <f>(NTT!$G$23/NTT!$F$23)-1</f>
        <v>3.5104601899218713E-2</v>
      </c>
      <c r="S266" s="615">
        <f>NTT!$H$23</f>
        <v>2.8976562032333453E-2</v>
      </c>
      <c r="T266" s="46"/>
      <c r="U266" s="48" t="str">
        <f t="shared" ref="U266:V269" si="49">U206</f>
        <v>JPY 156</v>
      </c>
      <c r="V266" s="44" t="str">
        <f t="shared" si="49"/>
        <v>NTT</v>
      </c>
      <c r="Z266" s="46"/>
      <c r="AE266" s="41"/>
      <c r="AF266" s="31"/>
      <c r="AG266" s="31"/>
      <c r="AI266" s="41"/>
      <c r="AJ266" s="64"/>
      <c r="AK266" s="64"/>
      <c r="AM266" s="41"/>
      <c r="AN266" s="64"/>
      <c r="AO266" s="64"/>
      <c r="AQ266" s="41"/>
      <c r="AR266" s="64"/>
      <c r="AS266" s="64"/>
    </row>
    <row r="267" spans="1:45" s="5" customFormat="1">
      <c r="A267" s="41"/>
      <c r="B267" s="42"/>
      <c r="C267" s="48" t="str">
        <f t="shared" si="48"/>
        <v>Spark NZ</v>
      </c>
      <c r="D267" s="44" t="str">
        <f t="shared" si="48"/>
        <v>NZD 3.52</v>
      </c>
      <c r="E267" s="44" t="str">
        <f t="shared" si="48"/>
        <v>NZD 5.00</v>
      </c>
      <c r="F267" s="45">
        <f t="shared" si="48"/>
        <v>0.42045454545454541</v>
      </c>
      <c r="G267" s="44" t="str">
        <f t="shared" si="48"/>
        <v>Neutral</v>
      </c>
      <c r="H267" s="46"/>
      <c r="I267" s="47">
        <f>SPK!$D$42</f>
        <v>5.9075430404756339</v>
      </c>
      <c r="J267" s="47">
        <f>SPK!$E$42</f>
        <v>5.290860590620504</v>
      </c>
      <c r="K267" s="47">
        <f>SPK!$F$42</f>
        <v>4.6611752563892797</v>
      </c>
      <c r="L267" s="47">
        <f>SPK!$G$42</f>
        <v>4.0405270571756038</v>
      </c>
      <c r="M267" s="45">
        <f>SPK!$H$42</f>
        <v>2.4800684779147764E-2</v>
      </c>
      <c r="N267" s="46"/>
      <c r="O267" s="615">
        <f>(SPK!$D$23/SPK!$C$23)-1</f>
        <v>1.125229431685737E-2</v>
      </c>
      <c r="P267" s="615">
        <f>(SPK!$E$23/SPK!$D$23)-1</f>
        <v>2.2240612875768173E-2</v>
      </c>
      <c r="Q267" s="615">
        <f>(SPK!$F$23/SPK!$E$23)-1</f>
        <v>2.880350169844581E-2</v>
      </c>
      <c r="R267" s="615">
        <f>(SPK!$G$23/SPK!$F$23)-1</f>
        <v>2.5560309813146942E-2</v>
      </c>
      <c r="S267" s="615">
        <f>SPK!$H$23</f>
        <v>2.5531307948985615E-2</v>
      </c>
      <c r="T267" s="46"/>
      <c r="U267" s="48" t="str">
        <f t="shared" si="49"/>
        <v>NZD 3.52</v>
      </c>
      <c r="V267" s="44" t="str">
        <f t="shared" si="49"/>
        <v>Spark NZ</v>
      </c>
      <c r="Z267" s="46"/>
      <c r="AE267" s="41"/>
      <c r="AF267" s="31"/>
      <c r="AG267" s="31"/>
      <c r="AI267" s="41"/>
      <c r="AJ267" s="64"/>
      <c r="AK267" s="64"/>
      <c r="AM267" s="41"/>
      <c r="AN267" s="64"/>
      <c r="AO267" s="64"/>
      <c r="AQ267" s="41"/>
      <c r="AR267" s="64"/>
      <c r="AS267" s="64"/>
    </row>
    <row r="268" spans="1:45" s="5" customFormat="1">
      <c r="A268" s="41"/>
      <c r="B268" s="42"/>
      <c r="C268" s="48" t="str">
        <f t="shared" si="48"/>
        <v>SingTel</v>
      </c>
      <c r="D268" s="44" t="str">
        <f t="shared" si="48"/>
        <v>SGD 3.13</v>
      </c>
      <c r="E268" s="44" t="str">
        <f t="shared" si="48"/>
        <v>SGD 4.60</v>
      </c>
      <c r="F268" s="45">
        <f t="shared" si="48"/>
        <v>0.46964856230031948</v>
      </c>
      <c r="G268" s="44" t="str">
        <f t="shared" si="48"/>
        <v>Buy</v>
      </c>
      <c r="H268" s="46"/>
      <c r="I268" s="47">
        <f>SINGTEL!$D$42</f>
        <v>3.2786731334205097</v>
      </c>
      <c r="J268" s="47">
        <f>SINGTEL!$E$42</f>
        <v>3.1571455752018931</v>
      </c>
      <c r="K268" s="47">
        <f>SINGTEL!$F$42</f>
        <v>3.2048769217252233</v>
      </c>
      <c r="L268" s="47">
        <f>SINGTEL!$G$42</f>
        <v>3.0771187620511991</v>
      </c>
      <c r="M268" s="45">
        <f>SINGTEL!$H$42</f>
        <v>8.9916835815888607E-3</v>
      </c>
      <c r="N268" s="46"/>
      <c r="O268" s="615">
        <f>(SINGTEL!$D$23/SINGTEL!$C$23)-1</f>
        <v>-3.391684901531733E-2</v>
      </c>
      <c r="P268" s="615">
        <f>(SINGTEL!$E$23/SINGTEL!$D$23)-1</f>
        <v>1.9816957533896895E-2</v>
      </c>
      <c r="Q268" s="615">
        <f>(SINGTEL!$F$23/SINGTEL!$E$23)-1</f>
        <v>3.105070850211411E-2</v>
      </c>
      <c r="R268" s="615">
        <f>(SINGTEL!$G$23/SINGTEL!$F$23)-1</f>
        <v>1.5019522996783552E-2</v>
      </c>
      <c r="S268" s="615">
        <f>SINGTEL!$H$23</f>
        <v>2.1940356753366919E-2</v>
      </c>
      <c r="T268" s="46"/>
      <c r="U268" s="48" t="str">
        <f t="shared" si="49"/>
        <v>SGD 3.13</v>
      </c>
      <c r="V268" s="44" t="str">
        <f t="shared" si="49"/>
        <v>SingTel</v>
      </c>
      <c r="Z268" s="46"/>
      <c r="AE268" s="41"/>
      <c r="AF268" s="31"/>
      <c r="AG268" s="31"/>
      <c r="AI268" s="41"/>
      <c r="AJ268" s="64"/>
      <c r="AK268" s="64"/>
      <c r="AM268" s="41"/>
      <c r="AN268" s="64"/>
      <c r="AO268" s="64"/>
      <c r="AQ268" s="41"/>
      <c r="AR268" s="64"/>
      <c r="AS268" s="64"/>
    </row>
    <row r="269" spans="1:45" s="5" customFormat="1">
      <c r="A269" s="41"/>
      <c r="B269" s="42"/>
      <c r="C269" s="48" t="str">
        <f t="shared" si="48"/>
        <v xml:space="preserve">Telstra </v>
      </c>
      <c r="D269" s="44" t="str">
        <f t="shared" si="48"/>
        <v>AUD 3.93</v>
      </c>
      <c r="E269" s="44" t="str">
        <f t="shared" si="48"/>
        <v>AUD 3.50</v>
      </c>
      <c r="F269" s="45">
        <f t="shared" si="48"/>
        <v>-0.10941475826972014</v>
      </c>
      <c r="G269" s="44" t="str">
        <f t="shared" si="48"/>
        <v>Buy</v>
      </c>
      <c r="H269" s="46"/>
      <c r="I269" s="47">
        <f>TLS!$D$42</f>
        <v>2.4743234483794985</v>
      </c>
      <c r="J269" s="47">
        <f>TLS!$E$42</f>
        <v>2.3597335842577469</v>
      </c>
      <c r="K269" s="47">
        <f>TLS!$F$42</f>
        <v>2.19384428983243</v>
      </c>
      <c r="L269" s="47">
        <f>TLS!$G$42</f>
        <v>2.0182110985820727</v>
      </c>
      <c r="M269" s="45">
        <f>TLS!$H$42</f>
        <v>-2.6559604522810032E-3</v>
      </c>
      <c r="N269" s="46"/>
      <c r="O269" s="615">
        <f>(TLS!$D$23/TLS!$C$23)-1</f>
        <v>-6.3874968700404766E-3</v>
      </c>
      <c r="P269" s="615">
        <f>(TLS!$E$23/TLS!$D$23)-1</f>
        <v>-2.68314788296663E-2</v>
      </c>
      <c r="Q269" s="615">
        <f>(TLS!$F$23/TLS!$E$23)-1</f>
        <v>-1.9943020925844435E-2</v>
      </c>
      <c r="R269" s="615">
        <f>(TLS!$G$23/TLS!$F$23)-1</f>
        <v>2.6039236406235178E-2</v>
      </c>
      <c r="S269" s="615">
        <f>TLS!$H$23</f>
        <v>-7.1862522661734207E-3</v>
      </c>
      <c r="T269" s="46"/>
      <c r="U269" s="48" t="str">
        <f t="shared" si="49"/>
        <v>AUD 3.93</v>
      </c>
      <c r="V269" s="44" t="str">
        <f t="shared" si="49"/>
        <v>Telstra</v>
      </c>
      <c r="Z269" s="46"/>
      <c r="AE269" s="41"/>
      <c r="AF269" s="31"/>
      <c r="AG269" s="31"/>
      <c r="AI269" s="41"/>
      <c r="AJ269" s="64"/>
      <c r="AK269" s="64"/>
      <c r="AM269" s="41"/>
      <c r="AN269" s="64"/>
      <c r="AO269" s="64"/>
      <c r="AQ269" s="41"/>
      <c r="AR269" s="64"/>
      <c r="AS269" s="64"/>
    </row>
    <row r="270" spans="1:45" s="5" customFormat="1">
      <c r="A270" s="41"/>
      <c r="B270" s="42"/>
      <c r="C270" s="51" t="str">
        <f>C210</f>
        <v>Agg. Developed Asia Incumbent</v>
      </c>
      <c r="D270" s="58"/>
      <c r="E270" s="58"/>
      <c r="F270" s="55"/>
      <c r="G270" s="58"/>
      <c r="H270" s="56"/>
      <c r="I270" s="54">
        <f>'DM ASIA INCUMB'!$D$42</f>
        <v>2.4648772237281955</v>
      </c>
      <c r="J270" s="54">
        <f>'DM ASIA INCUMB'!$E$42</f>
        <v>2.3497689382010583</v>
      </c>
      <c r="K270" s="54">
        <f>'DM ASIA INCUMB'!$F$42</f>
        <v>2.2369898214546593</v>
      </c>
      <c r="L270" s="54">
        <f>'DM ASIA INCUMB'!$G$42</f>
        <v>2.1043448667687592</v>
      </c>
      <c r="M270" s="55">
        <f>'DM ASIA INCUMB'!$H$42</f>
        <v>1.7454702754412521E-2</v>
      </c>
      <c r="N270" s="56"/>
      <c r="O270" s="616">
        <f>('DM ASIA INCUMB'!$D$23/'DM ASIA INCUMB'!$C$23)-1</f>
        <v>9.6593223534342521E-3</v>
      </c>
      <c r="P270" s="616">
        <f>('DM ASIA INCUMB'!$E$23/'DM ASIA INCUMB'!$D$23)-1</f>
        <v>1.2284931940701238E-2</v>
      </c>
      <c r="Q270" s="616">
        <f>('DM ASIA INCUMB'!$F$23/'DM ASIA INCUMB'!$E$23)-1</f>
        <v>2.5534714788117974E-2</v>
      </c>
      <c r="R270" s="616">
        <f>('DM ASIA INCUMB'!$G$23/'DM ASIA INCUMB'!$F$23)-1</f>
        <v>3.1754418568426868E-2</v>
      </c>
      <c r="S270" s="616">
        <f>'DM ASIA INCUMB'!$H$23</f>
        <v>2.3159070246300706E-2</v>
      </c>
      <c r="T270" s="56"/>
      <c r="U270" s="51"/>
      <c r="V270" s="58" t="str">
        <f>V210</f>
        <v xml:space="preserve">Agg. Developed Asia Incumbent </v>
      </c>
      <c r="Z270" s="46"/>
      <c r="AE270" s="41"/>
      <c r="AF270" s="31"/>
      <c r="AG270" s="31"/>
      <c r="AI270" s="41"/>
      <c r="AJ270" s="64"/>
      <c r="AK270" s="64"/>
      <c r="AM270" s="41"/>
      <c r="AN270" s="64"/>
      <c r="AO270" s="64"/>
      <c r="AQ270" s="41"/>
      <c r="AR270" s="64"/>
      <c r="AS270" s="64"/>
    </row>
    <row r="271" spans="1:45" s="5" customFormat="1">
      <c r="A271" s="41"/>
      <c r="B271" s="42"/>
      <c r="C271" s="43"/>
      <c r="D271" s="50"/>
      <c r="E271" s="50"/>
      <c r="F271" s="61"/>
      <c r="G271" s="50"/>
      <c r="H271" s="56"/>
      <c r="I271" s="62"/>
      <c r="J271" s="62"/>
      <c r="K271" s="62"/>
      <c r="L271" s="62"/>
      <c r="M271" s="61"/>
      <c r="N271" s="56"/>
      <c r="O271" s="617"/>
      <c r="P271" s="617"/>
      <c r="Q271" s="617"/>
      <c r="R271" s="617"/>
      <c r="S271" s="617"/>
      <c r="T271" s="56"/>
      <c r="U271" s="43"/>
      <c r="V271" s="50"/>
      <c r="Z271" s="46"/>
      <c r="AE271" s="41"/>
      <c r="AF271" s="31"/>
      <c r="AG271" s="31"/>
      <c r="AI271" s="41"/>
      <c r="AJ271" s="64"/>
      <c r="AK271" s="64"/>
      <c r="AM271" s="41"/>
      <c r="AN271" s="64"/>
      <c r="AO271" s="64"/>
      <c r="AQ271" s="41"/>
      <c r="AR271" s="64"/>
      <c r="AS271" s="64"/>
    </row>
    <row r="272" spans="1:45" s="5" customFormat="1">
      <c r="A272" s="41"/>
      <c r="B272" s="42"/>
      <c r="C272" s="51" t="s">
        <v>857</v>
      </c>
      <c r="D272" s="58"/>
      <c r="E272" s="58"/>
      <c r="F272" s="55"/>
      <c r="G272" s="58"/>
      <c r="H272" s="56"/>
      <c r="I272" s="54">
        <f>'AGG DM INCUMB'!D42</f>
        <v>3.2267930061469845</v>
      </c>
      <c r="J272" s="54">
        <f>'AGG DM INCUMB'!E42</f>
        <v>3.1983670566236748</v>
      </c>
      <c r="K272" s="54">
        <f>'AGG DM INCUMB'!F42</f>
        <v>3.0731899855245022</v>
      </c>
      <c r="L272" s="54">
        <f>'AGG DM INCUMB'!G42</f>
        <v>2.9440473907671385</v>
      </c>
      <c r="M272" s="55">
        <f>'AGG DM INCUMB'!H42</f>
        <v>-1.3989318632274483E-2</v>
      </c>
      <c r="N272" s="56"/>
      <c r="O272" s="616">
        <f>('AGG DM INCUMB'!D$23/'AGG DM INCUMB'!C$23)-1</f>
        <v>-6.3233966428699606E-4</v>
      </c>
      <c r="P272" s="616">
        <f>('AGG DM INCUMB'!E$23/'AGG DM INCUMB'!D$23)-1</f>
        <v>2.015761870898225E-2</v>
      </c>
      <c r="Q272" s="616">
        <f>('AGG DM INCUMB'!F$23/'AGG DM INCUMB'!E$23)-1</f>
        <v>1.9362853008081604E-2</v>
      </c>
      <c r="R272" s="616">
        <f>('AGG DM INCUMB'!G$23/'AGG DM INCUMB'!F$23)-1</f>
        <v>1.9922123209534792E-2</v>
      </c>
      <c r="S272" s="616">
        <f>'AGG DM INCUMB'!$H$23</f>
        <v>1.9814143833132514E-2</v>
      </c>
      <c r="T272" s="56"/>
      <c r="U272" s="51"/>
      <c r="V272" s="58" t="str">
        <f>C272</f>
        <v>Agg. DM Incumbent total</v>
      </c>
      <c r="Z272" s="46"/>
      <c r="AE272" s="41"/>
      <c r="AF272" s="31"/>
      <c r="AG272" s="31"/>
      <c r="AI272" s="41"/>
      <c r="AJ272" s="64"/>
      <c r="AK272" s="64"/>
      <c r="AM272" s="41"/>
      <c r="AN272" s="64"/>
      <c r="AO272" s="64"/>
      <c r="AQ272" s="41"/>
      <c r="AR272" s="64"/>
      <c r="AS272" s="64"/>
    </row>
    <row r="273" spans="1:45" s="5" customFormat="1">
      <c r="A273" s="41"/>
      <c r="B273" s="42"/>
      <c r="C273" s="41"/>
      <c r="D273" s="44"/>
      <c r="E273" s="44"/>
      <c r="F273" s="45"/>
      <c r="G273" s="44"/>
      <c r="H273" s="46"/>
      <c r="I273" s="47"/>
      <c r="J273" s="47"/>
      <c r="K273" s="47"/>
      <c r="L273" s="47"/>
      <c r="M273" s="45"/>
      <c r="N273" s="46"/>
      <c r="O273" s="615"/>
      <c r="P273" s="615"/>
      <c r="Q273" s="615"/>
      <c r="R273" s="615"/>
      <c r="S273" s="615"/>
      <c r="T273" s="46"/>
      <c r="U273" s="48"/>
      <c r="V273" s="50"/>
      <c r="Z273" s="46"/>
      <c r="AE273" s="41"/>
      <c r="AF273" s="31"/>
      <c r="AG273" s="31"/>
      <c r="AI273" s="41"/>
      <c r="AJ273" s="64"/>
      <c r="AK273" s="64"/>
      <c r="AM273" s="41"/>
      <c r="AN273" s="64"/>
      <c r="AO273" s="64"/>
      <c r="AQ273" s="41"/>
      <c r="AR273" s="64"/>
      <c r="AS273" s="64"/>
    </row>
    <row r="274" spans="1:45" s="5" customFormat="1">
      <c r="A274" s="41" t="s">
        <v>1374</v>
      </c>
      <c r="B274" s="42"/>
      <c r="C274" s="48" t="str">
        <f t="shared" ref="C274:G281" si="50">C214</f>
        <v>1&amp;1</v>
      </c>
      <c r="D274" s="44" t="str">
        <f t="shared" si="50"/>
        <v>EUR 14.0</v>
      </c>
      <c r="E274" s="44" t="str">
        <f t="shared" si="50"/>
        <v>EUR 26.0</v>
      </c>
      <c r="F274" s="45">
        <f t="shared" si="50"/>
        <v>0.85449358059914404</v>
      </c>
      <c r="G274" s="44" t="str">
        <f t="shared" si="50"/>
        <v>Buy</v>
      </c>
      <c r="H274" s="46"/>
      <c r="I274" s="47">
        <f>DRI!$D$42</f>
        <v>1.7119595051972738</v>
      </c>
      <c r="J274" s="47">
        <f>DRI!$E$42</f>
        <v>1.5428585899612848</v>
      </c>
      <c r="K274" s="47">
        <f>DRI!$F$42</f>
        <v>1.3650749556888935</v>
      </c>
      <c r="L274" s="47">
        <f>DRI!$G$42</f>
        <v>1.1960487516157017</v>
      </c>
      <c r="M274" s="45">
        <f>DRI!$H$42</f>
        <v>0.17779764700495115</v>
      </c>
      <c r="N274" s="46"/>
      <c r="O274" s="615">
        <f>(DRI!$D$23/DRI!$C$23)-1</f>
        <v>8.1791539275095637E-3</v>
      </c>
      <c r="P274" s="615">
        <f>(DRI!$E$23/DRI!$D$23)-1</f>
        <v>1.842339696119133E-2</v>
      </c>
      <c r="Q274" s="615">
        <f>(DRI!$F$23/DRI!$E$23)-1</f>
        <v>1.8896360483296792E-2</v>
      </c>
      <c r="R274" s="615">
        <f>(DRI!$G$23/DRI!$F$23)-1</f>
        <v>1.5057410201450905E-2</v>
      </c>
      <c r="S274" s="615">
        <f>DRI!$H$23</f>
        <v>1.7457619254806822E-2</v>
      </c>
      <c r="T274" s="46"/>
      <c r="U274" s="48" t="str">
        <f t="shared" ref="U274:V280" si="51">U214</f>
        <v>EUR 14.0</v>
      </c>
      <c r="V274" s="44" t="str">
        <f t="shared" si="51"/>
        <v>1&amp;1</v>
      </c>
      <c r="Z274" s="49"/>
      <c r="AE274" s="41"/>
      <c r="AF274" s="31"/>
      <c r="AG274" s="31"/>
      <c r="AI274" s="41"/>
      <c r="AJ274" s="64"/>
      <c r="AK274" s="64"/>
      <c r="AM274" s="41"/>
      <c r="AN274" s="64"/>
      <c r="AO274" s="64"/>
      <c r="AQ274" s="41"/>
      <c r="AR274" s="64"/>
      <c r="AS274" s="64"/>
    </row>
    <row r="275" spans="1:45" s="5" customFormat="1">
      <c r="A275" s="41"/>
      <c r="B275" s="42"/>
      <c r="C275" s="48" t="str">
        <f t="shared" si="50"/>
        <v>Elisa</v>
      </c>
      <c r="D275" s="44" t="str">
        <f t="shared" si="50"/>
        <v>EUR 46.6</v>
      </c>
      <c r="E275" s="44" t="str">
        <f t="shared" si="50"/>
        <v>EUR 53.0</v>
      </c>
      <c r="F275" s="45">
        <f t="shared" si="50"/>
        <v>0.13831615120274909</v>
      </c>
      <c r="G275" s="44" t="str">
        <f t="shared" si="50"/>
        <v>Neutral</v>
      </c>
      <c r="H275" s="46"/>
      <c r="I275" s="47">
        <f>ELISA!$D$42</f>
        <v>10.044997233330244</v>
      </c>
      <c r="J275" s="47">
        <f>ELISA!$E$42</f>
        <v>10.007375971739611</v>
      </c>
      <c r="K275" s="47">
        <f>ELISA!$F$42</f>
        <v>9.8902876533935427</v>
      </c>
      <c r="L275" s="47">
        <f>ELISA!$G$42</f>
        <v>9.7147782101268128</v>
      </c>
      <c r="M275" s="45">
        <f>ELISA!$H$42</f>
        <v>-1.9857672156916029E-2</v>
      </c>
      <c r="N275" s="46"/>
      <c r="O275" s="615">
        <f>(ELISA!$D$23/ELISA!$C$23)-1</f>
        <v>2.6589844806882867E-2</v>
      </c>
      <c r="P275" s="615">
        <f>(ELISA!$E$23/ELISA!$D$23)-1</f>
        <v>3.5492207757193306E-2</v>
      </c>
      <c r="Q275" s="615">
        <f>(ELISA!$F$23/ELISA!$E$23)-1</f>
        <v>3.206532809172713E-2</v>
      </c>
      <c r="R275" s="615">
        <f>(ELISA!$G$23/ELISA!$F$23)-1</f>
        <v>3.2437277295105815E-2</v>
      </c>
      <c r="S275" s="615">
        <f>ELISA!$H$23</f>
        <v>3.3330464580151764E-2</v>
      </c>
      <c r="T275" s="46"/>
      <c r="U275" s="48" t="str">
        <f t="shared" si="51"/>
        <v>EUR 46.6</v>
      </c>
      <c r="V275" s="44" t="str">
        <f t="shared" si="51"/>
        <v>Elisa</v>
      </c>
      <c r="Z275" s="46"/>
      <c r="AE275" s="41"/>
      <c r="AF275" s="31"/>
      <c r="AG275" s="31"/>
      <c r="AI275" s="41"/>
      <c r="AJ275" s="64"/>
      <c r="AK275" s="64"/>
      <c r="AM275" s="41"/>
      <c r="AN275" s="64"/>
      <c r="AO275" s="64"/>
      <c r="AQ275" s="41"/>
      <c r="AR275" s="64"/>
      <c r="AS275" s="64"/>
    </row>
    <row r="276" spans="1:45" s="5" customFormat="1">
      <c r="A276" s="41"/>
      <c r="B276" s="42"/>
      <c r="C276" s="48" t="str">
        <f t="shared" si="50"/>
        <v>Liberty Global (prop.)</v>
      </c>
      <c r="D276" s="44" t="str">
        <f t="shared" si="50"/>
        <v>USD 20.3</v>
      </c>
      <c r="E276" s="44" t="str">
        <f t="shared" si="50"/>
        <v>USD 23.0</v>
      </c>
      <c r="F276" s="45">
        <f t="shared" si="50"/>
        <v>0.13356333169048806</v>
      </c>
      <c r="G276" s="44" t="str">
        <f t="shared" si="50"/>
        <v>Neutral</v>
      </c>
      <c r="H276" s="46"/>
      <c r="I276" s="47" t="e">
        <f>LBTY!$D$42</f>
        <v>#DIV/0!</v>
      </c>
      <c r="J276" s="47" t="e">
        <f>LBTY!$E$42</f>
        <v>#DIV/0!</v>
      </c>
      <c r="K276" s="47" t="e">
        <f>LBTY!$F$42</f>
        <v>#DIV/0!</v>
      </c>
      <c r="L276" s="47" t="e">
        <f>LBTY!$G$42</f>
        <v>#DIV/0!</v>
      </c>
      <c r="M276" s="45" t="str">
        <f>LBTY!$H$42</f>
        <v>nm</v>
      </c>
      <c r="N276" s="46"/>
      <c r="O276" s="615">
        <f>(LBTY!$D$23/LBTY!$C$23)-1</f>
        <v>4.9431537320820951E-4</v>
      </c>
      <c r="P276" s="615">
        <f>(LBTY!$E$23/LBTY!$D$23)-1</f>
        <v>4.9407114624511195E-4</v>
      </c>
      <c r="Q276" s="615">
        <f>(LBTY!$F$23/LBTY!$E$23)-1</f>
        <v>4.9382716049373165E-4</v>
      </c>
      <c r="R276" s="615">
        <f>(LBTY!$G$23/LBTY!$F$23)-1</f>
        <v>4.9358341559724295E-4</v>
      </c>
      <c r="S276" s="615">
        <f>LBTY!$H$23</f>
        <v>4.9382724075885953E-4</v>
      </c>
      <c r="T276" s="46"/>
      <c r="U276" s="48" t="str">
        <f t="shared" si="51"/>
        <v>USD 20.3</v>
      </c>
      <c r="V276" s="44" t="str">
        <f t="shared" si="51"/>
        <v>Liberty Global</v>
      </c>
      <c r="Z276" s="49"/>
      <c r="AE276" s="41"/>
      <c r="AF276" s="31"/>
      <c r="AG276" s="31"/>
      <c r="AI276" s="41"/>
      <c r="AJ276" s="64"/>
      <c r="AK276" s="64"/>
      <c r="AM276" s="41"/>
      <c r="AN276" s="64"/>
      <c r="AO276" s="64"/>
      <c r="AQ276" s="41"/>
      <c r="AR276" s="64"/>
      <c r="AS276" s="64"/>
    </row>
    <row r="277" spans="1:45" s="5" customFormat="1">
      <c r="A277" s="41"/>
      <c r="B277" s="42"/>
      <c r="C277" s="48" t="str">
        <f t="shared" si="50"/>
        <v>NOS</v>
      </c>
      <c r="D277" s="44" t="str">
        <f t="shared" si="50"/>
        <v>EUR 3.58</v>
      </c>
      <c r="E277" s="44" t="str">
        <f t="shared" si="50"/>
        <v>EUR 3.70</v>
      </c>
      <c r="F277" s="45">
        <f t="shared" si="50"/>
        <v>3.4965034965035002E-2</v>
      </c>
      <c r="G277" s="44" t="str">
        <f t="shared" si="50"/>
        <v>Neutral</v>
      </c>
      <c r="H277" s="46"/>
      <c r="I277" s="47">
        <f>NOS!$D$42</f>
        <v>1.8539354528239278</v>
      </c>
      <c r="J277" s="47">
        <f>NOS!$E$42</f>
        <v>1.9584627746365337</v>
      </c>
      <c r="K277" s="47">
        <f>NOS!$F$42</f>
        <v>1.8913512526403988</v>
      </c>
      <c r="L277" s="47">
        <f>NOS!$G$42</f>
        <v>1.7796330967148808</v>
      </c>
      <c r="M277" s="45">
        <f>NOS!$H$42</f>
        <v>-5.2101795111544891E-2</v>
      </c>
      <c r="N277" s="46"/>
      <c r="O277" s="615">
        <f>(NOS!$D$23/NOS!$C$23)-1</f>
        <v>3.2691247237768062E-2</v>
      </c>
      <c r="P277" s="615">
        <f>(NOS!$E$23/NOS!$D$23)-1</f>
        <v>-1.1281795800899275E-5</v>
      </c>
      <c r="Q277" s="615">
        <f>(NOS!$F$23/NOS!$E$23)-1</f>
        <v>-1.5237392112164905E-2</v>
      </c>
      <c r="R277" s="615">
        <f>(NOS!$G$23/NOS!$F$23)-1</f>
        <v>-9.6136177734175154E-3</v>
      </c>
      <c r="S277" s="615">
        <f>NOS!$H$23</f>
        <v>-8.307329457125201E-3</v>
      </c>
      <c r="T277" s="46"/>
      <c r="U277" s="48" t="str">
        <f t="shared" si="51"/>
        <v>EUR 3.58</v>
      </c>
      <c r="V277" s="44" t="str">
        <f t="shared" si="51"/>
        <v>NOS</v>
      </c>
      <c r="Z277" s="49"/>
      <c r="AE277" s="41"/>
      <c r="AF277" s="31"/>
      <c r="AG277" s="31"/>
      <c r="AI277" s="41"/>
      <c r="AJ277" s="64"/>
      <c r="AK277" s="64"/>
      <c r="AM277" s="41"/>
      <c r="AN277" s="64"/>
      <c r="AO277" s="64"/>
      <c r="AQ277" s="41"/>
      <c r="AR277" s="64"/>
      <c r="AS277" s="64"/>
    </row>
    <row r="278" spans="1:45" s="5" customFormat="1">
      <c r="A278" s="146"/>
      <c r="B278" s="42"/>
      <c r="C278" s="48" t="str">
        <f t="shared" si="50"/>
        <v>Orange Belgium</v>
      </c>
      <c r="D278" s="44" t="str">
        <f t="shared" si="50"/>
        <v>EUR 14.8</v>
      </c>
      <c r="E278" s="44" t="str">
        <f t="shared" si="50"/>
        <v>EUR 15.0</v>
      </c>
      <c r="F278" s="45">
        <f t="shared" si="50"/>
        <v>1.3513513513513375E-2</v>
      </c>
      <c r="G278" s="44" t="str">
        <f t="shared" si="50"/>
        <v>Neutral</v>
      </c>
      <c r="H278" s="46"/>
      <c r="I278" s="47">
        <f>OBEL!$D$42</f>
        <v>4.6605240980678797</v>
      </c>
      <c r="J278" s="47">
        <f>OBEL!$E$42</f>
        <v>4.0547815161718601</v>
      </c>
      <c r="K278" s="47">
        <f>OBEL!$F$42</f>
        <v>3.7025410030739745</v>
      </c>
      <c r="L278" s="47">
        <f>OBEL!$G$42</f>
        <v>3.3991514300220129</v>
      </c>
      <c r="M278" s="45">
        <f>OBEL!$H$42</f>
        <v>7.4638428570584781E-2</v>
      </c>
      <c r="N278" s="46"/>
      <c r="O278" s="615">
        <f>(OBEL!$D$23/OBEL!$C$23)-1</f>
        <v>0.14811428769054635</v>
      </c>
      <c r="P278" s="615">
        <f>(OBEL!$E$23/OBEL!$D$23)-1</f>
        <v>2.034705628872846E-2</v>
      </c>
      <c r="Q278" s="615">
        <f>(OBEL!$F$23/OBEL!$E$23)-1</f>
        <v>1.9176819401684808E-2</v>
      </c>
      <c r="R278" s="615">
        <f>(OBEL!$G$23/OBEL!$F$23)-1</f>
        <v>1.8113868487154683E-2</v>
      </c>
      <c r="S278" s="615">
        <f>OBEL!$H$23</f>
        <v>1.921217333309988E-2</v>
      </c>
      <c r="T278" s="46"/>
      <c r="U278" s="48" t="str">
        <f t="shared" si="51"/>
        <v>EUR 14.8</v>
      </c>
      <c r="V278" s="44" t="str">
        <f t="shared" si="51"/>
        <v>Mobistar</v>
      </c>
      <c r="Z278" s="46"/>
      <c r="AE278" s="41"/>
      <c r="AF278" s="31"/>
      <c r="AG278" s="31"/>
      <c r="AI278" s="41"/>
      <c r="AJ278" s="64"/>
      <c r="AK278" s="64"/>
      <c r="AM278" s="41"/>
      <c r="AN278" s="64"/>
      <c r="AO278" s="64"/>
      <c r="AQ278" s="41"/>
      <c r="AR278" s="64"/>
      <c r="AS278" s="64"/>
    </row>
    <row r="279" spans="1:45" s="5" customFormat="1">
      <c r="A279" s="146"/>
      <c r="B279" s="42"/>
      <c r="C279" s="48" t="str">
        <f t="shared" si="50"/>
        <v>Tele2</v>
      </c>
      <c r="D279" s="44" t="str">
        <f t="shared" si="50"/>
        <v>SEK 117.7</v>
      </c>
      <c r="E279" s="44" t="str">
        <f t="shared" si="50"/>
        <v>SEK 109.0</v>
      </c>
      <c r="F279" s="45">
        <f t="shared" si="50"/>
        <v>-7.3523161920951985E-2</v>
      </c>
      <c r="G279" s="44" t="str">
        <f t="shared" si="50"/>
        <v>Neutral</v>
      </c>
      <c r="H279" s="46"/>
      <c r="I279" s="47">
        <f>TELE2!$D$42</f>
        <v>12.620656635182986</v>
      </c>
      <c r="J279" s="47">
        <f>TELE2!$E$42</f>
        <v>12.354744174084921</v>
      </c>
      <c r="K279" s="47">
        <f>TELE2!$F$42</f>
        <v>12.097544981041063</v>
      </c>
      <c r="L279" s="47">
        <f>TELE2!$G$42</f>
        <v>11.992153159335569</v>
      </c>
      <c r="M279" s="45">
        <f>TELE2!$H$42</f>
        <v>-2.7448239464977875E-2</v>
      </c>
      <c r="N279" s="46"/>
      <c r="O279" s="615">
        <f>(TELE2!$D$23/TELE2!$C$23)-1</f>
        <v>2.2078940922694246E-2</v>
      </c>
      <c r="P279" s="615">
        <f>(TELE2!$E$23/TELE2!$D$23)-1</f>
        <v>1.315970336529948E-2</v>
      </c>
      <c r="Q279" s="615">
        <f>(TELE2!$F$23/TELE2!$E$23)-1</f>
        <v>1.3861140028126551E-2</v>
      </c>
      <c r="R279" s="615">
        <f>(TELE2!$G$23/TELE2!$F$23)-1</f>
        <v>1.4604413819787387E-2</v>
      </c>
      <c r="S279" s="615">
        <f>TELE2!$H$23</f>
        <v>1.3874914140054262E-2</v>
      </c>
      <c r="T279" s="46"/>
      <c r="U279" s="48" t="str">
        <f t="shared" si="51"/>
        <v>SEK 117.7</v>
      </c>
      <c r="V279" s="44" t="str">
        <f t="shared" si="51"/>
        <v>Tele2</v>
      </c>
      <c r="Z279" s="46"/>
      <c r="AE279" s="41"/>
      <c r="AF279" s="31"/>
      <c r="AG279" s="31"/>
      <c r="AI279" s="41"/>
      <c r="AJ279" s="64"/>
      <c r="AK279" s="64"/>
      <c r="AM279" s="41"/>
      <c r="AN279" s="64"/>
      <c r="AO279" s="64"/>
      <c r="AQ279" s="41"/>
      <c r="AR279" s="64"/>
      <c r="AS279" s="64"/>
    </row>
    <row r="280" spans="1:45" s="5" customFormat="1">
      <c r="A280" s="41"/>
      <c r="B280" s="42"/>
      <c r="C280" s="48" t="str">
        <f t="shared" si="50"/>
        <v>United Internet</v>
      </c>
      <c r="D280" s="44" t="str">
        <f t="shared" si="50"/>
        <v>EUR 19.1</v>
      </c>
      <c r="E280" s="44" t="str">
        <f t="shared" si="50"/>
        <v>EUR 28.0</v>
      </c>
      <c r="F280" s="45">
        <f t="shared" si="50"/>
        <v>0.46904512067156356</v>
      </c>
      <c r="G280" s="44" t="str">
        <f t="shared" si="50"/>
        <v>Buy</v>
      </c>
      <c r="H280" s="46"/>
      <c r="I280" s="47">
        <f>UTDI!$D$42</f>
        <v>3.8277276516933134</v>
      </c>
      <c r="J280" s="47">
        <f>UTDI!$E$42</f>
        <v>3.2216116396022496</v>
      </c>
      <c r="K280" s="47">
        <f>UTDI!$F$42</f>
        <v>2.7544269263685548</v>
      </c>
      <c r="L280" s="47">
        <f>UTDI!$G$42</f>
        <v>2.4360530556286495</v>
      </c>
      <c r="M280" s="45">
        <f>UTDI!$H$42</f>
        <v>0.19556869064057825</v>
      </c>
      <c r="N280" s="46"/>
      <c r="O280" s="615">
        <f>(UTDI!$D$23/UTDI!$C$23)-1</f>
        <v>2.9178879325594265E-2</v>
      </c>
      <c r="P280" s="615">
        <f>(UTDI!$E$23/UTDI!$D$23)-1</f>
        <v>3.6335755923824653E-2</v>
      </c>
      <c r="Q280" s="615">
        <f>(UTDI!$F$23/UTDI!$E$23)-1</f>
        <v>2.6796899364139648E-2</v>
      </c>
      <c r="R280" s="615">
        <f>(UTDI!$G$23/UTDI!$F$23)-1</f>
        <v>1.7416871220376828E-2</v>
      </c>
      <c r="S280" s="615">
        <f>UTDI!$H$23</f>
        <v>2.6820795056666569E-2</v>
      </c>
      <c r="T280" s="46"/>
      <c r="U280" s="48" t="str">
        <f t="shared" si="51"/>
        <v>EUR 19.1</v>
      </c>
      <c r="V280" s="44" t="str">
        <f t="shared" si="51"/>
        <v>United Internet</v>
      </c>
      <c r="Z280" s="49"/>
      <c r="AE280" s="41"/>
      <c r="AF280" s="31"/>
      <c r="AG280" s="31"/>
      <c r="AI280" s="41"/>
      <c r="AJ280" s="64"/>
      <c r="AK280" s="64"/>
      <c r="AM280" s="41"/>
      <c r="AN280" s="64"/>
      <c r="AO280" s="64"/>
      <c r="AQ280" s="41"/>
      <c r="AR280" s="64"/>
      <c r="AS280" s="64"/>
    </row>
    <row r="281" spans="1:45" s="5" customFormat="1">
      <c r="A281" s="146"/>
      <c r="B281" s="42"/>
      <c r="C281" s="48" t="str">
        <f t="shared" si="50"/>
        <v>Vodafone</v>
      </c>
      <c r="D281" s="44" t="str">
        <f t="shared" si="50"/>
        <v>GBP 0.77</v>
      </c>
      <c r="E281" s="44" t="str">
        <f t="shared" si="50"/>
        <v>GBP 1.40</v>
      </c>
      <c r="F281" s="45">
        <f t="shared" si="50"/>
        <v>0.80785123966942152</v>
      </c>
      <c r="G281" s="44" t="str">
        <f t="shared" si="50"/>
        <v>Buy</v>
      </c>
      <c r="H281" s="46"/>
      <c r="I281" s="47">
        <f>VOD!$D$42</f>
        <v>2.1094899269249474</v>
      </c>
      <c r="J281" s="47">
        <f>VOD!$E$42</f>
        <v>1.6376634387605589</v>
      </c>
      <c r="K281" s="47">
        <f>VOD!$F$42</f>
        <v>1.5626028841570081</v>
      </c>
      <c r="L281" s="47">
        <f>VOD!$G$42</f>
        <v>1.4658317115420305</v>
      </c>
      <c r="M281" s="45">
        <f>VOD!$H$42</f>
        <v>-1.1146830919173456E-2</v>
      </c>
      <c r="N281" s="46"/>
      <c r="O281" s="615">
        <f>(VOD!$D$23/VOD!$C$23)-1</f>
        <v>1.4921902071853177E-2</v>
      </c>
      <c r="P281" s="615">
        <f>(VOD!$E$23/VOD!$D$23)-1</f>
        <v>2.1872526217543653E-2</v>
      </c>
      <c r="Q281" s="615">
        <f>(VOD!$F$23/VOD!$E$23)-1</f>
        <v>1.7420989141615051E-2</v>
      </c>
      <c r="R281" s="615">
        <f>(VOD!$G$23/VOD!$F$23)-1</f>
        <v>1.3975122258739647E-2</v>
      </c>
      <c r="S281" s="615">
        <f>VOD!$H$23</f>
        <v>1.775107984944535E-2</v>
      </c>
      <c r="T281" s="46"/>
      <c r="U281" s="48" t="str">
        <f>U221</f>
        <v>GBP 0.77</v>
      </c>
      <c r="V281" s="44" t="s">
        <v>276</v>
      </c>
      <c r="Z281" s="46"/>
      <c r="AE281" s="41"/>
      <c r="AF281" s="31"/>
      <c r="AG281" s="31"/>
      <c r="AI281" s="41"/>
      <c r="AJ281" s="64"/>
      <c r="AK281" s="64"/>
      <c r="AM281" s="41"/>
      <c r="AN281" s="64"/>
      <c r="AO281" s="64"/>
      <c r="AQ281" s="41"/>
      <c r="AR281" s="64"/>
      <c r="AS281" s="64"/>
    </row>
    <row r="282" spans="1:45" s="5" customFormat="1">
      <c r="A282" s="146"/>
      <c r="B282" s="42"/>
      <c r="C282" s="51" t="str">
        <f>C222</f>
        <v>Agg. W. Europe Other</v>
      </c>
      <c r="D282" s="52"/>
      <c r="E282" s="52"/>
      <c r="F282" s="53"/>
      <c r="G282" s="52"/>
      <c r="H282" s="46"/>
      <c r="I282" s="54">
        <f>'W.EUR OTHER'!$D$42</f>
        <v>2.9998062507434589</v>
      </c>
      <c r="J282" s="54">
        <f>'W.EUR OTHER'!$E$42</f>
        <v>2.5616627697063863</v>
      </c>
      <c r="K282" s="54">
        <f>'W.EUR OTHER'!$F$42</f>
        <v>2.4320616245212983</v>
      </c>
      <c r="L282" s="54">
        <f>'W.EUR OTHER'!$G$42</f>
        <v>2.298739291377446</v>
      </c>
      <c r="M282" s="55">
        <f>'W.EUR OTHER'!$H$42</f>
        <v>4.8033956462567584E-3</v>
      </c>
      <c r="N282" s="56"/>
      <c r="O282" s="616">
        <f>('W.EUR OTHER'!$D$23/'W.EUR OTHER'!$C$23)-1</f>
        <v>2.1700709818477382E-2</v>
      </c>
      <c r="P282" s="616">
        <f>('W.EUR OTHER'!$E$23/'W.EUR OTHER'!$D$23)-1</f>
        <v>2.2275708636046776E-2</v>
      </c>
      <c r="Q282" s="616">
        <f>('W.EUR OTHER'!$F$23/'W.EUR OTHER'!$E$23)-1</f>
        <v>1.7518278601053483E-2</v>
      </c>
      <c r="R282" s="616">
        <f>('W.EUR OTHER'!$G$23/'W.EUR OTHER'!$F$23)-1</f>
        <v>1.4236112909394416E-2</v>
      </c>
      <c r="S282" s="616">
        <f>'W.EUR OTHER'!$H$23</f>
        <v>1.8004685546411769E-2</v>
      </c>
      <c r="T282" s="46"/>
      <c r="U282" s="57"/>
      <c r="V282" s="58" t="str">
        <f>C282</f>
        <v>Agg. W. Europe Other</v>
      </c>
      <c r="Z282" s="49"/>
      <c r="AE282" s="41"/>
      <c r="AF282" s="31"/>
      <c r="AG282" s="31"/>
      <c r="AI282" s="41"/>
      <c r="AJ282" s="64"/>
      <c r="AK282" s="64"/>
      <c r="AM282" s="41"/>
      <c r="AN282" s="64"/>
      <c r="AO282" s="64"/>
      <c r="AQ282" s="41"/>
      <c r="AR282" s="64"/>
      <c r="AS282" s="64"/>
    </row>
    <row r="283" spans="1:45" s="5" customFormat="1">
      <c r="A283" s="146"/>
      <c r="B283" s="42"/>
      <c r="C283" s="48"/>
      <c r="D283" s="44"/>
      <c r="E283" s="44"/>
      <c r="F283" s="45"/>
      <c r="G283" s="44"/>
      <c r="H283" s="46"/>
      <c r="I283" s="47"/>
      <c r="J283" s="47"/>
      <c r="K283" s="47"/>
      <c r="L283" s="47"/>
      <c r="M283" s="45"/>
      <c r="N283" s="46"/>
      <c r="O283" s="615"/>
      <c r="P283" s="615"/>
      <c r="Q283" s="615"/>
      <c r="R283" s="615"/>
      <c r="S283" s="615"/>
      <c r="T283" s="46"/>
      <c r="U283" s="48"/>
      <c r="V283" s="44"/>
      <c r="W283" s="47"/>
      <c r="X283" s="47"/>
      <c r="Y283" s="138"/>
      <c r="Z283" s="46"/>
      <c r="AE283" s="41"/>
      <c r="AF283" s="31"/>
      <c r="AG283" s="31"/>
      <c r="AI283" s="41"/>
      <c r="AJ283" s="64"/>
      <c r="AK283" s="64"/>
      <c r="AM283" s="41"/>
      <c r="AN283" s="64"/>
      <c r="AO283" s="64"/>
      <c r="AQ283" s="41"/>
      <c r="AR283" s="64"/>
      <c r="AS283" s="64"/>
    </row>
    <row r="284" spans="1:45" s="5" customFormat="1">
      <c r="A284" s="41"/>
      <c r="B284" s="42" t="s">
        <v>551</v>
      </c>
      <c r="C284" s="48" t="s">
        <v>828</v>
      </c>
      <c r="D284" s="44" t="str">
        <f t="shared" ref="D284:G289" si="52">D224</f>
        <v>HKD 3</v>
      </c>
      <c r="E284" s="44" t="str">
        <f t="shared" si="52"/>
        <v>HKD 16</v>
      </c>
      <c r="F284" s="45">
        <f t="shared" si="52"/>
        <v>4.9925093632958806</v>
      </c>
      <c r="G284" s="44" t="str">
        <f t="shared" si="52"/>
        <v>Buy</v>
      </c>
      <c r="H284" s="46"/>
      <c r="I284" s="47">
        <f>HKBN!$D$42</f>
        <v>3.0480866468600527</v>
      </c>
      <c r="J284" s="47">
        <f>HKBN!$E$42</f>
        <v>2.9983883029050435</v>
      </c>
      <c r="K284" s="47">
        <f>HKBN!$F$42</f>
        <v>2.8651699537090085</v>
      </c>
      <c r="L284" s="47">
        <f>HKBN!$G$42</f>
        <v>2.6425842494646914</v>
      </c>
      <c r="M284" s="45">
        <f>HKBN!$H$42</f>
        <v>-0.13681522394659529</v>
      </c>
      <c r="N284" s="46"/>
      <c r="O284" s="615">
        <f>(HKBN!$D$23/HKBN!$C$23)-1</f>
        <v>3.6155657788187412E-2</v>
      </c>
      <c r="P284" s="615">
        <f>(HKBN!$E$23/HKBN!$D$23)-1</f>
        <v>3.4776941878001733E-2</v>
      </c>
      <c r="Q284" s="615">
        <f>(HKBN!$F$23/HKBN!$E$23)-1</f>
        <v>3.3338225984780312E-2</v>
      </c>
      <c r="R284" s="615">
        <f>(HKBN!$G$23/HKBN!$F$23)-1</f>
        <v>3.1836657074977071E-2</v>
      </c>
      <c r="S284" s="615">
        <f>HKBN!$H$23</f>
        <v>3.3316577648039525E-2</v>
      </c>
      <c r="T284" s="46"/>
      <c r="U284" s="48" t="str">
        <f t="shared" ref="U284:V289" si="53">U224</f>
        <v>HKD 3</v>
      </c>
      <c r="V284" s="69" t="str">
        <f t="shared" si="53"/>
        <v>HKBN</v>
      </c>
      <c r="Z284" s="49"/>
      <c r="AE284" s="41"/>
      <c r="AF284" s="31"/>
      <c r="AG284" s="31"/>
      <c r="AI284" s="41"/>
      <c r="AJ284" s="64"/>
      <c r="AK284" s="64"/>
      <c r="AM284" s="41"/>
      <c r="AN284" s="64"/>
      <c r="AO284" s="64"/>
      <c r="AQ284" s="41"/>
      <c r="AR284" s="64"/>
      <c r="AS284" s="64"/>
    </row>
    <row r="285" spans="1:45" s="5" customFormat="1">
      <c r="A285" s="146"/>
      <c r="B285" s="42"/>
      <c r="C285" s="48" t="str">
        <f t="shared" ref="C285:C290" si="54">C225</f>
        <v>KDDI</v>
      </c>
      <c r="D285" s="44" t="str">
        <f t="shared" si="52"/>
        <v>JPY 4,851</v>
      </c>
      <c r="E285" s="44" t="str">
        <f t="shared" si="52"/>
        <v>JPY 6,600</v>
      </c>
      <c r="F285" s="45">
        <f t="shared" si="52"/>
        <v>0.36054421768707479</v>
      </c>
      <c r="G285" s="44" t="str">
        <f t="shared" si="52"/>
        <v>Buy</v>
      </c>
      <c r="H285" s="46"/>
      <c r="I285" s="47">
        <f>KDDI!$D$42</f>
        <v>4.4083172918840789</v>
      </c>
      <c r="J285" s="47">
        <f>KDDI!$E$42</f>
        <v>4.2763283571331536</v>
      </c>
      <c r="K285" s="47">
        <f>KDDI!$F$42</f>
        <v>3.9908772751677883</v>
      </c>
      <c r="L285" s="47">
        <f>KDDI!$G$42</f>
        <v>3.6655276591287045</v>
      </c>
      <c r="M285" s="45">
        <f>KDDI!$H$42</f>
        <v>-9.9332375723035771E-3</v>
      </c>
      <c r="N285" s="46"/>
      <c r="O285" s="615">
        <f>(KDDI!$D$23/KDDI!$E$23)-1</f>
        <v>-2.6178509585567777E-2</v>
      </c>
      <c r="P285" s="615">
        <f>(KDDI!$E$23/KDDI!$D$23)-1</f>
        <v>2.6882246739519777E-2</v>
      </c>
      <c r="Q285" s="615">
        <f>(KDDI!$F$23/KDDI!$E$23)-1</f>
        <v>3.4863648276949766E-2</v>
      </c>
      <c r="R285" s="615">
        <f>(KDDI!$G$23/KDDI!$F$23)-1</f>
        <v>3.2805592927378502E-2</v>
      </c>
      <c r="S285" s="615">
        <f>KDDI!$H$23</f>
        <v>3.1511607659277852E-2</v>
      </c>
      <c r="T285" s="46"/>
      <c r="U285" s="48" t="str">
        <f t="shared" si="53"/>
        <v>JPY 4,851</v>
      </c>
      <c r="V285" s="44" t="str">
        <f t="shared" si="53"/>
        <v>KDDI</v>
      </c>
      <c r="Z285" s="49"/>
      <c r="AE285" s="41"/>
      <c r="AF285" s="31"/>
      <c r="AG285" s="31"/>
      <c r="AI285" s="41"/>
      <c r="AJ285" s="64"/>
      <c r="AK285" s="64"/>
      <c r="AM285" s="41"/>
      <c r="AN285" s="64"/>
      <c r="AO285" s="64"/>
      <c r="AQ285" s="41"/>
      <c r="AR285" s="64"/>
      <c r="AS285" s="64"/>
    </row>
    <row r="286" spans="1:45" s="5" customFormat="1">
      <c r="A286" s="41"/>
      <c r="B286" s="42"/>
      <c r="C286" s="48" t="str">
        <f t="shared" si="54"/>
        <v>Macquarie Telecom</v>
      </c>
      <c r="D286" s="44" t="str">
        <f t="shared" si="52"/>
        <v>AUD 76.51</v>
      </c>
      <c r="E286" s="44" t="str">
        <f t="shared" si="52"/>
        <v>AUD 28.00</v>
      </c>
      <c r="F286" s="45">
        <f t="shared" si="52"/>
        <v>-0.63403476669716374</v>
      </c>
      <c r="G286" s="44" t="str">
        <f t="shared" si="52"/>
        <v>Neutral</v>
      </c>
      <c r="H286" s="46"/>
      <c r="I286" s="47">
        <f>MAQ!$D$42</f>
        <v>16.470935263415328</v>
      </c>
      <c r="J286" s="47">
        <f>MAQ!$E$42</f>
        <v>15.592444310074665</v>
      </c>
      <c r="K286" s="47">
        <f>MAQ!$F$42</f>
        <v>15.279530348678579</v>
      </c>
      <c r="L286" s="47">
        <f>MAQ!$G$42</f>
        <v>15.842116850364821</v>
      </c>
      <c r="M286" s="45">
        <f>MAQ!$H$42</f>
        <v>1.1068298910270391E-2</v>
      </c>
      <c r="N286" s="46"/>
      <c r="O286" s="615">
        <f>(MAQ!$D$23/MAQ!$C$23)-1</f>
        <v>7.6166348969444408E-2</v>
      </c>
      <c r="P286" s="615">
        <f>(MAQ!$E$23/MAQ!$D$23)-1</f>
        <v>6.1017856200691112E-2</v>
      </c>
      <c r="Q286" s="615">
        <f>(MAQ!$F$23/MAQ!$E$23)-1</f>
        <v>4.066090897741681E-2</v>
      </c>
      <c r="R286" s="615">
        <f>(MAQ!$G$23/MAQ!$F$23)-1</f>
        <v>2.7921627931603243E-2</v>
      </c>
      <c r="S286" s="615">
        <f>MAQ!$H$23</f>
        <v>4.311129002235381E-2</v>
      </c>
      <c r="T286" s="46"/>
      <c r="U286" s="48" t="str">
        <f t="shared" si="53"/>
        <v>AUD 76.51</v>
      </c>
      <c r="V286" s="69" t="str">
        <f t="shared" si="53"/>
        <v>Macquarie Telecom</v>
      </c>
      <c r="Z286" s="46"/>
      <c r="AE286" s="41"/>
      <c r="AF286" s="31"/>
      <c r="AG286" s="31"/>
      <c r="AI286" s="41"/>
      <c r="AJ286" s="64"/>
      <c r="AK286" s="64"/>
      <c r="AM286" s="41"/>
      <c r="AN286" s="64"/>
      <c r="AO286" s="64"/>
      <c r="AQ286" s="41"/>
      <c r="AR286" s="64"/>
      <c r="AS286" s="64"/>
    </row>
    <row r="287" spans="1:45" s="5" customFormat="1">
      <c r="A287" s="146"/>
      <c r="B287" s="42"/>
      <c r="C287" s="48" t="str">
        <f t="shared" si="54"/>
        <v>Rakuten</v>
      </c>
      <c r="D287" s="44" t="str">
        <f t="shared" si="52"/>
        <v>JPY 946</v>
      </c>
      <c r="E287" s="44" t="str">
        <f t="shared" si="52"/>
        <v>JPY 400</v>
      </c>
      <c r="F287" s="45">
        <f t="shared" si="52"/>
        <v>-0.57734573119188504</v>
      </c>
      <c r="G287" s="44" t="str">
        <f t="shared" si="52"/>
        <v>Reduce</v>
      </c>
      <c r="H287" s="46"/>
      <c r="I287" s="47">
        <f>RAK!$D$42</f>
        <v>1.836044002915215</v>
      </c>
      <c r="J287" s="47">
        <f>RAK!$E$42</f>
        <v>1.7809477895519128</v>
      </c>
      <c r="K287" s="47">
        <f>RAK!$F$42</f>
        <v>1.7252430543462298</v>
      </c>
      <c r="L287" s="47">
        <f>RAK!$G$42</f>
        <v>1.6673990604801281</v>
      </c>
      <c r="M287" s="45">
        <f>RAK!$H$42</f>
        <v>3.0645332235550216E-2</v>
      </c>
      <c r="N287" s="46"/>
      <c r="O287" s="615">
        <f>(RAK!$D$23/RAK!$C$23)-1</f>
        <v>7.8307808759879638E-2</v>
      </c>
      <c r="P287" s="615">
        <f>(RAK!$E$23/RAK!$D$23)-1</f>
        <v>9.7641284301382969E-2</v>
      </c>
      <c r="Q287" s="615">
        <f>(RAK!$F$23/RAK!$E$23)-1</f>
        <v>9.7744133806685785E-2</v>
      </c>
      <c r="R287" s="615">
        <f>(RAK!$G$23/RAK!$F$23)-1</f>
        <v>8.8511017256146296E-2</v>
      </c>
      <c r="S287" s="615">
        <f>RAK!$H$23</f>
        <v>9.4623571043125354E-2</v>
      </c>
      <c r="T287" s="46"/>
      <c r="U287" s="48" t="str">
        <f t="shared" si="53"/>
        <v>JPY 946</v>
      </c>
      <c r="V287" s="44" t="str">
        <f t="shared" si="53"/>
        <v>Rakuten</v>
      </c>
      <c r="Z287" s="49"/>
      <c r="AE287" s="41"/>
      <c r="AF287" s="31"/>
      <c r="AG287" s="31"/>
      <c r="AI287" s="41"/>
      <c r="AJ287" s="64"/>
      <c r="AK287" s="64"/>
      <c r="AM287" s="41"/>
      <c r="AN287" s="64"/>
      <c r="AO287" s="64"/>
      <c r="AQ287" s="41"/>
      <c r="AR287" s="64"/>
      <c r="AS287" s="64"/>
    </row>
    <row r="288" spans="1:45" s="5" customFormat="1">
      <c r="A288" s="146"/>
      <c r="B288" s="42"/>
      <c r="C288" s="48" t="str">
        <f t="shared" si="54"/>
        <v>SoftBank KK (Corp)</v>
      </c>
      <c r="D288" s="44" t="str">
        <f t="shared" si="52"/>
        <v>JPY 1,996</v>
      </c>
      <c r="E288" s="44" t="str">
        <f t="shared" si="52"/>
        <v>JPY 2,700</v>
      </c>
      <c r="F288" s="45">
        <f t="shared" si="52"/>
        <v>0.35270541082164319</v>
      </c>
      <c r="G288" s="44" t="str">
        <f t="shared" si="52"/>
        <v>Buy</v>
      </c>
      <c r="H288" s="46"/>
      <c r="I288" s="47">
        <f>SBKK!$D$42</f>
        <v>8.8831747945634447</v>
      </c>
      <c r="J288" s="47">
        <f>SBKK!$E$42</f>
        <v>9.7207794839939083</v>
      </c>
      <c r="K288" s="47">
        <f>SBKK!$F$42</f>
        <v>10.585945802997365</v>
      </c>
      <c r="L288" s="47">
        <f>SBKK!$G$42</f>
        <v>11.613907230052142</v>
      </c>
      <c r="M288" s="45">
        <f>SBKK!$H$42</f>
        <v>-0.13300876212200985</v>
      </c>
      <c r="N288" s="46"/>
      <c r="O288" s="615">
        <f>(SBKK!$D$23/SBKK!$C$23)-1</f>
        <v>2.9093369418132564E-2</v>
      </c>
      <c r="P288" s="615">
        <f>(SBKK!$E$23/SBKK!$D$23)-1</f>
        <v>1.4965083049590655E-2</v>
      </c>
      <c r="Q288" s="615">
        <f>(SBKK!$F$23/SBKK!$E$23)-1</f>
        <v>0.1020804835361413</v>
      </c>
      <c r="R288" s="615">
        <f>(SBKK!$G$23/SBKK!$F$23)-1</f>
        <v>5.7780922954637104E-2</v>
      </c>
      <c r="S288" s="615">
        <f>SBKK!$H$23</f>
        <v>5.7677781439682718E-2</v>
      </c>
      <c r="T288" s="46"/>
      <c r="U288" s="48" t="str">
        <f t="shared" si="53"/>
        <v>JPY 1,996</v>
      </c>
      <c r="V288" s="44" t="str">
        <f t="shared" si="53"/>
        <v>SoftBank KK (Corp)</v>
      </c>
      <c r="Z288" s="49"/>
      <c r="AE288" s="41"/>
      <c r="AF288" s="31"/>
      <c r="AG288" s="31"/>
      <c r="AI288" s="41"/>
      <c r="AJ288" s="64"/>
      <c r="AK288" s="64"/>
      <c r="AM288" s="41"/>
      <c r="AN288" s="64"/>
      <c r="AO288" s="64"/>
      <c r="AQ288" s="41"/>
      <c r="AR288" s="64"/>
      <c r="AS288" s="64"/>
    </row>
    <row r="289" spans="1:45" s="5" customFormat="1">
      <c r="A289" s="41"/>
      <c r="B289" s="42"/>
      <c r="C289" s="48" t="str">
        <f t="shared" si="54"/>
        <v>TPG</v>
      </c>
      <c r="D289" s="44" t="str">
        <f t="shared" si="52"/>
        <v>AUD 4.99</v>
      </c>
      <c r="E289" s="44" t="str">
        <f t="shared" si="52"/>
        <v>AUD 7.50</v>
      </c>
      <c r="F289" s="45">
        <f t="shared" si="52"/>
        <v>0.50300601202404804</v>
      </c>
      <c r="G289" s="44" t="str">
        <f t="shared" si="52"/>
        <v>Neutral</v>
      </c>
      <c r="H289" s="46"/>
      <c r="I289" s="47">
        <f>TPG!$D$42</f>
        <v>3.5859036748028745</v>
      </c>
      <c r="J289" s="47">
        <f>TPG!$E$42</f>
        <v>3.3812874110946716</v>
      </c>
      <c r="K289" s="47">
        <f>TPG!$F$42</f>
        <v>3.1845954735938071</v>
      </c>
      <c r="L289" s="47">
        <f>TPG!$G$42</f>
        <v>3.0130484502809662</v>
      </c>
      <c r="M289" s="45">
        <f>TPG!$H$42</f>
        <v>4.4608781409746667E-2</v>
      </c>
      <c r="N289" s="46"/>
      <c r="O289" s="615">
        <f>(TPG!$D$23/TPG!$C$23)-1</f>
        <v>7.1696209880831585E-2</v>
      </c>
      <c r="P289" s="615">
        <f>(TPG!$E$23/TPG!$D$23)-1</f>
        <v>4.3110370937593512E-2</v>
      </c>
      <c r="Q289" s="615">
        <f>(TPG!$F$23/TPG!$E$23)-1</f>
        <v>3.0459374434006481E-2</v>
      </c>
      <c r="R289" s="615">
        <f>(TPG!$G$23/TPG!$F$23)-1</f>
        <v>2.412375787790455E-2</v>
      </c>
      <c r="S289" s="615">
        <f>TPG!$H$23</f>
        <v>3.2534392300954673E-2</v>
      </c>
      <c r="T289" s="46"/>
      <c r="U289" s="48" t="str">
        <f t="shared" si="53"/>
        <v>AUD 4.99</v>
      </c>
      <c r="V289" s="44" t="str">
        <f t="shared" si="53"/>
        <v>TPG</v>
      </c>
      <c r="Z289" s="46"/>
      <c r="AE289" s="41"/>
      <c r="AF289" s="31"/>
      <c r="AG289" s="31"/>
      <c r="AI289" s="41"/>
      <c r="AJ289" s="64"/>
      <c r="AK289" s="64"/>
      <c r="AM289" s="41"/>
      <c r="AN289" s="64"/>
      <c r="AO289" s="64"/>
      <c r="AQ289" s="41"/>
      <c r="AR289" s="64"/>
      <c r="AS289" s="64"/>
    </row>
    <row r="290" spans="1:45" s="5" customFormat="1">
      <c r="A290" s="146"/>
      <c r="B290" s="42"/>
      <c r="C290" s="51" t="str">
        <f t="shared" si="54"/>
        <v>Agg. Developed Asia Other</v>
      </c>
      <c r="D290" s="52"/>
      <c r="E290" s="52"/>
      <c r="F290" s="53"/>
      <c r="G290" s="52"/>
      <c r="H290" s="46"/>
      <c r="I290" s="54">
        <f>'DM ASIA OTHER'!$D$42</f>
        <v>4.9082023337797445</v>
      </c>
      <c r="J290" s="54">
        <f>'DM ASIA OTHER'!$E$42</f>
        <v>4.8914338443998107</v>
      </c>
      <c r="K290" s="54">
        <f>'DM ASIA OTHER'!$F$42</f>
        <v>4.7364922440460013</v>
      </c>
      <c r="L290" s="54">
        <f>'DM ASIA OTHER'!$G$42</f>
        <v>4.5240234133099264</v>
      </c>
      <c r="M290" s="55">
        <f>'DM ASIA OTHER'!$H$42</f>
        <v>-2.8055446746051427E-2</v>
      </c>
      <c r="N290" s="56"/>
      <c r="O290" s="616">
        <f>('DM ASIA OTHER'!$D$23/'DM ASIA OTHER'!$C$23)-1</f>
        <v>3.1621774739126085E-2</v>
      </c>
      <c r="P290" s="616">
        <f>('DM ASIA OTHER'!$E$23/'DM ASIA OTHER'!$D$23)-1</f>
        <v>3.2668356426509781E-2</v>
      </c>
      <c r="Q290" s="616">
        <f>('DM ASIA OTHER'!$F$23/'DM ASIA OTHER'!$E$23)-1</f>
        <v>7.1453242643144232E-2</v>
      </c>
      <c r="R290" s="616">
        <f>('DM ASIA OTHER'!$G$23/'DM ASIA OTHER'!$F$23)-1</f>
        <v>5.1473753747586226E-2</v>
      </c>
      <c r="S290" s="616">
        <f>'DM ASIA OTHER'!$H$23</f>
        <v>5.1745937424389377E-2</v>
      </c>
      <c r="T290" s="46"/>
      <c r="U290" s="57"/>
      <c r="V290" s="58" t="str">
        <f>V230</f>
        <v>Agg. Developed Asia Cellular</v>
      </c>
      <c r="Z290" s="49"/>
      <c r="AE290" s="41"/>
      <c r="AF290" s="31"/>
      <c r="AG290" s="31"/>
      <c r="AI290" s="41"/>
      <c r="AJ290" s="64"/>
      <c r="AK290" s="64"/>
      <c r="AM290" s="41"/>
      <c r="AN290" s="64"/>
      <c r="AO290" s="64"/>
      <c r="AQ290" s="41"/>
      <c r="AR290" s="64"/>
      <c r="AS290" s="64"/>
    </row>
    <row r="291" spans="1:45" s="5" customFormat="1">
      <c r="A291" s="41"/>
      <c r="B291" s="42"/>
      <c r="C291" s="48"/>
      <c r="D291" s="44"/>
      <c r="E291" s="44"/>
      <c r="F291" s="45"/>
      <c r="G291" s="44"/>
      <c r="H291" s="46"/>
      <c r="I291" s="47"/>
      <c r="J291" s="47"/>
      <c r="K291" s="47"/>
      <c r="L291" s="47"/>
      <c r="M291" s="45"/>
      <c r="N291" s="46"/>
      <c r="O291" s="615"/>
      <c r="P291" s="615"/>
      <c r="Q291" s="615"/>
      <c r="R291" s="615"/>
      <c r="S291" s="615"/>
      <c r="T291" s="46"/>
      <c r="U291" s="48"/>
      <c r="V291" s="44"/>
      <c r="Z291" s="49"/>
      <c r="AE291" s="41"/>
      <c r="AF291" s="31"/>
      <c r="AG291" s="31"/>
      <c r="AI291" s="41"/>
      <c r="AJ291" s="64"/>
      <c r="AK291" s="64"/>
      <c r="AM291" s="41"/>
      <c r="AN291" s="64"/>
      <c r="AO291" s="64"/>
      <c r="AQ291" s="41"/>
      <c r="AR291" s="64"/>
      <c r="AS291" s="64"/>
    </row>
    <row r="292" spans="1:45" s="5" customFormat="1">
      <c r="A292" s="41"/>
      <c r="B292" s="42"/>
      <c r="C292" s="48" t="str">
        <f>C232</f>
        <v>Altice US</v>
      </c>
      <c r="D292" s="44" t="str">
        <f>D232</f>
        <v>US$2.1</v>
      </c>
      <c r="E292" s="44" t="str">
        <f>E232</f>
        <v>US$4.0</v>
      </c>
      <c r="F292" s="45">
        <f>F232</f>
        <v>0.86915887850467288</v>
      </c>
      <c r="G292" s="44" t="str">
        <f>G232</f>
        <v>Neutral</v>
      </c>
      <c r="H292" s="46"/>
      <c r="I292" s="47">
        <f>ATCUS!$D$42</f>
        <v>3.1786627326050985</v>
      </c>
      <c r="J292" s="47">
        <f>ATCUS!$E$42</f>
        <v>3.1754437290592121</v>
      </c>
      <c r="K292" s="47">
        <f>ATCUS!$F$42</f>
        <v>3.2236167075393967</v>
      </c>
      <c r="L292" s="47">
        <f>ATCUS!$G$42</f>
        <v>3.2996530580417205</v>
      </c>
      <c r="M292" s="45">
        <f>ATCUS!$H$42</f>
        <v>-1.41916045432805E-2</v>
      </c>
      <c r="N292" s="46"/>
      <c r="O292" s="615">
        <f>(ATCUS!D$23/ATCUS!C$23)-1</f>
        <v>-4.2559029086745248E-2</v>
      </c>
      <c r="P292" s="615">
        <f>(ATCUS!E$23/ATCUS!D$23)-1</f>
        <v>-1.9083023971777857E-2</v>
      </c>
      <c r="Q292" s="615">
        <f>(ATCUS!$F$23/ATCUS!$E$23)-1</f>
        <v>-1.4102013780280864E-2</v>
      </c>
      <c r="R292" s="615">
        <f>(ATCUS!$G$23/ATCUS!$F$23)-1</f>
        <v>-3.4076051748190839E-3</v>
      </c>
      <c r="S292" s="615">
        <f>ATCUS!$H$23</f>
        <v>-1.2219156094296912E-2</v>
      </c>
      <c r="T292" s="46"/>
      <c r="U292" s="48" t="str">
        <f>D292</f>
        <v>US$2.1</v>
      </c>
      <c r="V292" s="44" t="s">
        <v>304</v>
      </c>
      <c r="Z292" s="49"/>
      <c r="AE292" s="41"/>
      <c r="AF292" s="31"/>
      <c r="AG292" s="31"/>
      <c r="AI292" s="41"/>
      <c r="AJ292" s="64"/>
      <c r="AK292" s="64"/>
      <c r="AM292" s="41"/>
      <c r="AN292" s="64"/>
      <c r="AO292" s="64"/>
      <c r="AQ292" s="41"/>
      <c r="AR292" s="64"/>
      <c r="AS292" s="64"/>
    </row>
    <row r="293" spans="1:45" s="5" customFormat="1">
      <c r="A293" s="41"/>
      <c r="B293" s="42"/>
      <c r="C293" s="48" t="s">
        <v>306</v>
      </c>
      <c r="D293" s="44" t="str">
        <f>B293&amp;TEXT(Prices!$C$45,"0.0")</f>
        <v>330.8</v>
      </c>
      <c r="E293" s="44" t="str">
        <f>B293&amp;TEXT(Prices!$E$45,"0.0")</f>
        <v>581.0</v>
      </c>
      <c r="F293" s="45">
        <f>Prices!$F$45</f>
        <v>0.75645444101819947</v>
      </c>
      <c r="G293" s="44" t="str">
        <f>Prices!$D$45</f>
        <v>Buy</v>
      </c>
      <c r="H293" s="46"/>
      <c r="I293" s="47">
        <f>CHTR!$D$42</f>
        <v>4.0781188555855197</v>
      </c>
      <c r="J293" s="47">
        <f>CHTR!$E$42</f>
        <v>3.8540194502851879</v>
      </c>
      <c r="K293" s="47">
        <f>CHTR!$F$42</f>
        <v>3.638018827965217</v>
      </c>
      <c r="L293" s="47">
        <f>CHTR!$G$42</f>
        <v>3.6127446196398116</v>
      </c>
      <c r="M293" s="45">
        <f>CHTR!$H$42</f>
        <v>3.2004947857466881E-2</v>
      </c>
      <c r="N293" s="46"/>
      <c r="O293" s="615">
        <f>(CHTR!D$23/CHTR!C$23)-1</f>
        <v>1.0828921550479542E-2</v>
      </c>
      <c r="P293" s="615">
        <f>(CHTR!E$23/CHTR!D$23)-1</f>
        <v>1.3477394524765263E-2</v>
      </c>
      <c r="Q293" s="615">
        <f>(CHTR!$F$23/CHTR!$E$23)-1</f>
        <v>4.6697826194572745E-3</v>
      </c>
      <c r="R293" s="615">
        <f>(CHTR!$G$23/CHTR!$F$23)-1</f>
        <v>2.3670176181437519E-2</v>
      </c>
      <c r="S293" s="615">
        <f>CHTR!$H$23</f>
        <v>1.3909406851535078E-2</v>
      </c>
      <c r="T293" s="46"/>
      <c r="U293" s="48" t="str">
        <f>D293</f>
        <v>330.8</v>
      </c>
      <c r="V293" s="44" t="s">
        <v>306</v>
      </c>
      <c r="Z293" s="49"/>
      <c r="AE293" s="41"/>
      <c r="AF293" s="31"/>
      <c r="AG293" s="31"/>
      <c r="AI293" s="41"/>
      <c r="AJ293" s="64"/>
      <c r="AK293" s="64"/>
      <c r="AM293" s="41"/>
      <c r="AN293" s="64"/>
      <c r="AO293" s="64"/>
      <c r="AQ293" s="41"/>
      <c r="AR293" s="64"/>
      <c r="AS293" s="64"/>
    </row>
    <row r="294" spans="1:45" s="5" customFormat="1">
      <c r="A294" s="41"/>
      <c r="B294" s="42"/>
      <c r="C294" s="48" t="s">
        <v>304</v>
      </c>
      <c r="D294" s="44" t="str">
        <f>B294&amp;TEXT(Prices!$C$46,"0.0")</f>
        <v>39.8</v>
      </c>
      <c r="E294" s="44" t="str">
        <f>B294&amp;TEXT(Prices!$E$46,"0.0")</f>
        <v>50.0</v>
      </c>
      <c r="F294" s="45">
        <f>Prices!$F$46</f>
        <v>0.25628140703517599</v>
      </c>
      <c r="G294" s="44" t="str">
        <f>Prices!$D$46</f>
        <v>Buy</v>
      </c>
      <c r="H294" s="46"/>
      <c r="I294" s="47">
        <f>CMCSA!$D$42</f>
        <v>3.8203212454445823</v>
      </c>
      <c r="J294" s="47">
        <f>CMCSA!$E$42</f>
        <v>3.7782712072005977</v>
      </c>
      <c r="K294" s="47">
        <f>CMCSA!$F$42</f>
        <v>3.7561626543291058</v>
      </c>
      <c r="L294" s="47">
        <f>CMCSA!$G$42</f>
        <v>3.8255812385019516</v>
      </c>
      <c r="M294" s="45">
        <f>CMCSA!$H$42</f>
        <v>-5.0693004929310614E-2</v>
      </c>
      <c r="N294" s="46"/>
      <c r="O294" s="615">
        <f>(CMCSA!D$23/CMCSA!C$23)-1</f>
        <v>1.1710368113317937E-3</v>
      </c>
      <c r="P294" s="615">
        <f>(CMCSA!E$23/CMCSA!D$23)-1</f>
        <v>2.8175729221326273E-2</v>
      </c>
      <c r="Q294" s="615">
        <f>(CMCSA!$F$23/CMCSA!$E$23)-1</f>
        <v>2.333313742831189E-3</v>
      </c>
      <c r="R294" s="615">
        <f>(CMCSA!$G$23/CMCSA!$F$23)-1</f>
        <v>1.6217868426750881E-2</v>
      </c>
      <c r="S294" s="615">
        <f>CMCSA!$H$23</f>
        <v>1.5520698985130199E-2</v>
      </c>
      <c r="T294" s="46"/>
      <c r="U294" s="48" t="str">
        <f>D294</f>
        <v>39.8</v>
      </c>
      <c r="V294" s="44" t="s">
        <v>304</v>
      </c>
      <c r="Z294" s="49"/>
      <c r="AE294" s="41"/>
      <c r="AF294" s="31"/>
      <c r="AG294" s="31"/>
      <c r="AI294" s="41"/>
      <c r="AJ294" s="64"/>
      <c r="AK294" s="64"/>
      <c r="AM294" s="41"/>
      <c r="AN294" s="64"/>
      <c r="AO294" s="64"/>
      <c r="AQ294" s="41"/>
      <c r="AR294" s="64"/>
      <c r="AS294" s="64"/>
    </row>
    <row r="295" spans="1:45" s="5" customFormat="1">
      <c r="A295" s="41"/>
      <c r="B295" s="42" t="s">
        <v>522</v>
      </c>
      <c r="C295" s="48" t="s">
        <v>1602</v>
      </c>
      <c r="D295" s="44" t="str">
        <f>B295&amp;TEXT(Prices!C$47,"0.00")</f>
        <v>US$ 35.00</v>
      </c>
      <c r="E295" s="44" t="str">
        <f>B295&amp;TEXT(Prices!E$47,"0.00")</f>
        <v>US$ 54.00</v>
      </c>
      <c r="F295" s="45">
        <f>Prices!F$47</f>
        <v>0.54285714285714293</v>
      </c>
      <c r="G295" s="44" t="str">
        <f>Prices!D$47</f>
        <v>Buy</v>
      </c>
      <c r="H295" s="46"/>
      <c r="I295" s="47">
        <f>FYBR!D$42</f>
        <v>1.4016105159171874</v>
      </c>
      <c r="J295" s="47">
        <f>FYBR!E$42</f>
        <v>1.3006705138403691</v>
      </c>
      <c r="K295" s="47">
        <f>FYBR!F$42</f>
        <v>1.3065854243358144</v>
      </c>
      <c r="L295" s="47">
        <f>FYBR!G$42</f>
        <v>1.2743352955602734</v>
      </c>
      <c r="M295" s="45">
        <f>FYBR!H$42</f>
        <v>3.3177717934998796E-2</v>
      </c>
      <c r="N295" s="46"/>
      <c r="O295" s="615">
        <f>(FYBR!$D$23/FYBR!$C$23)-1</f>
        <v>-6.2208398133748455E-3</v>
      </c>
      <c r="P295" s="615">
        <f>(FYBR!$E$23/FYBR!$D$23)-1</f>
        <v>-0.75013470991021813</v>
      </c>
      <c r="Q295" s="615">
        <f>(FYBR!$F$23/FYBR!$E$23)-1</f>
        <v>2.9917542488915316E-3</v>
      </c>
      <c r="R295" s="615">
        <f>(FYBR!$G$23/FYBR!$F$23)-1</f>
        <v>-7.4672181758095313E-3</v>
      </c>
      <c r="S295" s="615">
        <f>FYBR!$H$23</f>
        <v>-0.37109837392480916</v>
      </c>
      <c r="T295" s="46"/>
      <c r="U295" s="48" t="str">
        <f>D295</f>
        <v>US$ 35.00</v>
      </c>
      <c r="V295" s="44" t="str">
        <f>C295</f>
        <v>Frontier</v>
      </c>
      <c r="Z295" s="49"/>
      <c r="AE295" s="41"/>
      <c r="AF295" s="31"/>
      <c r="AG295" s="31"/>
      <c r="AI295" s="41"/>
      <c r="AJ295" s="64"/>
      <c r="AK295" s="64"/>
      <c r="AM295" s="41"/>
      <c r="AN295" s="64"/>
      <c r="AO295" s="64"/>
      <c r="AQ295" s="41"/>
      <c r="AR295" s="64"/>
      <c r="AS295" s="64"/>
    </row>
    <row r="296" spans="1:45" s="5" customFormat="1">
      <c r="A296" s="41"/>
      <c r="B296" s="42" t="s">
        <v>522</v>
      </c>
      <c r="C296" s="48" t="s">
        <v>1603</v>
      </c>
      <c r="D296" s="44" t="str">
        <f>B296&amp;TEXT(Prices!C$48,"0.00")</f>
        <v>US$ 22.28</v>
      </c>
      <c r="E296" s="44" t="str">
        <f>B296&amp;TEXT(Prices!E$48,"0.00")</f>
        <v>US$ 100.00</v>
      </c>
      <c r="F296" s="45">
        <f>Prices!F$48</f>
        <v>3.4883303411131061</v>
      </c>
      <c r="G296" s="44" t="str">
        <f>Prices!D$48</f>
        <v>Buy</v>
      </c>
      <c r="H296" s="46"/>
      <c r="I296" s="47">
        <f>SATS!D$42</f>
        <v>3.148350498697694</v>
      </c>
      <c r="J296" s="47">
        <f>SATS!E$42</f>
        <v>2.8734692529205343</v>
      </c>
      <c r="K296" s="47">
        <f>SATS!F$42</f>
        <v>2.694604550197949</v>
      </c>
      <c r="L296" s="47">
        <f>SATS!G$42</f>
        <v>2.1686899187133357</v>
      </c>
      <c r="M296" s="45">
        <f>SATS!H$42</f>
        <v>4.5519366726737731E-2</v>
      </c>
      <c r="N296" s="46"/>
      <c r="O296" s="615">
        <f>(SATS!$D$23/SATS!$C$23)-1</f>
        <v>-8.7090462141030001E-2</v>
      </c>
      <c r="P296" s="615">
        <f>(SATS!$E$23/SATS!$D$23)-1</f>
        <v>-1.5971255015767905E-2</v>
      </c>
      <c r="Q296" s="615">
        <f>(SATS!$F$23/SATS!$E$23)-1</f>
        <v>3.4880309492166806E-2</v>
      </c>
      <c r="R296" s="615">
        <f>(SATS!$G$23/SATS!$F$23)-1</f>
        <v>3.3119935647860421E-2</v>
      </c>
      <c r="S296" s="615">
        <f>SATS!$H$23</f>
        <v>1.7066969438098267E-2</v>
      </c>
      <c r="T296" s="46"/>
      <c r="U296" s="48" t="str">
        <f>D296</f>
        <v>US$ 22.28</v>
      </c>
      <c r="V296" s="44" t="str">
        <f>C296</f>
        <v>EchoStar</v>
      </c>
      <c r="Z296" s="49"/>
      <c r="AE296" s="41"/>
      <c r="AF296" s="31"/>
      <c r="AG296" s="31"/>
      <c r="AI296" s="41"/>
      <c r="AJ296" s="64"/>
      <c r="AK296" s="64"/>
      <c r="AM296" s="41"/>
      <c r="AN296" s="64"/>
      <c r="AO296" s="64"/>
      <c r="AQ296" s="41"/>
      <c r="AR296" s="64"/>
      <c r="AS296" s="64"/>
    </row>
    <row r="297" spans="1:45" s="5" customFormat="1">
      <c r="A297" s="146"/>
      <c r="B297" s="42"/>
      <c r="C297" s="51" t="str">
        <f>C237</f>
        <v>Agg. US Other</v>
      </c>
      <c r="D297" s="58"/>
      <c r="E297" s="58"/>
      <c r="F297" s="55"/>
      <c r="G297" s="58"/>
      <c r="H297" s="56"/>
      <c r="I297" s="54">
        <f>'US OTHER'!D$42</f>
        <v>3.5328918375024028</v>
      </c>
      <c r="J297" s="54">
        <f>'US OTHER'!E$42</f>
        <v>3.4017377827100885</v>
      </c>
      <c r="K297" s="54">
        <f>'US OTHER'!F$42</f>
        <v>3.3002217631142288</v>
      </c>
      <c r="L297" s="54">
        <f>'US OTHER'!G$42</f>
        <v>3.257653737649747</v>
      </c>
      <c r="M297" s="55">
        <f>'US OTHER'!H$42</f>
        <v>-4.9190074724069222E-3</v>
      </c>
      <c r="N297" s="56"/>
      <c r="O297" s="616">
        <f>('US OTHER'!$D$23/'US OTHER'!$C$23)-1</f>
        <v>-6.4229881412645184E-3</v>
      </c>
      <c r="P297" s="616">
        <f>('US OTHER'!$E$23/'US OTHER'!$D$23)-1</f>
        <v>-2.8877127306623507E-3</v>
      </c>
      <c r="Q297" s="616">
        <f>('US OTHER'!$F$23/'US OTHER'!$E$23)-1</f>
        <v>4.8737017496724988E-3</v>
      </c>
      <c r="R297" s="616">
        <f>('US OTHER'!$G$23/'US OTHER'!$F$23)-1</f>
        <v>1.8606759072677059E-2</v>
      </c>
      <c r="S297" s="616">
        <f>'US OTHER'!$H$23</f>
        <v>6.8251004257615655E-3</v>
      </c>
      <c r="T297" s="56"/>
      <c r="U297" s="51"/>
      <c r="V297" s="58" t="str">
        <f>V237</f>
        <v>Agg. US CATV</v>
      </c>
      <c r="Z297" s="49"/>
      <c r="AE297" s="41"/>
      <c r="AF297" s="31"/>
      <c r="AG297" s="31"/>
      <c r="AI297" s="41"/>
      <c r="AJ297" s="64"/>
      <c r="AK297" s="64"/>
      <c r="AM297" s="41"/>
      <c r="AN297" s="64"/>
      <c r="AO297" s="64"/>
      <c r="AQ297" s="41"/>
      <c r="AR297" s="64"/>
      <c r="AS297" s="64"/>
    </row>
    <row r="298" spans="1:45" s="5" customFormat="1">
      <c r="A298" s="41"/>
      <c r="B298" s="42"/>
      <c r="C298" s="48"/>
      <c r="D298" s="44"/>
      <c r="E298" s="44"/>
      <c r="F298" s="45"/>
      <c r="G298" s="44"/>
      <c r="H298" s="46"/>
      <c r="I298" s="47"/>
      <c r="J298" s="47"/>
      <c r="K298" s="47"/>
      <c r="L298" s="47"/>
      <c r="M298" s="45"/>
      <c r="N298" s="46"/>
      <c r="O298" s="615"/>
      <c r="P298" s="615"/>
      <c r="Q298" s="615"/>
      <c r="R298" s="615"/>
      <c r="S298" s="615"/>
      <c r="T298" s="46"/>
      <c r="U298" s="48"/>
      <c r="V298" s="44"/>
      <c r="Z298" s="49"/>
      <c r="AE298" s="41"/>
      <c r="AF298" s="31"/>
      <c r="AG298" s="31"/>
      <c r="AI298" s="41"/>
      <c r="AJ298" s="64"/>
      <c r="AK298" s="64"/>
      <c r="AM298" s="41"/>
      <c r="AN298" s="64"/>
      <c r="AO298" s="64"/>
      <c r="AQ298" s="41"/>
      <c r="AR298" s="64"/>
      <c r="AS298" s="64"/>
    </row>
    <row r="299" spans="1:45" s="5" customFormat="1">
      <c r="A299" s="146"/>
      <c r="B299" s="42"/>
      <c r="C299" s="48"/>
      <c r="D299" s="44"/>
      <c r="E299" s="44"/>
      <c r="F299" s="45"/>
      <c r="G299" s="44"/>
      <c r="H299" s="46"/>
      <c r="I299" s="47"/>
      <c r="J299" s="47"/>
      <c r="K299" s="47"/>
      <c r="L299" s="47"/>
      <c r="M299" s="45"/>
      <c r="N299" s="46"/>
      <c r="O299" s="615"/>
      <c r="P299" s="615"/>
      <c r="Q299" s="615"/>
      <c r="R299" s="615"/>
      <c r="S299" s="615"/>
      <c r="T299" s="46"/>
      <c r="U299" s="48"/>
      <c r="V299" s="44"/>
      <c r="Z299" s="49"/>
      <c r="AE299" s="41"/>
      <c r="AF299" s="31"/>
      <c r="AG299" s="31"/>
      <c r="AI299" s="41"/>
      <c r="AJ299" s="64"/>
      <c r="AK299" s="64"/>
      <c r="AM299" s="41"/>
      <c r="AN299" s="64"/>
      <c r="AO299" s="64"/>
      <c r="AQ299" s="41"/>
      <c r="AR299" s="64"/>
      <c r="AS299" s="64"/>
    </row>
    <row r="300" spans="1:45" s="5" customFormat="1">
      <c r="A300" s="146"/>
      <c r="B300" s="42"/>
      <c r="C300" s="51" t="str">
        <f>C240</f>
        <v>Agg. W Europe</v>
      </c>
      <c r="D300" s="52"/>
      <c r="E300" s="52"/>
      <c r="F300" s="53"/>
      <c r="G300" s="52"/>
      <c r="H300" s="46"/>
      <c r="I300" s="54">
        <f>'W.EUR AGG'!$D$42</f>
        <v>3.4842067645212524</v>
      </c>
      <c r="J300" s="54">
        <f>'W.EUR AGG'!$E$42</f>
        <v>3.5888013131619974</v>
      </c>
      <c r="K300" s="54">
        <f>'W.EUR AGG'!$F$42</f>
        <v>3.5174364031549308</v>
      </c>
      <c r="L300" s="54">
        <f>'W.EUR AGG'!$G$42</f>
        <v>3.4472615752836107</v>
      </c>
      <c r="M300" s="55">
        <f>'W.EUR AGG'!$H$42</f>
        <v>-2.5197228816407735E-2</v>
      </c>
      <c r="N300" s="56"/>
      <c r="O300" s="616">
        <f>('W.EUR AGG'!$D$23/'W.EUR AGG'!$C$23)-1</f>
        <v>5.6312363250239361E-3</v>
      </c>
      <c r="P300" s="616">
        <f>('W.EUR AGG'!$E$23/'W.EUR AGG'!$D$23)-1</f>
        <v>2.7393269611222681E-2</v>
      </c>
      <c r="Q300" s="616">
        <f>('W.EUR AGG'!$F$23/'W.EUR AGG'!$E$23)-1</f>
        <v>1.6470665877602375E-2</v>
      </c>
      <c r="R300" s="616">
        <f>('W.EUR AGG'!$G$23/'W.EUR AGG'!$F$23)-1</f>
        <v>1.5567591764813926E-2</v>
      </c>
      <c r="S300" s="616">
        <f>'W.EUR AGG'!$H$23</f>
        <v>1.9796381358042403E-2</v>
      </c>
      <c r="T300" s="46"/>
      <c r="U300" s="57"/>
      <c r="V300" s="58" t="str">
        <f>V240</f>
        <v>Agg. W Europe</v>
      </c>
      <c r="Z300" s="49"/>
      <c r="AE300" s="41"/>
      <c r="AF300" s="31"/>
      <c r="AG300" s="31"/>
      <c r="AI300" s="41"/>
      <c r="AJ300" s="64"/>
      <c r="AK300" s="64"/>
      <c r="AM300" s="41"/>
      <c r="AN300" s="64"/>
      <c r="AO300" s="64"/>
      <c r="AQ300" s="41"/>
      <c r="AR300" s="64"/>
      <c r="AS300" s="64"/>
    </row>
    <row r="301" spans="1:45" s="5" customFormat="1">
      <c r="A301" s="146"/>
      <c r="B301" s="42"/>
      <c r="C301" s="41" t="s">
        <v>1608</v>
      </c>
      <c r="D301" s="44"/>
      <c r="E301" s="44"/>
      <c r="F301" s="45"/>
      <c r="G301" s="44"/>
      <c r="H301" s="46"/>
      <c r="I301" s="60">
        <f>'US AGG'!D$42</f>
        <v>3.7599831118683715</v>
      </c>
      <c r="J301" s="60">
        <f>'US AGG'!E$42</f>
        <v>3.633171156659055</v>
      </c>
      <c r="K301" s="60">
        <f>'US AGG'!F$42</f>
        <v>3.4830668403597747</v>
      </c>
      <c r="L301" s="60">
        <f>'US AGG'!G$42</f>
        <v>3.3671045077496888</v>
      </c>
      <c r="M301" s="59">
        <f>'US AGG'!H$42</f>
        <v>-1.2972288534417564E-2</v>
      </c>
      <c r="N301" s="56"/>
      <c r="O301" s="618">
        <f>('US AGG'!D$23/'US AGG'!C$23)-1</f>
        <v>-5.0841246845612087E-3</v>
      </c>
      <c r="P301" s="618">
        <f>('US AGG'!E$23/'US AGG'!D$23)-1</f>
        <v>8.9008644983878948E-3</v>
      </c>
      <c r="Q301" s="618">
        <f>('US AGG'!F$23/'US AGG'!E$23)-1</f>
        <v>1.5027723332780685E-2</v>
      </c>
      <c r="R301" s="618">
        <f>('US AGG'!G$23/'US AGG'!F$23)-1</f>
        <v>1.9801981293964044E-2</v>
      </c>
      <c r="S301" s="618">
        <f>'US AGG'!H$23</f>
        <v>1.456704127626085E-2</v>
      </c>
      <c r="T301" s="46"/>
      <c r="U301" s="48"/>
      <c r="V301" s="50" t="str">
        <f>V241</f>
        <v>Agg. US</v>
      </c>
      <c r="Z301" s="49"/>
      <c r="AE301" s="41"/>
      <c r="AF301" s="31"/>
      <c r="AG301" s="31"/>
      <c r="AI301" s="41"/>
      <c r="AJ301" s="64"/>
      <c r="AK301" s="64"/>
      <c r="AM301" s="41"/>
      <c r="AN301" s="64"/>
      <c r="AO301" s="64"/>
      <c r="AQ301" s="41"/>
      <c r="AR301" s="64"/>
      <c r="AS301" s="64"/>
    </row>
    <row r="302" spans="1:45" s="5" customFormat="1">
      <c r="A302" s="146"/>
      <c r="B302" s="42"/>
      <c r="C302" s="67" t="str">
        <f>C242</f>
        <v xml:space="preserve">Agg. Developed Asia </v>
      </c>
      <c r="D302" s="52"/>
      <c r="E302" s="52"/>
      <c r="F302" s="53"/>
      <c r="G302" s="52"/>
      <c r="H302" s="46"/>
      <c r="I302" s="54">
        <f>'AGG DM ASIA'!$D$42</f>
        <v>3.1677671208807943</v>
      </c>
      <c r="J302" s="54">
        <f>'AGG DM ASIA'!$E$42</f>
        <v>3.0469126030002176</v>
      </c>
      <c r="K302" s="54">
        <f>'AGG DM ASIA'!$F$42</f>
        <v>2.9060000542694824</v>
      </c>
      <c r="L302" s="54">
        <f>'AGG DM ASIA'!$G$42</f>
        <v>2.734391157420057</v>
      </c>
      <c r="M302" s="55">
        <f>'AGG DM ASIA'!$H$42</f>
        <v>4.7821462737978049E-3</v>
      </c>
      <c r="N302" s="56"/>
      <c r="O302" s="616">
        <f>('AGG DM ASIA'!$D$23/'AGG DM ASIA'!$C$23)-1</f>
        <v>1.9291310247812721E-2</v>
      </c>
      <c r="P302" s="616">
        <f>('AGG DM ASIA'!$E$23/'AGG DM ASIA'!$D$23)-1</f>
        <v>2.1332553410828625E-2</v>
      </c>
      <c r="Q302" s="616">
        <f>('AGG DM ASIA'!$F$23/'AGG DM ASIA'!$E$23)-1</f>
        <v>4.614286088996078E-2</v>
      </c>
      <c r="R302" s="616">
        <f>('AGG DM ASIA'!$G$23/'AGG DM ASIA'!$F$23)-1</f>
        <v>4.0818534786096761E-2</v>
      </c>
      <c r="S302" s="616">
        <f>'AGG DM ASIA'!$H$23</f>
        <v>3.604287710804277E-2</v>
      </c>
      <c r="T302" s="46"/>
      <c r="U302" s="57"/>
      <c r="V302" s="58" t="str">
        <f>V242</f>
        <v xml:space="preserve">Agg. Developed Asia </v>
      </c>
      <c r="Z302" s="49"/>
      <c r="AE302" s="41"/>
      <c r="AF302" s="31"/>
      <c r="AG302" s="31"/>
      <c r="AI302" s="41"/>
      <c r="AJ302" s="64"/>
      <c r="AK302" s="64"/>
      <c r="AM302" s="41"/>
      <c r="AN302" s="64"/>
      <c r="AO302" s="64"/>
      <c r="AQ302" s="41"/>
      <c r="AR302" s="64"/>
      <c r="AS302" s="64"/>
    </row>
    <row r="303" spans="1:45" s="5" customFormat="1">
      <c r="A303" s="146"/>
      <c r="B303" s="42"/>
      <c r="C303" s="41"/>
      <c r="D303" s="44"/>
      <c r="E303" s="44"/>
      <c r="F303" s="45"/>
      <c r="G303" s="44"/>
      <c r="H303" s="46"/>
      <c r="I303" s="60"/>
      <c r="J303" s="60"/>
      <c r="K303" s="60"/>
      <c r="L303" s="60"/>
      <c r="M303" s="59"/>
      <c r="N303" s="56"/>
      <c r="O303" s="618"/>
      <c r="P303" s="618"/>
      <c r="Q303" s="618"/>
      <c r="R303" s="618"/>
      <c r="S303" s="618"/>
      <c r="T303" s="46"/>
      <c r="U303" s="48"/>
      <c r="V303" s="50"/>
      <c r="Z303" s="49"/>
      <c r="AE303" s="41"/>
      <c r="AF303" s="31"/>
      <c r="AG303" s="31"/>
      <c r="AI303" s="41"/>
      <c r="AJ303" s="64"/>
      <c r="AK303" s="64"/>
      <c r="AM303" s="41"/>
      <c r="AN303" s="64"/>
      <c r="AO303" s="64"/>
      <c r="AQ303" s="41"/>
      <c r="AR303" s="64"/>
      <c r="AS303" s="64"/>
    </row>
    <row r="304" spans="1:45" s="5" customFormat="1">
      <c r="A304" s="146"/>
      <c r="B304" s="42"/>
      <c r="C304" s="67" t="str">
        <f>C244</f>
        <v>Agg. Global Developed</v>
      </c>
      <c r="D304" s="52"/>
      <c r="E304" s="52"/>
      <c r="F304" s="53"/>
      <c r="G304" s="52"/>
      <c r="H304" s="46"/>
      <c r="I304" s="54">
        <f>'AGG DM'!$D$42</f>
        <v>3.5695190289450349</v>
      </c>
      <c r="J304" s="54">
        <f>'AGG DM'!$E$42</f>
        <v>3.5134357287577695</v>
      </c>
      <c r="K304" s="54">
        <f>'AGG DM'!$F$42</f>
        <v>3.3883975097562629</v>
      </c>
      <c r="L304" s="54">
        <f>'AGG DM'!$G$42</f>
        <v>3.2746189474746648</v>
      </c>
      <c r="M304" s="55">
        <f>'AGG DM'!$H$42</f>
        <v>-1.3621174796897284E-2</v>
      </c>
      <c r="N304" s="56"/>
      <c r="O304" s="616">
        <f>('AGG DM'!$D$23/'AGG DM'!$C$23)-1</f>
        <v>3.0935352494920743E-3</v>
      </c>
      <c r="P304" s="616">
        <f>('AGG DM'!$E$23/'AGG DM'!$D$23)-1</f>
        <v>1.7307534804940072E-2</v>
      </c>
      <c r="Q304" s="616">
        <f>('AGG DM'!$F$23/'AGG DM'!$E$23)-1</f>
        <v>2.1666607606627863E-2</v>
      </c>
      <c r="R304" s="616">
        <f>('AGG DM'!$G$23/'AGG DM'!$F$23)-1</f>
        <v>2.2700020990768843E-2</v>
      </c>
      <c r="S304" s="616">
        <f>'AGG DM'!$H$23</f>
        <v>2.0555376527773284E-2</v>
      </c>
      <c r="T304" s="46"/>
      <c r="U304" s="57"/>
      <c r="V304" s="58" t="str">
        <f>V244</f>
        <v xml:space="preserve">Agg. Global Developed </v>
      </c>
      <c r="Z304" s="49"/>
      <c r="AE304" s="41"/>
      <c r="AF304" s="31"/>
      <c r="AG304" s="31"/>
      <c r="AI304" s="41"/>
      <c r="AJ304" s="64"/>
      <c r="AK304" s="64"/>
      <c r="AM304" s="41"/>
      <c r="AN304" s="64"/>
      <c r="AO304" s="64"/>
      <c r="AQ304" s="41"/>
      <c r="AR304" s="64"/>
      <c r="AS304" s="64"/>
    </row>
    <row r="305" spans="1:69" s="5" customFormat="1">
      <c r="A305" s="146"/>
      <c r="B305" s="42"/>
      <c r="C305" s="41"/>
      <c r="D305" s="44"/>
      <c r="E305" s="44"/>
      <c r="F305" s="45"/>
      <c r="G305" s="44"/>
      <c r="H305" s="46"/>
      <c r="I305" s="60"/>
      <c r="J305" s="60"/>
      <c r="K305" s="60"/>
      <c r="L305" s="60"/>
      <c r="M305" s="59"/>
      <c r="N305" s="56"/>
      <c r="O305" s="70"/>
      <c r="P305" s="70"/>
      <c r="Q305" s="70"/>
      <c r="R305" s="70"/>
      <c r="S305" s="59"/>
      <c r="T305" s="46"/>
      <c r="U305" s="48"/>
      <c r="V305" s="50"/>
      <c r="Z305" s="49"/>
      <c r="AE305" s="41"/>
      <c r="AF305" s="31"/>
      <c r="AG305" s="31"/>
      <c r="AI305" s="41"/>
      <c r="AJ305" s="64"/>
      <c r="AK305" s="64"/>
      <c r="AM305" s="41"/>
      <c r="AN305" s="64"/>
      <c r="AO305" s="64"/>
      <c r="AQ305" s="41"/>
      <c r="AR305" s="64"/>
      <c r="AS305" s="64"/>
    </row>
    <row r="306" spans="1:69" s="5" customFormat="1">
      <c r="A306" s="146"/>
      <c r="B306" s="42"/>
      <c r="C306" s="41"/>
      <c r="D306" s="44"/>
      <c r="E306" s="44"/>
      <c r="F306" s="45"/>
      <c r="G306" s="44"/>
      <c r="H306" s="46"/>
      <c r="I306" s="60"/>
      <c r="J306" s="60"/>
      <c r="K306" s="60"/>
      <c r="L306" s="60"/>
      <c r="M306" s="59"/>
      <c r="N306" s="56"/>
      <c r="O306" s="70"/>
      <c r="P306" s="70"/>
      <c r="Q306" s="70"/>
      <c r="R306" s="70"/>
      <c r="S306" s="59"/>
      <c r="T306" s="46"/>
      <c r="U306" s="48"/>
      <c r="V306" s="50"/>
      <c r="Z306" s="49"/>
      <c r="AE306" s="41"/>
      <c r="AF306" s="31"/>
      <c r="AG306" s="31"/>
      <c r="AI306" s="41"/>
      <c r="AJ306" s="64"/>
      <c r="AK306" s="64"/>
      <c r="AM306" s="41"/>
      <c r="AN306" s="64"/>
      <c r="AO306" s="64"/>
      <c r="AQ306" s="41"/>
      <c r="AR306" s="64"/>
      <c r="AS306" s="64"/>
    </row>
    <row r="307" spans="1:69" s="41" customFormat="1">
      <c r="B307" s="147"/>
      <c r="C307" s="164"/>
      <c r="D307" s="165" t="s">
        <v>459</v>
      </c>
      <c r="E307" s="165" t="s">
        <v>56</v>
      </c>
      <c r="F307" s="165" t="s">
        <v>58</v>
      </c>
      <c r="G307" s="165" t="s">
        <v>55</v>
      </c>
      <c r="H307" s="49"/>
      <c r="I307" s="166" t="s">
        <v>465</v>
      </c>
      <c r="J307" s="166"/>
      <c r="K307" s="166"/>
      <c r="L307" s="166"/>
      <c r="M307" s="166"/>
      <c r="O307" s="166" t="s">
        <v>466</v>
      </c>
      <c r="P307" s="166"/>
      <c r="Q307" s="166"/>
      <c r="R307" s="166"/>
      <c r="S307" s="166"/>
      <c r="T307" s="49"/>
      <c r="U307" s="167" t="s">
        <v>459</v>
      </c>
      <c r="V307" s="165"/>
      <c r="Z307" s="49"/>
      <c r="AC307" s="135"/>
      <c r="AD307" s="136"/>
      <c r="AE307" s="136"/>
      <c r="AF307" s="136"/>
      <c r="AG307" s="136"/>
      <c r="AH307" s="136"/>
      <c r="AI307" s="136"/>
      <c r="AJ307" s="136"/>
      <c r="AK307" s="136"/>
      <c r="AL307" s="136"/>
      <c r="AM307" s="136"/>
      <c r="AN307" s="136"/>
      <c r="AO307" s="136"/>
      <c r="AP307" s="136"/>
      <c r="AQ307" s="136"/>
      <c r="AR307" s="136"/>
      <c r="AS307" s="136"/>
      <c r="AT307" s="136"/>
      <c r="AU307" s="136"/>
      <c r="AV307" s="136"/>
      <c r="AW307" s="136"/>
      <c r="BC307" s="137"/>
      <c r="BD307" s="137"/>
      <c r="BE307" s="137"/>
      <c r="BG307" s="137"/>
      <c r="BH307" s="137"/>
      <c r="BI307" s="137"/>
      <c r="BK307" s="137"/>
      <c r="BL307" s="137"/>
      <c r="BM307" s="137"/>
      <c r="BO307" s="137"/>
      <c r="BP307" s="137"/>
      <c r="BQ307" s="137"/>
    </row>
    <row r="308" spans="1:69" s="5" customFormat="1">
      <c r="A308" s="41" t="s">
        <v>501</v>
      </c>
      <c r="B308" s="42"/>
      <c r="C308" s="48" t="s">
        <v>182</v>
      </c>
      <c r="D308" s="44" t="str">
        <f t="shared" ref="D308:G318" si="55">D248</f>
        <v>GBP1.44</v>
      </c>
      <c r="E308" s="44" t="str">
        <f t="shared" si="55"/>
        <v>GBP2.30</v>
      </c>
      <c r="F308" s="45">
        <f t="shared" si="55"/>
        <v>0.59777700590482818</v>
      </c>
      <c r="G308" s="44" t="str">
        <f t="shared" si="55"/>
        <v>Buy</v>
      </c>
      <c r="H308" s="46"/>
      <c r="I308" s="45">
        <f>(BT!$D$24/BT!$C$24)-1</f>
        <v>7.1108582806012066E-5</v>
      </c>
      <c r="J308" s="45">
        <f>(BT!$E$24/BT!$D$24)-1</f>
        <v>1.4120449374288802E-2</v>
      </c>
      <c r="K308" s="45">
        <f>(BT!$F$24/BT!$E$24)-1</f>
        <v>1.1813569625152232E-2</v>
      </c>
      <c r="L308" s="45">
        <f>(BT!$G$24/BT!$F$24)-1</f>
        <v>2.7066982177310184E-2</v>
      </c>
      <c r="M308" s="45">
        <f>BT!$H$24</f>
        <v>1.7644920518030904E-2</v>
      </c>
      <c r="N308" s="46"/>
      <c r="O308" s="45">
        <f>(BT!$D$25/BT!$C$25)-1</f>
        <v>8.3523158694001065E-3</v>
      </c>
      <c r="P308" s="45">
        <f>(BT!$E$25/BT!$D$25)-1</f>
        <v>6.9927340043190567E-2</v>
      </c>
      <c r="Q308" s="45">
        <f>(BT!$F$25/BT!$E$25)-1</f>
        <v>8.4095579832646372E-2</v>
      </c>
      <c r="R308" s="45">
        <f>(BT!$G$25/BT!$F$25)-1</f>
        <v>0.23034866085003336</v>
      </c>
      <c r="S308" s="45">
        <f>BT!$H$25</f>
        <v>0.12585731340470874</v>
      </c>
      <c r="T308" s="46"/>
      <c r="U308" s="48" t="str">
        <f t="shared" ref="U308:V312" si="56">U248</f>
        <v>GBP1.44</v>
      </c>
      <c r="V308" s="69" t="str">
        <f t="shared" si="56"/>
        <v>British Telecom</v>
      </c>
      <c r="Z308" s="49"/>
      <c r="AE308" s="41"/>
      <c r="AF308" s="31"/>
      <c r="AG308" s="31"/>
      <c r="AI308" s="41"/>
      <c r="AJ308" s="64"/>
      <c r="AK308" s="64"/>
      <c r="AM308" s="41"/>
      <c r="AN308" s="64"/>
      <c r="AO308" s="64"/>
      <c r="AQ308" s="41"/>
      <c r="AR308" s="64"/>
      <c r="AS308" s="64"/>
    </row>
    <row r="309" spans="1:69" s="5" customFormat="1">
      <c r="A309" s="41"/>
      <c r="B309" s="42"/>
      <c r="C309" s="48" t="s">
        <v>183</v>
      </c>
      <c r="D309" s="44" t="str">
        <f t="shared" si="55"/>
        <v>EUR 26.13</v>
      </c>
      <c r="E309" s="44" t="str">
        <f t="shared" si="55"/>
        <v>EUR 33.00</v>
      </c>
      <c r="F309" s="45">
        <f t="shared" si="55"/>
        <v>0.26291618828932273</v>
      </c>
      <c r="G309" s="44" t="str">
        <f t="shared" si="55"/>
        <v>Buy</v>
      </c>
      <c r="H309" s="46"/>
      <c r="I309" s="45">
        <f>(DT!$D$24/DT!$C$24)-1</f>
        <v>7.2507401274524153E-3</v>
      </c>
      <c r="J309" s="45">
        <f>(DT!$E$24/DT!$D$24)-1</f>
        <v>6.0369852780497446E-2</v>
      </c>
      <c r="K309" s="45">
        <f>(DT!$F$24/DT!$E$24)-1</f>
        <v>5.6327945979211869E-2</v>
      </c>
      <c r="L309" s="45">
        <f>(DT!$G$24/DT!$F$24)-1</f>
        <v>5.0517851829590787E-2</v>
      </c>
      <c r="M309" s="45">
        <f>DT!$H$24</f>
        <v>5.5730802160798287E-2</v>
      </c>
      <c r="N309" s="46"/>
      <c r="O309" s="45">
        <f>(DT!$D$25/DT!$C$25)-1</f>
        <v>0.30822484584419008</v>
      </c>
      <c r="P309" s="45">
        <f>(DT!$E$25/DT!$D$25)-1</f>
        <v>0.16908197445176487</v>
      </c>
      <c r="Q309" s="45">
        <f>(DT!$F$25/DT!$E$25)-1</f>
        <v>9.9699872056331351E-2</v>
      </c>
      <c r="R309" s="45">
        <f>(DT!$G$25/DT!$F$25)-1</f>
        <v>7.6063813103464772E-2</v>
      </c>
      <c r="S309" s="45">
        <f>DT!$H$25</f>
        <v>0.11425790002201275</v>
      </c>
      <c r="T309" s="46"/>
      <c r="U309" s="48" t="str">
        <f t="shared" si="56"/>
        <v>EUR 26.13</v>
      </c>
      <c r="V309" s="69" t="str">
        <f t="shared" si="56"/>
        <v>Deutsche Telekom</v>
      </c>
      <c r="Z309" s="49"/>
      <c r="AE309" s="41"/>
      <c r="AF309" s="31"/>
      <c r="AG309" s="31"/>
      <c r="AI309" s="41"/>
      <c r="AJ309" s="64"/>
      <c r="AK309" s="64"/>
      <c r="AM309" s="41"/>
      <c r="AN309" s="64"/>
      <c r="AO309" s="64"/>
      <c r="AQ309" s="41"/>
      <c r="AR309" s="64"/>
      <c r="AS309" s="64"/>
    </row>
    <row r="310" spans="1:69" s="5" customFormat="1">
      <c r="A310" s="41"/>
      <c r="B310" s="42"/>
      <c r="C310" s="48" t="s">
        <v>453</v>
      </c>
      <c r="D310" s="44" t="str">
        <f t="shared" si="55"/>
        <v>EUR 3.75</v>
      </c>
      <c r="E310" s="44" t="str">
        <f t="shared" si="55"/>
        <v>EUR 3.80</v>
      </c>
      <c r="F310" s="45">
        <f t="shared" si="55"/>
        <v>1.4415376401494928E-2</v>
      </c>
      <c r="G310" s="44" t="str">
        <f t="shared" si="55"/>
        <v>Neutral</v>
      </c>
      <c r="H310" s="46"/>
      <c r="I310" s="45">
        <f>(KPN!$D$24/KPN!$C$24)-1</f>
        <v>6.6555740432612254E-3</v>
      </c>
      <c r="J310" s="45">
        <f>(KPN!$E$24/KPN!$D$24)-1</f>
        <v>3.1718891708134356E-2</v>
      </c>
      <c r="K310" s="45">
        <f>(KPN!$F$24/KPN!$E$24)-1</f>
        <v>2.2397857418835709E-2</v>
      </c>
      <c r="L310" s="45">
        <f>(KPN!$G$24/KPN!$F$24)-1</f>
        <v>1.5977538766517085E-2</v>
      </c>
      <c r="M310" s="45">
        <f>KPN!$H$24</f>
        <v>2.3344375092730685E-2</v>
      </c>
      <c r="N310" s="46"/>
      <c r="O310" s="45">
        <f>(KPN!$D$25/KPN!$C$25)-1</f>
        <v>-2.176683333673568E-2</v>
      </c>
      <c r="P310" s="45">
        <f>(KPN!$E$25/KPN!$D$25)-1</f>
        <v>7.2284598098226294E-2</v>
      </c>
      <c r="Q310" s="45">
        <f>(KPN!$F$25/KPN!$E$25)-1</f>
        <v>5.9225421356615238E-2</v>
      </c>
      <c r="R310" s="45">
        <f>(KPN!$G$25/KPN!$F$25)-1</f>
        <v>2.9768507370261821E-2</v>
      </c>
      <c r="S310" s="45">
        <f>KPN!$H$25</f>
        <v>5.360872021532348E-2</v>
      </c>
      <c r="T310" s="46"/>
      <c r="U310" s="48" t="str">
        <f t="shared" si="56"/>
        <v>EUR 3.75</v>
      </c>
      <c r="V310" s="69" t="str">
        <f t="shared" si="56"/>
        <v>KPN</v>
      </c>
      <c r="Z310" s="49"/>
      <c r="AE310" s="41"/>
      <c r="AF310" s="31"/>
      <c r="AG310" s="31"/>
      <c r="AI310" s="41"/>
      <c r="AJ310" s="64"/>
      <c r="AK310" s="64"/>
      <c r="AM310" s="41"/>
      <c r="AN310" s="64"/>
      <c r="AO310" s="64"/>
      <c r="AQ310" s="41"/>
      <c r="AR310" s="64"/>
      <c r="AS310" s="64"/>
    </row>
    <row r="311" spans="1:69" s="5" customFormat="1">
      <c r="A311" s="41"/>
      <c r="B311" s="42"/>
      <c r="C311" s="48" t="s">
        <v>722</v>
      </c>
      <c r="D311" s="44" t="str">
        <f t="shared" si="55"/>
        <v>EUR 10.72</v>
      </c>
      <c r="E311" s="44" t="str">
        <f t="shared" si="55"/>
        <v>EUR 14.00</v>
      </c>
      <c r="F311" s="45">
        <f t="shared" si="55"/>
        <v>0.30597014925373123</v>
      </c>
      <c r="G311" s="44" t="str">
        <f t="shared" si="55"/>
        <v>Buy</v>
      </c>
      <c r="H311" s="46"/>
      <c r="I311" s="45">
        <f>(ORA!$D$24/ORA!$C$24)-1</f>
        <v>5.5542698449433381E-3</v>
      </c>
      <c r="J311" s="45">
        <f>(ORA!$E$24/ORA!$D$24)-1</f>
        <v>-7.9690411172954501E-2</v>
      </c>
      <c r="K311" s="45">
        <f>(ORA!$F$24/ORA!$E$24)-1</f>
        <v>1.379407053790449E-2</v>
      </c>
      <c r="L311" s="45">
        <f>(ORA!$G$24/ORA!$F$24)-1</f>
        <v>6.4561416313835274E-3</v>
      </c>
      <c r="M311" s="45">
        <f>ORA!$H$24</f>
        <v>-2.0751647859241773E-2</v>
      </c>
      <c r="N311" s="46"/>
      <c r="O311" s="45">
        <f>(ORA!$D$25/ORA!$C$25)-1</f>
        <v>0.11232337685566085</v>
      </c>
      <c r="P311" s="45">
        <f>(ORA!$E$25/ORA!$D$25)-1</f>
        <v>-5.0440316020425757E-2</v>
      </c>
      <c r="Q311" s="45">
        <f>(ORA!$F$25/ORA!$E$25)-1</f>
        <v>3.6410861867071764E-2</v>
      </c>
      <c r="R311" s="45">
        <f>(ORA!$G$25/ORA!$F$25)-1</f>
        <v>7.4599786713583915E-2</v>
      </c>
      <c r="S311" s="45">
        <f>ORA!$H$25</f>
        <v>1.8826715362928681E-2</v>
      </c>
      <c r="T311" s="46"/>
      <c r="U311" s="48" t="str">
        <f t="shared" si="56"/>
        <v>EUR 10.72</v>
      </c>
      <c r="V311" s="69" t="str">
        <f t="shared" si="56"/>
        <v>Orange</v>
      </c>
      <c r="Z311" s="49"/>
      <c r="AE311" s="41"/>
      <c r="AF311" s="31"/>
      <c r="AG311" s="31"/>
      <c r="AI311" s="41"/>
      <c r="AJ311" s="64"/>
      <c r="AK311" s="64"/>
      <c r="AM311" s="41"/>
      <c r="AN311" s="64"/>
      <c r="AO311" s="64"/>
      <c r="AQ311" s="41"/>
      <c r="AR311" s="64"/>
      <c r="AS311" s="64"/>
    </row>
    <row r="312" spans="1:69" s="5" customFormat="1">
      <c r="A312" s="41"/>
      <c r="B312" s="42"/>
      <c r="C312" s="48" t="s">
        <v>454</v>
      </c>
      <c r="D312" s="44" t="str">
        <f t="shared" si="55"/>
        <v>EUR 15.08</v>
      </c>
      <c r="E312" s="44" t="str">
        <f t="shared" si="55"/>
        <v>EUR 18.50</v>
      </c>
      <c r="F312" s="45">
        <f t="shared" si="55"/>
        <v>0.22679045092838201</v>
      </c>
      <c r="G312" s="44" t="str">
        <f t="shared" si="55"/>
        <v>Buy</v>
      </c>
      <c r="H312" s="46"/>
      <c r="I312" s="45">
        <f>(OTE!$D$24/OTE!$C$24)-1</f>
        <v>-4.0801186943616452E-3</v>
      </c>
      <c r="J312" s="45">
        <f>(OTE!$E$24/OTE!$D$24)-1</f>
        <v>1.7195970762315937E-2</v>
      </c>
      <c r="K312" s="45">
        <f>(OTE!$F$24/OTE!$E$24)-1</f>
        <v>2.4467691808351066E-2</v>
      </c>
      <c r="L312" s="45">
        <f>(OTE!$G$24/OTE!$F$24)-1</f>
        <v>1.4406751397751272E-2</v>
      </c>
      <c r="M312" s="45">
        <f>OTE!$H$24</f>
        <v>1.8681321449494304E-2</v>
      </c>
      <c r="N312" s="46"/>
      <c r="O312" s="45">
        <f>(OTE!$D$25/OTE!$C$25)-1</f>
        <v>1.4517265680056957E-2</v>
      </c>
      <c r="P312" s="45">
        <f>(OTE!$E$25/OTE!$D$25)-1</f>
        <v>3.5192466446384962E-2</v>
      </c>
      <c r="Q312" s="45">
        <f>(OTE!$F$25/OTE!$E$25)-1</f>
        <v>3.874051670849199E-2</v>
      </c>
      <c r="R312" s="45">
        <f>(OTE!$G$25/OTE!$F$25)-1</f>
        <v>2.6040135363567085E-2</v>
      </c>
      <c r="S312" s="45">
        <f>OTE!$H$25</f>
        <v>3.3310497185752741E-2</v>
      </c>
      <c r="T312" s="46"/>
      <c r="U312" s="48" t="str">
        <f t="shared" si="56"/>
        <v>EUR 15.08</v>
      </c>
      <c r="V312" s="69" t="str">
        <f t="shared" si="56"/>
        <v>OTE</v>
      </c>
      <c r="Z312" s="49"/>
      <c r="AE312" s="41"/>
      <c r="AF312" s="31"/>
      <c r="AG312" s="31"/>
      <c r="AI312" s="41"/>
      <c r="AJ312" s="64"/>
      <c r="AK312" s="64"/>
      <c r="AM312" s="41"/>
      <c r="AN312" s="64"/>
      <c r="AO312" s="64"/>
      <c r="AQ312" s="41"/>
      <c r="AR312" s="64"/>
      <c r="AS312" s="64"/>
    </row>
    <row r="313" spans="1:69" s="5" customFormat="1">
      <c r="A313" s="41"/>
      <c r="B313" s="42"/>
      <c r="C313" s="48" t="s">
        <v>809</v>
      </c>
      <c r="D313" s="44" t="str">
        <f t="shared" si="55"/>
        <v>EUR 6.8</v>
      </c>
      <c r="E313" s="44" t="str">
        <f t="shared" si="55"/>
        <v>EUR 9.5</v>
      </c>
      <c r="F313" s="45">
        <f t="shared" si="55"/>
        <v>0.39296187683284445</v>
      </c>
      <c r="G313" s="44" t="str">
        <f t="shared" si="55"/>
        <v>Neutral</v>
      </c>
      <c r="H313" s="46"/>
      <c r="I313" s="45">
        <f>(PROX!$D$24/PROX!$C$24)-1</f>
        <v>-1.6297648849650015E-2</v>
      </c>
      <c r="J313" s="45">
        <f>(PROX!$E$24/PROX!$D$24)-1</f>
        <v>5.5459562231982673E-2</v>
      </c>
      <c r="K313" s="45">
        <f>(PROX!$F$24/PROX!$E$24)-1</f>
        <v>3.8389988470419967E-2</v>
      </c>
      <c r="L313" s="45">
        <f>(PROX!$G$24/PROX!$F$24)-1</f>
        <v>2.3089005082036484E-2</v>
      </c>
      <c r="M313" s="45">
        <f>PROX!$H$24</f>
        <v>3.8895430789765983E-2</v>
      </c>
      <c r="N313" s="46"/>
      <c r="O313" s="45">
        <f>(PROX!$D$25/PROX!$C$25)-1</f>
        <v>-0.10364069026881395</v>
      </c>
      <c r="P313" s="45">
        <f>(PROX!$E$25/PROX!$D$25)-1</f>
        <v>0.41978923805924406</v>
      </c>
      <c r="Q313" s="45">
        <f>(PROX!$F$25/PROX!$E$25)-1</f>
        <v>0.17723618259412466</v>
      </c>
      <c r="R313" s="45">
        <f>(PROX!$G$25/PROX!$F$25)-1</f>
        <v>8.9384503693346495E-2</v>
      </c>
      <c r="S313" s="45">
        <f>PROX!$H$25</f>
        <v>0.22111404086623665</v>
      </c>
      <c r="T313" s="46"/>
      <c r="U313" s="48" t="str">
        <f t="shared" ref="U313:U318" si="57">U253</f>
        <v>EUR 6.8</v>
      </c>
      <c r="V313" s="69" t="s">
        <v>809</v>
      </c>
      <c r="Z313" s="49"/>
      <c r="AE313" s="41"/>
      <c r="AF313" s="31"/>
      <c r="AG313" s="31"/>
      <c r="AI313" s="41"/>
      <c r="AJ313" s="64"/>
      <c r="AK313" s="64"/>
      <c r="AM313" s="41"/>
      <c r="AN313" s="64"/>
      <c r="AO313" s="64"/>
      <c r="AQ313" s="41"/>
      <c r="AR313" s="64"/>
      <c r="AS313" s="64"/>
    </row>
    <row r="314" spans="1:69">
      <c r="C314" s="48" t="s">
        <v>458</v>
      </c>
      <c r="D314" s="44" t="str">
        <f t="shared" si="55"/>
        <v>CHF549</v>
      </c>
      <c r="E314" s="44" t="str">
        <f t="shared" si="55"/>
        <v>CHF600</v>
      </c>
      <c r="F314" s="45">
        <f t="shared" si="55"/>
        <v>9.2896174863388081E-2</v>
      </c>
      <c r="G314" s="44" t="str">
        <f t="shared" si="55"/>
        <v>Neutral</v>
      </c>
      <c r="H314" s="46"/>
      <c r="I314" s="45">
        <f>(SWISS!$D$24/SWISS!$C$24)-1</f>
        <v>1.8258426966292207E-2</v>
      </c>
      <c r="J314" s="45">
        <f>(SWISS!$E$24/SWISS!$D$24)-1</f>
        <v>-1.1209008153472366E-2</v>
      </c>
      <c r="K314" s="45">
        <f>(SWISS!$F$24/SWISS!$E$24)-1</f>
        <v>0.18671970615691036</v>
      </c>
      <c r="L314" s="45">
        <f>(SWISS!$G$24/SWISS!$F$24)-1</f>
        <v>3.7226390343014781E-2</v>
      </c>
      <c r="M314" s="45">
        <f>SWISS!$H$24</f>
        <v>6.7682369028132738E-2</v>
      </c>
      <c r="N314" s="46"/>
      <c r="O314" s="45">
        <f>(SWISS!$D$25/SWISS!$C$25)-1</f>
        <v>4.8395313295975573E-2</v>
      </c>
      <c r="P314" s="45">
        <f>(SWISS!$E$25/SWISS!$D$25)-1</f>
        <v>-2.3179759736326799E-2</v>
      </c>
      <c r="Q314" s="45">
        <f>(SWISS!$F$25/SWISS!$E$25)-1</f>
        <v>6.5232260280916554E-2</v>
      </c>
      <c r="R314" s="45">
        <f>(SWISS!$G$25/SWISS!$F$25)-1</f>
        <v>9.5388376041376066E-2</v>
      </c>
      <c r="S314" s="45">
        <f>SWISS!$H$25</f>
        <v>4.4581578775683584E-2</v>
      </c>
      <c r="T314" s="46"/>
      <c r="U314" s="48" t="str">
        <f t="shared" si="57"/>
        <v>CHF549</v>
      </c>
      <c r="V314" s="69" t="str">
        <f t="shared" ref="V314:V319" si="58">V254</f>
        <v>Swisscom</v>
      </c>
    </row>
    <row r="315" spans="1:69" s="5" customFormat="1">
      <c r="A315" s="41"/>
      <c r="B315" s="42"/>
      <c r="C315" s="48" t="s">
        <v>265</v>
      </c>
      <c r="D315" s="44" t="str">
        <f t="shared" si="55"/>
        <v>EUR 0.24</v>
      </c>
      <c r="E315" s="44" t="str">
        <f t="shared" si="55"/>
        <v>EUR 0.34</v>
      </c>
      <c r="F315" s="45">
        <f t="shared" si="55"/>
        <v>0.44006776789495983</v>
      </c>
      <c r="G315" s="44" t="str">
        <f t="shared" si="55"/>
        <v>Buy</v>
      </c>
      <c r="H315" s="46"/>
      <c r="I315" s="45">
        <f>(TI!$D$24/TI!$C$24)-1</f>
        <v>6.25E-2</v>
      </c>
      <c r="J315" s="45">
        <f>(TI!$E$24/TI!$D$24)-1</f>
        <v>2.4214970187763418E-2</v>
      </c>
      <c r="K315" s="45">
        <f>(TI!$F$24/TI!$E$24)-1</f>
        <v>3.1658172688439956E-2</v>
      </c>
      <c r="L315" s="45">
        <f>(TI!$G$24/TI!$F$24)-1</f>
        <v>3.0721478386716239E-2</v>
      </c>
      <c r="M315" s="45">
        <f>TI!$H$24</f>
        <v>2.8859541316178516E-2</v>
      </c>
      <c r="N315" s="46"/>
      <c r="O315" s="45">
        <f>(TI!$D$25/TI!$C$25)-1</f>
        <v>0.3050345508390917</v>
      </c>
      <c r="P315" s="45">
        <f>(TI!$E$25/TI!$D$25)-1</f>
        <v>0.17734363210355064</v>
      </c>
      <c r="Q315" s="45">
        <f>(TI!$F$25/TI!$E$25)-1</f>
        <v>0.15332463510572469</v>
      </c>
      <c r="R315" s="45">
        <f>(TI!$G$25/TI!$F$25)-1</f>
        <v>0.2611138169037579</v>
      </c>
      <c r="S315" s="45">
        <f>TI!$H$25</f>
        <v>0.19638152332503056</v>
      </c>
      <c r="T315" s="46"/>
      <c r="U315" s="48" t="str">
        <f t="shared" si="57"/>
        <v>EUR 0.24</v>
      </c>
      <c r="V315" s="69" t="str">
        <f t="shared" si="58"/>
        <v>Telecom Italia</v>
      </c>
      <c r="Z315" s="49"/>
      <c r="AE315" s="41"/>
      <c r="AF315" s="31"/>
      <c r="AG315" s="31"/>
      <c r="AI315" s="41"/>
      <c r="AJ315" s="64"/>
      <c r="AK315" s="64"/>
      <c r="AM315" s="41"/>
      <c r="AN315" s="64"/>
      <c r="AO315" s="64"/>
      <c r="AQ315" s="41"/>
      <c r="AR315" s="64"/>
      <c r="AS315" s="64"/>
    </row>
    <row r="316" spans="1:69" s="5" customFormat="1">
      <c r="A316" s="41"/>
      <c r="B316" s="42"/>
      <c r="C316" s="48" t="s">
        <v>456</v>
      </c>
      <c r="D316" s="44" t="str">
        <f t="shared" si="55"/>
        <v>EUR 4.21</v>
      </c>
      <c r="E316" s="44" t="str">
        <f t="shared" si="55"/>
        <v>EUR 4.30</v>
      </c>
      <c r="F316" s="45">
        <f t="shared" si="55"/>
        <v>2.065036790885344E-2</v>
      </c>
      <c r="G316" s="44" t="str">
        <f t="shared" si="55"/>
        <v>Neutral</v>
      </c>
      <c r="H316" s="46"/>
      <c r="I316" s="45">
        <f>(TEF!$D$24/TEF!$C$24)-1</f>
        <v>3.9537648943417381E-3</v>
      </c>
      <c r="J316" s="45">
        <f>(TEF!$E$24/TEF!$D$24)-1</f>
        <v>-1.7219102304880884E-2</v>
      </c>
      <c r="K316" s="45">
        <f>(TEF!$F$24/TEF!$E$24)-1</f>
        <v>1.3943281518273842E-3</v>
      </c>
      <c r="L316" s="45">
        <f>(TEF!$G$24/TEF!$F$24)-1</f>
        <v>1.2514538531382069E-2</v>
      </c>
      <c r="M316" s="45">
        <f>TEF!$H$24</f>
        <v>-1.178917603610774E-3</v>
      </c>
      <c r="N316" s="46"/>
      <c r="O316" s="45">
        <f>(TEF!$D$25/TEF!$C$25)-1</f>
        <v>5.9993537823714638E-2</v>
      </c>
      <c r="P316" s="45">
        <f>(TEF!$E$25/TEF!$D$25)-1</f>
        <v>-1.2361215118325886E-2</v>
      </c>
      <c r="Q316" s="45">
        <f>(TEF!$F$25/TEF!$E$25)-1</f>
        <v>5.641764310631614E-2</v>
      </c>
      <c r="R316" s="45">
        <f>(TEF!$G$25/TEF!$F$25)-1</f>
        <v>5.9853203995451798E-2</v>
      </c>
      <c r="S316" s="45">
        <f>TEF!$H$25</f>
        <v>3.4093559005258456E-2</v>
      </c>
      <c r="T316" s="46"/>
      <c r="U316" s="48" t="str">
        <f t="shared" si="57"/>
        <v>EUR 4.21</v>
      </c>
      <c r="V316" s="69" t="str">
        <f t="shared" si="58"/>
        <v>Telefonica</v>
      </c>
      <c r="Z316" s="49"/>
      <c r="AE316" s="41"/>
      <c r="AF316" s="31"/>
      <c r="AG316" s="31"/>
      <c r="AI316" s="41"/>
      <c r="AJ316" s="64"/>
      <c r="AK316" s="64"/>
      <c r="AM316" s="41"/>
      <c r="AN316" s="64"/>
      <c r="AO316" s="64"/>
      <c r="AQ316" s="41"/>
      <c r="AR316" s="64"/>
      <c r="AS316" s="64"/>
    </row>
    <row r="317" spans="1:69" s="5" customFormat="1">
      <c r="A317" s="41"/>
      <c r="B317" s="42"/>
      <c r="C317" s="48" t="s">
        <v>494</v>
      </c>
      <c r="D317" s="44" t="str">
        <f t="shared" si="55"/>
        <v>NOK 135</v>
      </c>
      <c r="E317" s="44" t="str">
        <f t="shared" si="55"/>
        <v>NOK 138</v>
      </c>
      <c r="F317" s="45">
        <f t="shared" si="55"/>
        <v>2.3738872403560762E-2</v>
      </c>
      <c r="G317" s="44" t="str">
        <f t="shared" si="55"/>
        <v>Buy</v>
      </c>
      <c r="H317" s="46"/>
      <c r="I317" s="45">
        <f>(TNOR!$D$24/TNOR!$C$24)-1</f>
        <v>5.2039185053379899E-2</v>
      </c>
      <c r="J317" s="45">
        <f>(TNOR!$E$24/TNOR!$D$24)-1</f>
        <v>1.9368192561148412E-2</v>
      </c>
      <c r="K317" s="45">
        <f>(TNOR!$F$24/TNOR!$E$24)-1</f>
        <v>-3.4276868958133977E-2</v>
      </c>
      <c r="L317" s="45">
        <f>(TNOR!$G$24/TNOR!$F$24)-1</f>
        <v>1.5809818931349584E-2</v>
      </c>
      <c r="M317" s="45">
        <f>TNOR!$H$24</f>
        <v>-2.979267785696571E-6</v>
      </c>
      <c r="N317" s="46"/>
      <c r="O317" s="45">
        <f>(TNOR!$D$25/TNOR!$C$25)-1</f>
        <v>7.7112484306592899E-2</v>
      </c>
      <c r="P317" s="45">
        <f>(TNOR!$E$25/TNOR!$D$25)-1</f>
        <v>9.017254389701157E-2</v>
      </c>
      <c r="Q317" s="45">
        <f>(TNOR!$F$25/TNOR!$E$25)-1</f>
        <v>-2.7645088956347208E-2</v>
      </c>
      <c r="R317" s="45">
        <f>(TNOR!$G$25/TNOR!$F$25)-1</f>
        <v>2.4524075703377113E-2</v>
      </c>
      <c r="S317" s="45">
        <f>TNOR!$H$25</f>
        <v>2.789181273473873E-2</v>
      </c>
      <c r="T317" s="46"/>
      <c r="U317" s="48" t="str">
        <f t="shared" si="57"/>
        <v>NOK 135</v>
      </c>
      <c r="V317" s="44" t="str">
        <f t="shared" si="58"/>
        <v>Telenor</v>
      </c>
      <c r="Z317" s="49"/>
      <c r="AE317" s="41"/>
      <c r="AF317" s="31"/>
      <c r="AG317" s="31"/>
      <c r="AI317" s="41"/>
      <c r="AJ317" s="64"/>
      <c r="AK317" s="64"/>
      <c r="AM317" s="41"/>
      <c r="AN317" s="64"/>
      <c r="AO317" s="64"/>
      <c r="AQ317" s="41"/>
      <c r="AR317" s="64"/>
      <c r="AS317" s="64"/>
    </row>
    <row r="318" spans="1:69" s="5" customFormat="1">
      <c r="A318" s="41"/>
      <c r="B318" s="42"/>
      <c r="C318" s="48" t="s">
        <v>1030</v>
      </c>
      <c r="D318" s="44" t="str">
        <f t="shared" si="55"/>
        <v>SEK33.4</v>
      </c>
      <c r="E318" s="44" t="str">
        <f t="shared" si="55"/>
        <v>SEK33.0</v>
      </c>
      <c r="F318" s="45">
        <f t="shared" si="55"/>
        <v>-1.2567324955116699E-2</v>
      </c>
      <c r="G318" s="44" t="str">
        <f t="shared" si="55"/>
        <v>Buy</v>
      </c>
      <c r="H318" s="46"/>
      <c r="I318" s="45">
        <f>(TELIA!$D$24/TELIA!$C$24)-1</f>
        <v>2.3790120570660545E-2</v>
      </c>
      <c r="J318" s="45">
        <f>(TELIA!$E$24/TELIA!$D$24)-1</f>
        <v>3.1485148448710643E-2</v>
      </c>
      <c r="K318" s="45">
        <f>(TELIA!$F$24/TELIA!$E$24)-1</f>
        <v>3.1861690859470659E-2</v>
      </c>
      <c r="L318" s="45">
        <f>(TELIA!$G$24/TELIA!$F$24)-1</f>
        <v>4.2803638102757446E-3</v>
      </c>
      <c r="M318" s="45">
        <f>TELIA!$H$24</f>
        <v>2.2460360253348854E-2</v>
      </c>
      <c r="N318" s="46"/>
      <c r="O318" s="45">
        <f>(TELIA!$D$25/TELIA!$C$25)-1</f>
        <v>0.19836353035248711</v>
      </c>
      <c r="P318" s="45">
        <f>(TELIA!$E$25/TELIA!$D$25)-1</f>
        <v>3.4938670689818929E-2</v>
      </c>
      <c r="Q318" s="45">
        <f>(TELIA!$F$25/TELIA!$E$25)-1</f>
        <v>0.10240251332617789</v>
      </c>
      <c r="R318" s="45">
        <f>(TELIA!$G$25/TELIA!$F$25)-1</f>
        <v>6.816590434321812E-3</v>
      </c>
      <c r="S318" s="45">
        <f>TELIA!$H$25</f>
        <v>4.7293458537705169E-2</v>
      </c>
      <c r="T318" s="46"/>
      <c r="U318" s="48" t="str">
        <f t="shared" si="57"/>
        <v>SEK33.4</v>
      </c>
      <c r="V318" s="44" t="str">
        <f t="shared" si="58"/>
        <v>TeliaSonera</v>
      </c>
      <c r="Z318" s="49"/>
      <c r="AE318" s="41"/>
      <c r="AF318" s="31"/>
      <c r="AG318" s="31"/>
      <c r="AI318" s="41"/>
      <c r="AJ318" s="64"/>
      <c r="AK318" s="64"/>
      <c r="AM318" s="41"/>
      <c r="AN318" s="64"/>
      <c r="AO318" s="64"/>
      <c r="AQ318" s="41"/>
      <c r="AR318" s="64"/>
      <c r="AS318" s="64"/>
    </row>
    <row r="319" spans="1:69" s="5" customFormat="1">
      <c r="A319" s="41"/>
      <c r="B319" s="42"/>
      <c r="C319" s="51" t="str">
        <f>C259</f>
        <v>Agg. W.Europe Incumbent</v>
      </c>
      <c r="D319" s="52"/>
      <c r="E319" s="52"/>
      <c r="F319" s="53"/>
      <c r="G319" s="52"/>
      <c r="H319" s="46"/>
      <c r="I319" s="55">
        <f>('W.EUR INCUMB'!$D$24/'W.EUR INCUMB'!$C$24)-1</f>
        <v>1.0681427244622066E-2</v>
      </c>
      <c r="J319" s="55">
        <f>('W.EUR INCUMB'!$E$24/'W.EUR INCUMB'!$D$24)-1</f>
        <v>1.8604841125461347E-2</v>
      </c>
      <c r="K319" s="55">
        <f>('W.EUR INCUMB'!$F$24/'W.EUR INCUMB'!$E$24)-1</f>
        <v>4.0642534759616877E-2</v>
      </c>
      <c r="L319" s="55">
        <f>('W.EUR INCUMB'!$G$24/'W.EUR INCUMB'!$F$24)-1</f>
        <v>3.3001946042396035E-2</v>
      </c>
      <c r="M319" s="55">
        <f>'W.EUR INCUMB'!$H$24</f>
        <v>3.0709192948586983E-2</v>
      </c>
      <c r="N319" s="56"/>
      <c r="O319" s="55">
        <f>('W.EUR INCUMB'!$D$25/'W.EUR INCUMB'!$C$25)-1</f>
        <v>0.18086176637107276</v>
      </c>
      <c r="P319" s="55">
        <f>('W.EUR INCUMB'!$E$25/'W.EUR INCUMB'!$D$25)-1</f>
        <v>9.4661058253785013E-2</v>
      </c>
      <c r="Q319" s="55">
        <f>('W.EUR INCUMB'!$F$25/'W.EUR INCUMB'!$E$25)-1</f>
        <v>8.0922907532974708E-2</v>
      </c>
      <c r="R319" s="55">
        <f>('W.EUR INCUMB'!$G$25/'W.EUR INCUMB'!$F$25)-1</f>
        <v>8.3862532833242742E-2</v>
      </c>
      <c r="S319" s="55">
        <f>'W.EUR INCUMB'!$H$25</f>
        <v>8.6466144407962187E-2</v>
      </c>
      <c r="T319" s="46"/>
      <c r="U319" s="57"/>
      <c r="V319" s="58" t="str">
        <f t="shared" si="58"/>
        <v>Agg. W.Europe Incumbent</v>
      </c>
      <c r="Z319" s="49"/>
      <c r="AE319" s="41"/>
      <c r="AF319" s="31"/>
      <c r="AG319" s="31"/>
      <c r="AI319" s="41"/>
      <c r="AJ319" s="64"/>
      <c r="AK319" s="64"/>
      <c r="AM319" s="41"/>
      <c r="AN319" s="64"/>
      <c r="AO319" s="64"/>
      <c r="AQ319" s="41"/>
      <c r="AR319" s="64"/>
      <c r="AS319" s="64"/>
    </row>
    <row r="320" spans="1:69">
      <c r="A320" s="41"/>
      <c r="C320" s="48"/>
      <c r="D320" s="44"/>
      <c r="E320" s="44"/>
      <c r="F320" s="45"/>
      <c r="G320" s="44"/>
      <c r="H320" s="46"/>
      <c r="I320" s="45"/>
      <c r="J320" s="45"/>
      <c r="K320" s="45"/>
      <c r="L320" s="45"/>
      <c r="M320" s="45"/>
      <c r="N320" s="46"/>
      <c r="O320" s="45"/>
      <c r="P320" s="45"/>
      <c r="Q320" s="45"/>
      <c r="R320" s="45"/>
      <c r="S320" s="45"/>
      <c r="T320" s="46"/>
      <c r="U320" s="48"/>
      <c r="V320" s="44"/>
      <c r="Z320" s="49"/>
      <c r="AE320" s="41"/>
      <c r="AF320" s="31"/>
      <c r="AG320" s="31"/>
      <c r="AI320" s="41"/>
      <c r="AJ320" s="64"/>
      <c r="AK320" s="64"/>
      <c r="AM320" s="41"/>
      <c r="AN320" s="64"/>
      <c r="AO320" s="64"/>
      <c r="AQ320" s="41"/>
      <c r="AR320" s="64"/>
      <c r="AS320" s="64"/>
    </row>
    <row r="321" spans="1:45">
      <c r="A321" s="41"/>
      <c r="B321" s="42" t="s">
        <v>514</v>
      </c>
      <c r="C321" s="48" t="s">
        <v>486</v>
      </c>
      <c r="D321" s="44" t="str">
        <f>B321&amp;TEXT(Prices!$C$40,"0.0")</f>
        <v>US$20.7</v>
      </c>
      <c r="E321" s="44" t="str">
        <f>B321&amp;TEXT(Prices!$E$40,"0.00")</f>
        <v>US$21.00</v>
      </c>
      <c r="F321" s="45">
        <f>Prices!$F$40</f>
        <v>1.6949152542373058E-2</v>
      </c>
      <c r="G321" s="44" t="str">
        <f>Prices!$D$40</f>
        <v>Neutral</v>
      </c>
      <c r="H321" s="46"/>
      <c r="I321" s="45">
        <f>(ATT!$D$24/ATT!$C$24)-1</f>
        <v>4.6665862775834954E-2</v>
      </c>
      <c r="J321" s="45">
        <f>(ATT!$E$24/ATT!$D$24)-1</f>
        <v>2.9482704282557837E-2</v>
      </c>
      <c r="K321" s="45">
        <f>(ATT!$F$24/ATT!$E$24)-1</f>
        <v>1.6686132565629785E-2</v>
      </c>
      <c r="L321" s="45">
        <f>(ATT!$G$24/ATT!$F$24)-1</f>
        <v>1.1937590893133176E-2</v>
      </c>
      <c r="M321" s="45">
        <f>ATT!$H$24</f>
        <v>1.9341943051038646E-2</v>
      </c>
      <c r="N321" s="46"/>
      <c r="O321" s="45">
        <f>(ATT!$D$25/ATT!$C$25)-1</f>
        <v>0.15534943413837365</v>
      </c>
      <c r="P321" s="45">
        <f>(ATT!$E$25/ATT!$D$25)-1</f>
        <v>0.17038875869038161</v>
      </c>
      <c r="Q321" s="45">
        <f>(ATT!$F$25/ATT!$E$25)-1</f>
        <v>5.3733955912262266E-2</v>
      </c>
      <c r="R321" s="45">
        <f>(ATT!$G$25/ATT!$F$25)-1</f>
        <v>2.2201198083843909E-2</v>
      </c>
      <c r="S321" s="45">
        <f>ATT!$H$25</f>
        <v>8.0270461008097538E-2</v>
      </c>
      <c r="T321" s="46"/>
      <c r="U321" s="48" t="str">
        <f>D321</f>
        <v>US$20.7</v>
      </c>
      <c r="V321" s="44" t="str">
        <f>C321</f>
        <v xml:space="preserve">AT&amp;T </v>
      </c>
      <c r="Z321" s="49"/>
      <c r="AF321" s="31"/>
      <c r="AG321" s="31"/>
      <c r="AI321" s="41"/>
      <c r="AJ321" s="64"/>
      <c r="AK321" s="64"/>
      <c r="AM321" s="41"/>
      <c r="AN321" s="64"/>
      <c r="AO321" s="64"/>
      <c r="AQ321" s="41"/>
      <c r="AR321" s="64"/>
      <c r="AS321" s="64"/>
    </row>
    <row r="322" spans="1:45" s="5" customFormat="1">
      <c r="A322" s="146"/>
      <c r="B322" s="42" t="s">
        <v>514</v>
      </c>
      <c r="C322" s="48" t="s">
        <v>687</v>
      </c>
      <c r="D322" s="44" t="str">
        <f>B322&amp;TEXT(Prices!$C$41,"0.0")</f>
        <v>US$197.2</v>
      </c>
      <c r="E322" s="44" t="str">
        <f>B322&amp;TEXT(Prices!$E$41,"0.0")</f>
        <v>US$205.0</v>
      </c>
      <c r="F322" s="45">
        <f>Prices!$F$41</f>
        <v>3.9659194644487306E-2</v>
      </c>
      <c r="G322" s="44" t="str">
        <f>Prices!$D$41</f>
        <v>Buy</v>
      </c>
      <c r="H322" s="46"/>
      <c r="I322" s="45">
        <f>(TMUS!$D$24/TMUS!$C$24)-1</f>
        <v>0.10230760486529489</v>
      </c>
      <c r="J322" s="45">
        <f>(TMUS!$E$24/TMUS!$D$24)-1</f>
        <v>8.7023977202989045E-2</v>
      </c>
      <c r="K322" s="45">
        <f>(TMUS!$F$24/TMUS!$E$24)-1</f>
        <v>7.4368854859186095E-2</v>
      </c>
      <c r="L322" s="45">
        <f>(TMUS!$G$24/TMUS!$F$24)-1</f>
        <v>6.7143366027171636E-2</v>
      </c>
      <c r="M322" s="45">
        <f>TMUS!$H$24</f>
        <v>7.6147416782025745E-2</v>
      </c>
      <c r="N322" s="46"/>
      <c r="O322" s="45">
        <f>(TMUS!$D$25/TMUS!$C$25)-1</f>
        <v>0.55301505514853866</v>
      </c>
      <c r="P322" s="45">
        <f>(TMUS!$E$25/TMUS!$D$25)-1</f>
        <v>0.16965511404119216</v>
      </c>
      <c r="Q322" s="45">
        <f>(TMUS!$F$25/TMUS!$E$25)-1</f>
        <v>0.10122047482075658</v>
      </c>
      <c r="R322" s="45">
        <f>(TMUS!$G$25/TMUS!$F$25)-1</f>
        <v>9.0611907598964425E-2</v>
      </c>
      <c r="S322" s="45">
        <f>TMUS!$H$25</f>
        <v>0.11995553100529999</v>
      </c>
      <c r="T322" s="46"/>
      <c r="U322" s="48" t="str">
        <f>D322</f>
        <v>US$197.2</v>
      </c>
      <c r="V322" s="44" t="str">
        <f>C322</f>
        <v>TMUS</v>
      </c>
      <c r="Z322" s="49"/>
      <c r="AB322" s="63"/>
      <c r="AE322" s="41"/>
      <c r="AF322" s="31"/>
      <c r="AG322" s="31"/>
      <c r="AI322" s="41"/>
      <c r="AJ322" s="64"/>
      <c r="AK322" s="64"/>
      <c r="AM322" s="41"/>
      <c r="AN322" s="64"/>
      <c r="AO322" s="64"/>
      <c r="AQ322" s="41"/>
      <c r="AR322" s="64"/>
      <c r="AS322" s="64"/>
    </row>
    <row r="323" spans="1:45" s="5" customFormat="1">
      <c r="A323" s="41"/>
      <c r="B323" s="42" t="s">
        <v>514</v>
      </c>
      <c r="C323" s="48" t="s">
        <v>33</v>
      </c>
      <c r="D323" s="44" t="str">
        <f>B323&amp;TEXT(Prices!$C$39,"0.0")</f>
        <v>US$41.3</v>
      </c>
      <c r="E323" s="44" t="str">
        <f>B323&amp;TEXT(Prices!$E$39,"0.00")</f>
        <v>US$45.00</v>
      </c>
      <c r="F323" s="45">
        <f>Prices!$F$39</f>
        <v>8.9324618736383421E-2</v>
      </c>
      <c r="G323" s="44" t="str">
        <f>Prices!$D$39</f>
        <v>Neutral</v>
      </c>
      <c r="H323" s="46"/>
      <c r="I323" s="45">
        <f>(VZN!$D$24/VZN!$C$24)-1</f>
        <v>-1.6920827240443082E-3</v>
      </c>
      <c r="J323" s="45">
        <f>(VZN!$E$24/VZN!$D$24)-1</f>
        <v>2.1836561439319668E-2</v>
      </c>
      <c r="K323" s="45">
        <f>(VZN!$F$24/VZN!$E$24)-1</f>
        <v>9.2027522798641126E-3</v>
      </c>
      <c r="L323" s="45">
        <f>(VZN!$G$24/VZN!$F$24)-1</f>
        <v>7.7499525059263608E-3</v>
      </c>
      <c r="M323" s="45">
        <f>VZN!$H$24</f>
        <v>1.2910057608189529E-2</v>
      </c>
      <c r="N323" s="46"/>
      <c r="O323" s="45">
        <f>(VZN!$D$25/VZN!$C$25)-1</f>
        <v>0.17104466771577287</v>
      </c>
      <c r="P323" s="45">
        <f>(VZN!$E$25/VZN!$D$25)-1</f>
        <v>8.8210683187361028E-2</v>
      </c>
      <c r="Q323" s="45">
        <f>(VZN!$F$25/VZN!$E$25)-1</f>
        <v>1.4245142985380488E-2</v>
      </c>
      <c r="R323" s="45">
        <f>(VZN!$G$25/VZN!$F$25)-1</f>
        <v>1.1923495395275818E-2</v>
      </c>
      <c r="S323" s="45">
        <f>VZN!$H$25</f>
        <v>3.7531283809789429E-2</v>
      </c>
      <c r="T323" s="46"/>
      <c r="U323" s="48" t="str">
        <f>D323</f>
        <v>US$41.3</v>
      </c>
      <c r="V323" s="44" t="str">
        <f>C323</f>
        <v>Verizon</v>
      </c>
      <c r="Z323" s="49"/>
      <c r="AE323" s="41"/>
      <c r="AF323" s="31"/>
      <c r="AG323" s="31"/>
      <c r="AI323" s="41"/>
      <c r="AJ323" s="64"/>
      <c r="AK323" s="64"/>
      <c r="AM323" s="41"/>
      <c r="AN323" s="64"/>
      <c r="AO323" s="64"/>
      <c r="AQ323" s="41"/>
      <c r="AR323" s="64"/>
      <c r="AS323" s="64"/>
    </row>
    <row r="324" spans="1:45" s="5" customFormat="1">
      <c r="A324" s="41"/>
      <c r="B324" s="42"/>
      <c r="C324" s="51" t="s">
        <v>257</v>
      </c>
      <c r="D324" s="52"/>
      <c r="E324" s="52"/>
      <c r="F324" s="53"/>
      <c r="G324" s="52"/>
      <c r="H324" s="46"/>
      <c r="I324" s="55">
        <f>('US TELCO'!D$24/'US TELCO'!C$24)-1</f>
        <v>3.9351571816186537E-2</v>
      </c>
      <c r="J324" s="55">
        <f>('US TELCO'!E$24/'US TELCO'!D$24)-1</f>
        <v>4.0361750260216267E-2</v>
      </c>
      <c r="K324" s="55">
        <f>('US TELCO'!F$24/'US TELCO'!E$24)-1</f>
        <v>2.8342738102353771E-2</v>
      </c>
      <c r="L324" s="55">
        <f>('US TELCO'!G$24/'US TELCO'!F$24)-1</f>
        <v>2.4909208108480296E-2</v>
      </c>
      <c r="M324" s="55">
        <f>'US TELCO'!$H$38</f>
        <v>3.1183334923203576E-2</v>
      </c>
      <c r="N324" s="46"/>
      <c r="O324" s="55">
        <f>('US TELCO'!D$25/'US TELCO'!C$25)-1</f>
        <v>0.25339491406911274</v>
      </c>
      <c r="P324" s="55">
        <f>('US TELCO'!E$25/'US TELCO'!D$25)-1</f>
        <v>0.13516812195459571</v>
      </c>
      <c r="Q324" s="55">
        <f>('US TELCO'!F$25/'US TELCO'!E$25)-1</f>
        <v>5.1461497810683099E-2</v>
      </c>
      <c r="R324" s="55">
        <f>('US TELCO'!G$25/'US TELCO'!F$25)-1</f>
        <v>3.905839324915239E-2</v>
      </c>
      <c r="S324" s="55">
        <f>'US TELCO'!$H$39</f>
        <v>7.4396303115465079E-2</v>
      </c>
      <c r="T324" s="46"/>
      <c r="U324" s="57"/>
      <c r="V324" s="58" t="str">
        <f>V264</f>
        <v>Agg. US Telecoms</v>
      </c>
      <c r="Z324" s="49"/>
    </row>
    <row r="325" spans="1:45" s="5" customFormat="1">
      <c r="A325" s="41"/>
      <c r="B325" s="42"/>
      <c r="C325" s="48"/>
      <c r="D325" s="44"/>
      <c r="E325" s="44"/>
      <c r="F325" s="45"/>
      <c r="G325" s="44"/>
      <c r="H325" s="46"/>
      <c r="I325" s="45"/>
      <c r="J325" s="45"/>
      <c r="K325" s="45"/>
      <c r="L325" s="45"/>
      <c r="M325" s="45"/>
      <c r="N325" s="46"/>
      <c r="O325" s="45"/>
      <c r="P325" s="45"/>
      <c r="Q325" s="45"/>
      <c r="R325" s="45"/>
      <c r="S325" s="45"/>
      <c r="T325" s="46"/>
      <c r="U325" s="48"/>
      <c r="V325" s="44"/>
      <c r="Z325" s="49"/>
    </row>
    <row r="326" spans="1:45" s="5" customFormat="1">
      <c r="A326" s="41"/>
      <c r="B326" s="42"/>
      <c r="C326" s="48" t="str">
        <f t="shared" ref="C326:G329" si="59">C266</f>
        <v>NTT</v>
      </c>
      <c r="D326" s="44" t="str">
        <f t="shared" si="59"/>
        <v>JPY 156</v>
      </c>
      <c r="E326" s="44" t="str">
        <f t="shared" si="59"/>
        <v>JPY 240</v>
      </c>
      <c r="F326" s="45">
        <f t="shared" si="59"/>
        <v>0.54340836012861726</v>
      </c>
      <c r="G326" s="44" t="str">
        <f t="shared" si="59"/>
        <v>Buy</v>
      </c>
      <c r="H326" s="46"/>
      <c r="I326" s="45">
        <f>(NTT!$D$24/NTT!$C$24)-1</f>
        <v>3.8966565349544124E-2</v>
      </c>
      <c r="J326" s="45">
        <f>(NTT!$E$24/NTT!$D$24)-1</f>
        <v>-1.6733209105939117E-2</v>
      </c>
      <c r="K326" s="45">
        <f>(NTT!$F$24/NTT!$E$24)-1</f>
        <v>0.13911849724587011</v>
      </c>
      <c r="L326" s="45">
        <f>(NTT!$G$24/NTT!$F$24)-1</f>
        <v>4.2659439423646361E-2</v>
      </c>
      <c r="M326" s="45">
        <f>NTT!$H$24</f>
        <v>5.3078917381170543E-2</v>
      </c>
      <c r="N326" s="46"/>
      <c r="O326" s="45">
        <f>(NTT!$D$25/NTT!$C$25)-1</f>
        <v>-5.3451957295373997E-3</v>
      </c>
      <c r="P326" s="45">
        <f>(NTT!$E$25/NTT!$D$25)-1</f>
        <v>-2.8440585919973116E-2</v>
      </c>
      <c r="Q326" s="45">
        <f>(NTT!$F$25/NTT!$E$25)-1</f>
        <v>0.33702679591886997</v>
      </c>
      <c r="R326" s="45">
        <f>(NTT!$G$25/NTT!$F$25)-1</f>
        <v>7.4223274362956948E-2</v>
      </c>
      <c r="S326" s="45">
        <f>NTT!$H$25</f>
        <v>0.11746692517018942</v>
      </c>
      <c r="T326" s="46"/>
      <c r="U326" s="48" t="str">
        <f t="shared" ref="U326:V329" si="60">U266</f>
        <v>JPY 156</v>
      </c>
      <c r="V326" s="44" t="str">
        <f t="shared" si="60"/>
        <v>NTT</v>
      </c>
      <c r="Z326" s="49"/>
    </row>
    <row r="327" spans="1:45" s="5" customFormat="1">
      <c r="A327" s="41"/>
      <c r="B327" s="42"/>
      <c r="C327" s="48" t="str">
        <f t="shared" si="59"/>
        <v>Spark NZ</v>
      </c>
      <c r="D327" s="44" t="str">
        <f t="shared" si="59"/>
        <v>NZD 3.52</v>
      </c>
      <c r="E327" s="44" t="str">
        <f t="shared" si="59"/>
        <v>NZD 5.00</v>
      </c>
      <c r="F327" s="45">
        <f t="shared" si="59"/>
        <v>0.42045454545454541</v>
      </c>
      <c r="G327" s="44" t="str">
        <f t="shared" si="59"/>
        <v>Neutral</v>
      </c>
      <c r="H327" s="46"/>
      <c r="I327" s="45">
        <f>(SPK!$D$24/SPK!$C$24)-1</f>
        <v>3.8082920848278468E-2</v>
      </c>
      <c r="J327" s="45">
        <f>(SPK!$E$24/SPK!$D$24)-1</f>
        <v>1.1999333528376788E-2</v>
      </c>
      <c r="K327" s="45">
        <f>(SPK!$F$24/SPK!$E$24)-1</f>
        <v>8.232654528077088E-3</v>
      </c>
      <c r="L327" s="45">
        <f>(SPK!$G$24/SPK!$F$24)-1</f>
        <v>3.6915945562645103E-2</v>
      </c>
      <c r="M327" s="45">
        <f>SPK!$H$24</f>
        <v>1.897026982795702E-2</v>
      </c>
      <c r="N327" s="46"/>
      <c r="O327" s="45">
        <f>(SPK!$D$25/SPK!$C$25)-1</f>
        <v>6.029879394796489E-2</v>
      </c>
      <c r="P327" s="45">
        <f>(SPK!$E$25/SPK!$D$25)-1</f>
        <v>5.9409619749015707E-3</v>
      </c>
      <c r="Q327" s="45">
        <f>(SPK!$F$25/SPK!$E$25)-1</f>
        <v>-4.1334954123858347E-3</v>
      </c>
      <c r="R327" s="45">
        <f>(SPK!$G$25/SPK!$F$25)-1</f>
        <v>4.3968153224263951E-2</v>
      </c>
      <c r="S327" s="45">
        <f>SPK!$H$25</f>
        <v>1.5048879877651355E-2</v>
      </c>
      <c r="T327" s="46"/>
      <c r="U327" s="48" t="str">
        <f t="shared" si="60"/>
        <v>NZD 3.52</v>
      </c>
      <c r="V327" s="44" t="str">
        <f t="shared" si="60"/>
        <v>Spark NZ</v>
      </c>
      <c r="Z327" s="49"/>
    </row>
    <row r="328" spans="1:45">
      <c r="A328" s="41"/>
      <c r="C328" s="48" t="str">
        <f t="shared" si="59"/>
        <v>SingTel</v>
      </c>
      <c r="D328" s="44" t="str">
        <f t="shared" si="59"/>
        <v>SGD 3.13</v>
      </c>
      <c r="E328" s="44" t="str">
        <f t="shared" si="59"/>
        <v>SGD 4.60</v>
      </c>
      <c r="F328" s="45">
        <f t="shared" si="59"/>
        <v>0.46964856230031948</v>
      </c>
      <c r="G328" s="44" t="str">
        <f t="shared" si="59"/>
        <v>Buy</v>
      </c>
      <c r="H328" s="46"/>
      <c r="I328" s="45">
        <f>(SINGTEL!$D$24/SINGTEL!$C$24)-1</f>
        <v>-2.4145415084102062E-2</v>
      </c>
      <c r="J328" s="45">
        <f>(SINGTEL!$E$24/SINGTEL!$D$24)-1</f>
        <v>5.4787568769646633E-2</v>
      </c>
      <c r="K328" s="45">
        <f>(SINGTEL!$F$24/SINGTEL!$E$24)-1</f>
        <v>5.4983532804101953E-2</v>
      </c>
      <c r="L328" s="45">
        <f>(SINGTEL!$G$24/SINGTEL!$F$24)-1</f>
        <v>2.6214424229567879E-2</v>
      </c>
      <c r="M328" s="45">
        <f>SINGTEL!$H$24</f>
        <v>4.5240589222138139E-2</v>
      </c>
      <c r="N328" s="46"/>
      <c r="O328" s="45">
        <f>(SINGTEL!$D$25/SINGTEL!$C$25)-1</f>
        <v>-5.0524934383202047E-2</v>
      </c>
      <c r="P328" s="45">
        <f>(SINGTEL!$E$25/SINGTEL!$D$25)-1</f>
        <v>-0.48522322012354746</v>
      </c>
      <c r="Q328" s="45">
        <f>(SINGTEL!$F$25/SINGTEL!$E$25)-1</f>
        <v>1.5359166026340039</v>
      </c>
      <c r="R328" s="45">
        <f>(SINGTEL!$G$25/SINGTEL!$F$25)-1</f>
        <v>4.3305710661642349E-2</v>
      </c>
      <c r="S328" s="45">
        <f>SINGTEL!$H$25</f>
        <v>0.10846461396795615</v>
      </c>
      <c r="T328" s="46"/>
      <c r="U328" s="48" t="str">
        <f t="shared" si="60"/>
        <v>SGD 3.13</v>
      </c>
      <c r="V328" s="44" t="str">
        <f t="shared" si="60"/>
        <v>SingTel</v>
      </c>
      <c r="Z328" s="49"/>
      <c r="AB328" s="5"/>
    </row>
    <row r="329" spans="1:45" s="5" customFormat="1">
      <c r="A329" s="41"/>
      <c r="B329" s="42"/>
      <c r="C329" s="48" t="str">
        <f t="shared" si="59"/>
        <v xml:space="preserve">Telstra </v>
      </c>
      <c r="D329" s="44" t="str">
        <f t="shared" si="59"/>
        <v>AUD 3.93</v>
      </c>
      <c r="E329" s="44" t="str">
        <f t="shared" si="59"/>
        <v>AUD 3.50</v>
      </c>
      <c r="F329" s="45">
        <f t="shared" si="59"/>
        <v>-0.10941475826972014</v>
      </c>
      <c r="G329" s="44" t="str">
        <f t="shared" si="59"/>
        <v>Buy</v>
      </c>
      <c r="H329" s="46"/>
      <c r="I329" s="45">
        <f>(TLS!$D$24/TLS!$C$24)-1</f>
        <v>0.17222337742606286</v>
      </c>
      <c r="J329" s="45">
        <f>(TLS!$E$24/TLS!$D$24)-1</f>
        <v>2.9556370604967741E-2</v>
      </c>
      <c r="K329" s="45">
        <f>(TLS!$F$24/TLS!$E$24)-1</f>
        <v>-6.5142301786604073E-2</v>
      </c>
      <c r="L329" s="45">
        <f>(TLS!$G$24/TLS!$F$24)-1</f>
        <v>1.3148596104537891E-2</v>
      </c>
      <c r="M329" s="45">
        <f>TLS!$H$24</f>
        <v>-8.354918946323564E-3</v>
      </c>
      <c r="N329" s="46"/>
      <c r="O329" s="45">
        <f>(TLS!$D$25/TLS!$C$25)-1</f>
        <v>0.59473197014902168</v>
      </c>
      <c r="P329" s="45">
        <f>(TLS!$E$25/TLS!$D$25)-1</f>
        <v>6.6079575346163599E-2</v>
      </c>
      <c r="Q329" s="45">
        <f>(TLS!$F$25/TLS!$E$25)-1</f>
        <v>-9.0318575548709701E-2</v>
      </c>
      <c r="R329" s="45">
        <f>(TLS!$G$25/TLS!$F$25)-1</f>
        <v>3.8903599497313035E-3</v>
      </c>
      <c r="S329" s="45">
        <f>TLS!$H$25</f>
        <v>-8.8902592586865836E-3</v>
      </c>
      <c r="T329" s="46"/>
      <c r="U329" s="48" t="str">
        <f t="shared" si="60"/>
        <v>AUD 3.93</v>
      </c>
      <c r="V329" s="44" t="str">
        <f t="shared" si="60"/>
        <v>Telstra</v>
      </c>
      <c r="Z329" s="49"/>
      <c r="AB329" s="63"/>
    </row>
    <row r="330" spans="1:45">
      <c r="A330" s="41"/>
      <c r="C330" s="51" t="str">
        <f>C270</f>
        <v>Agg. Developed Asia Incumbent</v>
      </c>
      <c r="D330" s="58"/>
      <c r="E330" s="58"/>
      <c r="F330" s="55"/>
      <c r="G330" s="58"/>
      <c r="H330" s="56"/>
      <c r="I330" s="55">
        <f>('DM ASIA INCUMB'!$D$24/'DM ASIA INCUMB'!$C$24)-1</f>
        <v>5.5200962421305899E-2</v>
      </c>
      <c r="J330" s="55">
        <f>('DM ASIA INCUMB'!$E$24/'DM ASIA INCUMB'!$D$24)-1</f>
        <v>-1.1873529126024129E-3</v>
      </c>
      <c r="K330" s="55">
        <f>('DM ASIA INCUMB'!$F$24/'DM ASIA INCUMB'!$E$24)-1</f>
        <v>8.7136874815363807E-2</v>
      </c>
      <c r="L330" s="55">
        <f>('DM ASIA INCUMB'!$G$24/'DM ASIA INCUMB'!$F$24)-1</f>
        <v>3.6305942110303802E-2</v>
      </c>
      <c r="M330" s="55">
        <f>'DM ASIA INCUMB'!$H$24</f>
        <v>4.0124715031497837E-2</v>
      </c>
      <c r="N330" s="56"/>
      <c r="O330" s="55">
        <f>('DM ASIA INCUMB'!$D$25/'DM ASIA INCUMB'!$C$25)-1</f>
        <v>0.10152907307920644</v>
      </c>
      <c r="P330" s="55">
        <f>('DM ASIA INCUMB'!$E$25/'DM ASIA INCUMB'!$D$25)-1</f>
        <v>-3.3473773680440244E-2</v>
      </c>
      <c r="Q330" s="55">
        <f>('DM ASIA INCUMB'!$F$25/'DM ASIA INCUMB'!$E$25)-1</f>
        <v>0.23620240069889831</v>
      </c>
      <c r="R330" s="55">
        <f>('DM ASIA INCUMB'!$G$25/'DM ASIA INCUMB'!$F$25)-1</f>
        <v>5.5564857355302033E-2</v>
      </c>
      <c r="S330" s="55">
        <f>'DM ASIA INCUMB'!$H$25</f>
        <v>8.0428544381480283E-2</v>
      </c>
      <c r="T330" s="56"/>
      <c r="U330" s="51"/>
      <c r="V330" s="58" t="str">
        <f>V270</f>
        <v xml:space="preserve">Agg. Developed Asia Incumbent </v>
      </c>
      <c r="Z330" s="49"/>
      <c r="AB330" s="5"/>
    </row>
    <row r="331" spans="1:45">
      <c r="A331" s="41"/>
      <c r="C331" s="43"/>
      <c r="D331" s="50"/>
      <c r="E331" s="50"/>
      <c r="F331" s="61"/>
      <c r="G331" s="50"/>
      <c r="H331" s="56"/>
      <c r="I331" s="61"/>
      <c r="J331" s="61"/>
      <c r="K331" s="61"/>
      <c r="L331" s="61"/>
      <c r="M331" s="61"/>
      <c r="N331" s="56"/>
      <c r="O331" s="61"/>
      <c r="P331" s="61"/>
      <c r="Q331" s="61"/>
      <c r="R331" s="61"/>
      <c r="S331" s="61"/>
      <c r="T331" s="56"/>
      <c r="U331" s="43"/>
      <c r="V331" s="50"/>
      <c r="Z331" s="49"/>
      <c r="AB331" s="5"/>
    </row>
    <row r="332" spans="1:45">
      <c r="A332" s="41"/>
      <c r="C332" s="51" t="s">
        <v>857</v>
      </c>
      <c r="D332" s="58"/>
      <c r="E332" s="58"/>
      <c r="F332" s="55"/>
      <c r="G332" s="58"/>
      <c r="H332" s="56"/>
      <c r="I332" s="55">
        <f>('AGG DM INCUMB'!$D$24/'AGG DM INCUMB'!$C$24)-1</f>
        <v>2.9762318648765884E-2</v>
      </c>
      <c r="J332" s="55">
        <f>('AGG DM INCUMB'!$E$24/'AGG DM INCUMB'!$D$24)-1</f>
        <v>2.6070506150786654E-2</v>
      </c>
      <c r="K332" s="55">
        <f>('AGG DM INCUMB'!$F$24/'AGG DM INCUMB'!$E$24)-1</f>
        <v>4.0931870298776651E-2</v>
      </c>
      <c r="L332" s="55">
        <f>('AGG DM INCUMB'!$G$24/'AGG DM INCUMB'!$F$24)-1</f>
        <v>2.9679480014132453E-2</v>
      </c>
      <c r="M332" s="55">
        <f>'AGG DM INCUMB'!$H$24</f>
        <v>3.2207925292584427E-2</v>
      </c>
      <c r="N332" s="56"/>
      <c r="O332" s="55">
        <f>('AGG DM INCUMB'!$D$25/'AGG DM INCUMB'!$C$25)-1</f>
        <v>0.20581288524810515</v>
      </c>
      <c r="P332" s="55">
        <f>('AGG DM INCUMB'!$E$25/'AGG DM INCUMB'!$D$25)-1</f>
        <v>9.9804651149323353E-2</v>
      </c>
      <c r="Q332" s="55">
        <f>('AGG DM INCUMB'!$F$25/'AGG DM INCUMB'!$E$25)-1</f>
        <v>8.1901315625718007E-2</v>
      </c>
      <c r="R332" s="55">
        <f>('AGG DM INCUMB'!$G$25/'AGG DM INCUMB'!$F$25)-1</f>
        <v>5.7655065143406459E-2</v>
      </c>
      <c r="S332" s="55">
        <f>'AGG DM INCUMB'!$H$25</f>
        <v>7.9648580689546611E-2</v>
      </c>
      <c r="T332" s="56"/>
      <c r="U332" s="51"/>
      <c r="V332" s="58" t="str">
        <f>C332</f>
        <v>Agg. DM Incumbent total</v>
      </c>
      <c r="Z332" s="49"/>
      <c r="AB332" s="5"/>
    </row>
    <row r="333" spans="1:45" s="5" customFormat="1">
      <c r="A333" s="41"/>
      <c r="B333" s="42"/>
      <c r="C333" s="41"/>
      <c r="D333" s="44"/>
      <c r="E333" s="44"/>
      <c r="F333" s="45"/>
      <c r="G333" s="44"/>
      <c r="H333" s="46"/>
      <c r="I333" s="45"/>
      <c r="J333" s="45"/>
      <c r="K333" s="45"/>
      <c r="L333" s="45"/>
      <c r="M333" s="45"/>
      <c r="N333" s="46"/>
      <c r="O333" s="45"/>
      <c r="P333" s="45"/>
      <c r="Q333" s="45"/>
      <c r="R333" s="45"/>
      <c r="S333" s="45"/>
      <c r="T333" s="46"/>
      <c r="U333" s="48"/>
      <c r="V333" s="50"/>
      <c r="Z333" s="49"/>
      <c r="AB333" s="63"/>
    </row>
    <row r="334" spans="1:45" s="5" customFormat="1">
      <c r="A334" s="41" t="s">
        <v>1374</v>
      </c>
      <c r="B334" s="42"/>
      <c r="C334" s="48" t="str">
        <f t="shared" ref="C334:G341" si="61">C274</f>
        <v>1&amp;1</v>
      </c>
      <c r="D334" s="44" t="str">
        <f t="shared" si="61"/>
        <v>EUR 14.0</v>
      </c>
      <c r="E334" s="44" t="str">
        <f t="shared" si="61"/>
        <v>EUR 26.0</v>
      </c>
      <c r="F334" s="45">
        <f t="shared" si="61"/>
        <v>0.85449358059914404</v>
      </c>
      <c r="G334" s="44" t="str">
        <f t="shared" si="61"/>
        <v>Buy</v>
      </c>
      <c r="H334" s="46"/>
      <c r="I334" s="45">
        <f>(DRI!$D$24/DRI!$C$24)-1</f>
        <v>-6.5823907674716131E-2</v>
      </c>
      <c r="J334" s="45">
        <f>(DRI!$E$24/DRI!$D$24)-1</f>
        <v>1.510015422314237E-2</v>
      </c>
      <c r="K334" s="45">
        <f>(DRI!$F$24/DRI!$E$24)-1</f>
        <v>8.3790285137917531E-2</v>
      </c>
      <c r="L334" s="45">
        <f>(DRI!$G$24/DRI!$F$24)-1</f>
        <v>0.10341788741603142</v>
      </c>
      <c r="M334" s="45">
        <f>DRI!$H$24</f>
        <v>6.6755086912671402E-2</v>
      </c>
      <c r="N334" s="46"/>
      <c r="O334" s="45">
        <f>(DRI!$D$25/DRI!$C$25)-1</f>
        <v>-0.2191063109444733</v>
      </c>
      <c r="P334" s="45">
        <f>(DRI!$E$25/DRI!$D$25)-1</f>
        <v>-0.45194580530804807</v>
      </c>
      <c r="Q334" s="45">
        <f>(DRI!$F$25/DRI!$E$25)-1</f>
        <v>2.2466356814377253E-2</v>
      </c>
      <c r="R334" s="45">
        <f>(DRI!$G$25/DRI!$F$25)-1</f>
        <v>0.42132401844971246</v>
      </c>
      <c r="S334" s="45">
        <f>DRI!$H$25</f>
        <v>-7.3052346576267024E-2</v>
      </c>
      <c r="T334" s="46"/>
      <c r="U334" s="48" t="str">
        <f t="shared" ref="U334:V340" si="62">U274</f>
        <v>EUR 14.0</v>
      </c>
      <c r="V334" s="44" t="str">
        <f t="shared" si="62"/>
        <v>1&amp;1</v>
      </c>
      <c r="Z334" s="49"/>
    </row>
    <row r="335" spans="1:45" s="5" customFormat="1">
      <c r="A335" s="41"/>
      <c r="B335" s="42"/>
      <c r="C335" s="48" t="str">
        <f t="shared" si="61"/>
        <v>Elisa</v>
      </c>
      <c r="D335" s="44" t="str">
        <f t="shared" si="61"/>
        <v>EUR 46.6</v>
      </c>
      <c r="E335" s="44" t="str">
        <f t="shared" si="61"/>
        <v>EUR 53.0</v>
      </c>
      <c r="F335" s="45">
        <f t="shared" si="61"/>
        <v>0.13831615120274909</v>
      </c>
      <c r="G335" s="44" t="str">
        <f t="shared" si="61"/>
        <v>Neutral</v>
      </c>
      <c r="H335" s="46"/>
      <c r="I335" s="45">
        <f>(ELISA!$D$24/ELISA!$C$24)-1</f>
        <v>2.8151774785801775E-2</v>
      </c>
      <c r="J335" s="45">
        <f>(ELISA!$E$24/ELISA!$D$24)-1</f>
        <v>3.397757762297493E-2</v>
      </c>
      <c r="K335" s="45">
        <f>(ELISA!$F$24/ELISA!$E$24)-1</f>
        <v>3.9690076444418576E-2</v>
      </c>
      <c r="L335" s="45">
        <f>(ELISA!$G$24/ELISA!$F$24)-1</f>
        <v>3.6270362154715574E-2</v>
      </c>
      <c r="M335" s="45">
        <f>ELISA!$H$24</f>
        <v>3.6643349062043695E-2</v>
      </c>
      <c r="N335" s="46"/>
      <c r="O335" s="45">
        <f>(ELISA!$D$25/ELISA!$C$25)-1</f>
        <v>-1.664932362122773E-2</v>
      </c>
      <c r="P335" s="45">
        <f>(ELISA!$E$25/ELISA!$D$25)-1</f>
        <v>7.0549099326885578E-2</v>
      </c>
      <c r="Q335" s="45">
        <f>(ELISA!$F$25/ELISA!$E$25)-1</f>
        <v>0.13159766201406486</v>
      </c>
      <c r="R335" s="45">
        <f>(ELISA!$G$25/ELISA!$F$25)-1</f>
        <v>4.1832411743811138E-2</v>
      </c>
      <c r="S335" s="45">
        <f>ELISA!$H$25</f>
        <v>8.0684274954947455E-2</v>
      </c>
      <c r="T335" s="46"/>
      <c r="U335" s="48" t="str">
        <f t="shared" si="62"/>
        <v>EUR 46.6</v>
      </c>
      <c r="V335" s="44" t="str">
        <f t="shared" si="62"/>
        <v>Elisa</v>
      </c>
      <c r="Z335" s="49"/>
    </row>
    <row r="336" spans="1:45" s="5" customFormat="1">
      <c r="A336" s="41"/>
      <c r="B336" s="42"/>
      <c r="C336" s="48" t="str">
        <f t="shared" si="61"/>
        <v>Liberty Global (prop.)</v>
      </c>
      <c r="D336" s="44" t="str">
        <f t="shared" si="61"/>
        <v>USD 20.3</v>
      </c>
      <c r="E336" s="44" t="str">
        <f t="shared" si="61"/>
        <v>USD 23.0</v>
      </c>
      <c r="F336" s="45">
        <f t="shared" si="61"/>
        <v>0.13356333169048806</v>
      </c>
      <c r="G336" s="44" t="str">
        <f t="shared" si="61"/>
        <v>Neutral</v>
      </c>
      <c r="H336" s="46"/>
      <c r="I336" s="45">
        <f>(LBTY!$D$24/LBTY!$C$24)-1</f>
        <v>4.112446136398451E-2</v>
      </c>
      <c r="J336" s="45">
        <f>(LBTY!$E$24/LBTY!$D$24)-1</f>
        <v>3.9411821188213292E-3</v>
      </c>
      <c r="K336" s="45">
        <f>(LBTY!$F$24/LBTY!$E$24)-1</f>
        <v>8.3409265447458303E-3</v>
      </c>
      <c r="L336" s="45">
        <f>(LBTY!$G$24/LBTY!$F$24)-1</f>
        <v>5.6394245293369671E-3</v>
      </c>
      <c r="M336" s="45">
        <f>LBTY!$H$24</f>
        <v>5.9722135653994535E-3</v>
      </c>
      <c r="N336" s="46"/>
      <c r="O336" s="45">
        <f>(LBTY!$D$25/LBTY!$C$25)-1</f>
        <v>3.1532160805622489E-2</v>
      </c>
      <c r="P336" s="45">
        <f>(LBTY!$E$25/LBTY!$D$25)-1</f>
        <v>1.750218357847344E-2</v>
      </c>
      <c r="Q336" s="45">
        <f>(LBTY!$F$25/LBTY!$E$25)-1</f>
        <v>6.8340772835415731E-2</v>
      </c>
      <c r="R336" s="45">
        <f>(LBTY!$G$25/LBTY!$F$25)-1</f>
        <v>-1.5932206901961288E-2</v>
      </c>
      <c r="S336" s="45">
        <f>LBTY!$H$25</f>
        <v>2.2719940908240366E-2</v>
      </c>
      <c r="T336" s="46"/>
      <c r="U336" s="48" t="str">
        <f t="shared" si="62"/>
        <v>USD 20.3</v>
      </c>
      <c r="V336" s="44" t="str">
        <f t="shared" si="62"/>
        <v>Liberty Global</v>
      </c>
      <c r="Z336" s="49"/>
    </row>
    <row r="337" spans="1:28" s="5" customFormat="1">
      <c r="A337" s="41"/>
      <c r="B337" s="42"/>
      <c r="C337" s="48" t="str">
        <f t="shared" si="61"/>
        <v>NOS</v>
      </c>
      <c r="D337" s="44" t="str">
        <f t="shared" si="61"/>
        <v>EUR 3.58</v>
      </c>
      <c r="E337" s="44" t="str">
        <f t="shared" si="61"/>
        <v>EUR 3.70</v>
      </c>
      <c r="F337" s="45">
        <f t="shared" si="61"/>
        <v>3.4965034965035002E-2</v>
      </c>
      <c r="G337" s="44" t="str">
        <f t="shared" si="61"/>
        <v>Neutral</v>
      </c>
      <c r="H337" s="46"/>
      <c r="I337" s="45">
        <f>(NOS!$D$24/NOS!$C$24)-1</f>
        <v>0.10077155458727627</v>
      </c>
      <c r="J337" s="45">
        <f>(NOS!$E$24/NOS!$D$24)-1</f>
        <v>3.8708456495072818E-2</v>
      </c>
      <c r="K337" s="45">
        <f>(NOS!$F$24/NOS!$E$24)-1</f>
        <v>-1.7463437662823544E-2</v>
      </c>
      <c r="L337" s="45">
        <f>(NOS!$G$24/NOS!$F$24)-1</f>
        <v>-1.2695880262669434E-2</v>
      </c>
      <c r="M337" s="45">
        <f>NOS!$H$24</f>
        <v>2.5309269490563224E-3</v>
      </c>
      <c r="N337" s="46"/>
      <c r="O337" s="45">
        <f>(NOS!$D$25/NOS!$C$25)-1</f>
        <v>1.1213181315505842</v>
      </c>
      <c r="P337" s="45">
        <f>(NOS!$E$25/NOS!$D$25)-1</f>
        <v>0.1170091644785749</v>
      </c>
      <c r="Q337" s="45">
        <f>(NOS!$F$25/NOS!$E$25)-1</f>
        <v>-5.2136274829612805E-3</v>
      </c>
      <c r="R337" s="45">
        <f>(NOS!$G$25/NOS!$F$25)-1</f>
        <v>4.6880586645017264E-3</v>
      </c>
      <c r="S337" s="45">
        <f>NOS!$H$25</f>
        <v>3.7383337371192926E-2</v>
      </c>
      <c r="T337" s="46"/>
      <c r="U337" s="48" t="str">
        <f t="shared" si="62"/>
        <v>EUR 3.58</v>
      </c>
      <c r="V337" s="44" t="str">
        <f t="shared" si="62"/>
        <v>NOS</v>
      </c>
      <c r="Z337" s="49"/>
    </row>
    <row r="338" spans="1:28" s="5" customFormat="1">
      <c r="A338" s="146"/>
      <c r="B338" s="42"/>
      <c r="C338" s="48" t="str">
        <f t="shared" si="61"/>
        <v>Orange Belgium</v>
      </c>
      <c r="D338" s="44" t="str">
        <f t="shared" si="61"/>
        <v>EUR 14.8</v>
      </c>
      <c r="E338" s="44" t="str">
        <f t="shared" si="61"/>
        <v>EUR 15.0</v>
      </c>
      <c r="F338" s="45">
        <f t="shared" si="61"/>
        <v>1.3513513513513375E-2</v>
      </c>
      <c r="G338" s="44" t="str">
        <f t="shared" si="61"/>
        <v>Neutral</v>
      </c>
      <c r="H338" s="46"/>
      <c r="I338" s="45">
        <f>(OBEL!$D$24/OBEL!$C$24)-1</f>
        <v>0.21807353809638852</v>
      </c>
      <c r="J338" s="45">
        <f>(OBEL!$E$24/OBEL!$D$24)-1</f>
        <v>0.15970039151654936</v>
      </c>
      <c r="K338" s="45">
        <f>(OBEL!$F$24/OBEL!$E$24)-1</f>
        <v>2.0064967843884673E-2</v>
      </c>
      <c r="L338" s="45">
        <f>(OBEL!$G$24/OBEL!$F$24)-1</f>
        <v>1.748904914330951E-2</v>
      </c>
      <c r="M338" s="45">
        <f>OBEL!$H$24</f>
        <v>6.3737476496064982E-2</v>
      </c>
      <c r="N338" s="46"/>
      <c r="O338" s="45">
        <f>(OBEL!$D$25/OBEL!$C$25)-1</f>
        <v>0.119842872035957</v>
      </c>
      <c r="P338" s="45">
        <f>(OBEL!$E$25/OBEL!$D$25)-1</f>
        <v>0.12436351619525632</v>
      </c>
      <c r="Q338" s="45">
        <f>(OBEL!$F$25/OBEL!$E$25)-1</f>
        <v>0.18870921699325582</v>
      </c>
      <c r="R338" s="45">
        <f>(OBEL!$G$25/OBEL!$F$25)-1</f>
        <v>3.2647722313147387E-2</v>
      </c>
      <c r="S338" s="45">
        <f>OBEL!$H$25</f>
        <v>0.11338369131939996</v>
      </c>
      <c r="T338" s="46"/>
      <c r="U338" s="48" t="str">
        <f t="shared" si="62"/>
        <v>EUR 14.8</v>
      </c>
      <c r="V338" s="44" t="str">
        <f t="shared" si="62"/>
        <v>Mobistar</v>
      </c>
      <c r="Z338" s="49"/>
    </row>
    <row r="339" spans="1:28" s="5" customFormat="1">
      <c r="A339" s="146"/>
      <c r="B339" s="42"/>
      <c r="C339" s="48" t="str">
        <f t="shared" si="61"/>
        <v>Tele2</v>
      </c>
      <c r="D339" s="44" t="str">
        <f t="shared" si="61"/>
        <v>SEK 117.7</v>
      </c>
      <c r="E339" s="44" t="str">
        <f t="shared" si="61"/>
        <v>SEK 109.0</v>
      </c>
      <c r="F339" s="45">
        <f t="shared" si="61"/>
        <v>-7.3523161920951985E-2</v>
      </c>
      <c r="G339" s="44" t="str">
        <f t="shared" si="61"/>
        <v>Neutral</v>
      </c>
      <c r="H339" s="46"/>
      <c r="I339" s="45">
        <f>(TELE2!$D$24/TELE2!$C$24)-1</f>
        <v>3.4722961298612409E-2</v>
      </c>
      <c r="J339" s="45">
        <f>(TELE2!$E$24/TELE2!$D$24)-1</f>
        <v>1.5686199789852751E-2</v>
      </c>
      <c r="K339" s="45">
        <f>(TELE2!$F$24/TELE2!$E$24)-1</f>
        <v>4.507360828222029E-2</v>
      </c>
      <c r="L339" s="45">
        <f>(TELE2!$G$24/TELE2!$F$24)-1</f>
        <v>3.1415015856507855E-2</v>
      </c>
      <c r="M339" s="45">
        <f>TELE2!$H$24</f>
        <v>3.0654951327086399E-2</v>
      </c>
      <c r="N339" s="46"/>
      <c r="O339" s="45">
        <f>(TELE2!$D$25/TELE2!$C$25)-1</f>
        <v>-6.1010728379065071E-2</v>
      </c>
      <c r="P339" s="45">
        <f>(TELE2!$E$25/TELE2!$D$25)-1</f>
        <v>1.1645419875367935E-2</v>
      </c>
      <c r="Q339" s="45">
        <f>(TELE2!$F$25/TELE2!$E$25)-1</f>
        <v>7.6023107005316559E-2</v>
      </c>
      <c r="R339" s="45">
        <f>(TELE2!$G$25/TELE2!$F$25)-1</f>
        <v>7.8363029330883904E-2</v>
      </c>
      <c r="S339" s="45">
        <f>TELE2!$H$25</f>
        <v>5.4884641068119855E-2</v>
      </c>
      <c r="T339" s="46"/>
      <c r="U339" s="48" t="str">
        <f t="shared" si="62"/>
        <v>SEK 117.7</v>
      </c>
      <c r="V339" s="44" t="str">
        <f t="shared" si="62"/>
        <v>Tele2</v>
      </c>
      <c r="Z339" s="49"/>
    </row>
    <row r="340" spans="1:28" s="5" customFormat="1">
      <c r="A340" s="41"/>
      <c r="B340" s="42"/>
      <c r="C340" s="48" t="str">
        <f t="shared" si="61"/>
        <v>United Internet</v>
      </c>
      <c r="D340" s="44" t="str">
        <f t="shared" si="61"/>
        <v>EUR 19.1</v>
      </c>
      <c r="E340" s="44" t="str">
        <f t="shared" si="61"/>
        <v>EUR 28.0</v>
      </c>
      <c r="F340" s="45">
        <f t="shared" si="61"/>
        <v>0.46904512067156356</v>
      </c>
      <c r="G340" s="44" t="str">
        <f t="shared" si="61"/>
        <v>Buy</v>
      </c>
      <c r="H340" s="46"/>
      <c r="I340" s="45">
        <f>(UTDI!$D$24/UTDI!$C$24)-1</f>
        <v>1.3536384953881875E-2</v>
      </c>
      <c r="J340" s="45">
        <f>(UTDI!$E$24/UTDI!$D$24)-1</f>
        <v>5.2415789444287153E-2</v>
      </c>
      <c r="K340" s="45">
        <f>(UTDI!$F$24/UTDI!$E$24)-1</f>
        <v>0.1200962572640083</v>
      </c>
      <c r="L340" s="45">
        <f>(UTDI!$G$24/UTDI!$F$24)-1</f>
        <v>8.8690769177019124E-2</v>
      </c>
      <c r="M340" s="45">
        <f>UTDI!$H$24</f>
        <v>8.6715214194776458E-2</v>
      </c>
      <c r="N340" s="46"/>
      <c r="O340" s="45">
        <f>(UTDI!$D$25/UTDI!$C$25)-1</f>
        <v>-0.22023461944064371</v>
      </c>
      <c r="P340" s="45">
        <f>(UTDI!$E$25/UTDI!$D$25)-1</f>
        <v>-0.17294817965612963</v>
      </c>
      <c r="Q340" s="45">
        <f>(UTDI!$F$25/UTDI!$E$25)-1</f>
        <v>0.40210145847322454</v>
      </c>
      <c r="R340" s="45">
        <f>(UTDI!$G$25/UTDI!$F$25)-1</f>
        <v>0.40439108657357314</v>
      </c>
      <c r="S340" s="45">
        <f>UTDI!$H$25</f>
        <v>0.17652206295946304</v>
      </c>
      <c r="T340" s="46"/>
      <c r="U340" s="48" t="str">
        <f t="shared" si="62"/>
        <v>EUR 19.1</v>
      </c>
      <c r="V340" s="44" t="str">
        <f t="shared" si="62"/>
        <v>United Internet</v>
      </c>
      <c r="Z340" s="49"/>
    </row>
    <row r="341" spans="1:28" s="5" customFormat="1">
      <c r="A341" s="146"/>
      <c r="B341" s="42"/>
      <c r="C341" s="48" t="str">
        <f t="shared" si="61"/>
        <v>Vodafone</v>
      </c>
      <c r="D341" s="44" t="str">
        <f t="shared" si="61"/>
        <v>GBP 0.77</v>
      </c>
      <c r="E341" s="44" t="str">
        <f t="shared" si="61"/>
        <v>GBP 1.40</v>
      </c>
      <c r="F341" s="45">
        <f t="shared" si="61"/>
        <v>0.80785123966942152</v>
      </c>
      <c r="G341" s="44" t="str">
        <f t="shared" si="61"/>
        <v>Buy</v>
      </c>
      <c r="H341" s="46"/>
      <c r="I341" s="45">
        <f>(VOD!$D$24/VOD!$C$24)-1</f>
        <v>-0.24963367876933407</v>
      </c>
      <c r="J341" s="45">
        <f>(VOD!$E$24/VOD!$D$24)-1</f>
        <v>-6.9843776187896722E-3</v>
      </c>
      <c r="K341" s="45">
        <f>(VOD!$F$24/VOD!$E$24)-1</f>
        <v>4.8551440043447691E-2</v>
      </c>
      <c r="L341" s="45">
        <f>(VOD!$G$24/VOD!$F$24)-1</f>
        <v>4.2180340534481608E-2</v>
      </c>
      <c r="M341" s="45">
        <f>VOD!$H$24</f>
        <v>2.7612944188088129E-2</v>
      </c>
      <c r="N341" s="46"/>
      <c r="O341" s="45">
        <f>(VOD!$D$25/VOD!$C$25)-1</f>
        <v>-0.25534114154525067</v>
      </c>
      <c r="P341" s="45">
        <f>(VOD!$E$25/VOD!$D$25)-1</f>
        <v>-3.8618823376461275E-2</v>
      </c>
      <c r="Q341" s="45">
        <f>(VOD!$F$25/VOD!$E$25)-1</f>
        <v>0.11455073868098054</v>
      </c>
      <c r="R341" s="45">
        <f>(VOD!$G$25/VOD!$F$25)-1</f>
        <v>9.7764980530739232E-2</v>
      </c>
      <c r="S341" s="45">
        <f>VOD!$H$25</f>
        <v>5.5605417326569428E-2</v>
      </c>
      <c r="T341" s="46"/>
      <c r="U341" s="48" t="str">
        <f>U281</f>
        <v>GBP 0.77</v>
      </c>
      <c r="V341" s="44" t="s">
        <v>276</v>
      </c>
      <c r="Z341" s="49"/>
    </row>
    <row r="342" spans="1:28">
      <c r="C342" s="51" t="str">
        <f>C282</f>
        <v>Agg. W. Europe Other</v>
      </c>
      <c r="D342" s="52"/>
      <c r="E342" s="52"/>
      <c r="F342" s="53"/>
      <c r="G342" s="52"/>
      <c r="H342" s="46"/>
      <c r="I342" s="55">
        <f>('W.EUR OTHER'!$D$24/'W.EUR OTHER'!$C$24)-1</f>
        <v>-0.12948340835426631</v>
      </c>
      <c r="J342" s="55">
        <f>('W.EUR OTHER'!$E$24/'W.EUR OTHER'!$D$24)-1</f>
        <v>6.6714000155889686E-3</v>
      </c>
      <c r="K342" s="55">
        <f>('W.EUR OTHER'!$F$24/'W.EUR OTHER'!$E$24)-1</f>
        <v>3.6856676513873365E-2</v>
      </c>
      <c r="L342" s="55">
        <f>('W.EUR OTHER'!$G$24/'W.EUR OTHER'!$F$24)-1</f>
        <v>3.1105959399460259E-2</v>
      </c>
      <c r="M342" s="55">
        <f>'W.EUR OTHER'!$H$24</f>
        <v>2.4794026477105824E-2</v>
      </c>
      <c r="N342" s="56"/>
      <c r="O342" s="55">
        <f>('W.EUR OTHER'!$D$25/'W.EUR OTHER'!$C$25)-1</f>
        <v>-0.16002698727990827</v>
      </c>
      <c r="P342" s="55">
        <f>('W.EUR OTHER'!$E$25/'W.EUR OTHER'!$D$25)-1</f>
        <v>-1.5068508702596572E-2</v>
      </c>
      <c r="Q342" s="55">
        <f>('W.EUR OTHER'!$F$25/'W.EUR OTHER'!$E$25)-1</f>
        <v>0.11100468474151914</v>
      </c>
      <c r="R342" s="55">
        <f>('W.EUR OTHER'!$G$25/'W.EUR OTHER'!$F$25)-1</f>
        <v>8.1300827659496866E-2</v>
      </c>
      <c r="S342" s="55">
        <f>'W.EUR OTHER'!$H$25</f>
        <v>5.7684523659928821E-2</v>
      </c>
      <c r="T342" s="46"/>
      <c r="U342" s="57"/>
      <c r="V342" s="58" t="str">
        <f>V282</f>
        <v>Agg. W. Europe Other</v>
      </c>
      <c r="Z342" s="49"/>
      <c r="AB342" s="5"/>
    </row>
    <row r="343" spans="1:28" s="5" customFormat="1">
      <c r="A343" s="146"/>
      <c r="B343" s="42"/>
      <c r="C343" s="48"/>
      <c r="D343" s="44"/>
      <c r="E343" s="44"/>
      <c r="F343" s="45"/>
      <c r="G343" s="44"/>
      <c r="H343" s="46"/>
      <c r="I343" s="45"/>
      <c r="J343" s="45"/>
      <c r="K343" s="45"/>
      <c r="L343" s="45"/>
      <c r="M343" s="45"/>
      <c r="N343" s="46"/>
      <c r="O343" s="45"/>
      <c r="P343" s="45"/>
      <c r="Q343" s="45"/>
      <c r="R343" s="45"/>
      <c r="S343" s="45"/>
      <c r="T343" s="46"/>
      <c r="U343" s="48"/>
      <c r="V343" s="44"/>
      <c r="Z343" s="49"/>
      <c r="AB343" s="63"/>
    </row>
    <row r="344" spans="1:28" s="5" customFormat="1">
      <c r="A344" s="41"/>
      <c r="B344" s="42" t="s">
        <v>551</v>
      </c>
      <c r="C344" s="48" t="s">
        <v>828</v>
      </c>
      <c r="D344" s="44" t="str">
        <f t="shared" ref="D344:G349" si="63">D284</f>
        <v>HKD 3</v>
      </c>
      <c r="E344" s="44" t="str">
        <f t="shared" si="63"/>
        <v>HKD 16</v>
      </c>
      <c r="F344" s="45">
        <f t="shared" si="63"/>
        <v>4.9925093632958806</v>
      </c>
      <c r="G344" s="44" t="str">
        <f t="shared" si="63"/>
        <v>Buy</v>
      </c>
      <c r="H344" s="46"/>
      <c r="I344" s="45">
        <f>(HKBN!$D$24/HKBN!$C$24)-1</f>
        <v>5.4825129099686176E-2</v>
      </c>
      <c r="J344" s="45">
        <f>(HKBN!$E$24/HKBN!$D$24)-1</f>
        <v>3.4776941878001733E-2</v>
      </c>
      <c r="K344" s="45">
        <f>(HKBN!$F$24/HKBN!$E$24)-1</f>
        <v>3.333822598478009E-2</v>
      </c>
      <c r="L344" s="45">
        <f>(HKBN!$G$24/HKBN!$F$24)-1</f>
        <v>3.1836657074977071E-2</v>
      </c>
      <c r="M344" s="45">
        <f>HKBN!$H$24</f>
        <v>3.3316577648039525E-2</v>
      </c>
      <c r="N344" s="46"/>
      <c r="O344" s="45">
        <f>(HKBN!$D$25/HKBN!$C$25)-1</f>
        <v>5.5239205148801762E-2</v>
      </c>
      <c r="P344" s="45">
        <f>(HKBN!$E$25/HKBN!$D$25)-1</f>
        <v>4.6841325099472142E-2</v>
      </c>
      <c r="Q344" s="45">
        <f>(HKBN!$F$25/HKBN!$E$25)-1</f>
        <v>2.9240639309775496E-2</v>
      </c>
      <c r="R344" s="45">
        <f>(HKBN!$G$25/HKBN!$F$25)-1</f>
        <v>4.4294857662941611E-2</v>
      </c>
      <c r="S344" s="45">
        <f>HKBN!$H$25</f>
        <v>4.009651517345092E-2</v>
      </c>
      <c r="T344" s="46"/>
      <c r="U344" s="48" t="str">
        <f t="shared" ref="U344:V349" si="64">U284</f>
        <v>HKD 3</v>
      </c>
      <c r="V344" s="69" t="str">
        <f t="shared" si="64"/>
        <v>HKBN</v>
      </c>
      <c r="Z344" s="49"/>
    </row>
    <row r="345" spans="1:28" s="5" customFormat="1">
      <c r="A345" s="146"/>
      <c r="B345" s="42"/>
      <c r="C345" s="48" t="str">
        <f t="shared" ref="C345:C350" si="65">C285</f>
        <v>KDDI</v>
      </c>
      <c r="D345" s="44" t="str">
        <f t="shared" si="63"/>
        <v>JPY 4,851</v>
      </c>
      <c r="E345" s="44" t="str">
        <f t="shared" si="63"/>
        <v>JPY 6,600</v>
      </c>
      <c r="F345" s="45">
        <f t="shared" si="63"/>
        <v>0.36054421768707479</v>
      </c>
      <c r="G345" s="44" t="str">
        <f t="shared" si="63"/>
        <v>Buy</v>
      </c>
      <c r="H345" s="46"/>
      <c r="I345" s="45">
        <f>(KDDI!$D$24/KDDI!$C$24)-1</f>
        <v>-6.8345868908585627E-2</v>
      </c>
      <c r="J345" s="45">
        <f>(KDDI!$E$24/KDDI!$D$24)-1</f>
        <v>0.1026914469244038</v>
      </c>
      <c r="K345" s="45">
        <f>(KDDI!$F$24/KDDI!$E$24)-1</f>
        <v>3.8999430544299551E-2</v>
      </c>
      <c r="L345" s="45">
        <f>(KDDI!$G$24/KDDI!$F$24)-1</f>
        <v>3.8323886120962491E-2</v>
      </c>
      <c r="M345" s="45">
        <f>KDDI!$H$24</f>
        <v>5.9580734933364132E-2</v>
      </c>
      <c r="N345" s="46"/>
      <c r="O345" s="45">
        <f>(KDDI!$D$25/KDDI!$C$25)-1</f>
        <v>-0.21021086226744146</v>
      </c>
      <c r="P345" s="45">
        <f>(KDDI!$E$25/KDDI!$D$25)-1</f>
        <v>0.32724509343584773</v>
      </c>
      <c r="Q345" s="45">
        <f>(KDDI!$F$25/KDDI!$E$25)-1</f>
        <v>4.1108584176770435E-2</v>
      </c>
      <c r="R345" s="45">
        <f>(KDDI!$G$25/KDDI!$F$25)-1</f>
        <v>4.112120788429241E-2</v>
      </c>
      <c r="S345" s="45">
        <f>KDDI!$H$25</f>
        <v>0.1288844297655527</v>
      </c>
      <c r="T345" s="46"/>
      <c r="U345" s="48" t="str">
        <f t="shared" si="64"/>
        <v>JPY 4,851</v>
      </c>
      <c r="V345" s="44" t="str">
        <f t="shared" si="64"/>
        <v>KDDI</v>
      </c>
      <c r="Z345" s="49"/>
    </row>
    <row r="346" spans="1:28" s="5" customFormat="1">
      <c r="A346" s="41"/>
      <c r="B346" s="42"/>
      <c r="C346" s="48" t="str">
        <f t="shared" si="65"/>
        <v>Macquarie Telecom</v>
      </c>
      <c r="D346" s="44" t="str">
        <f t="shared" si="63"/>
        <v>AUD 76.51</v>
      </c>
      <c r="E346" s="44" t="str">
        <f t="shared" si="63"/>
        <v>AUD 28.00</v>
      </c>
      <c r="F346" s="45">
        <f t="shared" si="63"/>
        <v>-0.63403476669716374</v>
      </c>
      <c r="G346" s="44" t="str">
        <f t="shared" si="63"/>
        <v>Neutral</v>
      </c>
      <c r="H346" s="46"/>
      <c r="I346" s="45">
        <f>(MAQ!$D$24/MAQ!$C$24)-1</f>
        <v>0.11814945713742442</v>
      </c>
      <c r="J346" s="45">
        <f>(MAQ!$E$24/MAQ!$D$24)-1</f>
        <v>9.8788939953469157E-2</v>
      </c>
      <c r="K346" s="45">
        <f>(MAQ!$F$24/MAQ!$E$24)-1</f>
        <v>9.7217963358585235E-2</v>
      </c>
      <c r="L346" s="45">
        <f>(MAQ!$G$24/MAQ!$F$24)-1</f>
        <v>3.8243381079461125E-2</v>
      </c>
      <c r="M346" s="45">
        <f>MAQ!$H$24</f>
        <v>7.7710514142747211E-2</v>
      </c>
      <c r="N346" s="46"/>
      <c r="O346" s="45">
        <f>(MAQ!$D$25/MAQ!$C$25)-1</f>
        <v>-0.21007614690970389</v>
      </c>
      <c r="P346" s="45">
        <f>(MAQ!$E$25/MAQ!$D$25)-1</f>
        <v>3.2224968265954308</v>
      </c>
      <c r="Q346" s="45">
        <f>(MAQ!$F$25/MAQ!$E$25)-1</f>
        <v>0.41131700389939851</v>
      </c>
      <c r="R346" s="45">
        <f>(MAQ!$G$25/MAQ!$F$25)-1</f>
        <v>0.31411299250800173</v>
      </c>
      <c r="S346" s="45">
        <f>MAQ!$H$25</f>
        <v>0.98583062966591317</v>
      </c>
      <c r="T346" s="46"/>
      <c r="U346" s="48" t="str">
        <f t="shared" si="64"/>
        <v>AUD 76.51</v>
      </c>
      <c r="V346" s="69" t="str">
        <f t="shared" si="64"/>
        <v>Macquarie Telecom</v>
      </c>
      <c r="Z346" s="49"/>
      <c r="AB346" s="63"/>
    </row>
    <row r="347" spans="1:28" s="5" customFormat="1">
      <c r="A347" s="146"/>
      <c r="B347" s="42"/>
      <c r="C347" s="48" t="str">
        <f t="shared" si="65"/>
        <v>Rakuten</v>
      </c>
      <c r="D347" s="44" t="str">
        <f t="shared" si="63"/>
        <v>JPY 946</v>
      </c>
      <c r="E347" s="44" t="str">
        <f t="shared" si="63"/>
        <v>JPY 400</v>
      </c>
      <c r="F347" s="45">
        <f t="shared" si="63"/>
        <v>-0.57734573119188504</v>
      </c>
      <c r="G347" s="44" t="str">
        <f t="shared" si="63"/>
        <v>Reduce</v>
      </c>
      <c r="H347" s="46"/>
      <c r="I347" s="45">
        <f>(RAK!$D$24/RAK!$C$24)-1</f>
        <v>-3.1193254955805365</v>
      </c>
      <c r="J347" s="45">
        <f>(RAK!$E$24/RAK!$D$24)-1</f>
        <v>0.29762251906249637</v>
      </c>
      <c r="K347" s="45">
        <f>(RAK!$F$24/RAK!$E$24)-1</f>
        <v>0.37466843053987309</v>
      </c>
      <c r="L347" s="45">
        <f>(RAK!$G$24/RAK!$F$24)-1</f>
        <v>0.30960894448032539</v>
      </c>
      <c r="M347" s="45">
        <f>RAK!$H$24</f>
        <v>0.32687289283357424</v>
      </c>
      <c r="N347" s="46"/>
      <c r="O347" s="45">
        <f>(RAK!$D$25/RAK!$C$25)-1</f>
        <v>-0.63883659481232624</v>
      </c>
      <c r="P347" s="45">
        <f>(RAK!$E$25/RAK!$D$25)-1</f>
        <v>-0.65439338857088392</v>
      </c>
      <c r="Q347" s="45">
        <f>(RAK!$F$25/RAK!$E$25)-1</f>
        <v>-0.96027558317255068</v>
      </c>
      <c r="R347" s="45">
        <f>(RAK!$G$25/RAK!$F$25)-1</f>
        <v>-2.7111734568233024</v>
      </c>
      <c r="S347" s="45">
        <f>RAK!$H$25</f>
        <v>-1.2864032019758365</v>
      </c>
      <c r="T347" s="46"/>
      <c r="U347" s="48" t="str">
        <f t="shared" si="64"/>
        <v>JPY 946</v>
      </c>
      <c r="V347" s="44" t="str">
        <f t="shared" si="64"/>
        <v>Rakuten</v>
      </c>
      <c r="Z347" s="49"/>
    </row>
    <row r="348" spans="1:28" s="5" customFormat="1">
      <c r="A348" s="146"/>
      <c r="B348" s="42"/>
      <c r="C348" s="48" t="str">
        <f t="shared" si="65"/>
        <v>SoftBank KK (Corp)</v>
      </c>
      <c r="D348" s="44" t="str">
        <f t="shared" si="63"/>
        <v>JPY 1,996</v>
      </c>
      <c r="E348" s="44" t="str">
        <f t="shared" si="63"/>
        <v>JPY 2,700</v>
      </c>
      <c r="F348" s="45">
        <f t="shared" si="63"/>
        <v>0.35270541082164319</v>
      </c>
      <c r="G348" s="44" t="str">
        <f t="shared" si="63"/>
        <v>Buy</v>
      </c>
      <c r="H348" s="46"/>
      <c r="I348" s="45">
        <f>(SBKK!$D$24/SBKK!$C$24)-1</f>
        <v>6.460674157303381E-2</v>
      </c>
      <c r="J348" s="45">
        <f>(SBKK!$E$24/SBKK!$D$24)-1</f>
        <v>-2.0465552358800099E-2</v>
      </c>
      <c r="K348" s="45">
        <f>(SBKK!$F$24/SBKK!$E$24)-1</f>
        <v>0.12001993164450342</v>
      </c>
      <c r="L348" s="45">
        <f>(SBKK!$G$24/SBKK!$F$24)-1</f>
        <v>6.4654348900312186E-2</v>
      </c>
      <c r="M348" s="45">
        <f>SBKK!$H$24</f>
        <v>5.3136582832464141E-2</v>
      </c>
      <c r="N348" s="46"/>
      <c r="O348" s="45">
        <f>(SBKK!$D$25/SBKK!$C$25)-1</f>
        <v>0.16320784231932417</v>
      </c>
      <c r="P348" s="45">
        <f>(SBKK!$E$25/SBKK!$D$25)-1</f>
        <v>-6.8219869012801082E-3</v>
      </c>
      <c r="Q348" s="45">
        <f>(SBKK!$F$25/SBKK!$E$25)-1</f>
        <v>0.17130050030963972</v>
      </c>
      <c r="R348" s="45">
        <f>(SBKK!$G$25/SBKK!$F$25)-1</f>
        <v>8.6075854097808602E-2</v>
      </c>
      <c r="S348" s="45">
        <f>SBKK!$H$25</f>
        <v>8.1065134929867E-2</v>
      </c>
      <c r="T348" s="46"/>
      <c r="U348" s="48" t="str">
        <f t="shared" si="64"/>
        <v>JPY 1,996</v>
      </c>
      <c r="V348" s="44" t="str">
        <f t="shared" si="64"/>
        <v>SoftBank KK (Corp)</v>
      </c>
      <c r="Z348" s="49"/>
    </row>
    <row r="349" spans="1:28" s="5" customFormat="1">
      <c r="A349" s="41"/>
      <c r="B349" s="42"/>
      <c r="C349" s="48" t="str">
        <f t="shared" si="65"/>
        <v>TPG</v>
      </c>
      <c r="D349" s="44" t="str">
        <f t="shared" si="63"/>
        <v>AUD 4.99</v>
      </c>
      <c r="E349" s="44" t="str">
        <f t="shared" si="63"/>
        <v>AUD 7.50</v>
      </c>
      <c r="F349" s="45">
        <f t="shared" si="63"/>
        <v>0.50300601202404804</v>
      </c>
      <c r="G349" s="44" t="str">
        <f t="shared" si="63"/>
        <v>Neutral</v>
      </c>
      <c r="H349" s="46"/>
      <c r="I349" s="45">
        <f>(TPG!$D$24/TPG!$C$24)-1</f>
        <v>-3.4884394536783159E-2</v>
      </c>
      <c r="J349" s="45">
        <f>(TPG!$E$24/TPG!$D$24)-1</f>
        <v>-2.031898258841025E-2</v>
      </c>
      <c r="K349" s="45">
        <f>(TPG!$F$24/TPG!$E$24)-1</f>
        <v>3.6481142626119345E-2</v>
      </c>
      <c r="L349" s="45">
        <f>(TPG!$G$24/TPG!$F$24)-1</f>
        <v>3.1836540941138747E-2</v>
      </c>
      <c r="M349" s="45">
        <f>TPG!$H$24</f>
        <v>1.5669319800876602E-2</v>
      </c>
      <c r="N349" s="46"/>
      <c r="O349" s="45">
        <f>(TPG!$D$25/TPG!$C$25)-1</f>
        <v>0.26685653175296831</v>
      </c>
      <c r="P349" s="45">
        <f>(TPG!$E$25/TPG!$D$25)-1</f>
        <v>3.5195743409483171E-2</v>
      </c>
      <c r="Q349" s="45">
        <f>(TPG!$F$25/TPG!$E$25)-1</f>
        <v>6.0172041486072914E-3</v>
      </c>
      <c r="R349" s="45">
        <f>(TPG!$G$25/TPG!$F$25)-1</f>
        <v>4.8834696027562741E-2</v>
      </c>
      <c r="S349" s="45">
        <f>TPG!$H$25</f>
        <v>2.9860284419041871E-2</v>
      </c>
      <c r="T349" s="46"/>
      <c r="U349" s="48" t="str">
        <f t="shared" si="64"/>
        <v>AUD 4.99</v>
      </c>
      <c r="V349" s="44" t="str">
        <f t="shared" si="64"/>
        <v>TPG</v>
      </c>
      <c r="Z349" s="49"/>
      <c r="AB349" s="63"/>
    </row>
    <row r="350" spans="1:28">
      <c r="C350" s="51" t="str">
        <f t="shared" si="65"/>
        <v>Agg. Developed Asia Other</v>
      </c>
      <c r="D350" s="52"/>
      <c r="E350" s="52"/>
      <c r="F350" s="53"/>
      <c r="G350" s="52"/>
      <c r="H350" s="46"/>
      <c r="I350" s="55">
        <f>('DM ASIA OTHER'!$D$24/'DM ASIA OTHER'!$C$24)-1</f>
        <v>5.5806815596363801E-2</v>
      </c>
      <c r="J350" s="55">
        <f>('DM ASIA OTHER'!$E$24/'DM ASIA OTHER'!$D$24)-1</f>
        <v>4.8859181406168739E-2</v>
      </c>
      <c r="K350" s="55">
        <f>('DM ASIA OTHER'!$F$24/'DM ASIA OTHER'!$E$24)-1</f>
        <v>8.973642153193051E-2</v>
      </c>
      <c r="L350" s="55">
        <f>('DM ASIA OTHER'!$G$24/'DM ASIA OTHER'!$F$24)-1</f>
        <v>6.6448908513616844E-2</v>
      </c>
      <c r="M350" s="55">
        <f>'DM ASIA OTHER'!$H$24</f>
        <v>6.8217204124905839E-2</v>
      </c>
      <c r="N350" s="56"/>
      <c r="O350" s="55">
        <f>('DM ASIA OTHER'!$D$25/'DM ASIA OTHER'!$C$25)-1</f>
        <v>0.22447340287286344</v>
      </c>
      <c r="P350" s="55">
        <f>('DM ASIA OTHER'!$E$25/'DM ASIA OTHER'!$D$25)-1</f>
        <v>0.23596778908070948</v>
      </c>
      <c r="Q350" s="55">
        <f>('DM ASIA OTHER'!$F$25/'DM ASIA OTHER'!$E$25)-1</f>
        <v>0.13516249619531773</v>
      </c>
      <c r="R350" s="55">
        <f>('DM ASIA OTHER'!$G$25/'DM ASIA OTHER'!$F$25)-1</f>
        <v>6.6413333887554327E-2</v>
      </c>
      <c r="S350" s="55">
        <f>'DM ASIA OTHER'!$H$25</f>
        <v>0.14374774599437457</v>
      </c>
      <c r="T350" s="46"/>
      <c r="U350" s="57"/>
      <c r="V350" s="58" t="str">
        <f>V290</f>
        <v>Agg. Developed Asia Cellular</v>
      </c>
      <c r="Z350" s="49"/>
      <c r="AB350" s="5"/>
    </row>
    <row r="351" spans="1:28" s="5" customFormat="1">
      <c r="A351" s="41"/>
      <c r="B351" s="42"/>
      <c r="C351" s="48"/>
      <c r="D351" s="44"/>
      <c r="E351" s="44"/>
      <c r="F351" s="45"/>
      <c r="G351" s="44"/>
      <c r="H351" s="46"/>
      <c r="I351" s="45"/>
      <c r="J351" s="45"/>
      <c r="K351" s="45"/>
      <c r="L351" s="45"/>
      <c r="M351" s="45"/>
      <c r="N351" s="46"/>
      <c r="O351" s="45"/>
      <c r="P351" s="45"/>
      <c r="Q351" s="45"/>
      <c r="R351" s="45"/>
      <c r="S351" s="45"/>
      <c r="T351" s="46"/>
      <c r="U351" s="48"/>
      <c r="V351" s="44"/>
      <c r="Z351" s="49"/>
    </row>
    <row r="352" spans="1:28" s="5" customFormat="1">
      <c r="A352" s="41"/>
      <c r="B352" s="42" t="s">
        <v>514</v>
      </c>
      <c r="C352" s="48" t="str">
        <f>C292</f>
        <v>Altice US</v>
      </c>
      <c r="D352" s="44" t="str">
        <f>D292</f>
        <v>US$2.1</v>
      </c>
      <c r="E352" s="44" t="str">
        <f>E292</f>
        <v>US$4.0</v>
      </c>
      <c r="F352" s="45">
        <f>F292</f>
        <v>0.86915887850467288</v>
      </c>
      <c r="G352" s="44" t="str">
        <f>G292</f>
        <v>Neutral</v>
      </c>
      <c r="H352" s="46"/>
      <c r="I352" s="45">
        <f>(ATCUS!D$24/ATCUS!C$24)-1</f>
        <v>-6.6635079400507613E-2</v>
      </c>
      <c r="J352" s="45">
        <f>(ATCUS!E$24/ATCUS!D$24)-1</f>
        <v>-1.9091418520037262E-2</v>
      </c>
      <c r="K352" s="45">
        <f>(ATCUS!F$24/ATCUS!E$24)-1</f>
        <v>-2.6246950691520499E-2</v>
      </c>
      <c r="L352" s="45">
        <f>(ATCUS!G$24/ATCUS!F$24)-1</f>
        <v>-8.1769358817462834E-4</v>
      </c>
      <c r="M352" s="45">
        <f>ATCUS!$H$24</f>
        <v>-1.5443372733004446E-2</v>
      </c>
      <c r="N352" s="46"/>
      <c r="O352" s="45">
        <f>(ATCUS!D$25/ATCUS!C$25)-1</f>
        <v>-2.4677104169281372E-2</v>
      </c>
      <c r="P352" s="45">
        <f>(ATCUS!E$25/ATCUS!D$25)-1</f>
        <v>-6.7762352457929609E-3</v>
      </c>
      <c r="Q352" s="45">
        <f>(ATCUS!F$25/ATCUS!E$25)-1</f>
        <v>2.4877377683237389E-2</v>
      </c>
      <c r="R352" s="45">
        <f>(ATCUS!G$25/ATCUS!F$25)-1</f>
        <v>6.1308578549252646E-2</v>
      </c>
      <c r="S352" s="45">
        <f>ATCUS!$H$25</f>
        <v>2.6093401132669003E-2</v>
      </c>
      <c r="T352" s="46"/>
      <c r="U352" s="48" t="str">
        <f>D352</f>
        <v>US$2.1</v>
      </c>
      <c r="V352" s="44" t="str">
        <f>C352</f>
        <v>Altice US</v>
      </c>
      <c r="Z352" s="49"/>
    </row>
    <row r="353" spans="1:69" s="5" customFormat="1">
      <c r="A353" s="41"/>
      <c r="B353" s="42" t="s">
        <v>514</v>
      </c>
      <c r="C353" s="48" t="s">
        <v>306</v>
      </c>
      <c r="D353" s="44" t="str">
        <f>B353&amp;TEXT(Prices!$C$45,"0.0")</f>
        <v>US$330.8</v>
      </c>
      <c r="E353" s="44" t="str">
        <f>B353&amp;TEXT(Prices!$E$45,"0.0")</f>
        <v>US$581.0</v>
      </c>
      <c r="F353" s="45">
        <f>Prices!$F$45</f>
        <v>0.75645444101819947</v>
      </c>
      <c r="G353" s="44" t="str">
        <f>Prices!$D$45</f>
        <v>Buy</v>
      </c>
      <c r="H353" s="46"/>
      <c r="I353" s="45">
        <f>(CHTR!D$24/CHTR!C$24)-1</f>
        <v>1.286084381939312E-2</v>
      </c>
      <c r="J353" s="45">
        <f>(CHTR!E$24/CHTR!D$24)-1</f>
        <v>2.8578340844921613E-2</v>
      </c>
      <c r="K353" s="45">
        <f>(CHTR!F$24/CHTR!E$24)-1</f>
        <v>1.2474223500416048E-2</v>
      </c>
      <c r="L353" s="45">
        <f>(CHTR!G$24/CHTR!F$24)-1</f>
        <v>4.0872734547115819E-2</v>
      </c>
      <c r="M353" s="45">
        <f>CHTR!$H$24</f>
        <v>2.7242535806642598E-2</v>
      </c>
      <c r="N353" s="46"/>
      <c r="O353" s="45">
        <f>(CHTR!D$25/CHTR!C$25)-1</f>
        <v>-0.11936274509803924</v>
      </c>
      <c r="P353" s="45">
        <f>(CHTR!E$25/CHTR!D$25)-1</f>
        <v>-5.3545693230646174E-2</v>
      </c>
      <c r="Q353" s="45">
        <f>(CHTR!F$25/CHTR!E$25)-1</f>
        <v>1.3123840768914041E-2</v>
      </c>
      <c r="R353" s="45">
        <f>(CHTR!G$25/CHTR!F$25)-1</f>
        <v>0.21403258220834731</v>
      </c>
      <c r="S353" s="45">
        <f>CHTR!$H$25</f>
        <v>5.1955842122821005E-2</v>
      </c>
      <c r="T353" s="46"/>
      <c r="U353" s="48" t="str">
        <f>D353</f>
        <v>US$330.8</v>
      </c>
      <c r="V353" s="44" t="str">
        <f>C353</f>
        <v>Charter</v>
      </c>
      <c r="Z353" s="49"/>
    </row>
    <row r="354" spans="1:69" s="5" customFormat="1">
      <c r="A354" s="41"/>
      <c r="B354" s="42" t="s">
        <v>514</v>
      </c>
      <c r="C354" s="48" t="s">
        <v>304</v>
      </c>
      <c r="D354" s="44" t="str">
        <f>B354&amp;TEXT(Prices!$C$46,"0.0")</f>
        <v>US$39.8</v>
      </c>
      <c r="E354" s="44" t="str">
        <f>B354&amp;TEXT(Prices!$E$46,"0.0")</f>
        <v>US$50.0</v>
      </c>
      <c r="F354" s="45">
        <f>Prices!$F$46</f>
        <v>0.25628140703517599</v>
      </c>
      <c r="G354" s="44" t="str">
        <f>Prices!$D$46</f>
        <v>Buy</v>
      </c>
      <c r="H354" s="46"/>
      <c r="I354" s="45">
        <f>(CMCSA!D$24/CMCSA!C$24)-1</f>
        <v>3.2095521487535361E-2</v>
      </c>
      <c r="J354" s="45">
        <f>(CMCSA!E$24/CMCSA!D$24)-1</f>
        <v>3.8946045494887338E-2</v>
      </c>
      <c r="K354" s="45">
        <f>(CMCSA!F$24/CMCSA!E$24)-1</f>
        <v>3.08448417993894E-2</v>
      </c>
      <c r="L354" s="45">
        <f>(CMCSA!G$24/CMCSA!F$24)-1</f>
        <v>4.5801849206997591E-2</v>
      </c>
      <c r="M354" s="45">
        <f>CMCSA!$H$24</f>
        <v>3.851291219562536E-2</v>
      </c>
      <c r="N354" s="46"/>
      <c r="O354" s="45">
        <f>(CMCSA!D$25/CMCSA!C$25)-1</f>
        <v>-1.7222733957736658E-2</v>
      </c>
      <c r="P354" s="45">
        <f>(CMCSA!E$25/CMCSA!D$25)-1</f>
        <v>6.2442816169851811E-2</v>
      </c>
      <c r="Q354" s="45">
        <f>(CMCSA!F$25/CMCSA!E$25)-1</f>
        <v>8.2841378360799078E-2</v>
      </c>
      <c r="R354" s="45">
        <f>(CMCSA!G$25/CMCSA!F$25)-1</f>
        <v>0.1096964036560133</v>
      </c>
      <c r="S354" s="45">
        <f>CMCSA!$H$25</f>
        <v>8.4821278786819221E-2</v>
      </c>
      <c r="T354" s="46"/>
      <c r="U354" s="48" t="str">
        <f>D354</f>
        <v>US$39.8</v>
      </c>
      <c r="V354" s="44" t="str">
        <f>C354</f>
        <v>Comcast</v>
      </c>
      <c r="Z354" s="49"/>
    </row>
    <row r="355" spans="1:69" s="5" customFormat="1">
      <c r="A355" s="41"/>
      <c r="B355" s="42" t="s">
        <v>522</v>
      </c>
      <c r="C355" s="48" t="s">
        <v>1602</v>
      </c>
      <c r="D355" s="44" t="str">
        <f>B355&amp;TEXT(Prices!C$47,"0.0")</f>
        <v>US$ 35.0</v>
      </c>
      <c r="E355" s="44" t="str">
        <f>B355&amp;TEXT(Prices!E$47,"0.0")</f>
        <v>US$ 54.0</v>
      </c>
      <c r="F355" s="45">
        <f>Prices!F$47</f>
        <v>0.54285714285714293</v>
      </c>
      <c r="G355" s="44" t="str">
        <f>Prices!D$47</f>
        <v>Buy</v>
      </c>
      <c r="H355" s="46"/>
      <c r="I355" s="45">
        <f>(FYBR!D$24/FYBR!C$24)-1</f>
        <v>2.2596153846153877E-2</v>
      </c>
      <c r="J355" s="45">
        <f>(FYBR!E$24/FYBR!D$24)-1</f>
        <v>-0.74412373703709622</v>
      </c>
      <c r="K355" s="45">
        <f>(FYBR!F$24/FYBR!E$24)-1</f>
        <v>2.8826835758486657E-2</v>
      </c>
      <c r="L355" s="45">
        <f>(FYBR!G$24/FYBR!F$24)-1</f>
        <v>-1.1493113770172592E-2</v>
      </c>
      <c r="M355" s="45">
        <f>FYBR!H$42</f>
        <v>3.3177717934998796E-2</v>
      </c>
      <c r="N355" s="46"/>
      <c r="O355" s="45">
        <f>(FYBR!D$25/FYBR!C$25)-1</f>
        <v>0.64741641337386024</v>
      </c>
      <c r="P355" s="45">
        <f>(FYBR!E$25/FYBR!D$25)-1</f>
        <v>-0.50114393373107768</v>
      </c>
      <c r="Q355" s="45">
        <f>(FYBR!F$25/FYBR!E$25)-1</f>
        <v>-0.2433099341646886</v>
      </c>
      <c r="R355" s="45">
        <f>(FYBR!G$25/FYBR!F$25)-1</f>
        <v>-0.83859147870377493</v>
      </c>
      <c r="S355" s="45">
        <f>FYBR!$H$25</f>
        <v>-0.60650436754529502</v>
      </c>
      <c r="T355" s="46"/>
      <c r="U355" s="48" t="str">
        <f>D355</f>
        <v>US$ 35.0</v>
      </c>
      <c r="V355" s="44" t="str">
        <f>C355</f>
        <v>Frontier</v>
      </c>
      <c r="Z355" s="49"/>
    </row>
    <row r="356" spans="1:69" s="5" customFormat="1">
      <c r="A356" s="41"/>
      <c r="B356" s="42" t="s">
        <v>522</v>
      </c>
      <c r="C356" s="48" t="s">
        <v>1603</v>
      </c>
      <c r="D356" s="44" t="str">
        <f>B356&amp;TEXT(Prices!C$48,"0.0")</f>
        <v>US$ 22.3</v>
      </c>
      <c r="E356" s="44" t="str">
        <f>B356&amp;TEXT(Prices!E$48,"0.0")</f>
        <v>US$ 100.0</v>
      </c>
      <c r="F356" s="45">
        <f>Prices!F$48</f>
        <v>3.4883303411131061</v>
      </c>
      <c r="G356" s="44" t="str">
        <f>Prices!D$48</f>
        <v>Buy</v>
      </c>
      <c r="H356" s="46"/>
      <c r="I356" s="45">
        <f>(SATS!D$24/SATS!C$24)-1</f>
        <v>-0.52822090970247937</v>
      </c>
      <c r="J356" s="45">
        <f>(SATS!E$24/SATS!D$24)-1</f>
        <v>0.35354113547074451</v>
      </c>
      <c r="K356" s="45">
        <f>(SATS!F$24/SATS!E$24)-1</f>
        <v>0.23843103611225103</v>
      </c>
      <c r="L356" s="45">
        <f>(SATS!G$24/SATS!F$24)-1</f>
        <v>0.17756926198073586</v>
      </c>
      <c r="M356" s="45">
        <f>SATS!H$42</f>
        <v>4.5519366726737731E-2</v>
      </c>
      <c r="N356" s="46"/>
      <c r="O356" s="45">
        <f>(SATS!D$25/SATS!C$25)-1</f>
        <v>-4.9549208206887982</v>
      </c>
      <c r="P356" s="45">
        <f>(SATS!E$25/SATS!D$25)-1</f>
        <v>-1.8221388275917783</v>
      </c>
      <c r="Q356" s="45">
        <f>(SATS!F$25/SATS!E$25)-1</f>
        <v>0.38598176470232959</v>
      </c>
      <c r="R356" s="45">
        <f>(SATS!G$25/SATS!F$25)-1</f>
        <v>0.5373069064976852</v>
      </c>
      <c r="S356" s="45">
        <f>SATS!$H$25</f>
        <v>-2.2054644798041032</v>
      </c>
      <c r="T356" s="46"/>
      <c r="U356" s="48" t="str">
        <f>D356</f>
        <v>US$ 22.3</v>
      </c>
      <c r="V356" s="44" t="str">
        <f>C356</f>
        <v>EchoStar</v>
      </c>
      <c r="Z356" s="49"/>
    </row>
    <row r="357" spans="1:69" s="5" customFormat="1">
      <c r="A357" s="41"/>
      <c r="B357" s="42"/>
      <c r="C357" s="51" t="str">
        <f>C297</f>
        <v>Agg. US Other</v>
      </c>
      <c r="D357" s="58"/>
      <c r="E357" s="58"/>
      <c r="F357" s="55"/>
      <c r="G357" s="58"/>
      <c r="H357" s="56"/>
      <c r="I357" s="55">
        <f>('US OTHER'!D$24/'US OTHER'!C$24)-1</f>
        <v>-8.362846194796103E-3</v>
      </c>
      <c r="J357" s="55">
        <f>('US OTHER'!E$24/'US OTHER'!D$24)-1</f>
        <v>1.5082432130266055E-2</v>
      </c>
      <c r="K357" s="55">
        <f>('US OTHER'!F$24/'US OTHER'!E$24)-1</f>
        <v>2.8417308821342191E-2</v>
      </c>
      <c r="L357" s="55">
        <f>('US OTHER'!G$24/'US OTHER'!F$24)-1</f>
        <v>4.6521591695744435E-2</v>
      </c>
      <c r="M357" s="55">
        <f>'US OTHER'!$H$24</f>
        <v>2.9926645487549974E-2</v>
      </c>
      <c r="N357" s="56"/>
      <c r="O357" s="55">
        <f>('US OTHER'!D$25/'US OTHER'!C$25)-1</f>
        <v>-0.10167527952199906</v>
      </c>
      <c r="P357" s="55">
        <f>('US OTHER'!E$25/'US OTHER'!D$25)-1</f>
        <v>0.11070321898720126</v>
      </c>
      <c r="Q357" s="55">
        <f>('US OTHER'!F$25/'US OTHER'!E$25)-1</f>
        <v>7.4893621909692731E-2</v>
      </c>
      <c r="R357" s="55">
        <f>('US OTHER'!G$25/'US OTHER'!F$25)-1</f>
        <v>0.1570615705630265</v>
      </c>
      <c r="S357" s="55">
        <f>'US OTHER'!$H$25</f>
        <v>0.11371310161076686</v>
      </c>
      <c r="T357" s="56"/>
      <c r="U357" s="51"/>
      <c r="V357" s="58" t="str">
        <f>V297</f>
        <v>Agg. US CATV</v>
      </c>
      <c r="Z357" s="49"/>
      <c r="AB357" s="63"/>
    </row>
    <row r="358" spans="1:69">
      <c r="A358" s="41"/>
      <c r="C358" s="48"/>
      <c r="D358" s="44"/>
      <c r="E358" s="44"/>
      <c r="F358" s="45"/>
      <c r="G358" s="44"/>
      <c r="H358" s="46"/>
      <c r="I358" s="45"/>
      <c r="J358" s="45"/>
      <c r="K358" s="45"/>
      <c r="L358" s="45"/>
      <c r="M358" s="45"/>
      <c r="N358" s="46"/>
      <c r="O358" s="45"/>
      <c r="P358" s="45"/>
      <c r="Q358" s="45"/>
      <c r="R358" s="45"/>
      <c r="S358" s="45"/>
      <c r="T358" s="46"/>
      <c r="U358" s="48"/>
      <c r="V358" s="44"/>
      <c r="Z358" s="49"/>
    </row>
    <row r="359" spans="1:69" s="5" customFormat="1">
      <c r="A359" s="146"/>
      <c r="B359" s="42"/>
      <c r="C359" s="48"/>
      <c r="D359" s="44"/>
      <c r="E359" s="44"/>
      <c r="F359" s="45"/>
      <c r="G359" s="44"/>
      <c r="H359" s="46"/>
      <c r="I359" s="45"/>
      <c r="J359" s="45"/>
      <c r="K359" s="45"/>
      <c r="L359" s="45"/>
      <c r="M359" s="45"/>
      <c r="N359" s="46"/>
      <c r="O359" s="45"/>
      <c r="P359" s="45"/>
      <c r="Q359" s="45"/>
      <c r="R359" s="45"/>
      <c r="S359" s="45"/>
      <c r="T359" s="46"/>
      <c r="U359" s="48"/>
      <c r="V359" s="44"/>
      <c r="Z359" s="49"/>
    </row>
    <row r="360" spans="1:69" s="5" customFormat="1">
      <c r="A360" s="146"/>
      <c r="B360" s="42"/>
      <c r="C360" s="51" t="str">
        <f>C300</f>
        <v>Agg. W Europe</v>
      </c>
      <c r="D360" s="52"/>
      <c r="E360" s="52"/>
      <c r="F360" s="53"/>
      <c r="G360" s="52"/>
      <c r="H360" s="46"/>
      <c r="I360" s="55">
        <f>('W.EUR AGG'!$D$24/'W.EUR AGG'!$C$24)-1</f>
        <v>-1.558322786026356E-2</v>
      </c>
      <c r="J360" s="55">
        <f>('W.EUR AGG'!$E$24/'W.EUR AGG'!$D$24)-1</f>
        <v>1.7938495329955728E-2</v>
      </c>
      <c r="K360" s="55">
        <f>('W.EUR AGG'!$F$24/'W.EUR AGG'!$E$24)-1</f>
        <v>4.0682273806193381E-2</v>
      </c>
      <c r="L360" s="55">
        <f>('W.EUR AGG'!$G$24/'W.EUR AGG'!$F$24)-1</f>
        <v>3.3580160432860051E-2</v>
      </c>
      <c r="M360" s="55">
        <f>'W.EUR AGG'!$H$24</f>
        <v>3.068974106741007E-2</v>
      </c>
      <c r="N360" s="56"/>
      <c r="O360" s="55">
        <f>('W.EUR AGG'!$D$25/'W.EUR AGG'!$C$25)-1</f>
        <v>0.14102211266218734</v>
      </c>
      <c r="P360" s="55">
        <f>('W.EUR AGG'!$E$25/'W.EUR AGG'!$D$25)-1</f>
        <v>8.1511047793681346E-2</v>
      </c>
      <c r="Q360" s="55">
        <f>('W.EUR AGG'!$F$25/'W.EUR AGG'!$E$25)-1</f>
        <v>8.5621854076996629E-2</v>
      </c>
      <c r="R360" s="55">
        <f>('W.EUR AGG'!$G$25/'W.EUR AGG'!$F$25)-1</f>
        <v>8.9224007032427277E-2</v>
      </c>
      <c r="S360" s="55">
        <f>'W.EUR AGG'!$H$25</f>
        <v>8.5447728413703405E-2</v>
      </c>
      <c r="T360" s="46"/>
      <c r="U360" s="57"/>
      <c r="V360" s="58" t="str">
        <f>V300</f>
        <v>Agg. W Europe</v>
      </c>
      <c r="Z360" s="49"/>
    </row>
    <row r="361" spans="1:69" s="5" customFormat="1">
      <c r="A361" s="146"/>
      <c r="B361" s="42"/>
      <c r="C361" s="41" t="s">
        <v>1608</v>
      </c>
      <c r="D361" s="44"/>
      <c r="E361" s="44"/>
      <c r="F361" s="45"/>
      <c r="G361" s="44"/>
      <c r="H361" s="46"/>
      <c r="I361" s="59">
        <f>('US AGG'!D$24/'US AGG'!C$24)-1</f>
        <v>2.3659431386814367E-2</v>
      </c>
      <c r="J361" s="59">
        <f>('US AGG'!E$24/'US AGG'!D$24)-1</f>
        <v>3.0452972346163065E-2</v>
      </c>
      <c r="K361" s="59">
        <f>('US AGG'!F$24/'US AGG'!E$24)-1</f>
        <v>2.8340169742980592E-2</v>
      </c>
      <c r="L361" s="59">
        <f>('US AGG'!G$24/'US AGG'!F$24)-1</f>
        <v>3.3383127595338902E-2</v>
      </c>
      <c r="M361" s="59">
        <f>'US AGG'!H$24</f>
        <v>3.0723349651247567E-2</v>
      </c>
      <c r="N361" s="56"/>
      <c r="O361" s="59">
        <f>('US AGG'!D$25/'US AGG'!C$25)-1</f>
        <v>9.8576293857448594E-2</v>
      </c>
      <c r="P361" s="59">
        <f>('US AGG'!E$25/'US AGG'!D$25)-1</f>
        <v>0.12007402304260339</v>
      </c>
      <c r="Q361" s="59">
        <f>('US AGG'!F$25/'US AGG'!E$25)-1</f>
        <v>5.7974522353812175E-2</v>
      </c>
      <c r="R361" s="59">
        <f>('US AGG'!G$25/'US AGG'!F$25)-1</f>
        <v>7.8290309806423597E-2</v>
      </c>
      <c r="S361" s="59">
        <f>'US AGG'!H$39</f>
        <v>8.5140265808479887E-2</v>
      </c>
      <c r="T361" s="46"/>
      <c r="U361" s="48"/>
      <c r="V361" s="50" t="str">
        <f>V301</f>
        <v>Agg. US</v>
      </c>
      <c r="Z361" s="49"/>
    </row>
    <row r="362" spans="1:69" s="5" customFormat="1">
      <c r="A362" s="146"/>
      <c r="B362" s="42"/>
      <c r="C362" s="67" t="str">
        <f>C302</f>
        <v xml:space="preserve">Agg. Developed Asia </v>
      </c>
      <c r="D362" s="52"/>
      <c r="E362" s="52"/>
      <c r="F362" s="53"/>
      <c r="G362" s="52"/>
      <c r="H362" s="46"/>
      <c r="I362" s="55">
        <f>('AGG DM ASIA'!$D$24/'AGG DM ASIA'!$C$24)-1</f>
        <v>5.5458968421745469E-2</v>
      </c>
      <c r="J362" s="55">
        <f>('AGG DM ASIA'!$E$24/'AGG DM ASIA'!$D$24)-1</f>
        <v>2.0132270703474342E-2</v>
      </c>
      <c r="K362" s="55">
        <f>('AGG DM ASIA'!$F$24/'AGG DM ASIA'!$E$24)-1</f>
        <v>8.8275455598461505E-2</v>
      </c>
      <c r="L362" s="55">
        <f>('AGG DM ASIA'!$G$24/'AGG DM ASIA'!$F$24)-1</f>
        <v>4.9526045277357822E-2</v>
      </c>
      <c r="M362" s="55">
        <f>'AGG DM ASIA'!$H$24</f>
        <v>5.227563289397108E-2</v>
      </c>
      <c r="N362" s="56"/>
      <c r="O362" s="55">
        <f>('AGG DM ASIA'!$D$25/'AGG DM ASIA'!$C$25)-1</f>
        <v>0.1541840181908134</v>
      </c>
      <c r="P362" s="55">
        <f>('AGG DM ASIA'!$E$25/'AGG DM ASIA'!$D$25)-1</f>
        <v>8.8951067425512731E-2</v>
      </c>
      <c r="Q362" s="55">
        <f>('AGG DM ASIA'!$F$25/'AGG DM ASIA'!$E$25)-1</f>
        <v>0.18409532809147189</v>
      </c>
      <c r="R362" s="55">
        <f>('AGG DM ASIA'!$G$25/'AGG DM ASIA'!$F$25)-1</f>
        <v>6.0928302813548108E-2</v>
      </c>
      <c r="S362" s="55">
        <f>'AGG DM ASIA'!$H$25</f>
        <v>0.11009553534713978</v>
      </c>
      <c r="T362" s="46"/>
      <c r="U362" s="57"/>
      <c r="V362" s="58" t="str">
        <f>V302</f>
        <v xml:space="preserve">Agg. Developed Asia </v>
      </c>
      <c r="Z362" s="49"/>
    </row>
    <row r="363" spans="1:69" s="5" customFormat="1">
      <c r="A363" s="146"/>
      <c r="B363" s="42"/>
      <c r="C363" s="41"/>
      <c r="D363" s="44"/>
      <c r="E363" s="44"/>
      <c r="F363" s="45"/>
      <c r="G363" s="44"/>
      <c r="H363" s="46"/>
      <c r="I363" s="59"/>
      <c r="J363" s="59"/>
      <c r="K363" s="59"/>
      <c r="L363" s="59"/>
      <c r="M363" s="59"/>
      <c r="N363" s="56"/>
      <c r="O363" s="59"/>
      <c r="P363" s="59"/>
      <c r="Q363" s="59"/>
      <c r="R363" s="59"/>
      <c r="S363" s="59"/>
      <c r="T363" s="46"/>
      <c r="U363" s="48"/>
      <c r="V363" s="50"/>
      <c r="Z363" s="49"/>
    </row>
    <row r="364" spans="1:69" s="5" customFormat="1">
      <c r="A364" s="146"/>
      <c r="B364" s="42"/>
      <c r="C364" s="67" t="str">
        <f>C304</f>
        <v>Agg. Global Developed</v>
      </c>
      <c r="D364" s="52"/>
      <c r="E364" s="52"/>
      <c r="F364" s="53"/>
      <c r="G364" s="52"/>
      <c r="H364" s="46"/>
      <c r="I364" s="55">
        <f>('AGG DM'!$D$24/'AGG DM'!$C$24)-1</f>
        <v>1.4898381978686537E-2</v>
      </c>
      <c r="J364" s="55">
        <f>('AGG DM'!$E$24/'AGG DM'!$D$24)-1</f>
        <v>2.4683159412550504E-2</v>
      </c>
      <c r="K364" s="55">
        <f>('AGG DM'!$F$24/'AGG DM'!$E$24)-1</f>
        <v>4.1659652541233605E-2</v>
      </c>
      <c r="L364" s="55">
        <f>('AGG DM'!$G$24/'AGG DM'!$F$24)-1</f>
        <v>3.6045833446627817E-2</v>
      </c>
      <c r="M364" s="55">
        <f>'AGG DM'!$H$24</f>
        <v>3.4105393529800354E-2</v>
      </c>
      <c r="N364" s="56"/>
      <c r="O364" s="55">
        <f>('AGG DM'!$D$25/'AGG DM'!$C$25)-1</f>
        <v>0.1187279538958379</v>
      </c>
      <c r="P364" s="55">
        <f>('AGG DM'!$E$25/'AGG DM'!$D$25)-1</f>
        <v>0.10413952521317205</v>
      </c>
      <c r="Q364" s="55">
        <f>('AGG DM'!$F$25/'AGG DM'!$E$25)-1</f>
        <v>8.4082654954688252E-2</v>
      </c>
      <c r="R364" s="55">
        <f>('AGG DM'!$G$25/'AGG DM'!$F$25)-1</f>
        <v>7.8741193024054246E-2</v>
      </c>
      <c r="S364" s="55">
        <f>'AGG DM'!$H$25</f>
        <v>8.8933115291126796E-2</v>
      </c>
      <c r="T364" s="46"/>
      <c r="U364" s="57"/>
      <c r="V364" s="58" t="str">
        <f>V304</f>
        <v xml:space="preserve">Agg. Global Developed </v>
      </c>
      <c r="Z364" s="49"/>
    </row>
    <row r="365" spans="1:69" s="5" customFormat="1">
      <c r="A365" s="146"/>
      <c r="B365" s="42"/>
      <c r="C365" s="43"/>
      <c r="D365" s="44"/>
      <c r="E365" s="44"/>
      <c r="F365" s="45"/>
      <c r="G365" s="44"/>
      <c r="H365" s="134"/>
      <c r="I365" s="45"/>
      <c r="J365" s="45"/>
      <c r="K365" s="45"/>
      <c r="L365" s="45"/>
      <c r="M365" s="45"/>
      <c r="N365" s="46"/>
      <c r="O365" s="45"/>
      <c r="P365" s="45"/>
      <c r="Q365" s="45"/>
      <c r="R365" s="45"/>
      <c r="S365" s="45"/>
      <c r="T365" s="46"/>
      <c r="U365" s="48"/>
      <c r="V365" s="50"/>
      <c r="Z365" s="49"/>
    </row>
    <row r="366" spans="1:69" s="5" customFormat="1">
      <c r="A366" s="146"/>
      <c r="B366" s="42"/>
      <c r="C366" s="43"/>
      <c r="D366" s="44"/>
      <c r="E366" s="44"/>
      <c r="F366" s="45"/>
      <c r="G366" s="44"/>
      <c r="H366" s="134"/>
      <c r="I366" s="45"/>
      <c r="J366" s="45"/>
      <c r="K366" s="45"/>
      <c r="L366" s="45"/>
      <c r="M366" s="45"/>
      <c r="N366" s="46"/>
      <c r="O366" s="45"/>
      <c r="P366" s="45"/>
      <c r="Q366" s="45"/>
      <c r="R366" s="45"/>
      <c r="S366" s="45"/>
      <c r="T366" s="46"/>
      <c r="U366" s="48"/>
      <c r="V366" s="50"/>
      <c r="Z366" s="49"/>
    </row>
    <row r="367" spans="1:69" s="41" customFormat="1">
      <c r="B367" s="147"/>
      <c r="C367" s="164"/>
      <c r="D367" s="165" t="s">
        <v>459</v>
      </c>
      <c r="E367" s="165" t="s">
        <v>56</v>
      </c>
      <c r="F367" s="165" t="s">
        <v>58</v>
      </c>
      <c r="G367" s="165" t="s">
        <v>55</v>
      </c>
      <c r="H367" s="49"/>
      <c r="I367" s="166" t="s">
        <v>463</v>
      </c>
      <c r="J367" s="166"/>
      <c r="K367" s="166"/>
      <c r="L367" s="166"/>
      <c r="M367" s="166"/>
      <c r="O367" s="166" t="s">
        <v>464</v>
      </c>
      <c r="P367" s="166"/>
      <c r="Q367" s="166"/>
      <c r="R367" s="166"/>
      <c r="S367" s="166"/>
      <c r="T367" s="49"/>
      <c r="U367" s="167" t="s">
        <v>459</v>
      </c>
      <c r="V367" s="165"/>
      <c r="Z367" s="49"/>
      <c r="AC367" s="135"/>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BC367" s="137"/>
      <c r="BD367" s="137"/>
      <c r="BE367" s="137"/>
      <c r="BG367" s="137"/>
      <c r="BH367" s="137"/>
      <c r="BI367" s="137"/>
      <c r="BK367" s="137"/>
      <c r="BL367" s="137"/>
      <c r="BM367" s="137"/>
      <c r="BO367" s="137"/>
      <c r="BP367" s="137"/>
      <c r="BQ367" s="137"/>
    </row>
    <row r="368" spans="1:69" s="5" customFormat="1">
      <c r="A368" s="41" t="s">
        <v>501</v>
      </c>
      <c r="B368" s="42"/>
      <c r="C368" s="48" t="s">
        <v>182</v>
      </c>
      <c r="D368" s="44" t="str">
        <f t="shared" ref="D368:G378" si="66">D308</f>
        <v>GBP1.44</v>
      </c>
      <c r="E368" s="44" t="str">
        <f t="shared" si="66"/>
        <v>GBP2.30</v>
      </c>
      <c r="F368" s="45">
        <f t="shared" si="66"/>
        <v>0.59777700590482818</v>
      </c>
      <c r="G368" s="44" t="str">
        <f t="shared" si="66"/>
        <v>Buy</v>
      </c>
      <c r="H368" s="46"/>
      <c r="I368" s="45">
        <f>BT!$D$24/BT!$D$23</f>
        <v>0.33690437451270389</v>
      </c>
      <c r="J368" s="45">
        <f>BT!$E$24/BT!$E$23</f>
        <v>0.3420259857690362</v>
      </c>
      <c r="K368" s="45">
        <f>BT!$F$24/BT!$F$23</f>
        <v>0.34575798064536772</v>
      </c>
      <c r="L368" s="45">
        <f>BT!$G$24/BT!$G$23</f>
        <v>0.35472043951224824</v>
      </c>
      <c r="M368" s="45">
        <f t="shared" ref="M368:M379" si="67">L368-I368</f>
        <v>1.7816064999544357E-2</v>
      </c>
      <c r="N368" s="46"/>
      <c r="O368" s="45">
        <f>BT!$D$25/BT!$D$23</f>
        <v>9.5437075373905875E-2</v>
      </c>
      <c r="P368" s="45">
        <f>BT!$E$25/BT!$E$23</f>
        <v>0.10221963370377948</v>
      </c>
      <c r="Q368" s="45">
        <f>BT!$F$25/BT!$F$23</f>
        <v>0.11071704965615492</v>
      </c>
      <c r="R368" s="45">
        <f>BT!$G$25/BT!$G$23</f>
        <v>0.13606860681620242</v>
      </c>
      <c r="S368" s="45">
        <f t="shared" ref="S368:S379" si="68">R368-O368</f>
        <v>4.0631531442296545E-2</v>
      </c>
      <c r="T368" s="46"/>
      <c r="U368" s="48" t="str">
        <f t="shared" ref="U368:V372" si="69">U308</f>
        <v>GBP1.44</v>
      </c>
      <c r="V368" s="69" t="str">
        <f t="shared" si="69"/>
        <v>British Telecom</v>
      </c>
      <c r="Z368" s="49"/>
    </row>
    <row r="369" spans="1:28" s="5" customFormat="1">
      <c r="A369" s="41"/>
      <c r="B369" s="42"/>
      <c r="C369" s="48" t="s">
        <v>183</v>
      </c>
      <c r="D369" s="44" t="str">
        <f t="shared" si="66"/>
        <v>EUR 26.13</v>
      </c>
      <c r="E369" s="44" t="str">
        <f t="shared" si="66"/>
        <v>EUR 33.00</v>
      </c>
      <c r="F369" s="45">
        <f t="shared" si="66"/>
        <v>0.26291618828932273</v>
      </c>
      <c r="G369" s="44" t="str">
        <f t="shared" si="66"/>
        <v>Buy</v>
      </c>
      <c r="H369" s="46"/>
      <c r="I369" s="45">
        <f>DT!$D$24/DT!$D$23</f>
        <v>0.34648226666787074</v>
      </c>
      <c r="J369" s="45">
        <f>DT!$E$24/DT!$E$23</f>
        <v>0.35664050225611804</v>
      </c>
      <c r="K369" s="45">
        <f>DT!$F$24/DT!$F$23</f>
        <v>0.36589241746840373</v>
      </c>
      <c r="L369" s="45">
        <f>DT!$G$24/DT!$G$23</f>
        <v>0.37443492933379502</v>
      </c>
      <c r="M369" s="45">
        <f t="shared" si="67"/>
        <v>2.7952662665924277E-2</v>
      </c>
      <c r="N369" s="46"/>
      <c r="O369" s="45">
        <f>DT!$D$25/DT!$D$23</f>
        <v>0.19352936852873973</v>
      </c>
      <c r="P369" s="45">
        <f>DT!$E$25/DT!$E$23</f>
        <v>0.21962618761846564</v>
      </c>
      <c r="Q369" s="45">
        <f>DT!$F$25/DT!$F$23</f>
        <v>0.23457529690789608</v>
      </c>
      <c r="R369" s="45">
        <f>DT!$G$25/DT!$G$23</f>
        <v>0.24588940175993104</v>
      </c>
      <c r="S369" s="45">
        <f t="shared" si="68"/>
        <v>5.2360033231191316E-2</v>
      </c>
      <c r="T369" s="46"/>
      <c r="U369" s="48" t="str">
        <f t="shared" si="69"/>
        <v>EUR 26.13</v>
      </c>
      <c r="V369" s="69" t="str">
        <f t="shared" si="69"/>
        <v>Deutsche Telekom</v>
      </c>
      <c r="Z369" s="49"/>
    </row>
    <row r="370" spans="1:28" s="5" customFormat="1">
      <c r="A370" s="41"/>
      <c r="B370" s="42"/>
      <c r="C370" s="48" t="s">
        <v>453</v>
      </c>
      <c r="D370" s="44" t="str">
        <f t="shared" si="66"/>
        <v>EUR 3.75</v>
      </c>
      <c r="E370" s="44" t="str">
        <f t="shared" si="66"/>
        <v>EUR 3.80</v>
      </c>
      <c r="F370" s="45">
        <f t="shared" si="66"/>
        <v>1.4415376401494928E-2</v>
      </c>
      <c r="G370" s="44" t="str">
        <f t="shared" si="66"/>
        <v>Neutral</v>
      </c>
      <c r="H370" s="46"/>
      <c r="I370" s="45">
        <f>KPN!$D$24/KPN!$D$23</f>
        <v>0.43330217610688904</v>
      </c>
      <c r="J370" s="45">
        <f>KPN!$E$24/KPN!$E$23</f>
        <v>0.43718962771896341</v>
      </c>
      <c r="K370" s="45">
        <f>KPN!$F$24/KPN!$F$23</f>
        <v>0.43817722564330941</v>
      </c>
      <c r="L370" s="45">
        <f>KPN!$G$24/KPN!$G$23</f>
        <v>0.43678061742233931</v>
      </c>
      <c r="M370" s="45">
        <f t="shared" si="67"/>
        <v>3.4784413154502758E-3</v>
      </c>
      <c r="N370" s="46"/>
      <c r="O370" s="45">
        <f>KPN!$D$25/KPN!$D$23</f>
        <v>0.20985025888334652</v>
      </c>
      <c r="P370" s="45">
        <f>KPN!$E$25/KPN!$E$23</f>
        <v>0.22005800632918637</v>
      </c>
      <c r="Q370" s="45">
        <f>KPN!$F$25/KPN!$F$23</f>
        <v>0.228499676775025</v>
      </c>
      <c r="R370" s="45">
        <f>KPN!$G$25/KPN!$G$23</f>
        <v>0.23086316538257282</v>
      </c>
      <c r="S370" s="45">
        <f t="shared" si="68"/>
        <v>2.1012906499226297E-2</v>
      </c>
      <c r="T370" s="46"/>
      <c r="U370" s="48" t="str">
        <f t="shared" si="69"/>
        <v>EUR 3.75</v>
      </c>
      <c r="V370" s="69" t="str">
        <f t="shared" si="69"/>
        <v>KPN</v>
      </c>
      <c r="Z370" s="49"/>
    </row>
    <row r="371" spans="1:28" s="5" customFormat="1">
      <c r="A371" s="41"/>
      <c r="B371" s="42"/>
      <c r="C371" s="48" t="s">
        <v>722</v>
      </c>
      <c r="D371" s="44" t="str">
        <f t="shared" si="66"/>
        <v>EUR 10.72</v>
      </c>
      <c r="E371" s="44" t="str">
        <f t="shared" si="66"/>
        <v>EUR 14.00</v>
      </c>
      <c r="F371" s="45">
        <f t="shared" si="66"/>
        <v>0.30597014925373123</v>
      </c>
      <c r="G371" s="44" t="str">
        <f t="shared" si="66"/>
        <v>Buy</v>
      </c>
      <c r="H371" s="46"/>
      <c r="I371" s="45">
        <f>ORA!$D$24/ORA!$D$23</f>
        <v>0.3251607786260039</v>
      </c>
      <c r="J371" s="45">
        <f>ORA!$E$24/ORA!$E$23</f>
        <v>0.29860895921331199</v>
      </c>
      <c r="K371" s="45">
        <f>ORA!$F$24/ORA!$F$23</f>
        <v>0.30134401970419278</v>
      </c>
      <c r="L371" s="45">
        <f>ORA!$G$24/ORA!$G$23</f>
        <v>0.30124004328545245</v>
      </c>
      <c r="M371" s="45">
        <f t="shared" si="67"/>
        <v>-2.3920735340551447E-2</v>
      </c>
      <c r="N371" s="46"/>
      <c r="O371" s="45">
        <f>ORA!$D$25/ORA!$D$23</f>
        <v>0.15513424490027758</v>
      </c>
      <c r="P371" s="45">
        <f>ORA!$E$25/ORA!$E$23</f>
        <v>0.14699436122440818</v>
      </c>
      <c r="Q371" s="45">
        <f>ORA!$F$25/ORA!$F$23</f>
        <v>0.15165007440409933</v>
      </c>
      <c r="R371" s="45">
        <f>ORA!$G$25/ORA!$G$23</f>
        <v>0.16186190505820977</v>
      </c>
      <c r="S371" s="45">
        <f t="shared" si="68"/>
        <v>6.7276601579321915E-3</v>
      </c>
      <c r="T371" s="46"/>
      <c r="U371" s="48" t="str">
        <f t="shared" si="69"/>
        <v>EUR 10.72</v>
      </c>
      <c r="V371" s="69" t="str">
        <f t="shared" si="69"/>
        <v>Orange</v>
      </c>
      <c r="Z371" s="49"/>
    </row>
    <row r="372" spans="1:28" s="5" customFormat="1">
      <c r="A372" s="41"/>
      <c r="B372" s="42"/>
      <c r="C372" s="48" t="s">
        <v>454</v>
      </c>
      <c r="D372" s="44" t="str">
        <f t="shared" si="66"/>
        <v>EUR 15.08</v>
      </c>
      <c r="E372" s="44" t="str">
        <f t="shared" si="66"/>
        <v>EUR 18.50</v>
      </c>
      <c r="F372" s="45">
        <f t="shared" si="66"/>
        <v>0.22679045092838201</v>
      </c>
      <c r="G372" s="44" t="str">
        <f t="shared" si="66"/>
        <v>Buy</v>
      </c>
      <c r="H372" s="46"/>
      <c r="I372" s="45">
        <f>OTE!$D$24/OTE!$D$23</f>
        <v>0.37046278841928221</v>
      </c>
      <c r="J372" s="45">
        <f>OTE!$E$24/OTE!$E$23</f>
        <v>0.37127227085860054</v>
      </c>
      <c r="K372" s="45">
        <f>OTE!$F$24/OTE!$F$23</f>
        <v>0.37649369907033459</v>
      </c>
      <c r="L372" s="45">
        <f>OTE!$G$24/OTE!$G$23</f>
        <v>0.37654561808090969</v>
      </c>
      <c r="M372" s="45">
        <f t="shared" si="67"/>
        <v>6.0828296616274868E-3</v>
      </c>
      <c r="N372" s="46"/>
      <c r="O372" s="45">
        <f>OTE!$D$25/OTE!$D$23</f>
        <v>0.19862876357854703</v>
      </c>
      <c r="P372" s="45">
        <f>OTE!$E$25/OTE!$E$23</f>
        <v>0.20258464927707384</v>
      </c>
      <c r="Q372" s="45">
        <f>OTE!$F$25/OTE!$F$23</f>
        <v>0.20829581143095405</v>
      </c>
      <c r="R372" s="45">
        <f>OTE!$G$25/OTE!$G$23</f>
        <v>0.21071363585796468</v>
      </c>
      <c r="S372" s="45">
        <f t="shared" si="68"/>
        <v>1.2084872279417652E-2</v>
      </c>
      <c r="T372" s="46"/>
      <c r="U372" s="48" t="str">
        <f t="shared" si="69"/>
        <v>EUR 15.08</v>
      </c>
      <c r="V372" s="69" t="str">
        <f t="shared" si="69"/>
        <v>OTE</v>
      </c>
      <c r="Z372" s="49"/>
    </row>
    <row r="373" spans="1:28" s="5" customFormat="1">
      <c r="A373" s="41"/>
      <c r="B373" s="42"/>
      <c r="C373" s="48" t="s">
        <v>809</v>
      </c>
      <c r="D373" s="44" t="str">
        <f t="shared" si="66"/>
        <v>EUR 6.8</v>
      </c>
      <c r="E373" s="44" t="str">
        <f t="shared" si="66"/>
        <v>EUR 9.5</v>
      </c>
      <c r="F373" s="45">
        <f t="shared" si="66"/>
        <v>0.39296187683284445</v>
      </c>
      <c r="G373" s="44" t="str">
        <f t="shared" si="66"/>
        <v>Neutral</v>
      </c>
      <c r="H373" s="46"/>
      <c r="I373" s="45">
        <f>PROX!$D$24/PROX!$D$23</f>
        <v>0.26293658777793077</v>
      </c>
      <c r="J373" s="45">
        <f>PROX!$E$24/PROX!$E$23</f>
        <v>0.26955677231967212</v>
      </c>
      <c r="K373" s="45">
        <f>PROX!$F$24/PROX!$F$23</f>
        <v>0.2738113372024451</v>
      </c>
      <c r="L373" s="45">
        <f>PROX!$G$24/PROX!$G$23</f>
        <v>0.27682992955363905</v>
      </c>
      <c r="M373" s="45">
        <f t="shared" si="67"/>
        <v>1.3893341775708279E-2</v>
      </c>
      <c r="N373" s="46"/>
      <c r="O373" s="45">
        <f>PROX!$D$25/PROX!$D$23</f>
        <v>6.4649178099070059E-2</v>
      </c>
      <c r="P373" s="45">
        <f>PROX!$E$25/PROX!$E$23</f>
        <v>8.9154755608342087E-2</v>
      </c>
      <c r="Q373" s="45">
        <f>PROX!$F$25/PROX!$F$23</f>
        <v>0.10267123878858578</v>
      </c>
      <c r="R373" s="45">
        <f>PROX!$G$25/PROX!$G$23</f>
        <v>0.11052949706068897</v>
      </c>
      <c r="S373" s="45">
        <f t="shared" si="68"/>
        <v>4.5880318961618913E-2</v>
      </c>
      <c r="T373" s="46"/>
      <c r="U373" s="48" t="str">
        <f t="shared" ref="U373:U378" si="70">U313</f>
        <v>EUR 6.8</v>
      </c>
      <c r="V373" s="69" t="s">
        <v>809</v>
      </c>
      <c r="Z373" s="49"/>
    </row>
    <row r="374" spans="1:28">
      <c r="C374" s="48" t="s">
        <v>458</v>
      </c>
      <c r="D374" s="44" t="str">
        <f t="shared" si="66"/>
        <v>CHF549</v>
      </c>
      <c r="E374" s="44" t="str">
        <f t="shared" si="66"/>
        <v>CHF600</v>
      </c>
      <c r="F374" s="45">
        <f t="shared" si="66"/>
        <v>9.2896174863388081E-2</v>
      </c>
      <c r="G374" s="44" t="str">
        <f t="shared" si="66"/>
        <v>Neutral</v>
      </c>
      <c r="H374" s="46"/>
      <c r="I374" s="45">
        <f>SWISS!$D$24/SWISS!$D$23</f>
        <v>0.38903823884190836</v>
      </c>
      <c r="J374" s="45">
        <f>SWISS!$E$24/SWISS!$E$23</f>
        <v>0.27636186949811048</v>
      </c>
      <c r="K374" s="45">
        <f>SWISS!$F$24/SWISS!$F$23</f>
        <v>0.32779676855235812</v>
      </c>
      <c r="L374" s="45">
        <f>SWISS!$G$24/SWISS!$G$23</f>
        <v>0.33947678548524085</v>
      </c>
      <c r="M374" s="45">
        <f t="shared" si="67"/>
        <v>-4.9561453356667506E-2</v>
      </c>
      <c r="N374" s="46"/>
      <c r="O374" s="45">
        <f>SWISS!$D$25/SWISS!$D$23</f>
        <v>0.18405533230727528</v>
      </c>
      <c r="P374" s="45">
        <f>SWISS!$E$25/SWISS!$E$23</f>
        <v>0.1291648619112177</v>
      </c>
      <c r="Q374" s="45">
        <f>SWISS!$F$25/SWISS!$F$23</f>
        <v>0.13752038717008888</v>
      </c>
      <c r="R374" s="45">
        <f>SWISS!$G$25/SWISS!$G$23</f>
        <v>0.15040666080413281</v>
      </c>
      <c r="S374" s="45">
        <f t="shared" si="68"/>
        <v>-3.3648671503142463E-2</v>
      </c>
      <c r="T374" s="46"/>
      <c r="U374" s="48" t="str">
        <f t="shared" si="70"/>
        <v>CHF549</v>
      </c>
      <c r="V374" s="69" t="str">
        <f t="shared" ref="V374:V379" si="71">V314</f>
        <v>Swisscom</v>
      </c>
    </row>
    <row r="375" spans="1:28" s="5" customFormat="1">
      <c r="A375" s="41"/>
      <c r="B375" s="42"/>
      <c r="C375" s="48" t="s">
        <v>265</v>
      </c>
      <c r="D375" s="44" t="str">
        <f t="shared" si="66"/>
        <v>EUR 0.24</v>
      </c>
      <c r="E375" s="44" t="str">
        <f t="shared" si="66"/>
        <v>EUR 0.34</v>
      </c>
      <c r="F375" s="45">
        <f t="shared" si="66"/>
        <v>0.44006776789495983</v>
      </c>
      <c r="G375" s="44" t="str">
        <f t="shared" si="66"/>
        <v>Buy</v>
      </c>
      <c r="H375" s="46"/>
      <c r="I375" s="45">
        <f>TI!$D$24/TI!$D$23</f>
        <v>0.33237636468710519</v>
      </c>
      <c r="J375" s="45">
        <f>TI!$E$24/TI!$E$23</f>
        <v>0.3417749503468645</v>
      </c>
      <c r="K375" s="45">
        <f>TI!$F$24/TI!$F$23</f>
        <v>0.35078468075659647</v>
      </c>
      <c r="L375" s="45">
        <f>TI!$G$24/TI!$G$23</f>
        <v>0.35893628074520095</v>
      </c>
      <c r="M375" s="45">
        <f t="shared" si="67"/>
        <v>2.6559916058095767E-2</v>
      </c>
      <c r="N375" s="46"/>
      <c r="O375" s="45">
        <f>TI!$D$25/TI!$D$23</f>
        <v>8.2843430263264156E-2</v>
      </c>
      <c r="P375" s="45">
        <f>TI!$E$25/TI!$E$23</f>
        <v>9.7922003021699094E-2</v>
      </c>
      <c r="Q375" s="45">
        <f>TI!$F$25/TI!$F$23</f>
        <v>0.11235604004842871</v>
      </c>
      <c r="R375" s="45">
        <f>TI!$G$25/TI!$G$23</f>
        <v>0.14066502300981804</v>
      </c>
      <c r="S375" s="45">
        <f t="shared" si="68"/>
        <v>5.7821592746553879E-2</v>
      </c>
      <c r="T375" s="46"/>
      <c r="U375" s="48" t="str">
        <f t="shared" si="70"/>
        <v>EUR 0.24</v>
      </c>
      <c r="V375" s="69" t="str">
        <f t="shared" si="71"/>
        <v>Telecom Italia</v>
      </c>
      <c r="Z375" s="49"/>
    </row>
    <row r="376" spans="1:28" s="5" customFormat="1">
      <c r="A376" s="41"/>
      <c r="B376" s="42"/>
      <c r="C376" s="48" t="s">
        <v>456</v>
      </c>
      <c r="D376" s="44" t="str">
        <f t="shared" si="66"/>
        <v>EUR 4.21</v>
      </c>
      <c r="E376" s="44" t="str">
        <f t="shared" si="66"/>
        <v>EUR 4.30</v>
      </c>
      <c r="F376" s="45">
        <f t="shared" si="66"/>
        <v>2.065036790885344E-2</v>
      </c>
      <c r="G376" s="44" t="str">
        <f t="shared" si="66"/>
        <v>Neutral</v>
      </c>
      <c r="H376" s="46"/>
      <c r="I376" s="45">
        <f>TEF!$D$24/TEF!$D$23</f>
        <v>0.259855284977768</v>
      </c>
      <c r="J376" s="45">
        <f>TEF!$E$24/TEF!$E$23</f>
        <v>0.25775705666888055</v>
      </c>
      <c r="K376" s="45">
        <f>TEF!$F$24/TEF!$F$23</f>
        <v>0.25648690114423894</v>
      </c>
      <c r="L376" s="45">
        <f>TEF!$G$24/TEF!$G$23</f>
        <v>0.25738173050146884</v>
      </c>
      <c r="M376" s="45">
        <f t="shared" si="67"/>
        <v>-2.4735544762991557E-3</v>
      </c>
      <c r="N376" s="46"/>
      <c r="O376" s="45">
        <f>TEF!$D$25/TEF!$D$23</f>
        <v>0.12663596089493576</v>
      </c>
      <c r="P376" s="45">
        <f>TEF!$E$25/TEF!$E$23</f>
        <v>0.12623433308124499</v>
      </c>
      <c r="Q376" s="45">
        <f>TEF!$F$25/TEF!$F$23</f>
        <v>0.13251426588594412</v>
      </c>
      <c r="R376" s="45">
        <f>TEF!$G$25/TEF!$G$23</f>
        <v>0.13919370990563129</v>
      </c>
      <c r="S376" s="45">
        <f t="shared" si="68"/>
        <v>1.2557749010695535E-2</v>
      </c>
      <c r="T376" s="46"/>
      <c r="U376" s="48" t="str">
        <f t="shared" si="70"/>
        <v>EUR 4.21</v>
      </c>
      <c r="V376" s="69" t="str">
        <f t="shared" si="71"/>
        <v>Telefonica</v>
      </c>
      <c r="Z376" s="49"/>
    </row>
    <row r="377" spans="1:28" s="5" customFormat="1">
      <c r="A377" s="41"/>
      <c r="B377" s="42"/>
      <c r="C377" s="48" t="s">
        <v>457</v>
      </c>
      <c r="D377" s="44" t="str">
        <f t="shared" si="66"/>
        <v>NOK 135</v>
      </c>
      <c r="E377" s="44" t="str">
        <f t="shared" si="66"/>
        <v>NOK 138</v>
      </c>
      <c r="F377" s="45">
        <f t="shared" si="66"/>
        <v>2.3738872403560762E-2</v>
      </c>
      <c r="G377" s="44" t="str">
        <f t="shared" si="66"/>
        <v>Buy</v>
      </c>
      <c r="H377" s="46"/>
      <c r="I377" s="45">
        <f>TNOR!$D$24/TNOR!$D$23</f>
        <v>0.42871869050916139</v>
      </c>
      <c r="J377" s="45">
        <f>TNOR!$E$24/TNOR!$E$23</f>
        <v>0.45789570124995621</v>
      </c>
      <c r="K377" s="45">
        <f>TNOR!$F$24/TNOR!$F$23</f>
        <v>0.4377583063565687</v>
      </c>
      <c r="L377" s="45">
        <f>TNOR!$G$24/TNOR!$G$23</f>
        <v>0.44018173163610158</v>
      </c>
      <c r="M377" s="45">
        <f t="shared" si="67"/>
        <v>1.1463041126940188E-2</v>
      </c>
      <c r="N377" s="46"/>
      <c r="O377" s="45">
        <f>TNOR!$D$25/TNOR!$D$23</f>
        <v>0.2698516112645642</v>
      </c>
      <c r="P377" s="45">
        <f>TNOR!$E$25/TNOR!$E$23</f>
        <v>0.30823597599311608</v>
      </c>
      <c r="Q377" s="45">
        <f>TNOR!$F$25/TNOR!$F$23</f>
        <v>0.29670395382999659</v>
      </c>
      <c r="R377" s="45">
        <f>TNOR!$G$25/TNOR!$G$23</f>
        <v>0.30090590805145212</v>
      </c>
      <c r="S377" s="45">
        <f t="shared" si="68"/>
        <v>3.1054296786887925E-2</v>
      </c>
      <c r="T377" s="46"/>
      <c r="U377" s="48" t="str">
        <f t="shared" si="70"/>
        <v>NOK 135</v>
      </c>
      <c r="V377" s="44" t="str">
        <f t="shared" si="71"/>
        <v>Telenor</v>
      </c>
      <c r="Z377" s="49"/>
    </row>
    <row r="378" spans="1:28" s="5" customFormat="1">
      <c r="A378" s="41"/>
      <c r="B378" s="42"/>
      <c r="C378" s="48" t="s">
        <v>1030</v>
      </c>
      <c r="D378" s="44" t="str">
        <f t="shared" si="66"/>
        <v>SEK33.4</v>
      </c>
      <c r="E378" s="44" t="str">
        <f t="shared" si="66"/>
        <v>SEK33.0</v>
      </c>
      <c r="F378" s="45">
        <f t="shared" si="66"/>
        <v>-1.2567324955116699E-2</v>
      </c>
      <c r="G378" s="44" t="str">
        <f t="shared" si="66"/>
        <v>Buy</v>
      </c>
      <c r="H378" s="46"/>
      <c r="I378" s="45">
        <f>TELIA!$D$24/TELIA!$D$23</f>
        <v>0.30698379184483554</v>
      </c>
      <c r="J378" s="45">
        <f>TELIA!$E$24/TELIA!$E$23</f>
        <v>0.31358470039523761</v>
      </c>
      <c r="K378" s="45">
        <f>TELIA!$F$24/TELIA!$F$23</f>
        <v>0.32212216853148473</v>
      </c>
      <c r="L378" s="45">
        <f>TELIA!$G$24/TELIA!$G$23</f>
        <v>0.32085274862070751</v>
      </c>
      <c r="M378" s="45">
        <f t="shared" si="67"/>
        <v>1.3868956775871966E-2</v>
      </c>
      <c r="N378" s="46"/>
      <c r="O378" s="45">
        <f>TELIA!$D$25/TELIA!$D$23</f>
        <v>0.15409962116075387</v>
      </c>
      <c r="P378" s="45">
        <f>TELIA!$E$25/TELIA!$E$23</f>
        <v>0.15794017901152124</v>
      </c>
      <c r="Q378" s="45">
        <f>TELIA!$F$25/TELIA!$F$23</f>
        <v>0.1733313342586365</v>
      </c>
      <c r="R378" s="45">
        <f>TELIA!$G$25/TELIA!$G$23</f>
        <v>0.17308427853055081</v>
      </c>
      <c r="S378" s="45">
        <f t="shared" si="68"/>
        <v>1.8984657369796931E-2</v>
      </c>
      <c r="T378" s="46"/>
      <c r="U378" s="48" t="str">
        <f t="shared" si="70"/>
        <v>SEK33.4</v>
      </c>
      <c r="V378" s="44" t="str">
        <f t="shared" si="71"/>
        <v>TeliaSonera</v>
      </c>
      <c r="Z378" s="49"/>
    </row>
    <row r="379" spans="1:28" s="5" customFormat="1">
      <c r="A379" s="41"/>
      <c r="B379" s="42"/>
      <c r="C379" s="51" t="str">
        <f>C319</f>
        <v>Agg. W.Europe Incumbent</v>
      </c>
      <c r="D379" s="52"/>
      <c r="E379" s="52"/>
      <c r="F379" s="53"/>
      <c r="G379" s="52"/>
      <c r="H379" s="46"/>
      <c r="I379" s="55">
        <f>'W.EUR INCUMB'!$D$24/'W.EUR INCUMB'!$D$23</f>
        <v>0.33200830541298215</v>
      </c>
      <c r="J379" s="55">
        <f>'W.EUR INCUMB'!$E$24/'W.EUR INCUMB'!$E$23</f>
        <v>0.3288471593255749</v>
      </c>
      <c r="K379" s="55">
        <f>'W.EUR INCUMB'!$F$24/'W.EUR INCUMB'!$F$23</f>
        <v>0.33694702334156312</v>
      </c>
      <c r="L379" s="55">
        <f>'W.EUR INCUMB'!$G$24/'W.EUR INCUMB'!$G$23</f>
        <v>0.34284110256104633</v>
      </c>
      <c r="M379" s="55">
        <f t="shared" si="67"/>
        <v>1.0832797148064177E-2</v>
      </c>
      <c r="N379" s="56"/>
      <c r="O379" s="55">
        <f>'W.EUR INCUMB'!$D$25/'W.EUR INCUMB'!$D$23</f>
        <v>0.16102633073515163</v>
      </c>
      <c r="P379" s="55">
        <f>'W.EUR INCUMB'!$E$25/'W.EUR INCUMB'!$E$23</f>
        <v>0.17140203595475997</v>
      </c>
      <c r="Q379" s="55">
        <f>'W.EUR INCUMB'!$F$25/'W.EUR INCUMB'!$F$23</f>
        <v>0.18242176499829052</v>
      </c>
      <c r="R379" s="55">
        <f>'W.EUR INCUMB'!$G$25/'W.EUR INCUMB'!$G$23</f>
        <v>0.19475157405695681</v>
      </c>
      <c r="S379" s="55">
        <f t="shared" si="68"/>
        <v>3.3725243321805182E-2</v>
      </c>
      <c r="T379" s="46"/>
      <c r="U379" s="57"/>
      <c r="V379" s="58" t="str">
        <f t="shared" si="71"/>
        <v>Agg. W.Europe Incumbent</v>
      </c>
      <c r="Z379" s="49"/>
    </row>
    <row r="380" spans="1:28" s="5" customFormat="1">
      <c r="A380" s="41"/>
      <c r="B380" s="42"/>
      <c r="C380" s="48"/>
      <c r="D380" s="44"/>
      <c r="E380" s="44"/>
      <c r="F380" s="45"/>
      <c r="G380" s="44"/>
      <c r="H380" s="46"/>
      <c r="I380" s="45"/>
      <c r="J380" s="45"/>
      <c r="K380" s="45"/>
      <c r="L380" s="45"/>
      <c r="M380" s="45"/>
      <c r="N380" s="46"/>
      <c r="O380" s="45"/>
      <c r="P380" s="45"/>
      <c r="Q380" s="45"/>
      <c r="R380" s="45"/>
      <c r="S380" s="45"/>
      <c r="T380" s="46"/>
      <c r="U380" s="48"/>
      <c r="V380" s="44"/>
      <c r="Z380" s="49"/>
    </row>
    <row r="381" spans="1:28" s="5" customFormat="1">
      <c r="A381" s="41"/>
      <c r="B381" s="42" t="s">
        <v>514</v>
      </c>
      <c r="C381" s="48" t="s">
        <v>486</v>
      </c>
      <c r="D381" s="44" t="str">
        <f>B381&amp;TEXT(Prices!$C$40,"0.0")</f>
        <v>US$20.7</v>
      </c>
      <c r="E381" s="44" t="str">
        <f>B381&amp;TEXT(Prices!$E$40,"0.00")</f>
        <v>US$21.00</v>
      </c>
      <c r="F381" s="45">
        <f>Prices!$F$40</f>
        <v>1.6949152542373058E-2</v>
      </c>
      <c r="G381" s="44" t="str">
        <f>Prices!$D$40</f>
        <v>Neutral</v>
      </c>
      <c r="H381" s="46"/>
      <c r="I381" s="45">
        <f>(ATT!D$24/ATT!D$23)</f>
        <v>0.35449406998399058</v>
      </c>
      <c r="J381" s="45">
        <f>(ATT!E$24/ATT!E$23)</f>
        <v>0.36457011710885262</v>
      </c>
      <c r="K381" s="45">
        <f>(ATT!F$24/ATT!F$23)</f>
        <v>0.36728408028283366</v>
      </c>
      <c r="L381" s="45">
        <f>(ATT!G$24/ATT!G$23)</f>
        <v>0.36743542302376736</v>
      </c>
      <c r="M381" s="45">
        <f>L381-I381</f>
        <v>1.2941353039776782E-2</v>
      </c>
      <c r="N381" s="46"/>
      <c r="O381" s="45">
        <f>ATT!$D$25/ATT!$D$23</f>
        <v>0.16176854967817819</v>
      </c>
      <c r="P381" s="45">
        <f>ATT!$E$25/ATT!$E$23</f>
        <v>0.18913733792712975</v>
      </c>
      <c r="Q381" s="45">
        <f>ATT!$F$25/ATT!$F$23</f>
        <v>0.19748876053530701</v>
      </c>
      <c r="R381" s="45">
        <f>ATT!$G$25/ATT!$G$23</f>
        <v>0.19957399858436348</v>
      </c>
      <c r="S381" s="45">
        <f>ATT!$H$25</f>
        <v>8.0270461008097538E-2</v>
      </c>
      <c r="T381" s="46"/>
      <c r="U381" s="48" t="str">
        <f>D381</f>
        <v>US$20.7</v>
      </c>
      <c r="V381" s="44" t="str">
        <f>C381</f>
        <v xml:space="preserve">AT&amp;T </v>
      </c>
      <c r="Z381" s="49"/>
    </row>
    <row r="382" spans="1:28" s="5" customFormat="1">
      <c r="A382" s="146"/>
      <c r="B382" s="42" t="s">
        <v>514</v>
      </c>
      <c r="C382" s="48" t="s">
        <v>687</v>
      </c>
      <c r="D382" s="44" t="str">
        <f>B382&amp;TEXT(Prices!$C$41,"0.0")</f>
        <v>US$197.2</v>
      </c>
      <c r="E382" s="44" t="str">
        <f>B382&amp;TEXT(Prices!$E$41,"0.0")</f>
        <v>US$205.0</v>
      </c>
      <c r="F382" s="45">
        <f>Prices!$F$41</f>
        <v>3.9659194644487306E-2</v>
      </c>
      <c r="G382" s="44" t="str">
        <f>Prices!$D$41</f>
        <v>Buy</v>
      </c>
      <c r="H382" s="46"/>
      <c r="I382" s="45">
        <f>(TMUS!D$24/TMUS!D$23)</f>
        <v>0.37031238066142214</v>
      </c>
      <c r="J382" s="45">
        <f>(TMUS!E$24/TMUS!E$23)</f>
        <v>0.38686190781529578</v>
      </c>
      <c r="K382" s="45">
        <f>(TMUS!F$24/TMUS!F$23)</f>
        <v>0.39774894647962022</v>
      </c>
      <c r="L382" s="45">
        <f>(TMUS!G$24/TMUS!G$23)</f>
        <v>0.40805984431217251</v>
      </c>
      <c r="M382" s="45">
        <f>L382-I382</f>
        <v>3.7747463650750379E-2</v>
      </c>
      <c r="N382" s="46"/>
      <c r="O382" s="45">
        <f>TMUS!$D$25/TMUS!$D$23</f>
        <v>0.24555105781715419</v>
      </c>
      <c r="P382" s="45">
        <f>TMUS!$E$25/TMUS!$E$23</f>
        <v>0.27602489085813647</v>
      </c>
      <c r="Q382" s="45">
        <f>TMUS!$F$25/TMUS!$F$23</f>
        <v>0.29088557370513124</v>
      </c>
      <c r="R382" s="45">
        <f>TMUS!$G$25/TMUS!$G$23</f>
        <v>0.30498920715057942</v>
      </c>
      <c r="S382" s="45">
        <f>TMUS!$H$25</f>
        <v>0.11995553100529999</v>
      </c>
      <c r="T382" s="46"/>
      <c r="U382" s="48" t="str">
        <f>D382</f>
        <v>US$197.2</v>
      </c>
      <c r="V382" s="44" t="str">
        <f>C382</f>
        <v>TMUS</v>
      </c>
      <c r="Z382" s="49"/>
    </row>
    <row r="383" spans="1:28">
      <c r="A383" s="41"/>
      <c r="B383" s="42" t="s">
        <v>514</v>
      </c>
      <c r="C383" s="48" t="s">
        <v>33</v>
      </c>
      <c r="D383" s="44" t="str">
        <f>B383&amp;TEXT(Prices!$C$39,"0.0")</f>
        <v>US$41.3</v>
      </c>
      <c r="E383" s="44" t="str">
        <f>B383&amp;TEXT(Prices!$E$39,"0.00")</f>
        <v>US$45.00</v>
      </c>
      <c r="F383" s="45">
        <f>Prices!$F$39</f>
        <v>8.9324618736383421E-2</v>
      </c>
      <c r="G383" s="44" t="str">
        <f>Prices!$D$39</f>
        <v>Neutral</v>
      </c>
      <c r="H383" s="46"/>
      <c r="I383" s="45">
        <f>(VZN!D$24/VZN!D$23)</f>
        <v>0.35670353949273742</v>
      </c>
      <c r="J383" s="45">
        <f>(VZN!E$24/VZN!E$23)</f>
        <v>0.35940550549420908</v>
      </c>
      <c r="K383" s="45">
        <f>(VZN!F$24/VZN!F$23)</f>
        <v>0.35699533688204155</v>
      </c>
      <c r="L383" s="45">
        <f>(VZN!G$24/VZN!G$23)</f>
        <v>0.35463756696538279</v>
      </c>
      <c r="M383" s="45">
        <f>L383-I383</f>
        <v>-2.0659725273546314E-3</v>
      </c>
      <c r="N383" s="46"/>
      <c r="O383" s="45">
        <f>VZN!$D$25/VZN!$D$23</f>
        <v>0.21662412109812351</v>
      </c>
      <c r="P383" s="45">
        <f>VZN!$E$25/VZN!$E$23</f>
        <v>0.23244256959583173</v>
      </c>
      <c r="Q383" s="45">
        <f>VZN!$F$25/VZN!$F$23</f>
        <v>0.23203740295561093</v>
      </c>
      <c r="R383" s="45">
        <f>VZN!$G$25/VZN!$G$23</f>
        <v>0.23145953955062973</v>
      </c>
      <c r="S383" s="45">
        <f>VZN!$H$25</f>
        <v>3.7531283809789429E-2</v>
      </c>
      <c r="T383" s="46"/>
      <c r="U383" s="48" t="str">
        <f>D383</f>
        <v>US$41.3</v>
      </c>
      <c r="V383" s="44" t="str">
        <f>C383</f>
        <v>Verizon</v>
      </c>
      <c r="Z383" s="49"/>
      <c r="AB383" s="5"/>
    </row>
    <row r="384" spans="1:28">
      <c r="A384" s="41"/>
      <c r="C384" s="51" t="s">
        <v>257</v>
      </c>
      <c r="D384" s="52"/>
      <c r="E384" s="52"/>
      <c r="F384" s="53"/>
      <c r="G384" s="52"/>
      <c r="H384" s="46"/>
      <c r="I384" s="55">
        <f>'US TELCO'!D$24/'US TELCO'!D$23</f>
        <v>0.35908765225698591</v>
      </c>
      <c r="J384" s="55">
        <f>'US TELCO'!E$24/'US TELCO'!E$23</f>
        <v>0.36786393352726804</v>
      </c>
      <c r="K384" s="55">
        <f>'US TELCO'!F$24/'US TELCO'!F$23</f>
        <v>0.37068868740620348</v>
      </c>
      <c r="L384" s="55">
        <f>'US TELCO'!G$24/'US TELCO'!G$23</f>
        <v>0.37256883555439918</v>
      </c>
      <c r="M384" s="55">
        <f>L384-I384</f>
        <v>1.3481183297413268E-2</v>
      </c>
      <c r="N384" s="46"/>
      <c r="O384" s="55">
        <f>'US TELCO'!$D$25/'US TELCO'!D$23</f>
        <v>0.20335860998328159</v>
      </c>
      <c r="P384" s="55">
        <f>'US TELCO'!$D$25/'US TELCO'!E$23</f>
        <v>0.20024649671934716</v>
      </c>
      <c r="Q384" s="55">
        <f>'US TELCO'!$D$25/'US TELCO'!F$23</f>
        <v>0.19622266216162354</v>
      </c>
      <c r="R384" s="55">
        <f>'US TELCO'!$D$25/'US TELCO'!G$23</f>
        <v>0.19242476304296241</v>
      </c>
      <c r="S384" s="55">
        <f>'US TELCO'!$H$39</f>
        <v>7.4396303115465079E-2</v>
      </c>
      <c r="T384" s="46"/>
      <c r="U384" s="57"/>
      <c r="V384" s="58" t="str">
        <f>C384</f>
        <v>Agg. US Telecoms</v>
      </c>
      <c r="Z384" s="49"/>
    </row>
    <row r="385" spans="1:113">
      <c r="A385" s="41"/>
      <c r="C385" s="48"/>
      <c r="D385" s="44"/>
      <c r="E385" s="44"/>
      <c r="F385" s="45"/>
      <c r="G385" s="44"/>
      <c r="H385" s="46"/>
      <c r="I385" s="45"/>
      <c r="J385" s="45"/>
      <c r="K385" s="45"/>
      <c r="L385" s="45"/>
      <c r="M385" s="45"/>
      <c r="N385" s="46"/>
      <c r="O385" s="45"/>
      <c r="P385" s="45"/>
      <c r="Q385" s="45"/>
      <c r="R385" s="45"/>
      <c r="S385" s="45"/>
      <c r="T385" s="46"/>
      <c r="U385" s="48"/>
      <c r="V385" s="44"/>
      <c r="Z385" s="49"/>
    </row>
    <row r="386" spans="1:113">
      <c r="A386" s="41"/>
      <c r="C386" s="48" t="str">
        <f t="shared" ref="C386:G389" si="72">C326</f>
        <v>NTT</v>
      </c>
      <c r="D386" s="44" t="str">
        <f t="shared" si="72"/>
        <v>JPY 156</v>
      </c>
      <c r="E386" s="44" t="str">
        <f t="shared" si="72"/>
        <v>JPY 240</v>
      </c>
      <c r="F386" s="45">
        <f t="shared" si="72"/>
        <v>0.54340836012861726</v>
      </c>
      <c r="G386" s="44" t="str">
        <f t="shared" si="72"/>
        <v>Buy</v>
      </c>
      <c r="H386" s="46"/>
      <c r="I386" s="45">
        <f>NTT!$D$24/NTT!$D$23</f>
        <v>0.25557399847472068</v>
      </c>
      <c r="J386" s="45">
        <f>NTT!$E$24/NTT!$E$23</f>
        <v>0.24671445493152006</v>
      </c>
      <c r="K386" s="45">
        <f>NTT!$F$24/NTT!$F$23</f>
        <v>0.27197233812147248</v>
      </c>
      <c r="L386" s="45">
        <f>NTT!$G$24/NTT!$G$23</f>
        <v>0.27395736149193811</v>
      </c>
      <c r="M386" s="45">
        <f t="shared" ref="M386:M390" si="73">L386-I386</f>
        <v>1.8383363017217436E-2</v>
      </c>
      <c r="N386" s="46"/>
      <c r="O386" s="45">
        <f>NTT!$D$25/NTT!$D$23</f>
        <v>0.10448835853034856</v>
      </c>
      <c r="P386" s="45">
        <f>NTT!$E$25/NTT!$E$23</f>
        <v>9.9665265344343321E-2</v>
      </c>
      <c r="Q386" s="45">
        <f>NTT!$F$25/NTT!$F$23</f>
        <v>0.12895707500363598</v>
      </c>
      <c r="R386" s="45">
        <f>NTT!$G$25/NTT!$G$23</f>
        <v>0.13383062070103996</v>
      </c>
      <c r="S386" s="45">
        <f t="shared" ref="S386:S390" si="74">R386-O386</f>
        <v>2.9342262170691399E-2</v>
      </c>
      <c r="T386" s="46"/>
      <c r="U386" s="48" t="str">
        <f t="shared" ref="U386:V389" si="75">U326</f>
        <v>JPY 156</v>
      </c>
      <c r="V386" s="44" t="str">
        <f t="shared" si="75"/>
        <v>NTT</v>
      </c>
      <c r="Z386" s="4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row>
    <row r="387" spans="1:113">
      <c r="A387" s="41"/>
      <c r="C387" s="48" t="str">
        <f t="shared" si="72"/>
        <v>Spark NZ</v>
      </c>
      <c r="D387" s="44" t="str">
        <f t="shared" si="72"/>
        <v>NZD 3.52</v>
      </c>
      <c r="E387" s="44" t="str">
        <f t="shared" si="72"/>
        <v>NZD 5.00</v>
      </c>
      <c r="F387" s="45">
        <f t="shared" si="72"/>
        <v>0.42045454545454541</v>
      </c>
      <c r="G387" s="44" t="str">
        <f t="shared" si="72"/>
        <v>Neutral</v>
      </c>
      <c r="H387" s="46"/>
      <c r="I387" s="45">
        <f>SPK!$D$24/SPK!$D$23</f>
        <v>0.31078144148248804</v>
      </c>
      <c r="J387" s="45">
        <f>SPK!$E$24/SPK!$E$23</f>
        <v>0.30766788923449701</v>
      </c>
      <c r="K387" s="45">
        <f>SPK!$F$24/SPK!$F$23</f>
        <v>0.30151609336849899</v>
      </c>
      <c r="L387" s="45">
        <f>SPK!$G$24/SPK!$G$23</f>
        <v>0.30485466536289313</v>
      </c>
      <c r="M387" s="45">
        <f t="shared" si="73"/>
        <v>-5.926776119594912E-3</v>
      </c>
      <c r="N387" s="46"/>
      <c r="O387" s="45">
        <f>SPK!$D$25/SPK!$D$23</f>
        <v>0.1952679586553521</v>
      </c>
      <c r="P387" s="45">
        <f>SPK!$E$25/SPK!$E$23</f>
        <v>0.19215440640736106</v>
      </c>
      <c r="Q387" s="45">
        <f>SPK!$F$25/SPK!$F$23</f>
        <v>0.18600261054136302</v>
      </c>
      <c r="R387" s="45">
        <f>SPK!$G$25/SPK!$G$23</f>
        <v>0.18934118253575719</v>
      </c>
      <c r="S387" s="45">
        <f t="shared" si="74"/>
        <v>-5.926776119594912E-3</v>
      </c>
      <c r="T387" s="46"/>
      <c r="U387" s="48" t="str">
        <f t="shared" si="75"/>
        <v>NZD 3.52</v>
      </c>
      <c r="V387" s="44" t="str">
        <f t="shared" si="75"/>
        <v>Spark NZ</v>
      </c>
      <c r="W387" s="59"/>
      <c r="X387" s="59"/>
      <c r="Y387" s="59"/>
      <c r="Z387" s="4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row>
    <row r="388" spans="1:113">
      <c r="A388" s="41"/>
      <c r="C388" s="48" t="str">
        <f t="shared" si="72"/>
        <v>SingTel</v>
      </c>
      <c r="D388" s="44" t="str">
        <f t="shared" si="72"/>
        <v>SGD 3.13</v>
      </c>
      <c r="E388" s="44" t="str">
        <f t="shared" si="72"/>
        <v>SGD 4.60</v>
      </c>
      <c r="F388" s="45">
        <f t="shared" si="72"/>
        <v>0.46964856230031948</v>
      </c>
      <c r="G388" s="44" t="str">
        <f t="shared" si="72"/>
        <v>Buy</v>
      </c>
      <c r="H388" s="46"/>
      <c r="I388" s="45">
        <f>SINGTEL!$D$24/SINGTEL!$D$23</f>
        <v>0.25460079275198189</v>
      </c>
      <c r="J388" s="45">
        <f>SINGTEL!$E$24/SINGTEL!$E$23</f>
        <v>0.26333132549893057</v>
      </c>
      <c r="K388" s="45">
        <f>SINGTEL!$F$24/SINGTEL!$F$23</f>
        <v>0.26944379144692576</v>
      </c>
      <c r="L388" s="45">
        <f>SINGTEL!$G$24/SINGTEL!$G$23</f>
        <v>0.27241555362951864</v>
      </c>
      <c r="M388" s="45">
        <f t="shared" si="73"/>
        <v>1.7814760877536751E-2</v>
      </c>
      <c r="N388" s="46"/>
      <c r="O388" s="45">
        <f>SINGTEL!$D$25/SINGTEL!$D$23</f>
        <v>0.10242072480181201</v>
      </c>
      <c r="P388" s="45">
        <f>SINGTEL!$E$25/SINGTEL!$E$23</f>
        <v>5.1699288305212032E-2</v>
      </c>
      <c r="Q388" s="45">
        <f>SINGTEL!$F$25/SINGTEL!$F$23</f>
        <v>0.12715677558479693</v>
      </c>
      <c r="R388" s="45">
        <f>SINGTEL!$G$25/SINGTEL!$G$23</f>
        <v>0.13070033345295559</v>
      </c>
      <c r="S388" s="45">
        <f t="shared" si="74"/>
        <v>2.8279608651143581E-2</v>
      </c>
      <c r="T388" s="46"/>
      <c r="U388" s="48" t="str">
        <f t="shared" si="75"/>
        <v>SGD 3.13</v>
      </c>
      <c r="V388" s="44" t="str">
        <f t="shared" si="75"/>
        <v>SingTel</v>
      </c>
      <c r="W388" s="59"/>
      <c r="X388" s="59"/>
      <c r="Y388" s="59"/>
      <c r="Z388" s="4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row>
    <row r="389" spans="1:113">
      <c r="A389" s="41"/>
      <c r="C389" s="48" t="str">
        <f t="shared" si="72"/>
        <v xml:space="preserve">Telstra </v>
      </c>
      <c r="D389" s="44" t="str">
        <f t="shared" si="72"/>
        <v>AUD 3.93</v>
      </c>
      <c r="E389" s="44" t="str">
        <f t="shared" si="72"/>
        <v>AUD 3.50</v>
      </c>
      <c r="F389" s="45">
        <f t="shared" si="72"/>
        <v>-0.10941475826972014</v>
      </c>
      <c r="G389" s="44" t="str">
        <f t="shared" si="72"/>
        <v>Buy</v>
      </c>
      <c r="H389" s="46"/>
      <c r="I389" s="45">
        <f>TLS!$D$24/TLS!$D$23</f>
        <v>0.33822560595276852</v>
      </c>
      <c r="J389" s="45">
        <f>TLS!$E$24/TLS!$E$23</f>
        <v>0.35782325438519708</v>
      </c>
      <c r="K389" s="45">
        <f>TLS!$F$24/TLS!$F$23</f>
        <v>0.34132079165211571</v>
      </c>
      <c r="L389" s="45">
        <f>TLS!$G$24/TLS!$G$23</f>
        <v>0.33703260909869925</v>
      </c>
      <c r="M389" s="45">
        <f t="shared" si="73"/>
        <v>-1.1929968540692615E-3</v>
      </c>
      <c r="N389" s="46"/>
      <c r="O389" s="45">
        <f>TLS!$D$25/TLS!$D$23</f>
        <v>0.22117804575517311</v>
      </c>
      <c r="P389" s="45">
        <f>TLS!$E$25/TLS!$E$23</f>
        <v>0.24229451730621521</v>
      </c>
      <c r="Q389" s="45">
        <f>TLS!$F$25/TLS!$F$23</f>
        <v>0.22489592579410464</v>
      </c>
      <c r="R389" s="45">
        <f>TLS!$G$25/TLS!$G$23</f>
        <v>0.22004114841401964</v>
      </c>
      <c r="S389" s="45">
        <f t="shared" si="74"/>
        <v>-1.1368973411534644E-3</v>
      </c>
      <c r="T389" s="46"/>
      <c r="U389" s="48" t="str">
        <f t="shared" si="75"/>
        <v>AUD 3.93</v>
      </c>
      <c r="V389" s="44" t="str">
        <f t="shared" si="75"/>
        <v>Telstra</v>
      </c>
      <c r="W389" s="59"/>
      <c r="X389" s="59"/>
      <c r="Y389" s="59"/>
      <c r="Z389" s="4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row>
    <row r="390" spans="1:113">
      <c r="A390" s="41"/>
      <c r="C390" s="51" t="str">
        <f>C330</f>
        <v>Agg. Developed Asia Incumbent</v>
      </c>
      <c r="D390" s="58"/>
      <c r="E390" s="58"/>
      <c r="F390" s="55"/>
      <c r="G390" s="58"/>
      <c r="H390" s="56"/>
      <c r="I390" s="55">
        <f>'DM ASIA INCUMB'!$D$24/'DM ASIA INCUMB'!$D$23</f>
        <v>0.26988660501464318</v>
      </c>
      <c r="J390" s="55">
        <f>'DM ASIA INCUMB'!$E$24/'DM ASIA INCUMB'!$E$23</f>
        <v>0.26629474159148858</v>
      </c>
      <c r="K390" s="55">
        <f>'DM ASIA INCUMB'!$F$24/'DM ASIA INCUMB'!$F$23</f>
        <v>0.28229062261763421</v>
      </c>
      <c r="L390" s="55">
        <f>'DM ASIA INCUMB'!$G$24/'DM ASIA INCUMB'!$G$23</f>
        <v>0.28353593098886276</v>
      </c>
      <c r="M390" s="55">
        <f t="shared" si="73"/>
        <v>1.3649325974219584E-2</v>
      </c>
      <c r="N390" s="56"/>
      <c r="O390" s="55">
        <f>'DM ASIA INCUMB'!$D$25/'DM ASIA INCUMB'!$D$23</f>
        <v>0.12520781418925686</v>
      </c>
      <c r="P390" s="55">
        <f>'DM ASIA INCUMB'!$E$25/'DM ASIA INCUMB'!$E$23</f>
        <v>0.11954799714548363</v>
      </c>
      <c r="Q390" s="55">
        <f>'DM ASIA INCUMB'!$F$25/'DM ASIA INCUMB'!$F$23</f>
        <v>0.14410582005556519</v>
      </c>
      <c r="R390" s="55">
        <f>'DM ASIA INCUMB'!$G$25/'DM ASIA INCUMB'!$G$23</f>
        <v>0.14743143974326797</v>
      </c>
      <c r="S390" s="55">
        <f t="shared" si="74"/>
        <v>2.2223625554011112E-2</v>
      </c>
      <c r="T390" s="56"/>
      <c r="U390" s="51"/>
      <c r="V390" s="58" t="str">
        <f>V330</f>
        <v xml:space="preserve">Agg. Developed Asia Incumbent </v>
      </c>
      <c r="W390" s="59"/>
      <c r="X390" s="59"/>
      <c r="Y390" s="59"/>
      <c r="Z390" s="4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row>
    <row r="391" spans="1:113">
      <c r="A391" s="41"/>
      <c r="C391" s="43"/>
      <c r="D391" s="50"/>
      <c r="E391" s="50"/>
      <c r="F391" s="61"/>
      <c r="G391" s="50"/>
      <c r="H391" s="56"/>
      <c r="I391" s="61"/>
      <c r="J391" s="61"/>
      <c r="K391" s="61"/>
      <c r="L391" s="61"/>
      <c r="M391" s="61"/>
      <c r="N391" s="56"/>
      <c r="O391" s="61"/>
      <c r="P391" s="61"/>
      <c r="Q391" s="61"/>
      <c r="R391" s="61"/>
      <c r="S391" s="61"/>
      <c r="T391" s="56"/>
      <c r="U391" s="43"/>
      <c r="V391" s="50"/>
      <c r="W391" s="59"/>
      <c r="X391" s="59"/>
      <c r="Y391" s="59"/>
      <c r="Z391" s="4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row>
    <row r="392" spans="1:113">
      <c r="A392" s="41"/>
      <c r="C392" s="51" t="s">
        <v>857</v>
      </c>
      <c r="D392" s="58"/>
      <c r="E392" s="58"/>
      <c r="F392" s="55"/>
      <c r="G392" s="58"/>
      <c r="H392" s="56"/>
      <c r="I392" s="55">
        <f>'AGG DM INCUMB'!$D$24/'AGG DM INCUMB'!$D$23</f>
        <v>0.3333786595485716</v>
      </c>
      <c r="J392" s="55">
        <f>'AGG DM INCUMB'!$E$24/'AGG DM INCUMB'!$E$23</f>
        <v>0.33531093986806276</v>
      </c>
      <c r="K392" s="55">
        <f>'AGG DM INCUMB'!$F$24/'AGG DM INCUMB'!$F$23</f>
        <v>0.34240588887315088</v>
      </c>
      <c r="L392" s="55">
        <f>'AGG DM INCUMB'!$G$24/'AGG DM INCUMB'!$G$23</f>
        <v>0.3456816060614567</v>
      </c>
      <c r="M392" s="55">
        <f>L392-I392</f>
        <v>1.2302946512885105E-2</v>
      </c>
      <c r="N392" s="56"/>
      <c r="O392" s="55">
        <f>'AGG DM INCUMB'!$D$25/'AGG DM INCUMB'!$D$23</f>
        <v>0.17336819090119515</v>
      </c>
      <c r="P392" s="55">
        <f>'AGG DM INCUMB'!$E$25/'AGG DM INCUMB'!$E$23</f>
        <v>0.18690361098883337</v>
      </c>
      <c r="Q392" s="55">
        <f>'AGG DM INCUMB'!$F$25/'AGG DM INCUMB'!$F$23</f>
        <v>0.19837024865807337</v>
      </c>
      <c r="R392" s="55">
        <f>'AGG DM INCUMB'!$G$25/'AGG DM INCUMB'!$G$23</f>
        <v>0.20570913552373754</v>
      </c>
      <c r="S392" s="55">
        <f>R392-O392</f>
        <v>3.2340944622542389E-2</v>
      </c>
      <c r="T392" s="56"/>
      <c r="U392" s="51"/>
      <c r="V392" s="58" t="str">
        <f>C392</f>
        <v>Agg. DM Incumbent total</v>
      </c>
      <c r="W392" s="59"/>
      <c r="X392" s="59"/>
      <c r="Y392" s="59"/>
      <c r="Z392" s="4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row>
    <row r="393" spans="1:113">
      <c r="A393" s="41"/>
      <c r="C393" s="41"/>
      <c r="D393" s="44"/>
      <c r="E393" s="44"/>
      <c r="F393" s="45"/>
      <c r="G393" s="44"/>
      <c r="H393" s="46"/>
      <c r="I393" s="45"/>
      <c r="J393" s="45"/>
      <c r="K393" s="45"/>
      <c r="L393" s="45"/>
      <c r="M393" s="45"/>
      <c r="N393" s="46"/>
      <c r="O393" s="45"/>
      <c r="P393" s="45"/>
      <c r="Q393" s="45"/>
      <c r="R393" s="45"/>
      <c r="S393" s="45"/>
      <c r="T393" s="46"/>
      <c r="U393" s="48"/>
      <c r="V393" s="50"/>
      <c r="W393" s="59"/>
      <c r="X393" s="59"/>
      <c r="Y393" s="59"/>
      <c r="Z393" s="4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row>
    <row r="394" spans="1:113">
      <c r="A394" s="41" t="s">
        <v>1374</v>
      </c>
      <c r="C394" s="48" t="str">
        <f t="shared" ref="C394:G401" si="76">C334</f>
        <v>1&amp;1</v>
      </c>
      <c r="D394" s="44" t="str">
        <f t="shared" si="76"/>
        <v>EUR 14.0</v>
      </c>
      <c r="E394" s="44" t="str">
        <f t="shared" si="76"/>
        <v>EUR 26.0</v>
      </c>
      <c r="F394" s="45">
        <f t="shared" si="76"/>
        <v>0.85449358059914404</v>
      </c>
      <c r="G394" s="44" t="str">
        <f t="shared" si="76"/>
        <v>Buy</v>
      </c>
      <c r="H394" s="46"/>
      <c r="I394" s="45">
        <f>DRI!$D$24/DRI!$D$23</f>
        <v>0.15349660740391358</v>
      </c>
      <c r="J394" s="45">
        <f>DRI!$E$24/DRI!$E$23</f>
        <v>0.15299572880333126</v>
      </c>
      <c r="K394" s="45">
        <f>DRI!$F$24/DRI!$F$23</f>
        <v>0.16274008915489116</v>
      </c>
      <c r="L394" s="45">
        <f>DRI!$G$24/DRI!$G$23</f>
        <v>0.17690657057274092</v>
      </c>
      <c r="M394" s="45">
        <f>L394-I394</f>
        <v>2.3409963168827347E-2</v>
      </c>
      <c r="N394" s="46"/>
      <c r="O394" s="45">
        <f>DRI!$D$25/DRI!$D$23</f>
        <v>8.1086704485218888E-2</v>
      </c>
      <c r="P394" s="45">
        <f>DRI!$E$25/DRI!$E$23</f>
        <v>4.3635985445220862E-2</v>
      </c>
      <c r="Q394" s="45">
        <f>DRI!$F$25/DRI!$F$23</f>
        <v>4.3788876665549314E-2</v>
      </c>
      <c r="R394" s="45">
        <f>DRI!$G$25/DRI!$G$23</f>
        <v>6.1314937973139319E-2</v>
      </c>
      <c r="S394" s="45">
        <f>R394-O394</f>
        <v>-1.9771766512079569E-2</v>
      </c>
      <c r="T394" s="46"/>
      <c r="U394" s="48" t="str">
        <f t="shared" ref="U394:V400" si="77">U334</f>
        <v>EUR 14.0</v>
      </c>
      <c r="V394" s="44" t="str">
        <f t="shared" si="77"/>
        <v>1&amp;1</v>
      </c>
      <c r="W394" s="59"/>
      <c r="X394" s="59"/>
      <c r="Y394" s="59"/>
      <c r="Z394" s="4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row>
    <row r="395" spans="1:113">
      <c r="C395" s="48" t="str">
        <f t="shared" si="76"/>
        <v>Elisa</v>
      </c>
      <c r="D395" s="44" t="str">
        <f t="shared" si="76"/>
        <v>EUR 46.6</v>
      </c>
      <c r="E395" s="44" t="str">
        <f t="shared" si="76"/>
        <v>EUR 53.0</v>
      </c>
      <c r="F395" s="45">
        <f t="shared" si="76"/>
        <v>0.13831615120274909</v>
      </c>
      <c r="G395" s="44" t="str">
        <f t="shared" si="76"/>
        <v>Neutral</v>
      </c>
      <c r="H395" s="46"/>
      <c r="I395" s="45">
        <f>ELISA!$D$24/ELISA!$D$23</f>
        <v>0.33774478994256346</v>
      </c>
      <c r="J395" s="45">
        <f>ELISA!$E$24/ELISA!$E$23</f>
        <v>0.33725076552336453</v>
      </c>
      <c r="K395" s="45">
        <f>ELISA!$F$24/ELISA!$F$23</f>
        <v>0.33974232506797469</v>
      </c>
      <c r="L395" s="45">
        <f>ELISA!$G$24/ELISA!$G$23</f>
        <v>0.34100367158366662</v>
      </c>
      <c r="M395" s="45">
        <f t="shared" ref="M395:M402" si="78">L395-I395</f>
        <v>3.2588816411031618E-3</v>
      </c>
      <c r="N395" s="46"/>
      <c r="O395" s="45">
        <f>ELISA!$D$25/ELISA!$D$23</f>
        <v>0.21109049371410216</v>
      </c>
      <c r="P395" s="45">
        <f>ELISA!$E$25/ELISA!$E$23</f>
        <v>0.21823702412166204</v>
      </c>
      <c r="Q395" s="45">
        <f>ELISA!$F$25/ELISA!$F$23</f>
        <v>0.23928379293353322</v>
      </c>
      <c r="R395" s="45">
        <f>ELISA!$G$25/ELISA!$G$23</f>
        <v>0.24146126507198268</v>
      </c>
      <c r="S395" s="45">
        <f t="shared" ref="S395:S402" si="79">R395-O395</f>
        <v>3.0370771357880522E-2</v>
      </c>
      <c r="T395" s="46"/>
      <c r="U395" s="48" t="str">
        <f t="shared" si="77"/>
        <v>EUR 46.6</v>
      </c>
      <c r="V395" s="44" t="str">
        <f t="shared" si="77"/>
        <v>Elisa</v>
      </c>
      <c r="W395" s="59"/>
      <c r="X395" s="59"/>
      <c r="Y395" s="59"/>
      <c r="Z395" s="4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row>
    <row r="396" spans="1:113">
      <c r="A396" s="41"/>
      <c r="C396" s="48" t="str">
        <f t="shared" si="76"/>
        <v>Liberty Global (prop.)</v>
      </c>
      <c r="D396" s="44" t="str">
        <f t="shared" si="76"/>
        <v>USD 20.3</v>
      </c>
      <c r="E396" s="44" t="str">
        <f t="shared" si="76"/>
        <v>USD 23.0</v>
      </c>
      <c r="F396" s="45">
        <f t="shared" si="76"/>
        <v>0.13356333169048806</v>
      </c>
      <c r="G396" s="44" t="str">
        <f t="shared" si="76"/>
        <v>Neutral</v>
      </c>
      <c r="H396" s="46"/>
      <c r="I396" s="45">
        <f>LBTY!$D$24/LBTY!$D$23</f>
        <v>3.7014208643478259</v>
      </c>
      <c r="J396" s="45">
        <f>LBTY!$E$24/LBTY!$E$23</f>
        <v>3.7141737719797505</v>
      </c>
      <c r="K396" s="45">
        <f>LBTY!$F$24/LBTY!$F$23</f>
        <v>3.7433048769679989</v>
      </c>
      <c r="L396" s="45">
        <f>LBTY!$G$24/LBTY!$G$23</f>
        <v>3.7625578261687362</v>
      </c>
      <c r="M396" s="45">
        <f>L396-I396</f>
        <v>6.1136961820910329E-2</v>
      </c>
      <c r="N396" s="46"/>
      <c r="O396" s="45">
        <f>LBTY!$D$25/LBTY!$D$23</f>
        <v>0.8097188983596838</v>
      </c>
      <c r="P396" s="45">
        <f>LBTY!$E$25/LBTY!$E$23</f>
        <v>0.82348388753750434</v>
      </c>
      <c r="Q396" s="45">
        <f>LBTY!$F$25/LBTY!$F$23</f>
        <v>0.87932717718627507</v>
      </c>
      <c r="R396" s="45">
        <f>LBTY!$G$25/LBTY!$G$23</f>
        <v>0.86489065897924866</v>
      </c>
      <c r="S396" s="45">
        <f>R396-O396</f>
        <v>5.5171760619564858E-2</v>
      </c>
      <c r="T396" s="46"/>
      <c r="U396" s="48" t="str">
        <f t="shared" si="77"/>
        <v>USD 20.3</v>
      </c>
      <c r="V396" s="44" t="str">
        <f t="shared" si="77"/>
        <v>Liberty Global</v>
      </c>
      <c r="W396" s="59"/>
      <c r="X396" s="59"/>
      <c r="Y396" s="59"/>
      <c r="Z396" s="4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row>
    <row r="397" spans="1:113">
      <c r="A397" s="41"/>
      <c r="C397" s="48" t="str">
        <f t="shared" si="76"/>
        <v>NOS</v>
      </c>
      <c r="D397" s="44" t="str">
        <f t="shared" si="76"/>
        <v>EUR 3.58</v>
      </c>
      <c r="E397" s="44" t="str">
        <f t="shared" si="76"/>
        <v>EUR 3.70</v>
      </c>
      <c r="F397" s="45">
        <f t="shared" si="76"/>
        <v>3.4965034965035002E-2</v>
      </c>
      <c r="G397" s="44" t="str">
        <f t="shared" si="76"/>
        <v>Neutral</v>
      </c>
      <c r="H397" s="46"/>
      <c r="I397" s="45">
        <f>NOS!$D$24/NOS!$D$23</f>
        <v>0.43443009400395616</v>
      </c>
      <c r="J397" s="45">
        <f>NOS!$E$24/NOS!$E$23</f>
        <v>0.45125130332291769</v>
      </c>
      <c r="K397" s="45">
        <f>NOS!$F$24/NOS!$F$23</f>
        <v>0.45023125448277601</v>
      </c>
      <c r="L397" s="45">
        <f>NOS!$G$24/NOS!$G$23</f>
        <v>0.44883005295972889</v>
      </c>
      <c r="M397" s="45">
        <f>L397-I397</f>
        <v>1.4399958955772729E-2</v>
      </c>
      <c r="N397" s="46"/>
      <c r="O397" s="45">
        <f>NOS!$D$25/NOS!$D$23</f>
        <v>0.19948177045280147</v>
      </c>
      <c r="P397" s="45">
        <f>NOS!$E$25/NOS!$E$23</f>
        <v>0.22282547961375088</v>
      </c>
      <c r="Q397" s="45">
        <f>NOS!$F$25/NOS!$F$23</f>
        <v>0.22509358985996369</v>
      </c>
      <c r="R397" s="45">
        <f>NOS!$G$25/NOS!$G$23</f>
        <v>0.22834405427284213</v>
      </c>
      <c r="S397" s="45">
        <f>R397-O397</f>
        <v>2.8862283820040663E-2</v>
      </c>
      <c r="T397" s="46"/>
      <c r="U397" s="48" t="str">
        <f t="shared" si="77"/>
        <v>EUR 3.58</v>
      </c>
      <c r="V397" s="44" t="str">
        <f t="shared" si="77"/>
        <v>NOS</v>
      </c>
      <c r="W397" s="59"/>
      <c r="X397" s="59"/>
      <c r="Y397" s="59"/>
      <c r="Z397" s="4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row>
    <row r="398" spans="1:113">
      <c r="C398" s="48" t="str">
        <f t="shared" si="76"/>
        <v>Orange Belgium</v>
      </c>
      <c r="D398" s="44" t="str">
        <f t="shared" si="76"/>
        <v>EUR 14.8</v>
      </c>
      <c r="E398" s="44" t="str">
        <f t="shared" si="76"/>
        <v>EUR 15.0</v>
      </c>
      <c r="F398" s="45">
        <f t="shared" si="76"/>
        <v>1.3513513513513375E-2</v>
      </c>
      <c r="G398" s="44" t="str">
        <f t="shared" si="76"/>
        <v>Neutral</v>
      </c>
      <c r="H398" s="46"/>
      <c r="I398" s="45">
        <f>OBEL!$D$24/OBEL!$D$23</f>
        <v>0.22358015399129214</v>
      </c>
      <c r="J398" s="45">
        <f>OBEL!$E$24/OBEL!$E$23</f>
        <v>0.2541154899413573</v>
      </c>
      <c r="K398" s="45">
        <f>OBEL!$F$24/OBEL!$F$23</f>
        <v>0.25433693559458825</v>
      </c>
      <c r="L398" s="45">
        <f>OBEL!$G$24/OBEL!$G$23</f>
        <v>0.25418084830206378</v>
      </c>
      <c r="M398" s="45">
        <f t="shared" si="78"/>
        <v>3.0600694310771642E-2</v>
      </c>
      <c r="N398" s="46"/>
      <c r="O398" s="45">
        <f>OBEL!$D$25/OBEL!$D$23</f>
        <v>8.0887579180856956E-2</v>
      </c>
      <c r="P398" s="45">
        <f>OBEL!$E$25/OBEL!$E$23</f>
        <v>8.9133439826943731E-2</v>
      </c>
      <c r="Q398" s="45">
        <f>OBEL!$F$25/OBEL!$F$23</f>
        <v>0.10396011707448634</v>
      </c>
      <c r="R398" s="45">
        <f>OBEL!$G$25/OBEL!$G$23</f>
        <v>0.10544417616852346</v>
      </c>
      <c r="S398" s="45">
        <f t="shared" si="79"/>
        <v>2.4556596987666504E-2</v>
      </c>
      <c r="T398" s="46"/>
      <c r="U398" s="48" t="str">
        <f t="shared" si="77"/>
        <v>EUR 14.8</v>
      </c>
      <c r="V398" s="44" t="str">
        <f t="shared" si="77"/>
        <v>Mobistar</v>
      </c>
      <c r="W398" s="59"/>
      <c r="X398" s="59"/>
      <c r="Y398" s="59"/>
      <c r="Z398" s="4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row>
    <row r="399" spans="1:113">
      <c r="C399" s="48" t="str">
        <f t="shared" si="76"/>
        <v>Tele2</v>
      </c>
      <c r="D399" s="44" t="str">
        <f t="shared" si="76"/>
        <v>SEK 117.7</v>
      </c>
      <c r="E399" s="44" t="str">
        <f t="shared" si="76"/>
        <v>SEK 109.0</v>
      </c>
      <c r="F399" s="45">
        <f t="shared" si="76"/>
        <v>-7.3523161920951985E-2</v>
      </c>
      <c r="G399" s="44" t="str">
        <f t="shared" si="76"/>
        <v>Neutral</v>
      </c>
      <c r="H399" s="46"/>
      <c r="I399" s="45">
        <f>TELE2!$D$24/TELE2!$D$23</f>
        <v>0.35000421885450816</v>
      </c>
      <c r="J399" s="45">
        <f>TELE2!$E$24/TELE2!$E$23</f>
        <v>0.35087701749087047</v>
      </c>
      <c r="K399" s="45">
        <f>TELE2!$F$24/TELE2!$F$23</f>
        <v>0.36167902709271899</v>
      </c>
      <c r="L399" s="45">
        <f>TELE2!$G$24/TELE2!$G$23</f>
        <v>0.36767155196908313</v>
      </c>
      <c r="M399" s="45">
        <f t="shared" si="78"/>
        <v>1.7667333114574968E-2</v>
      </c>
      <c r="N399" s="46"/>
      <c r="O399" s="45">
        <f>TELE2!$D$25/TELE2!$D$23</f>
        <v>0.21749477212480126</v>
      </c>
      <c r="P399" s="45">
        <f>TELE2!$E$25/TELE2!$E$23</f>
        <v>0.21716970121892029</v>
      </c>
      <c r="Q399" s="45">
        <f>TELE2!$F$25/TELE2!$F$23</f>
        <v>0.23048483409327253</v>
      </c>
      <c r="R399" s="45">
        <f>TELE2!$G$25/TELE2!$G$23</f>
        <v>0.24496869964513485</v>
      </c>
      <c r="S399" s="45">
        <f t="shared" si="79"/>
        <v>2.7473927520333591E-2</v>
      </c>
      <c r="T399" s="46"/>
      <c r="U399" s="48" t="str">
        <f t="shared" si="77"/>
        <v>SEK 117.7</v>
      </c>
      <c r="V399" s="44" t="str">
        <f t="shared" si="77"/>
        <v>Tele2</v>
      </c>
      <c r="W399" s="59"/>
      <c r="X399" s="59"/>
      <c r="Y399" s="59"/>
      <c r="Z399" s="4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row>
    <row r="400" spans="1:113">
      <c r="A400" s="41"/>
      <c r="C400" s="48" t="str">
        <f t="shared" si="76"/>
        <v>United Internet</v>
      </c>
      <c r="D400" s="44" t="str">
        <f t="shared" si="76"/>
        <v>EUR 19.1</v>
      </c>
      <c r="E400" s="44" t="str">
        <f t="shared" si="76"/>
        <v>EUR 28.0</v>
      </c>
      <c r="F400" s="45">
        <f t="shared" si="76"/>
        <v>0.46904512067156356</v>
      </c>
      <c r="G400" s="44" t="str">
        <f t="shared" si="76"/>
        <v>Buy</v>
      </c>
      <c r="H400" s="46"/>
      <c r="I400" s="45">
        <f>UTDI!$D$24/UTDI!$D$23</f>
        <v>0.18074408783695553</v>
      </c>
      <c r="J400" s="45">
        <f>UTDI!$E$24/UTDI!$E$23</f>
        <v>0.18354855634480202</v>
      </c>
      <c r="K400" s="45">
        <f>UTDI!$F$24/UTDI!$F$23</f>
        <v>0.20022659896552167</v>
      </c>
      <c r="L400" s="45">
        <f>UTDI!$G$24/UTDI!$G$23</f>
        <v>0.21425322913704259</v>
      </c>
      <c r="M400" s="45">
        <f>L400-I400</f>
        <v>3.3509141300087059E-2</v>
      </c>
      <c r="N400" s="46"/>
      <c r="O400" s="45">
        <f>UTDI!$D$25/UTDI!$D$23</f>
        <v>5.5966440266587605E-2</v>
      </c>
      <c r="P400" s="45">
        <f>UTDI!$E$25/UTDI!$E$23</f>
        <v>4.4664237469434646E-2</v>
      </c>
      <c r="Q400" s="45">
        <f>UTDI!$F$25/UTDI!$F$23</f>
        <v>6.0989463969232424E-2</v>
      </c>
      <c r="R400" s="45">
        <f>UTDI!$G$25/UTDI!$G$23</f>
        <v>8.418678910892298E-2</v>
      </c>
      <c r="S400" s="45">
        <f>R400-O400</f>
        <v>2.8220348842335374E-2</v>
      </c>
      <c r="T400" s="46"/>
      <c r="U400" s="48" t="str">
        <f t="shared" si="77"/>
        <v>EUR 19.1</v>
      </c>
      <c r="V400" s="44" t="str">
        <f t="shared" si="77"/>
        <v>United Internet</v>
      </c>
      <c r="W400" s="59"/>
      <c r="X400" s="59"/>
      <c r="Y400" s="59"/>
      <c r="Z400" s="4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row>
    <row r="401" spans="1:113">
      <c r="C401" s="48" t="str">
        <f t="shared" si="76"/>
        <v>Vodafone</v>
      </c>
      <c r="D401" s="44" t="str">
        <f t="shared" si="76"/>
        <v>GBP 0.77</v>
      </c>
      <c r="E401" s="44" t="str">
        <f t="shared" si="76"/>
        <v>GBP 1.40</v>
      </c>
      <c r="F401" s="45">
        <f t="shared" si="76"/>
        <v>0.80785123966942152</v>
      </c>
      <c r="G401" s="44" t="str">
        <f t="shared" si="76"/>
        <v>Buy</v>
      </c>
      <c r="H401" s="46"/>
      <c r="I401" s="45">
        <f>VOD!$D$24/VOD!$D$23</f>
        <v>0.29569390237378823</v>
      </c>
      <c r="J401" s="45">
        <f>VOD!$E$24/VOD!$E$23</f>
        <v>0.28734373120579065</v>
      </c>
      <c r="K401" s="45">
        <f>VOD!$F$24/VOD!$F$23</f>
        <v>0.29613570622077257</v>
      </c>
      <c r="L401" s="45">
        <f>VOD!$G$24/VOD!$G$23</f>
        <v>0.30437315904366985</v>
      </c>
      <c r="M401" s="45">
        <f t="shared" si="78"/>
        <v>8.6792566698816187E-3</v>
      </c>
      <c r="N401" s="46"/>
      <c r="O401" s="45">
        <f>VOD!$D$25/VOD!$D$23</f>
        <v>0.12580207045360917</v>
      </c>
      <c r="P401" s="45">
        <f>VOD!$E$25/VOD!$E$23</f>
        <v>0.1183550192527837</v>
      </c>
      <c r="Q401" s="45">
        <f>VOD!$F$25/VOD!$F$23</f>
        <v>0.12965397366736531</v>
      </c>
      <c r="R401" s="45">
        <f>VOD!$G$25/VOD!$G$23</f>
        <v>0.14036793285582161</v>
      </c>
      <c r="S401" s="45">
        <f t="shared" si="79"/>
        <v>1.4565862402212443E-2</v>
      </c>
      <c r="T401" s="46"/>
      <c r="U401" s="48" t="str">
        <f>U341</f>
        <v>GBP 0.77</v>
      </c>
      <c r="V401" s="44" t="s">
        <v>276</v>
      </c>
      <c r="W401" s="59"/>
      <c r="X401" s="59"/>
      <c r="Y401" s="59"/>
      <c r="Z401" s="4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row>
    <row r="402" spans="1:113">
      <c r="C402" s="51" t="str">
        <f>C342</f>
        <v>Agg. W. Europe Other</v>
      </c>
      <c r="D402" s="52"/>
      <c r="E402" s="52"/>
      <c r="F402" s="53"/>
      <c r="G402" s="52"/>
      <c r="H402" s="46"/>
      <c r="I402" s="55">
        <f>'W.EUR OTHER'!$D$24/'W.EUR OTHER'!$D$23</f>
        <v>0.40131199929745148</v>
      </c>
      <c r="J402" s="55">
        <f>'W.EUR OTHER'!$E$24/'W.EUR OTHER'!$E$23</f>
        <v>0.39518625823050818</v>
      </c>
      <c r="K402" s="55">
        <f>'W.EUR OTHER'!$F$24/'W.EUR OTHER'!$F$23</f>
        <v>0.40269695290013813</v>
      </c>
      <c r="L402" s="55">
        <f>'W.EUR OTHER'!$G$24/'W.EUR OTHER'!$G$23</f>
        <v>0.40939503403822269</v>
      </c>
      <c r="M402" s="55">
        <f t="shared" si="78"/>
        <v>8.0830347407712111E-3</v>
      </c>
      <c r="N402" s="56"/>
      <c r="O402" s="55">
        <f>'W.EUR OTHER'!$D$25/'W.EUR OTHER'!$D$23</f>
        <v>0.14883637841059119</v>
      </c>
      <c r="P402" s="55">
        <f>'W.EUR OTHER'!$E$25/'W.EUR OTHER'!$E$23</f>
        <v>0.14339931479232562</v>
      </c>
      <c r="Q402" s="55">
        <f>'W.EUR OTHER'!$F$25/'W.EUR OTHER'!$F$23</f>
        <v>0.15657439662119566</v>
      </c>
      <c r="R402" s="55">
        <f>'W.EUR OTHER'!$G$25/'W.EUR OTHER'!$G$23</f>
        <v>0.16692762415166515</v>
      </c>
      <c r="S402" s="55">
        <f t="shared" si="79"/>
        <v>1.8091245741073958E-2</v>
      </c>
      <c r="T402" s="46"/>
      <c r="U402" s="57"/>
      <c r="V402" s="58" t="str">
        <f>C402</f>
        <v>Agg. W. Europe Other</v>
      </c>
      <c r="W402" s="59"/>
      <c r="X402" s="59"/>
      <c r="Y402" s="59"/>
      <c r="Z402" s="49"/>
      <c r="AC402" s="63"/>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row>
    <row r="403" spans="1:113">
      <c r="C403" s="48"/>
      <c r="D403" s="44"/>
      <c r="E403" s="44"/>
      <c r="F403" s="45"/>
      <c r="G403" s="44"/>
      <c r="H403" s="46"/>
      <c r="I403" s="45"/>
      <c r="J403" s="45"/>
      <c r="K403" s="45"/>
      <c r="L403" s="45"/>
      <c r="M403" s="45"/>
      <c r="N403" s="46"/>
      <c r="O403" s="45"/>
      <c r="P403" s="45"/>
      <c r="Q403" s="45"/>
      <c r="R403" s="45"/>
      <c r="S403" s="45"/>
      <c r="T403" s="46"/>
      <c r="U403" s="48"/>
      <c r="V403" s="44"/>
      <c r="W403" s="59"/>
      <c r="X403" s="59"/>
      <c r="Y403" s="59"/>
      <c r="Z403" s="49"/>
      <c r="AC403" s="63"/>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row>
    <row r="404" spans="1:113">
      <c r="A404" s="41"/>
      <c r="B404" s="42" t="s">
        <v>551</v>
      </c>
      <c r="C404" s="48" t="s">
        <v>828</v>
      </c>
      <c r="D404" s="44" t="str">
        <f t="shared" ref="D404:G409" si="80">D344</f>
        <v>HKD 3</v>
      </c>
      <c r="E404" s="44" t="str">
        <f t="shared" si="80"/>
        <v>HKD 16</v>
      </c>
      <c r="F404" s="45">
        <f t="shared" si="80"/>
        <v>4.9925093632958806</v>
      </c>
      <c r="G404" s="44" t="str">
        <f t="shared" si="80"/>
        <v>Buy</v>
      </c>
      <c r="H404" s="46"/>
      <c r="I404" s="45">
        <f>HKBN!$D$24/HKBN!$D$23</f>
        <v>0.28250000000000003</v>
      </c>
      <c r="J404" s="45">
        <f>HKBN!$E$24/HKBN!$E$23</f>
        <v>0.28250000000000003</v>
      </c>
      <c r="K404" s="45">
        <f>HKBN!$F$24/HKBN!$F$23</f>
        <v>0.28250000000000003</v>
      </c>
      <c r="L404" s="45">
        <f>HKBN!$G$24/HKBN!$G$23</f>
        <v>0.28250000000000003</v>
      </c>
      <c r="M404" s="45">
        <f>L404-I404</f>
        <v>0</v>
      </c>
      <c r="N404" s="46"/>
      <c r="O404" s="45">
        <f>HKBN!$D$25/HKBN!$D$23</f>
        <v>0.22626098086484805</v>
      </c>
      <c r="P404" s="45">
        <f>HKBN!$E$25/HKBN!$E$23</f>
        <v>0.22889893989809168</v>
      </c>
      <c r="Q404" s="45">
        <f>HKBN!$F$25/HKBN!$F$23</f>
        <v>0.22799126686087751</v>
      </c>
      <c r="R404" s="45">
        <f>HKBN!$G$25/HKBN!$G$23</f>
        <v>0.23074399028408749</v>
      </c>
      <c r="S404" s="45">
        <f>R404-O404</f>
        <v>4.483009419239431E-3</v>
      </c>
      <c r="T404" s="46"/>
      <c r="U404" s="48" t="str">
        <f t="shared" ref="U404:V409" si="81">U344</f>
        <v>HKD 3</v>
      </c>
      <c r="V404" s="69" t="str">
        <f t="shared" si="81"/>
        <v>HKBN</v>
      </c>
      <c r="W404" s="59"/>
      <c r="X404" s="59"/>
      <c r="Y404" s="59"/>
      <c r="Z404" s="4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row>
    <row r="405" spans="1:113">
      <c r="C405" s="48" t="str">
        <f t="shared" ref="C405:C410" si="82">C345</f>
        <v>KDDI</v>
      </c>
      <c r="D405" s="44" t="str">
        <f t="shared" si="80"/>
        <v>JPY 4,851</v>
      </c>
      <c r="E405" s="44" t="str">
        <f t="shared" si="80"/>
        <v>JPY 6,600</v>
      </c>
      <c r="F405" s="45">
        <f t="shared" si="80"/>
        <v>0.36054421768707479</v>
      </c>
      <c r="G405" s="44" t="str">
        <f t="shared" si="80"/>
        <v>Buy</v>
      </c>
      <c r="H405" s="46"/>
      <c r="I405" s="45">
        <f>KDDI!$D$24/KDDI!$D$23</f>
        <v>0.28951809230649445</v>
      </c>
      <c r="J405" s="45">
        <f>KDDI!$E$24/KDDI!$E$23</f>
        <v>0.31089165786038031</v>
      </c>
      <c r="K405" s="45">
        <f>KDDI!$F$24/KDDI!$F$23</f>
        <v>0.31213412125909634</v>
      </c>
      <c r="L405" s="45">
        <f>KDDI!$G$24/KDDI!$G$23</f>
        <v>0.31380185777081226</v>
      </c>
      <c r="M405" s="45">
        <f t="shared" ref="M405:M410" si="83">L405-I405</f>
        <v>2.4283765464317819E-2</v>
      </c>
      <c r="N405" s="46"/>
      <c r="O405" s="45">
        <f>KDDI!$D$25/KDDI!$D$23</f>
        <v>0.15929724604313342</v>
      </c>
      <c r="P405" s="45">
        <f>KDDI!$E$25/KDDI!$E$23</f>
        <v>0.2058916578603803</v>
      </c>
      <c r="Q405" s="45">
        <f>KDDI!$F$25/KDDI!$F$23</f>
        <v>0.20713412125909636</v>
      </c>
      <c r="R405" s="45">
        <f>KDDI!$G$25/KDDI!$G$23</f>
        <v>0.20880185777081228</v>
      </c>
      <c r="S405" s="45">
        <f t="shared" ref="S405:S410" si="84">R405-O405</f>
        <v>4.9504611727678866E-2</v>
      </c>
      <c r="T405" s="46"/>
      <c r="U405" s="48" t="str">
        <f t="shared" si="81"/>
        <v>JPY 4,851</v>
      </c>
      <c r="V405" s="44" t="str">
        <f t="shared" si="81"/>
        <v>KDDI</v>
      </c>
      <c r="W405" s="59"/>
      <c r="X405" s="59"/>
      <c r="Y405" s="59"/>
      <c r="Z405" s="4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row>
    <row r="406" spans="1:113">
      <c r="A406" s="41"/>
      <c r="C406" s="48" t="str">
        <f t="shared" si="82"/>
        <v>Macquarie Telecom</v>
      </c>
      <c r="D406" s="44" t="str">
        <f t="shared" si="80"/>
        <v>AUD 76.51</v>
      </c>
      <c r="E406" s="44" t="str">
        <f t="shared" si="80"/>
        <v>AUD 28.00</v>
      </c>
      <c r="F406" s="45">
        <f t="shared" si="80"/>
        <v>-0.63403476669716374</v>
      </c>
      <c r="G406" s="44" t="str">
        <f t="shared" si="80"/>
        <v>Neutral</v>
      </c>
      <c r="H406" s="46"/>
      <c r="I406" s="45">
        <f>MAQ!$D$24/MAQ!$D$23</f>
        <v>0.21946144545216734</v>
      </c>
      <c r="J406" s="45">
        <f>MAQ!$E$24/MAQ!$E$23</f>
        <v>0.22727403464492796</v>
      </c>
      <c r="K406" s="45">
        <f>MAQ!$F$24/MAQ!$F$23</f>
        <v>0.2396257525061008</v>
      </c>
      <c r="L406" s="45">
        <f>MAQ!$G$24/MAQ!$G$23</f>
        <v>0.24203192608785001</v>
      </c>
      <c r="M406" s="45">
        <f>L406-I406</f>
        <v>2.2570480635682677E-2</v>
      </c>
      <c r="N406" s="46"/>
      <c r="O406" s="45">
        <f>MAQ!$D$25/MAQ!$D$23</f>
        <v>1.783792918266457E-2</v>
      </c>
      <c r="P406" s="45">
        <f>MAQ!$E$25/MAQ!$E$23</f>
        <v>7.0989002613532179E-2</v>
      </c>
      <c r="Q406" s="45">
        <f>MAQ!$F$25/MAQ!$F$23</f>
        <v>9.6273421643928547E-2</v>
      </c>
      <c r="R406" s="45">
        <f>MAQ!$G$25/MAQ!$G$23</f>
        <v>0.12307762652106168</v>
      </c>
      <c r="S406" s="45">
        <f>R406-O406</f>
        <v>0.10523969733839711</v>
      </c>
      <c r="T406" s="46"/>
      <c r="U406" s="48" t="str">
        <f t="shared" si="81"/>
        <v>AUD 76.51</v>
      </c>
      <c r="V406" s="69" t="str">
        <f t="shared" si="81"/>
        <v>Macquarie Telecom</v>
      </c>
      <c r="W406" s="59"/>
      <c r="X406" s="59"/>
      <c r="Y406" s="59"/>
      <c r="Z406" s="4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row>
    <row r="407" spans="1:113">
      <c r="C407" s="48" t="str">
        <f t="shared" si="82"/>
        <v>Rakuten</v>
      </c>
      <c r="D407" s="44" t="str">
        <f t="shared" si="80"/>
        <v>JPY 946</v>
      </c>
      <c r="E407" s="44" t="str">
        <f t="shared" si="80"/>
        <v>JPY 400</v>
      </c>
      <c r="F407" s="45">
        <f t="shared" si="80"/>
        <v>-0.57734573119188504</v>
      </c>
      <c r="G407" s="44" t="str">
        <f t="shared" si="80"/>
        <v>Reduce</v>
      </c>
      <c r="H407" s="46"/>
      <c r="I407" s="45">
        <f>RAK!$D$24/RAK!$D$23</f>
        <v>7.1538611944585911E-2</v>
      </c>
      <c r="J407" s="45">
        <f>RAK!$E$24/RAK!$E$23</f>
        <v>8.4572359995416582E-2</v>
      </c>
      <c r="K407" s="45">
        <f>RAK!$F$24/RAK!$F$23</f>
        <v>0.10590715067526457</v>
      </c>
      <c r="L407" s="45">
        <f>RAK!$G$24/RAK!$G$23</f>
        <v>0.12741896922492438</v>
      </c>
      <c r="M407" s="45">
        <f>L407-I407</f>
        <v>5.5880357280338466E-2</v>
      </c>
      <c r="N407" s="46"/>
      <c r="O407" s="45">
        <f>RAK!$D$25/RAK!$D$23</f>
        <v>-0.11475560211749543</v>
      </c>
      <c r="P407" s="45">
        <f>RAK!$E$25/RAK!$E$23</f>
        <v>-3.6132291448547453E-2</v>
      </c>
      <c r="Q407" s="45">
        <f>RAK!$F$25/RAK!$F$23</f>
        <v>-1.3075307462182689E-3</v>
      </c>
      <c r="R407" s="45">
        <f>RAK!$G$25/RAK!$G$23</f>
        <v>2.0554793396110977E-3</v>
      </c>
      <c r="S407" s="45">
        <f>R407-O407</f>
        <v>0.11681108145710653</v>
      </c>
      <c r="T407" s="46"/>
      <c r="U407" s="48" t="str">
        <f t="shared" si="81"/>
        <v>JPY 946</v>
      </c>
      <c r="V407" s="44" t="str">
        <f t="shared" si="81"/>
        <v>Rakuten</v>
      </c>
      <c r="W407" s="59"/>
      <c r="X407" s="59"/>
      <c r="Y407" s="59"/>
      <c r="Z407" s="4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row>
    <row r="408" spans="1:113">
      <c r="C408" s="48" t="str">
        <f t="shared" si="82"/>
        <v>SoftBank KK (Corp)</v>
      </c>
      <c r="D408" s="44" t="str">
        <f t="shared" si="80"/>
        <v>JPY 1,996</v>
      </c>
      <c r="E408" s="44" t="str">
        <f t="shared" si="80"/>
        <v>JPY 2,700</v>
      </c>
      <c r="F408" s="45">
        <f t="shared" si="80"/>
        <v>0.35270541082164319</v>
      </c>
      <c r="G408" s="44" t="str">
        <f t="shared" si="80"/>
        <v>Buy</v>
      </c>
      <c r="H408" s="46"/>
      <c r="I408" s="45">
        <f>SBKK!$D$24/SBKK!$D$23</f>
        <v>0.27409598948060487</v>
      </c>
      <c r="J408" s="45">
        <f>SBKK!$E$24/SBKK!$E$23</f>
        <v>0.26452778340891386</v>
      </c>
      <c r="K408" s="45">
        <f>SBKK!$F$24/SBKK!$F$23</f>
        <v>0.26883371434097969</v>
      </c>
      <c r="L408" s="45">
        <f>SBKK!$G$24/SBKK!$G$23</f>
        <v>0.27058058705074844</v>
      </c>
      <c r="M408" s="45">
        <f t="shared" si="83"/>
        <v>-3.515402429856429E-3</v>
      </c>
      <c r="N408" s="46"/>
      <c r="O408" s="45">
        <f>SBKK!$D$25/SBKK!$D$23</f>
        <v>0.18333333333333332</v>
      </c>
      <c r="P408" s="45">
        <f>SBKK!$E$25/SBKK!$E$23</f>
        <v>0.17939793080139765</v>
      </c>
      <c r="Q408" s="45">
        <f>SBKK!$F$25/SBKK!$F$23</f>
        <v>0.19066564487919299</v>
      </c>
      <c r="R408" s="45">
        <f>SBKK!$G$25/SBKK!$G$23</f>
        <v>0.19576582316389488</v>
      </c>
      <c r="S408" s="45">
        <f t="shared" si="84"/>
        <v>1.2432489830561555E-2</v>
      </c>
      <c r="T408" s="46"/>
      <c r="U408" s="48" t="str">
        <f t="shared" si="81"/>
        <v>JPY 1,996</v>
      </c>
      <c r="V408" s="44" t="str">
        <f t="shared" si="81"/>
        <v>SoftBank KK (Corp)</v>
      </c>
      <c r="W408" s="59"/>
      <c r="X408" s="59"/>
      <c r="Y408" s="59"/>
      <c r="Z408" s="4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row>
    <row r="409" spans="1:113">
      <c r="A409" s="41"/>
      <c r="C409" s="48" t="str">
        <f t="shared" si="82"/>
        <v>TPG</v>
      </c>
      <c r="D409" s="44" t="str">
        <f t="shared" si="80"/>
        <v>AUD 4.99</v>
      </c>
      <c r="E409" s="44" t="str">
        <f t="shared" si="80"/>
        <v>AUD 7.50</v>
      </c>
      <c r="F409" s="45">
        <f t="shared" si="80"/>
        <v>0.50300601202404804</v>
      </c>
      <c r="G409" s="44" t="str">
        <f t="shared" si="80"/>
        <v>Neutral</v>
      </c>
      <c r="H409" s="46"/>
      <c r="I409" s="45">
        <f>TPG!$D$24/TPG!$D$23</f>
        <v>0.2550265618946374</v>
      </c>
      <c r="J409" s="45">
        <f>TPG!$E$24/TPG!$E$23</f>
        <v>0.23951893163457549</v>
      </c>
      <c r="K409" s="45">
        <f>TPG!$F$24/TPG!$F$23</f>
        <v>0.24091862532431282</v>
      </c>
      <c r="L409" s="45">
        <f>TPG!$G$24/TPG!$G$23</f>
        <v>0.24273300867273676</v>
      </c>
      <c r="M409" s="45">
        <f>L409-I409</f>
        <v>-1.2293553221900649E-2</v>
      </c>
      <c r="N409" s="46"/>
      <c r="O409" s="45">
        <f>TPG!$D$25/TPG!$D$23</f>
        <v>0.13555902671074502</v>
      </c>
      <c r="P409" s="45">
        <f>TPG!$E$25/TPG!$E$23</f>
        <v>0.13453046901025517</v>
      </c>
      <c r="Q409" s="45">
        <f>TPG!$F$25/TPG!$F$23</f>
        <v>0.13133944885584165</v>
      </c>
      <c r="R409" s="45">
        <f>TPG!$G$25/TPG!$G$23</f>
        <v>0.13450851994937038</v>
      </c>
      <c r="S409" s="45">
        <f>R409-O409</f>
        <v>-1.0505067613746366E-3</v>
      </c>
      <c r="T409" s="46"/>
      <c r="U409" s="48" t="str">
        <f t="shared" si="81"/>
        <v>AUD 4.99</v>
      </c>
      <c r="V409" s="44" t="str">
        <f t="shared" si="81"/>
        <v>TPG</v>
      </c>
      <c r="W409" s="59"/>
      <c r="X409" s="59"/>
      <c r="Y409" s="59"/>
      <c r="Z409" s="4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row>
    <row r="410" spans="1:113">
      <c r="C410" s="51" t="str">
        <f t="shared" si="82"/>
        <v>Agg. Developed Asia Other</v>
      </c>
      <c r="D410" s="52"/>
      <c r="E410" s="52"/>
      <c r="F410" s="53"/>
      <c r="G410" s="52"/>
      <c r="H410" s="46"/>
      <c r="I410" s="55">
        <f>'DM ASIA OTHER'!$D$24/'DM ASIA OTHER'!$D$23</f>
        <v>0.25095150644383696</v>
      </c>
      <c r="J410" s="55">
        <f>'DM ASIA OTHER'!$E$24/'DM ASIA OTHER'!$E$23</f>
        <v>0.25488608223860043</v>
      </c>
      <c r="K410" s="55">
        <f>'DM ASIA OTHER'!$F$24/'DM ASIA OTHER'!$F$23</f>
        <v>0.25923543473702043</v>
      </c>
      <c r="L410" s="55">
        <f>'DM ASIA OTHER'!$G$24/'DM ASIA OTHER'!$G$23</f>
        <v>0.26292748196329674</v>
      </c>
      <c r="M410" s="55">
        <f t="shared" si="83"/>
        <v>1.1975975519459781E-2</v>
      </c>
      <c r="N410" s="56"/>
      <c r="O410" s="55">
        <f>'DM ASIA OTHER'!$D$25/'DM ASIA OTHER'!$D$23</f>
        <v>0.13063276424806275</v>
      </c>
      <c r="P410" s="55">
        <f>'DM ASIA OTHER'!$E$25/'DM ASIA OTHER'!$E$23</f>
        <v>0.15635018523071192</v>
      </c>
      <c r="Q410" s="55">
        <f>'DM ASIA OTHER'!$F$25/'DM ASIA OTHER'!$F$23</f>
        <v>0.16564686118198371</v>
      </c>
      <c r="R410" s="55">
        <f>'DM ASIA OTHER'!$G$25/'DM ASIA OTHER'!$G$23</f>
        <v>0.16800040975962754</v>
      </c>
      <c r="S410" s="55">
        <f t="shared" si="84"/>
        <v>3.7367645511564795E-2</v>
      </c>
      <c r="T410" s="46"/>
      <c r="U410" s="57"/>
      <c r="V410" s="58" t="str">
        <f>V350</f>
        <v>Agg. Developed Asia Cellular</v>
      </c>
      <c r="W410" s="59"/>
      <c r="X410" s="59"/>
      <c r="Y410" s="59"/>
      <c r="Z410" s="4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row>
    <row r="411" spans="1:113">
      <c r="A411" s="41"/>
      <c r="C411" s="48"/>
      <c r="D411" s="44"/>
      <c r="E411" s="44"/>
      <c r="F411" s="45"/>
      <c r="G411" s="44"/>
      <c r="H411" s="46"/>
      <c r="I411" s="45"/>
      <c r="J411" s="45"/>
      <c r="K411" s="45"/>
      <c r="L411" s="45"/>
      <c r="M411" s="45"/>
      <c r="N411" s="46"/>
      <c r="O411" s="45"/>
      <c r="P411" s="45"/>
      <c r="Q411" s="45"/>
      <c r="R411" s="45"/>
      <c r="S411" s="45"/>
      <c r="T411" s="46"/>
      <c r="U411" s="48"/>
      <c r="V411" s="44"/>
      <c r="W411" s="59"/>
      <c r="X411" s="59"/>
      <c r="Y411" s="59"/>
      <c r="Z411" s="4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row>
    <row r="412" spans="1:113">
      <c r="A412" s="41"/>
      <c r="B412" s="42" t="s">
        <v>514</v>
      </c>
      <c r="C412" s="48" t="str">
        <f>C352</f>
        <v>Altice US</v>
      </c>
      <c r="D412" s="44" t="str">
        <f>D352</f>
        <v>US$2.1</v>
      </c>
      <c r="E412" s="44" t="str">
        <f>E352</f>
        <v>US$4.0</v>
      </c>
      <c r="F412" s="45">
        <f>F352</f>
        <v>0.86915887850467288</v>
      </c>
      <c r="G412" s="44" t="str">
        <f>G352</f>
        <v>Neutral</v>
      </c>
      <c r="H412" s="46"/>
      <c r="I412" s="45">
        <f>(ATCUS!D$24/ATCUS!D$23)</f>
        <v>0.39069665426157046</v>
      </c>
      <c r="J412" s="45">
        <f>(ATCUS!E$24/ATCUS!E$23)</f>
        <v>0.39069331073505481</v>
      </c>
      <c r="K412" s="45">
        <f>(ATCUS!F$24/ATCUS!F$23)</f>
        <v>0.38588049472686481</v>
      </c>
      <c r="L412" s="45">
        <f>(ATCUS!G$24/ATCUS!G$23)</f>
        <v>0.38688330828388429</v>
      </c>
      <c r="M412" s="45">
        <f t="shared" ref="M412:M417" si="85">L412-I412</f>
        <v>-3.8133459776861778E-3</v>
      </c>
      <c r="N412" s="46"/>
      <c r="O412" s="45">
        <f>(ATCUS!D$25/ATCUS!D$23)</f>
        <v>0.20613465490766325</v>
      </c>
      <c r="P412" s="45">
        <f>(ATCUS!E$25/ATCUS!E$23)</f>
        <v>0.20872086323012928</v>
      </c>
      <c r="Q412" s="45">
        <f>(ATCUS!F$25/ATCUS!F$23)</f>
        <v>0.21697304788631896</v>
      </c>
      <c r="R412" s="45">
        <f>(ATCUS!G$25/ATCUS!G$23)</f>
        <v>0.23106272758194416</v>
      </c>
      <c r="S412" s="45">
        <f t="shared" ref="S412:S417" si="86">R412-O412</f>
        <v>2.4928072674280904E-2</v>
      </c>
      <c r="T412" s="46"/>
      <c r="U412" s="48" t="str">
        <f>D412</f>
        <v>US$2.1</v>
      </c>
      <c r="V412" s="44" t="str">
        <f>C412</f>
        <v>Altice US</v>
      </c>
      <c r="W412" s="59"/>
      <c r="X412" s="59"/>
      <c r="Y412" s="59"/>
      <c r="Z412" s="4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row>
    <row r="413" spans="1:113">
      <c r="A413" s="41"/>
      <c r="B413" s="42" t="s">
        <v>514</v>
      </c>
      <c r="C413" s="48" t="s">
        <v>306</v>
      </c>
      <c r="D413" s="44" t="str">
        <f>B413&amp;TEXT(Prices!$C$45,"0.0")</f>
        <v>US$330.8</v>
      </c>
      <c r="E413" s="44" t="str">
        <f>B413&amp;TEXT(Prices!$E$45,"0.0")</f>
        <v>US$581.0</v>
      </c>
      <c r="F413" s="45">
        <f>Prices!$F$45</f>
        <v>0.75645444101819947</v>
      </c>
      <c r="G413" s="44" t="str">
        <f>Prices!$D$45</f>
        <v>Buy</v>
      </c>
      <c r="H413" s="46"/>
      <c r="I413" s="45">
        <f>(CHTR!D$24/CHTR!D$23)</f>
        <v>0.40093760873148132</v>
      </c>
      <c r="J413" s="45">
        <f>(CHTR!E$24/CHTR!E$23)</f>
        <v>0.40691163177323347</v>
      </c>
      <c r="K413" s="45">
        <f>(CHTR!F$24/CHTR!F$23)</f>
        <v>0.41007258856609002</v>
      </c>
      <c r="L413" s="45">
        <f>(CHTR!G$24/CHTR!G$23)</f>
        <v>0.41696377070962709</v>
      </c>
      <c r="M413" s="45">
        <f t="shared" si="85"/>
        <v>1.602616197814577E-2</v>
      </c>
      <c r="N413" s="46"/>
      <c r="O413" s="45">
        <f>(CHTR!D$25/CHTR!D$23)</f>
        <v>0.19739227571556761</v>
      </c>
      <c r="P413" s="45">
        <f>(CHTR!E$25/CHTR!E$23)</f>
        <v>0.18433836855493624</v>
      </c>
      <c r="Q413" s="45">
        <f>(CHTR!F$25/CHTR!F$23)</f>
        <v>0.18588953224463756</v>
      </c>
      <c r="R413" s="45">
        <f>(CHTR!G$25/CHTR!G$23)</f>
        <v>0.22045767678637529</v>
      </c>
      <c r="S413" s="45">
        <f t="shared" si="86"/>
        <v>2.3065401070807678E-2</v>
      </c>
      <c r="T413" s="46"/>
      <c r="U413" s="48" t="str">
        <f>D413</f>
        <v>US$330.8</v>
      </c>
      <c r="V413" s="44" t="str">
        <f>C413</f>
        <v>Charter</v>
      </c>
      <c r="W413" s="59"/>
      <c r="X413" s="59"/>
      <c r="Y413" s="59"/>
      <c r="Z413" s="4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row>
    <row r="414" spans="1:113">
      <c r="A414" s="41"/>
      <c r="B414" s="42" t="s">
        <v>514</v>
      </c>
      <c r="C414" s="48" t="s">
        <v>304</v>
      </c>
      <c r="D414" s="44" t="str">
        <f>B414&amp;TEXT(Prices!$C$46,"0.0")</f>
        <v>US$39.8</v>
      </c>
      <c r="E414" s="44" t="str">
        <f>B414&amp;TEXT(Prices!$E$46,"0.0")</f>
        <v>US$50.0</v>
      </c>
      <c r="F414" s="45">
        <f>Prices!$F$46</f>
        <v>0.25628140703517599</v>
      </c>
      <c r="G414" s="44" t="str">
        <f>Prices!$D$46</f>
        <v>Buy</v>
      </c>
      <c r="H414" s="46"/>
      <c r="I414" s="45">
        <f>(CMCSA!D$24/CMCSA!D$23)</f>
        <v>0.30955513932918166</v>
      </c>
      <c r="J414" s="45">
        <f>(CMCSA!E$24/CMCSA!E$23)</f>
        <v>0.31279778225482874</v>
      </c>
      <c r="K414" s="45">
        <f>(CMCSA!F$24/CMCSA!F$23)</f>
        <v>0.32169536414950373</v>
      </c>
      <c r="L414" s="45">
        <f>(CMCSA!G$24/CMCSA!G$23)</f>
        <v>0.33106051090177163</v>
      </c>
      <c r="M414" s="45">
        <f t="shared" si="85"/>
        <v>2.1505371572589971E-2</v>
      </c>
      <c r="N414" s="46"/>
      <c r="O414" s="45">
        <f>(CMCSA!D$25/CMCSA!D$23)</f>
        <v>0.20887175858355575</v>
      </c>
      <c r="P414" s="45">
        <f>(CMCSA!E$25/CMCSA!E$23)</f>
        <v>0.21583304594821151</v>
      </c>
      <c r="Q414" s="45">
        <f>(CMCSA!F$25/CMCSA!F$23)</f>
        <v>0.23316889677911556</v>
      </c>
      <c r="R414" s="45">
        <f>(CMCSA!G$25/CMCSA!G$23)</f>
        <v>0.25461733574986362</v>
      </c>
      <c r="S414" s="45">
        <f t="shared" si="86"/>
        <v>4.5745577166307866E-2</v>
      </c>
      <c r="T414" s="46"/>
      <c r="U414" s="48" t="str">
        <f>D414</f>
        <v>US$39.8</v>
      </c>
      <c r="V414" s="44" t="str">
        <f>C414</f>
        <v>Comcast</v>
      </c>
      <c r="W414" s="59"/>
      <c r="X414" s="59"/>
      <c r="Y414" s="59"/>
      <c r="Z414" s="4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row>
    <row r="415" spans="1:113" s="5" customFormat="1">
      <c r="A415" s="41"/>
      <c r="B415" s="42" t="s">
        <v>522</v>
      </c>
      <c r="C415" s="48" t="s">
        <v>1602</v>
      </c>
      <c r="D415" s="44" t="str">
        <f>B415&amp;TEXT(Prices!C$47,"0.00")</f>
        <v>US$ 35.00</v>
      </c>
      <c r="E415" s="44" t="str">
        <f>B415&amp;TEXT(Prices!E$47,"0.00")</f>
        <v>US$ 54.00</v>
      </c>
      <c r="F415" s="45">
        <f>Prices!F$47</f>
        <v>0.54285714285714293</v>
      </c>
      <c r="G415" s="44" t="str">
        <f>Prices!D$47</f>
        <v>Buy</v>
      </c>
      <c r="H415" s="46"/>
      <c r="I415" s="45">
        <f>(FYBR!D$24/FYBR!D$23)</f>
        <v>0.36984872196139801</v>
      </c>
      <c r="J415" s="45">
        <f>(FYBR!E$24/FYBR!E$23)</f>
        <v>0.37874611877097475</v>
      </c>
      <c r="K415" s="45">
        <f>(FYBR!F$24/FYBR!F$23)</f>
        <v>0.38850186881422261</v>
      </c>
      <c r="L415" s="45">
        <f>(FYBR!G$24/FYBR!G$23)</f>
        <v>0.3869260337479124</v>
      </c>
      <c r="M415" s="45">
        <f t="shared" si="85"/>
        <v>1.7077311786514393E-2</v>
      </c>
      <c r="N415" s="46"/>
      <c r="O415" s="45">
        <f>(FYBR!D$25/FYBR!D$23)</f>
        <v>-0.18848895844201008</v>
      </c>
      <c r="P415" s="45">
        <f>(FYBR!E$25/FYBR!E$23)</f>
        <v>-0.37631821654668796</v>
      </c>
      <c r="Q415" s="45">
        <f>(FYBR!F$25/FYBR!F$23)</f>
        <v>-0.28390687644983192</v>
      </c>
      <c r="R415" s="45">
        <f>(FYBR!G$25/FYBR!G$23)</f>
        <v>-4.6169748700264628E-2</v>
      </c>
      <c r="S415" s="45">
        <f t="shared" si="86"/>
        <v>0.14231920974174544</v>
      </c>
      <c r="T415" s="46"/>
      <c r="U415" s="48" t="str">
        <f>D415</f>
        <v>US$ 35.00</v>
      </c>
      <c r="V415" s="44" t="str">
        <f>C415</f>
        <v>Frontier</v>
      </c>
      <c r="W415" s="59"/>
      <c r="X415" s="59"/>
      <c r="Y415" s="59"/>
      <c r="Z415" s="49"/>
    </row>
    <row r="416" spans="1:113" s="5" customFormat="1">
      <c r="A416" s="41"/>
      <c r="B416" s="42" t="s">
        <v>522</v>
      </c>
      <c r="C416" s="48" t="s">
        <v>1603</v>
      </c>
      <c r="D416" s="44" t="str">
        <f>B416&amp;TEXT(Prices!C$48,"0.00")</f>
        <v>US$ 22.28</v>
      </c>
      <c r="E416" s="44" t="str">
        <f>B416&amp;TEXT(Prices!E$48,"0.00")</f>
        <v>US$ 100.00</v>
      </c>
      <c r="F416" s="45">
        <f>Prices!F$48</f>
        <v>3.4883303411131061</v>
      </c>
      <c r="G416" s="44" t="str">
        <f>Prices!D$48</f>
        <v>Buy</v>
      </c>
      <c r="H416" s="46"/>
      <c r="I416" s="45">
        <f>(SATS!D$24/SATS!D$23)</f>
        <v>9.4370799756765905E-2</v>
      </c>
      <c r="J416" s="45">
        <f>(SATS!E$24/SATS!E$23)</f>
        <v>0.12980795541709708</v>
      </c>
      <c r="K416" s="45">
        <f>(SATS!F$24/SATS!F$23)</f>
        <v>0.15533989703765375</v>
      </c>
      <c r="L416" s="45">
        <f>(SATS!G$24/SATS!G$23)</f>
        <v>0.17705929543996624</v>
      </c>
      <c r="M416" s="45">
        <f t="shared" si="85"/>
        <v>8.268849568320033E-2</v>
      </c>
      <c r="N416" s="46"/>
      <c r="O416" s="45">
        <f>(SATS!D$25/SATS!D$23)</f>
        <v>-7.7567484603178763E-2</v>
      </c>
      <c r="P416" s="45">
        <f>(SATS!E$25/SATS!E$23)</f>
        <v>6.4806278450659033E-2</v>
      </c>
      <c r="Q416" s="45">
        <f>(SATS!F$25/SATS!F$23)</f>
        <v>8.6792955037391054E-2</v>
      </c>
      <c r="R416" s="45">
        <f>(SATS!G$25/SATS!G$23)</f>
        <v>0.12914997050236299</v>
      </c>
      <c r="S416" s="45">
        <f t="shared" si="86"/>
        <v>0.20671745510554174</v>
      </c>
      <c r="T416" s="46"/>
      <c r="U416" s="48" t="str">
        <f>D416</f>
        <v>US$ 22.28</v>
      </c>
      <c r="V416" s="44" t="str">
        <f>C416</f>
        <v>EchoStar</v>
      </c>
      <c r="W416" s="59"/>
      <c r="X416" s="59"/>
      <c r="Y416" s="59"/>
      <c r="Z416" s="49"/>
    </row>
    <row r="417" spans="1:113">
      <c r="A417" s="41"/>
      <c r="C417" s="51" t="str">
        <f>C357</f>
        <v>Agg. US Other</v>
      </c>
      <c r="D417" s="58"/>
      <c r="E417" s="58"/>
      <c r="F417" s="55"/>
      <c r="G417" s="58"/>
      <c r="H417" s="56"/>
      <c r="I417" s="55">
        <f>('US OTHER'!D$24/'US OTHER'!D$23)</f>
        <v>0.3211646015118893</v>
      </c>
      <c r="J417" s="55">
        <f>('US OTHER'!E$24/'US OTHER'!E$23)</f>
        <v>0.32695269026283263</v>
      </c>
      <c r="K417" s="55">
        <f>('US OTHER'!F$24/'US OTHER'!F$23)</f>
        <v>0.33461300185937498</v>
      </c>
      <c r="L417" s="55">
        <f>('US OTHER'!G$24/'US OTHER'!G$23)</f>
        <v>0.34378304305261248</v>
      </c>
      <c r="M417" s="55">
        <f t="shared" si="85"/>
        <v>2.2618441540723178E-2</v>
      </c>
      <c r="N417" s="56"/>
      <c r="O417" s="55">
        <f>('US OTHER'!D$25/'US OTHER'!D$23)</f>
        <v>0.17130825692306995</v>
      </c>
      <c r="P417" s="55">
        <f>('US OTHER'!E$25/'US OTHER'!E$23)</f>
        <v>0.19082367636308578</v>
      </c>
      <c r="Q417" s="55">
        <f>('US OTHER'!F$25/'US OTHER'!F$23)</f>
        <v>0.20412033101761604</v>
      </c>
      <c r="R417" s="55">
        <f>('US OTHER'!G$25/'US OTHER'!G$23)</f>
        <v>0.23186552483325548</v>
      </c>
      <c r="S417" s="55">
        <f t="shared" si="86"/>
        <v>6.0557267910185536E-2</v>
      </c>
      <c r="T417" s="56"/>
      <c r="U417" s="51"/>
      <c r="V417" s="58" t="str">
        <f>V357</f>
        <v>Agg. US CATV</v>
      </c>
      <c r="W417" s="59"/>
      <c r="X417" s="59"/>
      <c r="Y417" s="59"/>
      <c r="Z417" s="4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row>
    <row r="418" spans="1:113">
      <c r="A418" s="41"/>
      <c r="C418" s="48"/>
      <c r="D418" s="44"/>
      <c r="E418" s="44"/>
      <c r="F418" s="45"/>
      <c r="G418" s="44"/>
      <c r="H418" s="46"/>
      <c r="I418" s="45"/>
      <c r="J418" s="45"/>
      <c r="K418" s="45"/>
      <c r="L418" s="45"/>
      <c r="M418" s="45"/>
      <c r="N418" s="46"/>
      <c r="O418" s="45"/>
      <c r="P418" s="45"/>
      <c r="Q418" s="45"/>
      <c r="R418" s="45"/>
      <c r="S418" s="45"/>
      <c r="T418" s="46"/>
      <c r="U418" s="48"/>
      <c r="V418" s="44"/>
      <c r="W418" s="59"/>
      <c r="X418" s="59"/>
      <c r="Y418" s="59"/>
      <c r="Z418" s="4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row>
    <row r="419" spans="1:113" s="5" customFormat="1">
      <c r="A419" s="146"/>
      <c r="B419" s="42"/>
      <c r="C419" s="48"/>
      <c r="D419" s="44"/>
      <c r="E419" s="44"/>
      <c r="F419" s="45"/>
      <c r="G419" s="44"/>
      <c r="H419" s="46"/>
      <c r="I419" s="45"/>
      <c r="J419" s="45"/>
      <c r="K419" s="45"/>
      <c r="L419" s="45"/>
      <c r="M419" s="45"/>
      <c r="N419" s="46"/>
      <c r="O419" s="45"/>
      <c r="P419" s="45"/>
      <c r="Q419" s="45"/>
      <c r="R419" s="45"/>
      <c r="S419" s="45"/>
      <c r="T419" s="46"/>
      <c r="U419" s="48"/>
      <c r="V419" s="44"/>
      <c r="W419" s="59"/>
      <c r="X419" s="59"/>
      <c r="Y419" s="59"/>
      <c r="Z419" s="49"/>
    </row>
    <row r="420" spans="1:113" s="5" customFormat="1">
      <c r="A420" s="146"/>
      <c r="B420" s="42"/>
      <c r="C420" s="51" t="str">
        <f>C360</f>
        <v>Agg. W Europe</v>
      </c>
      <c r="D420" s="52"/>
      <c r="E420" s="52"/>
      <c r="F420" s="53"/>
      <c r="G420" s="52"/>
      <c r="H420" s="46"/>
      <c r="I420" s="55">
        <f>'W.EUR AGG'!$D$24/'W.EUR AGG'!$D$23</f>
        <v>0.34592355845290446</v>
      </c>
      <c r="J420" s="55">
        <f>'W.EUR AGG'!$E$24/'W.EUR AGG'!$E$23</f>
        <v>0.34274013370165751</v>
      </c>
      <c r="K420" s="55">
        <f>'W.EUR AGG'!$F$24/'W.EUR AGG'!$F$23</f>
        <v>0.35090395978847611</v>
      </c>
      <c r="L420" s="55">
        <f>'W.EUR AGG'!$G$24/'W.EUR AGG'!$G$23</f>
        <v>0.35712775200362096</v>
      </c>
      <c r="M420" s="55">
        <f>L420-I420</f>
        <v>1.1204193550716501E-2</v>
      </c>
      <c r="N420" s="56"/>
      <c r="O420" s="55">
        <f>'W.EUR AGG'!$D$25/'W.EUR AGG'!$D$23</f>
        <v>0.15921385368924157</v>
      </c>
      <c r="P420" s="55">
        <f>'W.EUR AGG'!$E$25/'W.EUR AGG'!$E$23</f>
        <v>0.16760041828177516</v>
      </c>
      <c r="Q420" s="55">
        <f>'W.EUR AGG'!$F$25/'W.EUR AGG'!$F$23</f>
        <v>0.17900238830999413</v>
      </c>
      <c r="R420" s="55">
        <f>'W.EUR AGG'!$G$25/'W.EUR AGG'!$G$23</f>
        <v>0.19198495525499057</v>
      </c>
      <c r="S420" s="55">
        <f>R420-O420</f>
        <v>3.2771101565749E-2</v>
      </c>
      <c r="T420" s="46"/>
      <c r="U420" s="57"/>
      <c r="V420" s="58" t="str">
        <f>V360</f>
        <v>Agg. W Europe</v>
      </c>
      <c r="W420" s="59"/>
      <c r="X420" s="59"/>
      <c r="Y420" s="59"/>
      <c r="Z420" s="49"/>
      <c r="AB420" s="63"/>
    </row>
    <row r="421" spans="1:113" s="5" customFormat="1">
      <c r="A421" s="146"/>
      <c r="B421" s="42"/>
      <c r="C421" s="41" t="s">
        <v>1608</v>
      </c>
      <c r="D421" s="44"/>
      <c r="E421" s="44"/>
      <c r="F421" s="45"/>
      <c r="G421" s="44"/>
      <c r="H421" s="46"/>
      <c r="I421" s="59">
        <f>'US AGG'!D$24/'US AGG'!D$23</f>
        <v>0.35548641176202622</v>
      </c>
      <c r="J421" s="59">
        <f>'US AGG'!E$24/'US AGG'!E$23</f>
        <v>0.36308030106702049</v>
      </c>
      <c r="K421" s="59">
        <f>'US AGG'!F$24/'US AGG'!F$23</f>
        <v>0.36784222720898196</v>
      </c>
      <c r="L421" s="59">
        <f>'US AGG'!G$24/'US AGG'!G$23</f>
        <v>0.37274094205282843</v>
      </c>
      <c r="M421" s="59">
        <f>L421-I421</f>
        <v>1.7254530290802206E-2</v>
      </c>
      <c r="N421" s="56"/>
      <c r="O421" s="59">
        <f>'US AGG'!D$25/'US AGG'!D$23</f>
        <v>0.2013643740256493</v>
      </c>
      <c r="P421" s="59">
        <f>'US AGG'!E$25/'US AGG'!E$23</f>
        <v>0.22355318787887205</v>
      </c>
      <c r="Q421" s="59">
        <f>'US AGG'!F$25/'US AGG'!F$23</f>
        <v>0.2330119382259275</v>
      </c>
      <c r="R421" s="59">
        <f>'US AGG'!G$25/'US AGG'!G$23</f>
        <v>0.24637578634572685</v>
      </c>
      <c r="S421" s="59">
        <f>R421-O421</f>
        <v>4.5011412320077548E-2</v>
      </c>
      <c r="T421" s="46"/>
      <c r="U421" s="48"/>
      <c r="V421" s="50" t="str">
        <f>V361</f>
        <v>Agg. US</v>
      </c>
      <c r="W421" s="59"/>
      <c r="X421" s="59"/>
      <c r="Y421" s="59"/>
      <c r="Z421" s="49"/>
    </row>
    <row r="422" spans="1:113" s="5" customFormat="1">
      <c r="A422" s="146"/>
      <c r="B422" s="42"/>
      <c r="C422" s="67" t="str">
        <f>C362</f>
        <v xml:space="preserve">Agg. Developed Asia </v>
      </c>
      <c r="D422" s="52"/>
      <c r="E422" s="52"/>
      <c r="F422" s="53"/>
      <c r="G422" s="52"/>
      <c r="H422" s="46"/>
      <c r="I422" s="55">
        <f>'AGG DM ASIA'!$D$24/'AGG DM ASIA'!$D$23</f>
        <v>0.26148185415997321</v>
      </c>
      <c r="J422" s="55">
        <f>'AGG DM ASIA'!$E$24/'AGG DM ASIA'!$E$23</f>
        <v>0.261174557435917</v>
      </c>
      <c r="K422" s="55">
        <f>'AGG DM ASIA'!$F$24/'AGG DM ASIA'!$F$23</f>
        <v>0.27169316076248218</v>
      </c>
      <c r="L422" s="55">
        <f>'AGG DM ASIA'!$G$24/'AGG DM ASIA'!$G$23</f>
        <v>0.2739661516525122</v>
      </c>
      <c r="M422" s="55">
        <f>L422-I422</f>
        <v>1.2484297492538987E-2</v>
      </c>
      <c r="N422" s="56"/>
      <c r="O422" s="55">
        <f>'AGG DM ASIA'!$D$25/'AGG DM ASIA'!$D$23</f>
        <v>0.12761579498073733</v>
      </c>
      <c r="P422" s="55">
        <f>'AGG DM ASIA'!$E$25/'AGG DM ASIA'!$E$23</f>
        <v>0.13606474766767768</v>
      </c>
      <c r="Q422" s="55">
        <f>'AGG DM ASIA'!$F$25/'AGG DM ASIA'!$F$23</f>
        <v>0.15400729484898618</v>
      </c>
      <c r="R422" s="55">
        <f>'AGG DM ASIA'!$G$25/'AGG DM ASIA'!$G$23</f>
        <v>0.15698288653037845</v>
      </c>
      <c r="S422" s="55">
        <f>R422-O422</f>
        <v>2.9367091549641122E-2</v>
      </c>
      <c r="T422" s="46"/>
      <c r="U422" s="57"/>
      <c r="V422" s="58" t="str">
        <f>V362</f>
        <v xml:space="preserve">Agg. Developed Asia </v>
      </c>
      <c r="W422" s="59"/>
      <c r="X422" s="59"/>
      <c r="Y422" s="59"/>
      <c r="Z422" s="49"/>
    </row>
    <row r="423" spans="1:113" s="5" customFormat="1">
      <c r="A423" s="146"/>
      <c r="B423" s="42"/>
      <c r="C423" s="41"/>
      <c r="D423" s="44"/>
      <c r="E423" s="44"/>
      <c r="F423" s="45"/>
      <c r="G423" s="44"/>
      <c r="H423" s="46"/>
      <c r="I423" s="59"/>
      <c r="J423" s="59"/>
      <c r="K423" s="59"/>
      <c r="L423" s="59"/>
      <c r="M423" s="59"/>
      <c r="N423" s="56"/>
      <c r="O423" s="59"/>
      <c r="P423" s="59"/>
      <c r="Q423" s="59"/>
      <c r="R423" s="59"/>
      <c r="S423" s="59"/>
      <c r="T423" s="46"/>
      <c r="U423" s="48"/>
      <c r="V423" s="50"/>
      <c r="W423" s="59"/>
      <c r="X423" s="59"/>
      <c r="Y423" s="59"/>
      <c r="Z423" s="49"/>
    </row>
    <row r="424" spans="1:113" s="5" customFormat="1">
      <c r="A424" s="146"/>
      <c r="B424" s="42"/>
      <c r="C424" s="67" t="str">
        <f>C364</f>
        <v>Agg. Global Developed</v>
      </c>
      <c r="D424" s="52"/>
      <c r="E424" s="52"/>
      <c r="F424" s="53"/>
      <c r="G424" s="52"/>
      <c r="H424" s="46"/>
      <c r="I424" s="55">
        <f>'AGG DM'!$D$24/'AGG DM'!$D$23</f>
        <v>0.33384190101043953</v>
      </c>
      <c r="J424" s="55">
        <f>'AGG DM'!$E$24/'AGG DM'!$E$23</f>
        <v>0.33626230236981425</v>
      </c>
      <c r="K424" s="55">
        <f>'AGG DM'!$F$24/'AGG DM'!$F$23</f>
        <v>0.34284263618031519</v>
      </c>
      <c r="L424" s="55">
        <f>'AGG DM'!$G$24/'AGG DM'!$G$23</f>
        <v>0.34731659083996413</v>
      </c>
      <c r="M424" s="55">
        <f>L424-I424</f>
        <v>1.34746898295246E-2</v>
      </c>
      <c r="N424" s="56"/>
      <c r="O424" s="55">
        <f>'AGG DM'!$D$25/'AGG DM'!$D$23</f>
        <v>0.17323320839795772</v>
      </c>
      <c r="P424" s="55">
        <f>'AGG DM'!$E$25/'AGG DM'!$E$23</f>
        <v>0.18801947879836609</v>
      </c>
      <c r="Q424" s="55">
        <f>'AGG DM'!$F$25/'AGG DM'!$F$23</f>
        <v>0.19950603674560885</v>
      </c>
      <c r="R424" s="55">
        <f>'AGG DM'!$G$25/'AGG DM'!$G$23</f>
        <v>0.21043842346454933</v>
      </c>
      <c r="S424" s="55">
        <f>R424-O424</f>
        <v>3.7205215066591607E-2</v>
      </c>
      <c r="T424" s="46"/>
      <c r="U424" s="57"/>
      <c r="V424" s="58" t="str">
        <f>V364</f>
        <v xml:space="preserve">Agg. Global Developed </v>
      </c>
      <c r="W424" s="59"/>
      <c r="X424" s="59"/>
      <c r="Y424" s="59"/>
      <c r="Z424" s="49"/>
    </row>
    <row r="425" spans="1:113" s="5" customFormat="1">
      <c r="A425" s="146"/>
      <c r="B425" s="42"/>
      <c r="C425" s="41"/>
      <c r="D425" s="44"/>
      <c r="E425" s="44"/>
      <c r="F425" s="45"/>
      <c r="G425" s="44"/>
      <c r="H425" s="46"/>
      <c r="I425" s="59"/>
      <c r="J425" s="59"/>
      <c r="K425" s="59"/>
      <c r="L425" s="59"/>
      <c r="M425" s="72"/>
      <c r="N425" s="73"/>
      <c r="O425" s="59"/>
      <c r="P425" s="59"/>
      <c r="Q425" s="59"/>
      <c r="R425" s="59"/>
      <c r="S425" s="59"/>
      <c r="T425" s="46"/>
      <c r="U425" s="48"/>
      <c r="V425" s="50"/>
      <c r="W425" s="59"/>
      <c r="X425" s="59"/>
      <c r="Y425" s="59"/>
      <c r="Z425" s="49"/>
    </row>
    <row r="426" spans="1:113" s="5" customFormat="1">
      <c r="A426" s="146"/>
      <c r="B426" s="42"/>
      <c r="C426" s="41"/>
      <c r="D426" s="44"/>
      <c r="E426" s="44"/>
      <c r="F426" s="45"/>
      <c r="G426" s="44"/>
      <c r="H426" s="46"/>
      <c r="I426" s="59"/>
      <c r="J426" s="59"/>
      <c r="K426" s="59"/>
      <c r="L426" s="59"/>
      <c r="M426" s="72"/>
      <c r="N426" s="73"/>
      <c r="O426" s="59"/>
      <c r="P426" s="59"/>
      <c r="Q426" s="59"/>
      <c r="R426" s="59"/>
      <c r="S426" s="59"/>
      <c r="T426" s="46"/>
      <c r="U426" s="48"/>
      <c r="V426" s="50"/>
      <c r="W426" s="59"/>
      <c r="X426" s="59"/>
      <c r="Y426" s="59"/>
      <c r="Z426" s="49"/>
    </row>
    <row r="427" spans="1:113" s="41" customFormat="1">
      <c r="B427" s="147"/>
      <c r="C427" s="164"/>
      <c r="D427" s="165" t="s">
        <v>459</v>
      </c>
      <c r="E427" s="165" t="s">
        <v>56</v>
      </c>
      <c r="F427" s="165" t="s">
        <v>58</v>
      </c>
      <c r="G427" s="165" t="s">
        <v>55</v>
      </c>
      <c r="H427" s="49"/>
      <c r="I427" s="166" t="s">
        <v>467</v>
      </c>
      <c r="J427" s="166"/>
      <c r="K427" s="166"/>
      <c r="L427" s="166"/>
      <c r="M427" s="166"/>
      <c r="O427" s="166" t="s">
        <v>284</v>
      </c>
      <c r="P427" s="166"/>
      <c r="Q427" s="166"/>
      <c r="R427" s="166"/>
      <c r="S427" s="166"/>
      <c r="T427" s="49"/>
      <c r="U427" s="167" t="s">
        <v>459</v>
      </c>
      <c r="V427" s="165"/>
      <c r="Z427" s="49"/>
      <c r="AC427" s="135"/>
      <c r="AD427" s="136"/>
      <c r="AE427" s="136"/>
      <c r="AF427" s="136"/>
      <c r="AG427" s="136"/>
      <c r="AH427" s="136"/>
      <c r="AI427" s="136"/>
      <c r="AJ427" s="136"/>
      <c r="AK427" s="136"/>
      <c r="AL427" s="136"/>
      <c r="AM427" s="136"/>
      <c r="AN427" s="136"/>
      <c r="AO427" s="136"/>
      <c r="AP427" s="136"/>
      <c r="AQ427" s="136"/>
      <c r="AR427" s="136"/>
      <c r="AS427" s="136"/>
      <c r="AT427" s="136"/>
      <c r="AU427" s="136"/>
      <c r="AV427" s="136"/>
      <c r="AW427" s="136"/>
      <c r="BC427" s="137"/>
      <c r="BD427" s="137"/>
      <c r="BE427" s="137"/>
      <c r="BG427" s="137"/>
      <c r="BH427" s="137"/>
      <c r="BI427" s="137"/>
      <c r="BK427" s="137"/>
      <c r="BL427" s="137"/>
      <c r="BM427" s="137"/>
      <c r="BO427" s="137"/>
      <c r="BP427" s="137"/>
      <c r="BQ427" s="137"/>
    </row>
    <row r="428" spans="1:113" s="5" customFormat="1">
      <c r="A428" s="41" t="s">
        <v>501</v>
      </c>
      <c r="B428" s="42"/>
      <c r="C428" s="48" t="s">
        <v>182</v>
      </c>
      <c r="D428" s="44" t="str">
        <f t="shared" ref="D428:G438" si="87">D368</f>
        <v>GBP1.44</v>
      </c>
      <c r="E428" s="44" t="str">
        <f t="shared" si="87"/>
        <v>GBP2.30</v>
      </c>
      <c r="F428" s="45">
        <f t="shared" si="87"/>
        <v>0.59777700590482818</v>
      </c>
      <c r="G428" s="44" t="str">
        <f t="shared" si="87"/>
        <v>Buy</v>
      </c>
      <c r="H428" s="46"/>
      <c r="I428" s="45">
        <f>BT!$D$30/BT!$D$23</f>
        <v>8.2996970503509376E-2</v>
      </c>
      <c r="J428" s="45">
        <f>BT!$E$30/BT!$E$23</f>
        <v>7.1983705482168758E-2</v>
      </c>
      <c r="K428" s="45">
        <f>BT!$F$30/BT!$F$23</f>
        <v>7.0109071547593882E-2</v>
      </c>
      <c r="L428" s="45">
        <f>BT!$G$30/BT!$G$23</f>
        <v>7.3073766057745418E-2</v>
      </c>
      <c r="M428" s="45">
        <f t="shared" ref="M428:M439" si="88">L428-I428</f>
        <v>-9.9232044457639584E-3</v>
      </c>
      <c r="N428" s="46"/>
      <c r="O428" s="47">
        <f>BT!$D$12/BT!$D$24</f>
        <v>2.065415244596132</v>
      </c>
      <c r="P428" s="47">
        <f>BT!$E$12/BT!$E$24</f>
        <v>2.132919337014834</v>
      </c>
      <c r="Q428" s="47">
        <f>BT!$F$12/BT!$F$24</f>
        <v>2.1642419969478652</v>
      </c>
      <c r="R428" s="47">
        <f>BT!$G$12/BT!$G$24</f>
        <v>2.1503843491354684</v>
      </c>
      <c r="S428" s="45">
        <f t="shared" ref="S428:S439" si="89">R428-O428</f>
        <v>8.4969104539336371E-2</v>
      </c>
      <c r="T428" s="46"/>
      <c r="U428" s="48" t="str">
        <f t="shared" ref="U428:U438" si="90">U368</f>
        <v>GBP1.44</v>
      </c>
      <c r="V428" s="69" t="str">
        <f>C428</f>
        <v>British Telecom</v>
      </c>
      <c r="W428" s="59"/>
      <c r="X428" s="59"/>
      <c r="Y428" s="59"/>
      <c r="Z428" s="49"/>
    </row>
    <row r="429" spans="1:113">
      <c r="A429" s="41"/>
      <c r="C429" s="48" t="s">
        <v>183</v>
      </c>
      <c r="D429" s="44" t="str">
        <f t="shared" si="87"/>
        <v>EUR 26.13</v>
      </c>
      <c r="E429" s="44" t="str">
        <f t="shared" si="87"/>
        <v>EUR 33.00</v>
      </c>
      <c r="F429" s="45">
        <f t="shared" si="87"/>
        <v>0.26291618828932273</v>
      </c>
      <c r="G429" s="44" t="str">
        <f t="shared" si="87"/>
        <v>Buy</v>
      </c>
      <c r="H429" s="46"/>
      <c r="I429" s="45">
        <f>DT!$D$30/DT!$D$23</f>
        <v>6.8524900922681486E-2</v>
      </c>
      <c r="J429" s="45">
        <f>DT!$E$30/DT!$E$23</f>
        <v>7.4928686615135479E-2</v>
      </c>
      <c r="K429" s="45">
        <f>DT!$F$30/DT!$F$23</f>
        <v>8.0835842963644697E-2</v>
      </c>
      <c r="L429" s="45">
        <f>DT!$G$30/DT!$G$23</f>
        <v>8.6507975215986882E-2</v>
      </c>
      <c r="M429" s="45">
        <f t="shared" si="88"/>
        <v>1.7983074293305396E-2</v>
      </c>
      <c r="N429" s="46"/>
      <c r="O429" s="47">
        <f>DT!$D$12/DT!$D$24</f>
        <v>2.335068622811169</v>
      </c>
      <c r="P429" s="47">
        <f>DT!$E$12/DT!$E$24</f>
        <v>2.3936328688974755</v>
      </c>
      <c r="Q429" s="47">
        <f>DT!$F$12/DT!$F$24</f>
        <v>2.3395431605019348</v>
      </c>
      <c r="R429" s="47">
        <f>DT!$G$12/DT!$G$24</f>
        <v>2.1768089125196601</v>
      </c>
      <c r="S429" s="45">
        <f t="shared" si="89"/>
        <v>-0.15825971029150887</v>
      </c>
      <c r="T429" s="46"/>
      <c r="U429" s="48" t="str">
        <f t="shared" si="90"/>
        <v>EUR 26.13</v>
      </c>
      <c r="V429" s="69" t="str">
        <f>C429</f>
        <v>Deutsche Telekom</v>
      </c>
      <c r="W429" s="59"/>
      <c r="X429" s="59"/>
      <c r="Y429" s="59"/>
      <c r="Z429" s="49"/>
      <c r="AB429" s="5"/>
    </row>
    <row r="430" spans="1:113" s="5" customFormat="1">
      <c r="A430" s="41"/>
      <c r="B430" s="42"/>
      <c r="C430" s="48" t="s">
        <v>453</v>
      </c>
      <c r="D430" s="44" t="str">
        <f t="shared" si="87"/>
        <v>EUR 3.75</v>
      </c>
      <c r="E430" s="44" t="str">
        <f t="shared" si="87"/>
        <v>EUR 3.80</v>
      </c>
      <c r="F430" s="45">
        <f t="shared" si="87"/>
        <v>1.4415376401494928E-2</v>
      </c>
      <c r="G430" s="44" t="str">
        <f t="shared" si="87"/>
        <v>Neutral</v>
      </c>
      <c r="H430" s="46"/>
      <c r="I430" s="45">
        <f>KPN!$D$30/KPN!$D$23</f>
        <v>0.12676774408416425</v>
      </c>
      <c r="J430" s="45">
        <f>KPN!$E$30/KPN!$E$23</f>
        <v>9.4961268280051803E-2</v>
      </c>
      <c r="K430" s="45">
        <f>KPN!$F$30/KPN!$F$23</f>
        <v>0.10259725859972575</v>
      </c>
      <c r="L430" s="45">
        <f>KPN!$G$30/KPN!$G$23</f>
        <v>0.10802552501468041</v>
      </c>
      <c r="M430" s="45">
        <f t="shared" si="88"/>
        <v>-1.874221906948384E-2</v>
      </c>
      <c r="N430" s="46"/>
      <c r="O430" s="47">
        <f>KPN!$D$12/KPN!$D$24</f>
        <v>2.306611570247934</v>
      </c>
      <c r="P430" s="47">
        <f>KPN!$E$12/KPN!$E$24</f>
        <v>2.3423629408206632</v>
      </c>
      <c r="Q430" s="47">
        <f>KPN!$F$12/KPN!$F$24</f>
        <v>2.4937293701375824</v>
      </c>
      <c r="R430" s="47">
        <f>KPN!$G$12/KPN!$G$24</f>
        <v>2.4960554066009353</v>
      </c>
      <c r="S430" s="45">
        <f t="shared" si="89"/>
        <v>0.18944383635300133</v>
      </c>
      <c r="T430" s="46"/>
      <c r="U430" s="48" t="str">
        <f t="shared" si="90"/>
        <v>EUR 3.75</v>
      </c>
      <c r="V430" s="69" t="str">
        <f>C430</f>
        <v>KPN</v>
      </c>
      <c r="W430" s="59"/>
      <c r="X430" s="59"/>
      <c r="Y430" s="59"/>
      <c r="Z430" s="49"/>
      <c r="AB430" s="63"/>
    </row>
    <row r="431" spans="1:113" s="5" customFormat="1">
      <c r="A431" s="41"/>
      <c r="B431" s="42"/>
      <c r="C431" s="48" t="s">
        <v>722</v>
      </c>
      <c r="D431" s="44" t="str">
        <f t="shared" si="87"/>
        <v>EUR 10.72</v>
      </c>
      <c r="E431" s="44" t="str">
        <f t="shared" si="87"/>
        <v>EUR 14.00</v>
      </c>
      <c r="F431" s="45">
        <f t="shared" si="87"/>
        <v>0.30597014925373123</v>
      </c>
      <c r="G431" s="44" t="str">
        <f t="shared" si="87"/>
        <v>Buy</v>
      </c>
      <c r="H431" s="46"/>
      <c r="I431" s="45">
        <f>ORA!$D$30/ORA!$D$23</f>
        <v>8.9690033863197668E-2</v>
      </c>
      <c r="J431" s="45">
        <f>ORA!$E$30/ORA!$E$23</f>
        <v>6.6811486662131575E-2</v>
      </c>
      <c r="K431" s="45">
        <f>ORA!$F$30/ORA!$F$23</f>
        <v>8.8948207652979089E-2</v>
      </c>
      <c r="L431" s="45">
        <f>ORA!$G$30/ORA!$G$23</f>
        <v>9.3560028548489285E-2</v>
      </c>
      <c r="M431" s="45">
        <f t="shared" si="88"/>
        <v>3.8699946852916167E-3</v>
      </c>
      <c r="N431" s="46"/>
      <c r="O431" s="47">
        <f>ORA!$D$12/ORA!$D$24</f>
        <v>2.0714998082086691</v>
      </c>
      <c r="P431" s="47">
        <f>ORA!$E$12/ORA!$E$24</f>
        <v>1.8936353632879015</v>
      </c>
      <c r="Q431" s="47">
        <f>ORA!$F$12/ORA!$F$24</f>
        <v>1.8378097298124547</v>
      </c>
      <c r="R431" s="47">
        <f>ORA!$G$12/ORA!$G$24</f>
        <v>1.8065755483737564</v>
      </c>
      <c r="S431" s="45">
        <f t="shared" si="89"/>
        <v>-0.26492425983491263</v>
      </c>
      <c r="T431" s="46"/>
      <c r="U431" s="48" t="str">
        <f t="shared" si="90"/>
        <v>EUR 10.72</v>
      </c>
      <c r="V431" s="69" t="str">
        <f>C431</f>
        <v>Orange</v>
      </c>
      <c r="W431" s="59"/>
      <c r="X431" s="59"/>
      <c r="Y431" s="59"/>
      <c r="Z431" s="49"/>
    </row>
    <row r="432" spans="1:113" s="5" customFormat="1">
      <c r="A432" s="41"/>
      <c r="B432" s="42"/>
      <c r="C432" s="48" t="s">
        <v>454</v>
      </c>
      <c r="D432" s="44" t="str">
        <f t="shared" si="87"/>
        <v>EUR 15.08</v>
      </c>
      <c r="E432" s="44" t="str">
        <f t="shared" si="87"/>
        <v>EUR 18.50</v>
      </c>
      <c r="F432" s="45">
        <f t="shared" si="87"/>
        <v>0.22679045092838201</v>
      </c>
      <c r="G432" s="44" t="str">
        <f t="shared" si="87"/>
        <v>Buy</v>
      </c>
      <c r="H432" s="46"/>
      <c r="I432" s="45">
        <f>OTE!$D$30/OTE!$D$23</f>
        <v>0.13629798648927813</v>
      </c>
      <c r="J432" s="45">
        <f>OTE!$E$30/OTE!$E$23</f>
        <v>0.14085176105620267</v>
      </c>
      <c r="K432" s="45">
        <f>OTE!$F$30/OTE!$F$23</f>
        <v>0.14696239825063301</v>
      </c>
      <c r="L432" s="45">
        <f>OTE!$G$30/OTE!$G$23</f>
        <v>0.14754235449743355</v>
      </c>
      <c r="M432" s="45">
        <f t="shared" si="88"/>
        <v>1.1244368008155425E-2</v>
      </c>
      <c r="N432" s="46"/>
      <c r="O432" s="47">
        <f>OTE!$D$12/OTE!$D$24</f>
        <v>0.58338919925512089</v>
      </c>
      <c r="P432" s="47">
        <f>OTE!$E$12/OTE!$E$24</f>
        <v>0.57352684833966872</v>
      </c>
      <c r="Q432" s="47">
        <f>OTE!$F$12/OTE!$F$24</f>
        <v>0.55982912191920964</v>
      </c>
      <c r="R432" s="47">
        <f>OTE!$G$12/OTE!$G$24</f>
        <v>0.55187834776121214</v>
      </c>
      <c r="S432" s="45">
        <f t="shared" si="89"/>
        <v>-3.1510851493908754E-2</v>
      </c>
      <c r="T432" s="46"/>
      <c r="U432" s="48" t="str">
        <f t="shared" si="90"/>
        <v>EUR 15.08</v>
      </c>
      <c r="V432" s="69" t="str">
        <f>C432</f>
        <v>OTE</v>
      </c>
      <c r="W432" s="59"/>
      <c r="X432" s="59"/>
      <c r="Y432" s="59"/>
      <c r="Z432" s="49"/>
    </row>
    <row r="433" spans="1:28" s="5" customFormat="1">
      <c r="A433" s="41"/>
      <c r="B433" s="42"/>
      <c r="C433" s="48" t="s">
        <v>809</v>
      </c>
      <c r="D433" s="44" t="str">
        <f t="shared" si="87"/>
        <v>EUR 6.8</v>
      </c>
      <c r="E433" s="44" t="str">
        <f t="shared" si="87"/>
        <v>EUR 9.5</v>
      </c>
      <c r="F433" s="45">
        <f t="shared" si="87"/>
        <v>0.39296187683284445</v>
      </c>
      <c r="G433" s="44" t="str">
        <f t="shared" si="87"/>
        <v>Neutral</v>
      </c>
      <c r="H433" s="46"/>
      <c r="I433" s="45">
        <f>PROX!$D$30/PROX!$D$23</f>
        <v>6.3157111908744859E-2</v>
      </c>
      <c r="J433" s="45">
        <f>PROX!$E$30/PROX!$E$23</f>
        <v>4.3924016389013505E-2</v>
      </c>
      <c r="K433" s="45">
        <f>PROX!$F$30/PROX!$F$23</f>
        <v>2.5207609474796756E-2</v>
      </c>
      <c r="L433" s="45">
        <f>PROX!$G$30/PROX!$G$23</f>
        <v>1.5505672760841272E-2</v>
      </c>
      <c r="M433" s="45">
        <f t="shared" si="88"/>
        <v>-4.7651439147903589E-2</v>
      </c>
      <c r="N433" s="46"/>
      <c r="O433" s="47">
        <f>PROX!$D$12/PROX!$D$24</f>
        <v>3.2162777461582244</v>
      </c>
      <c r="P433" s="47">
        <f>PROX!$E$12/PROX!$E$24</f>
        <v>2.2392438523515512</v>
      </c>
      <c r="Q433" s="47">
        <f>PROX!$F$12/PROX!$F$24</f>
        <v>2.1170085227891144</v>
      </c>
      <c r="R433" s="47">
        <f>PROX!$G$12/PROX!$G$24</f>
        <v>2.0169606092690899</v>
      </c>
      <c r="S433" s="45">
        <f t="shared" si="89"/>
        <v>-1.1993171368891344</v>
      </c>
      <c r="T433" s="46"/>
      <c r="U433" s="48" t="str">
        <f t="shared" si="90"/>
        <v>EUR 6.8</v>
      </c>
      <c r="V433" s="69" t="s">
        <v>809</v>
      </c>
      <c r="W433" s="59"/>
      <c r="X433" s="59"/>
      <c r="Y433" s="59"/>
      <c r="Z433" s="49"/>
    </row>
    <row r="434" spans="1:28">
      <c r="C434" s="48" t="s">
        <v>458</v>
      </c>
      <c r="D434" s="44" t="str">
        <f t="shared" si="87"/>
        <v>CHF549</v>
      </c>
      <c r="E434" s="44" t="str">
        <f t="shared" si="87"/>
        <v>CHF600</v>
      </c>
      <c r="F434" s="45">
        <f t="shared" si="87"/>
        <v>9.2896174863388081E-2</v>
      </c>
      <c r="G434" s="44" t="str">
        <f t="shared" si="87"/>
        <v>Neutral</v>
      </c>
      <c r="H434" s="46"/>
      <c r="I434" s="45">
        <f>SWISS!$D$30/SWISS!$D$23</f>
        <v>0.1548391802616956</v>
      </c>
      <c r="J434" s="45">
        <f>SWISS!$E$30/SWISS!$E$23</f>
        <v>0.10729414017013772</v>
      </c>
      <c r="K434" s="45">
        <f>SWISS!$F$30/SWISS!$F$23</f>
        <v>0.16630061908814647</v>
      </c>
      <c r="L434" s="45">
        <f>SWISS!$G$30/SWISS!$G$23</f>
        <v>0.16167908435982842</v>
      </c>
      <c r="M434" s="45">
        <f t="shared" si="88"/>
        <v>6.8399040981328152E-3</v>
      </c>
      <c r="N434" s="46"/>
      <c r="O434" s="47">
        <f>SWISS!$D$12/SWISS!$D$24</f>
        <v>1.2549425287356322</v>
      </c>
      <c r="P434" s="47">
        <f>SWISS!$E$12/SWISS!$E$24</f>
        <v>1.2691686504870734</v>
      </c>
      <c r="Q434" s="47">
        <f>SWISS!$F$12/SWISS!$F$24</f>
        <v>0.92858232331729285</v>
      </c>
      <c r="R434" s="47">
        <f>SWISS!$G$12/SWISS!$G$24</f>
        <v>2.333609615233498</v>
      </c>
      <c r="S434" s="45">
        <f t="shared" si="89"/>
        <v>1.0786670864978658</v>
      </c>
      <c r="T434" s="46"/>
      <c r="U434" s="48" t="str">
        <f t="shared" si="90"/>
        <v>CHF549</v>
      </c>
      <c r="V434" s="69" t="str">
        <f t="shared" ref="V434:V438" si="91">C434</f>
        <v>Swisscom</v>
      </c>
    </row>
    <row r="435" spans="1:28" s="5" customFormat="1">
      <c r="A435" s="41"/>
      <c r="B435" s="42"/>
      <c r="C435" s="48" t="s">
        <v>265</v>
      </c>
      <c r="D435" s="44" t="str">
        <f t="shared" si="87"/>
        <v>EUR 0.24</v>
      </c>
      <c r="E435" s="44" t="str">
        <f t="shared" si="87"/>
        <v>EUR 0.34</v>
      </c>
      <c r="F435" s="45">
        <f t="shared" si="87"/>
        <v>0.44006776789495983</v>
      </c>
      <c r="G435" s="44" t="str">
        <f t="shared" si="87"/>
        <v>Buy</v>
      </c>
      <c r="H435" s="46"/>
      <c r="I435" s="45">
        <f>TI!$D$30/TI!$D$23</f>
        <v>-6.9370406430736317E-2</v>
      </c>
      <c r="J435" s="45">
        <f>TI!$E$30/TI!$E$23</f>
        <v>-3.8191211727125168E-2</v>
      </c>
      <c r="K435" s="45">
        <f>TI!$F$30/TI!$F$23</f>
        <v>-1.6164057772575034E-2</v>
      </c>
      <c r="L435" s="45">
        <f>TI!$G$30/TI!$G$23</f>
        <v>-4.9605855299205822E-3</v>
      </c>
      <c r="M435" s="45">
        <f t="shared" si="88"/>
        <v>6.4409820900815734E-2</v>
      </c>
      <c r="N435" s="46"/>
      <c r="O435" s="47">
        <f>TI!$D$12/TI!$D$24</f>
        <v>3.8365384615384617</v>
      </c>
      <c r="P435" s="47">
        <f>TI!$E$12/TI!$E$24</f>
        <v>3.7569900672964729</v>
      </c>
      <c r="Q435" s="47">
        <f>TI!$F$12/TI!$F$24</f>
        <v>3.6275307537353068</v>
      </c>
      <c r="R435" s="47">
        <f>TI!$G$12/TI!$G$24</f>
        <v>3.4375642736211312</v>
      </c>
      <c r="S435" s="45">
        <f t="shared" si="89"/>
        <v>-0.39897418791733053</v>
      </c>
      <c r="T435" s="46"/>
      <c r="U435" s="48" t="str">
        <f t="shared" si="90"/>
        <v>EUR 0.24</v>
      </c>
      <c r="V435" s="69" t="str">
        <f t="shared" si="91"/>
        <v>Telecom Italia</v>
      </c>
      <c r="W435" s="59"/>
      <c r="X435" s="59"/>
      <c r="Y435" s="59"/>
      <c r="Z435" s="49"/>
    </row>
    <row r="436" spans="1:28" s="5" customFormat="1">
      <c r="A436" s="41"/>
      <c r="B436" s="42"/>
      <c r="C436" s="48" t="s">
        <v>456</v>
      </c>
      <c r="D436" s="44" t="str">
        <f t="shared" si="87"/>
        <v>EUR 4.21</v>
      </c>
      <c r="E436" s="44" t="str">
        <f t="shared" si="87"/>
        <v>EUR 4.30</v>
      </c>
      <c r="F436" s="45">
        <f t="shared" si="87"/>
        <v>2.065036790885344E-2</v>
      </c>
      <c r="G436" s="44" t="str">
        <f t="shared" si="87"/>
        <v>Neutral</v>
      </c>
      <c r="H436" s="46"/>
      <c r="I436" s="45">
        <f>TEF!$D$30/TEF!$D$23</f>
        <v>4.2025971869640542E-2</v>
      </c>
      <c r="J436" s="45">
        <f>TEF!$E$30/TEF!$E$23</f>
        <v>5.9197596652891149E-2</v>
      </c>
      <c r="K436" s="45">
        <f>TEF!$F$30/TEF!$F$23</f>
        <v>6.197819886195359E-2</v>
      </c>
      <c r="L436" s="45">
        <f>TEF!$G$30/TEF!$G$23</f>
        <v>7.380066311074461E-2</v>
      </c>
      <c r="M436" s="45">
        <f t="shared" si="88"/>
        <v>3.1774691241104068E-2</v>
      </c>
      <c r="N436" s="46"/>
      <c r="O436" s="47">
        <f>TEF!$D$12/TEF!$D$24</f>
        <v>2.5980484763457818</v>
      </c>
      <c r="P436" s="47">
        <f>TEF!$E$12/TEF!$E$24</f>
        <v>2.6120442837571836</v>
      </c>
      <c r="Q436" s="47">
        <f>TEF!$F$12/TEF!$F$24</f>
        <v>2.5111981094162812</v>
      </c>
      <c r="R436" s="47">
        <f>TEF!$G$12/TEF!$G$24</f>
        <v>2.3790026308979759</v>
      </c>
      <c r="S436" s="45">
        <f t="shared" si="89"/>
        <v>-0.21904584544780592</v>
      </c>
      <c r="T436" s="46"/>
      <c r="U436" s="48" t="str">
        <f t="shared" si="90"/>
        <v>EUR 4.21</v>
      </c>
      <c r="V436" s="69" t="str">
        <f t="shared" si="91"/>
        <v>Telefonica</v>
      </c>
      <c r="W436" s="59"/>
      <c r="X436" s="59"/>
      <c r="Y436" s="59"/>
      <c r="Z436" s="49"/>
    </row>
    <row r="437" spans="1:28" s="5" customFormat="1">
      <c r="A437" s="41"/>
      <c r="B437" s="42"/>
      <c r="C437" s="48" t="s">
        <v>457</v>
      </c>
      <c r="D437" s="44" t="str">
        <f t="shared" si="87"/>
        <v>NOK 135</v>
      </c>
      <c r="E437" s="44" t="str">
        <f t="shared" si="87"/>
        <v>NOK 138</v>
      </c>
      <c r="F437" s="45">
        <f t="shared" si="87"/>
        <v>2.3738872403560762E-2</v>
      </c>
      <c r="G437" s="44" t="str">
        <f t="shared" si="87"/>
        <v>Buy</v>
      </c>
      <c r="H437" s="46"/>
      <c r="I437" s="45">
        <f>TNOR!$D$30/TNOR!$D$23</f>
        <v>-3.6960120939135137E-2</v>
      </c>
      <c r="J437" s="45">
        <f>TNOR!$E$30/TNOR!$E$23</f>
        <v>9.1326794832315816E-2</v>
      </c>
      <c r="K437" s="45">
        <f>TNOR!$F$30/TNOR!$F$23</f>
        <v>9.3223625937413415E-2</v>
      </c>
      <c r="L437" s="45">
        <f>TNOR!$G$30/TNOR!$G$23</f>
        <v>0.11110525107914072</v>
      </c>
      <c r="M437" s="45">
        <f t="shared" si="88"/>
        <v>0.14806537201827585</v>
      </c>
      <c r="N437" s="46"/>
      <c r="O437" s="47">
        <f>TNOR!$D$12/TNOR!$D$24</f>
        <v>2.3000542993287656</v>
      </c>
      <c r="P437" s="47">
        <f>TNOR!$E$12/TNOR!$E$24</f>
        <v>2.2039841937757485</v>
      </c>
      <c r="Q437" s="47">
        <f>TNOR!$F$12/TNOR!$F$24</f>
        <v>2.2305865367380329</v>
      </c>
      <c r="R437" s="47">
        <f>TNOR!$G$12/TNOR!$G$24</f>
        <v>2.2420900476486212</v>
      </c>
      <c r="S437" s="45">
        <f t="shared" si="89"/>
        <v>-5.7964251680144407E-2</v>
      </c>
      <c r="T437" s="46"/>
      <c r="U437" s="48" t="str">
        <f t="shared" si="90"/>
        <v>NOK 135</v>
      </c>
      <c r="V437" s="44" t="str">
        <f t="shared" si="91"/>
        <v>Telenor</v>
      </c>
      <c r="W437" s="59"/>
      <c r="X437" s="59"/>
      <c r="Y437" s="59"/>
      <c r="Z437" s="49"/>
    </row>
    <row r="438" spans="1:28" s="5" customFormat="1">
      <c r="A438" s="41"/>
      <c r="B438" s="42"/>
      <c r="C438" s="48" t="s">
        <v>1030</v>
      </c>
      <c r="D438" s="44" t="str">
        <f t="shared" si="87"/>
        <v>SEK33.4</v>
      </c>
      <c r="E438" s="44" t="str">
        <f t="shared" si="87"/>
        <v>SEK33.0</v>
      </c>
      <c r="F438" s="45">
        <f t="shared" si="87"/>
        <v>-1.2567324955116699E-2</v>
      </c>
      <c r="G438" s="44" t="str">
        <f t="shared" si="87"/>
        <v>Buy</v>
      </c>
      <c r="H438" s="46"/>
      <c r="I438" s="45">
        <f>TELIA!$D$30/TELIA!$D$23</f>
        <v>4.3697747305107684E-2</v>
      </c>
      <c r="J438" s="45">
        <f>TELIA!$E$30/TELIA!$E$23</f>
        <v>3.7972795112435336E-2</v>
      </c>
      <c r="K438" s="45">
        <f>TELIA!$F$30/TELIA!$F$23</f>
        <v>4.5132990585762332E-2</v>
      </c>
      <c r="L438" s="45">
        <f>TELIA!$G$30/TELIA!$G$23</f>
        <v>4.5243901406974145E-2</v>
      </c>
      <c r="M438" s="45">
        <f t="shared" si="88"/>
        <v>1.5461541018664607E-3</v>
      </c>
      <c r="N438" s="46"/>
      <c r="O438" s="47">
        <f>TELIA!$D$12/TELIA!$D$24</f>
        <v>2.0143126591435436</v>
      </c>
      <c r="P438" s="47">
        <f>TELIA!$E$12/TELIA!$E$24</f>
        <v>1.6306749049977096</v>
      </c>
      <c r="Q438" s="47">
        <f>TELIA!$F$12/TELIA!$F$24</f>
        <v>1.5538412795636822</v>
      </c>
      <c r="R438" s="47">
        <f>TELIA!$G$12/TELIA!$G$24</f>
        <v>1.5264082563048329</v>
      </c>
      <c r="S438" s="45">
        <f t="shared" si="89"/>
        <v>-0.48790440283871073</v>
      </c>
      <c r="T438" s="46"/>
      <c r="U438" s="48" t="str">
        <f t="shared" si="90"/>
        <v>SEK33.4</v>
      </c>
      <c r="V438" s="44" t="str">
        <f t="shared" si="91"/>
        <v>Telia</v>
      </c>
      <c r="W438" s="59"/>
      <c r="X438" s="59"/>
      <c r="Y438" s="59"/>
      <c r="Z438" s="49"/>
    </row>
    <row r="439" spans="1:28" s="5" customFormat="1">
      <c r="A439" s="41"/>
      <c r="B439" s="42"/>
      <c r="C439" s="51" t="str">
        <f>C379</f>
        <v>Agg. W.Europe Incumbent</v>
      </c>
      <c r="D439" s="52"/>
      <c r="E439" s="52"/>
      <c r="F439" s="53"/>
      <c r="G439" s="52"/>
      <c r="H439" s="46"/>
      <c r="I439" s="55">
        <f>'W.EUR INCUMB'!$D$30/'W.EUR INCUMB'!$D$23</f>
        <v>6.3446146509221216E-2</v>
      </c>
      <c r="J439" s="55">
        <f>'W.EUR INCUMB'!$E$30/'W.EUR INCUMB'!$E$23</f>
        <v>6.6823464462464705E-2</v>
      </c>
      <c r="K439" s="55">
        <f>'W.EUR INCUMB'!$F$30/'W.EUR INCUMB'!$F$23</f>
        <v>7.7249286008748794E-2</v>
      </c>
      <c r="L439" s="55">
        <f>'W.EUR INCUMB'!$G$30/'W.EUR INCUMB'!$G$23</f>
        <v>8.2809032150380657E-2</v>
      </c>
      <c r="M439" s="55">
        <f t="shared" si="88"/>
        <v>1.9362885641159441E-2</v>
      </c>
      <c r="N439" s="56"/>
      <c r="O439" s="54">
        <f>'W.EUR INCUMB'!$D$12/'W.EUR INCUMB'!$D$24</f>
        <v>2.3165349419964127</v>
      </c>
      <c r="P439" s="54">
        <f>'W.EUR INCUMB'!$E$12/'W.EUR INCUMB'!$E$24</f>
        <v>2.2977457182298426</v>
      </c>
      <c r="Q439" s="54">
        <f>'W.EUR INCUMB'!$F$12/'W.EUR INCUMB'!$F$24</f>
        <v>2.2262033468590516</v>
      </c>
      <c r="R439" s="54">
        <f>'W.EUR INCUMB'!$G$12/'W.EUR INCUMB'!$G$24</f>
        <v>2.1989483509970942</v>
      </c>
      <c r="S439" s="55">
        <f t="shared" si="89"/>
        <v>-0.11758659099931856</v>
      </c>
      <c r="T439" s="46"/>
      <c r="U439" s="57"/>
      <c r="V439" s="58" t="str">
        <f>V379</f>
        <v>Agg. W.Europe Incumbent</v>
      </c>
      <c r="W439" s="59"/>
      <c r="X439" s="59"/>
      <c r="Y439" s="59"/>
      <c r="Z439" s="49"/>
    </row>
    <row r="440" spans="1:28" s="5" customFormat="1">
      <c r="A440" s="41"/>
      <c r="B440" s="42"/>
      <c r="C440" s="48"/>
      <c r="D440" s="44"/>
      <c r="E440" s="44"/>
      <c r="F440" s="45"/>
      <c r="G440" s="44"/>
      <c r="H440" s="46"/>
      <c r="I440" s="45"/>
      <c r="J440" s="45"/>
      <c r="K440" s="45"/>
      <c r="L440" s="45"/>
      <c r="M440" s="45"/>
      <c r="N440" s="46"/>
      <c r="O440" s="47"/>
      <c r="P440" s="47"/>
      <c r="Q440" s="47"/>
      <c r="R440" s="47"/>
      <c r="S440" s="45"/>
      <c r="T440" s="46"/>
      <c r="U440" s="48"/>
      <c r="V440" s="44"/>
      <c r="W440" s="59"/>
      <c r="X440" s="59"/>
      <c r="Y440" s="59"/>
      <c r="Z440" s="49"/>
    </row>
    <row r="441" spans="1:28" s="5" customFormat="1">
      <c r="A441" s="41"/>
      <c r="B441" s="42" t="s">
        <v>514</v>
      </c>
      <c r="C441" s="48" t="s">
        <v>486</v>
      </c>
      <c r="D441" s="44" t="str">
        <f>B441&amp;TEXT(Prices!$C$40,"0.0")</f>
        <v>US$20.7</v>
      </c>
      <c r="E441" s="44" t="str">
        <f>B441&amp;TEXT(Prices!$E$40,"0.00")</f>
        <v>US$21.00</v>
      </c>
      <c r="F441" s="45">
        <f>Prices!$F$40</f>
        <v>1.6949152542373058E-2</v>
      </c>
      <c r="G441" s="44" t="str">
        <f>Prices!$D$40</f>
        <v>Neutral</v>
      </c>
      <c r="H441" s="46"/>
      <c r="I441" s="45">
        <f>(ATT!D$30/ATT!D$23)</f>
        <v>0.14191647904055713</v>
      </c>
      <c r="J441" s="45">
        <f>(ATT!E$30/ATT!E$23)</f>
        <v>0.13194993389835821</v>
      </c>
      <c r="K441" s="45">
        <f>(ATT!F$30/ATT!F$23)</f>
        <v>0.13077007733326856</v>
      </c>
      <c r="L441" s="45">
        <f>(ATT!G$30/ATT!G$23)</f>
        <v>0.13467567715404447</v>
      </c>
      <c r="M441" s="45">
        <f>L441-I441</f>
        <v>-7.24080188651266E-3</v>
      </c>
      <c r="N441" s="46"/>
      <c r="O441" s="47">
        <f>(ATT!D$12/ATT!D$24)</f>
        <v>3.0094239631336404</v>
      </c>
      <c r="P441" s="47">
        <f>(ATT!E$12/ATT!E$24)</f>
        <v>2.7140517339723518</v>
      </c>
      <c r="Q441" s="47">
        <f>(ATT!F$12/ATT!F$24)</f>
        <v>2.4637180401209511</v>
      </c>
      <c r="R441" s="47">
        <f>(ATT!G$12/ATT!G$24)</f>
        <v>2.2193507241217545</v>
      </c>
      <c r="S441" s="45">
        <f>R441-O441</f>
        <v>-0.79007323901188586</v>
      </c>
      <c r="T441" s="46"/>
      <c r="U441" s="48" t="str">
        <f>D441</f>
        <v>US$20.7</v>
      </c>
      <c r="V441" s="44" t="str">
        <f>C441</f>
        <v xml:space="preserve">AT&amp;T </v>
      </c>
      <c r="W441" s="59"/>
      <c r="X441" s="59"/>
      <c r="Y441" s="59"/>
      <c r="Z441" s="49"/>
    </row>
    <row r="442" spans="1:28" s="5" customFormat="1">
      <c r="A442" s="146"/>
      <c r="B442" s="42" t="s">
        <v>514</v>
      </c>
      <c r="C442" s="48" t="s">
        <v>687</v>
      </c>
      <c r="D442" s="44" t="str">
        <f>B442&amp;TEXT(Prices!$C$41,"0.0")</f>
        <v>US$197.2</v>
      </c>
      <c r="E442" s="44" t="str">
        <f>B442&amp;TEXT(Prices!$E$41,"0.0")</f>
        <v>US$205.0</v>
      </c>
      <c r="F442" s="45">
        <f>Prices!$F$41</f>
        <v>3.9659194644487306E-2</v>
      </c>
      <c r="G442" s="44" t="str">
        <f>Prices!$D$41</f>
        <v>Buy</v>
      </c>
      <c r="H442" s="46"/>
      <c r="I442" s="45">
        <f>(TMUS!D$30/TMUS!D$23)</f>
        <v>0.10949921801801957</v>
      </c>
      <c r="J442" s="45">
        <f>(TMUS!E$30/TMUS!E$23)</f>
        <v>0.12671386344652311</v>
      </c>
      <c r="K442" s="45">
        <f>(TMUS!F$30/TMUS!F$23)</f>
        <v>0.14447452877659489</v>
      </c>
      <c r="L442" s="45">
        <f>(TMUS!G$30/TMUS!G$23)</f>
        <v>0.1569532450181555</v>
      </c>
      <c r="M442" s="45">
        <f>L442-I442</f>
        <v>4.7454027000135929E-2</v>
      </c>
      <c r="N442" s="46"/>
      <c r="O442" s="47">
        <f>(TMUS!D$12/TMUS!D$24)</f>
        <v>2.2942147055790452</v>
      </c>
      <c r="P442" s="47">
        <f>(TMUS!E$12/TMUS!E$24)</f>
        <v>2.3249007710756073</v>
      </c>
      <c r="Q442" s="47">
        <f>(TMUS!F$12/TMUS!F$24)</f>
        <v>2.3070007079174921</v>
      </c>
      <c r="R442" s="47">
        <f>(TMUS!G$12/TMUS!G$24)</f>
        <v>2.292313472925422</v>
      </c>
      <c r="S442" s="45">
        <f>R442-O442</f>
        <v>-1.9012326536231861E-3</v>
      </c>
      <c r="T442" s="46"/>
      <c r="U442" s="48" t="str">
        <f>D442</f>
        <v>US$197.2</v>
      </c>
      <c r="V442" s="44" t="str">
        <f>C442</f>
        <v>TMUS</v>
      </c>
      <c r="W442" s="59"/>
      <c r="X442" s="59"/>
      <c r="Y442" s="59"/>
      <c r="Z442" s="49"/>
    </row>
    <row r="443" spans="1:28">
      <c r="A443" s="41"/>
      <c r="B443" s="42" t="s">
        <v>514</v>
      </c>
      <c r="C443" s="48" t="s">
        <v>33</v>
      </c>
      <c r="D443" s="44" t="str">
        <f>B443&amp;TEXT(Prices!$C$39,"0.0")</f>
        <v>US$41.3</v>
      </c>
      <c r="E443" s="44" t="str">
        <f>B443&amp;TEXT(Prices!$E$39,"0.00")</f>
        <v>US$45.00</v>
      </c>
      <c r="F443" s="45">
        <f>Prices!$F$39</f>
        <v>8.9324618736383421E-2</v>
      </c>
      <c r="G443" s="44" t="str">
        <f>Prices!$D$39</f>
        <v>Neutral</v>
      </c>
      <c r="H443" s="46"/>
      <c r="I443" s="45">
        <f>(VZN!D$30/VZN!D$23)</f>
        <v>0.14827514868526501</v>
      </c>
      <c r="J443" s="45">
        <f>(VZN!E$30/VZN!E$23)</f>
        <v>0.14252943929891304</v>
      </c>
      <c r="K443" s="45">
        <f>(VZN!F$30/VZN!F$23)</f>
        <v>0.14574483923817796</v>
      </c>
      <c r="L443" s="45">
        <f>(VZN!G$30/VZN!G$23)</f>
        <v>0.14829194889510899</v>
      </c>
      <c r="M443" s="45">
        <f>L443-I443</f>
        <v>1.680020984398678E-5</v>
      </c>
      <c r="N443" s="46"/>
      <c r="O443" s="47">
        <f>(VZN!D$12/VZN!D$24)</f>
        <v>2.6155391408064617</v>
      </c>
      <c r="P443" s="47">
        <f>(VZN!E$12/VZN!E$24)</f>
        <v>2.4177692081962356</v>
      </c>
      <c r="Q443" s="47">
        <f>(VZN!F$12/VZN!F$24)</f>
        <v>2.2345617324971774</v>
      </c>
      <c r="R443" s="47">
        <f>(VZN!G$12/VZN!G$24)</f>
        <v>2.0479153403930694</v>
      </c>
      <c r="S443" s="45">
        <f>R443-O443</f>
        <v>-0.56762380041339222</v>
      </c>
      <c r="T443" s="46"/>
      <c r="U443" s="48" t="str">
        <f>D443</f>
        <v>US$41.3</v>
      </c>
      <c r="V443" s="44" t="str">
        <f>C443</f>
        <v>Verizon</v>
      </c>
      <c r="W443" s="59"/>
      <c r="X443" s="59"/>
      <c r="Y443" s="59"/>
      <c r="Z443" s="49"/>
      <c r="AB443" s="5"/>
    </row>
    <row r="444" spans="1:28">
      <c r="A444" s="41"/>
      <c r="C444" s="51" t="s">
        <v>257</v>
      </c>
      <c r="D444" s="52"/>
      <c r="E444" s="52"/>
      <c r="F444" s="53"/>
      <c r="G444" s="52"/>
      <c r="H444" s="46"/>
      <c r="I444" s="55">
        <f>('US TELCO'!D$30/'US TELCO'!D$23)</f>
        <v>0.1368569531735031</v>
      </c>
      <c r="J444" s="55">
        <f>('US TELCO'!E$30/'US TELCO'!E$23)</f>
        <v>0.13491742107875837</v>
      </c>
      <c r="K444" s="55">
        <f>('US TELCO'!F$30/'US TELCO'!F$23)</f>
        <v>0.14009711399031152</v>
      </c>
      <c r="L444" s="55">
        <f>('US TELCO'!G$30/'US TELCO'!G$23)</f>
        <v>0.14565377197375312</v>
      </c>
      <c r="M444" s="55">
        <f>L444-I444</f>
        <v>8.7968188002500169E-3</v>
      </c>
      <c r="N444" s="46"/>
      <c r="O444" s="54">
        <f>('US TELCO'!D$12/'US TELCO'!D$24)</f>
        <v>2.6799467908214165</v>
      </c>
      <c r="P444" s="54">
        <f>('US TELCO'!E$12/'US TELCO'!E$24)</f>
        <v>2.5000887088341637</v>
      </c>
      <c r="Q444" s="54">
        <f>('US TELCO'!F$12/'US TELCO'!F$24)</f>
        <v>2.334580175713326</v>
      </c>
      <c r="R444" s="54">
        <f>('US TELCO'!G$12/'US TELCO'!G$24)</f>
        <v>2.1748515971269726</v>
      </c>
      <c r="S444" s="55">
        <f>R444-O444</f>
        <v>-0.50509519369444389</v>
      </c>
      <c r="T444" s="46"/>
      <c r="U444" s="57"/>
      <c r="V444" s="58" t="str">
        <f>C444</f>
        <v>Agg. US Telecoms</v>
      </c>
      <c r="Z444" s="49"/>
    </row>
    <row r="445" spans="1:28">
      <c r="A445" s="41"/>
      <c r="C445" s="48"/>
      <c r="D445" s="44"/>
      <c r="E445" s="44"/>
      <c r="F445" s="45"/>
      <c r="G445" s="44"/>
      <c r="H445" s="46"/>
      <c r="I445" s="45"/>
      <c r="J445" s="45"/>
      <c r="K445" s="45"/>
      <c r="L445" s="45"/>
      <c r="M445" s="45"/>
      <c r="N445" s="46"/>
      <c r="O445" s="47"/>
      <c r="P445" s="47"/>
      <c r="Q445" s="47"/>
      <c r="R445" s="47"/>
      <c r="S445" s="45"/>
      <c r="T445" s="46"/>
      <c r="U445" s="48"/>
      <c r="V445" s="44"/>
      <c r="Z445" s="49"/>
    </row>
    <row r="446" spans="1:28">
      <c r="A446" s="41"/>
      <c r="C446" s="48" t="str">
        <f t="shared" ref="C446:G449" si="92">C386</f>
        <v>NTT</v>
      </c>
      <c r="D446" s="44" t="str">
        <f t="shared" si="92"/>
        <v>JPY 156</v>
      </c>
      <c r="E446" s="44" t="str">
        <f t="shared" si="92"/>
        <v>JPY 240</v>
      </c>
      <c r="F446" s="45">
        <f t="shared" si="92"/>
        <v>0.54340836012861726</v>
      </c>
      <c r="G446" s="44" t="str">
        <f t="shared" si="92"/>
        <v>Buy</v>
      </c>
      <c r="H446" s="46"/>
      <c r="I446" s="45">
        <f>NTT!$D$30/NTT!$D$23</f>
        <v>9.5673889312577545E-2</v>
      </c>
      <c r="J446" s="45">
        <f>NTT!$E$30/NTT!$E$23</f>
        <v>8.9398156310619467E-2</v>
      </c>
      <c r="K446" s="45">
        <f>NTT!$F$30/NTT!$F$23</f>
        <v>0.10654618746604436</v>
      </c>
      <c r="L446" s="45">
        <f>NTT!$G$30/NTT!$G$23</f>
        <v>0.1079294335015769</v>
      </c>
      <c r="M446" s="45">
        <f t="shared" ref="M446:M450" si="93">L446-I446</f>
        <v>1.2255544188999351E-2</v>
      </c>
      <c r="N446" s="46"/>
      <c r="O446" s="47">
        <f>NTT!$D$12/NTT!$D$24</f>
        <v>1.7743549236440235</v>
      </c>
      <c r="P446" s="47">
        <f>NTT!$E$12/NTT!$E$24</f>
        <v>1.7896743367847943</v>
      </c>
      <c r="Q446" s="47">
        <f>NTT!$F$12/NTT!$F$24</f>
        <v>1.5580449509819716</v>
      </c>
      <c r="R446" s="47">
        <f>NTT!$G$12/NTT!$G$24</f>
        <v>1.4817736462005258</v>
      </c>
      <c r="S446" s="45">
        <f t="shared" ref="S446:S450" si="94">R446-O446</f>
        <v>-0.29258127744349771</v>
      </c>
      <c r="T446" s="46"/>
      <c r="U446" s="48" t="str">
        <f t="shared" ref="U446:V449" si="95">U386</f>
        <v>JPY 156</v>
      </c>
      <c r="V446" s="44" t="str">
        <f t="shared" si="95"/>
        <v>NTT</v>
      </c>
      <c r="Z446" s="49"/>
    </row>
    <row r="447" spans="1:28">
      <c r="A447" s="41"/>
      <c r="C447" s="48" t="str">
        <f t="shared" si="92"/>
        <v>Spark NZ</v>
      </c>
      <c r="D447" s="44" t="str">
        <f t="shared" si="92"/>
        <v>NZD 3.52</v>
      </c>
      <c r="E447" s="44" t="str">
        <f t="shared" si="92"/>
        <v>NZD 5.00</v>
      </c>
      <c r="F447" s="45">
        <f t="shared" si="92"/>
        <v>0.42045454545454541</v>
      </c>
      <c r="G447" s="44" t="str">
        <f t="shared" si="92"/>
        <v>Neutral</v>
      </c>
      <c r="H447" s="46"/>
      <c r="I447" s="45">
        <f>SPK!$D$30/SPK!$D$23</f>
        <v>0.12607619891666605</v>
      </c>
      <c r="J447" s="45">
        <f>SPK!$E$30/SPK!$E$23</f>
        <v>0.12884720320182336</v>
      </c>
      <c r="K447" s="45">
        <f>SPK!$F$30/SPK!$F$23</f>
        <v>0.12938791451179471</v>
      </c>
      <c r="L447" s="45">
        <f>SPK!$G$30/SPK!$G$23</f>
        <v>0.13508388951142716</v>
      </c>
      <c r="M447" s="45">
        <f t="shared" si="93"/>
        <v>9.0076905947611141E-3</v>
      </c>
      <c r="N447" s="46"/>
      <c r="O447" s="47">
        <f>SPK!$D$12/SPK!$D$24</f>
        <v>0.99068565969249867</v>
      </c>
      <c r="P447" s="47">
        <f>SPK!$E$12/SPK!$E$24</f>
        <v>0.93565304616375022</v>
      </c>
      <c r="Q447" s="47">
        <f>SPK!$F$12/SPK!$F$24</f>
        <v>0.88527015956005439</v>
      </c>
      <c r="R447" s="47">
        <f>SPK!$G$12/SPK!$G$24</f>
        <v>0.81100812017879431</v>
      </c>
      <c r="S447" s="45">
        <f t="shared" si="94"/>
        <v>-0.17967753951370435</v>
      </c>
      <c r="T447" s="46"/>
      <c r="U447" s="48" t="str">
        <f t="shared" si="95"/>
        <v>NZD 3.52</v>
      </c>
      <c r="V447" s="44" t="str">
        <f t="shared" si="95"/>
        <v>Spark NZ</v>
      </c>
      <c r="Z447" s="49"/>
    </row>
    <row r="448" spans="1:28">
      <c r="A448" s="41"/>
      <c r="C448" s="48" t="str">
        <f t="shared" si="92"/>
        <v>SingTel</v>
      </c>
      <c r="D448" s="44" t="str">
        <f t="shared" si="92"/>
        <v>SGD 3.13</v>
      </c>
      <c r="E448" s="44" t="str">
        <f t="shared" si="92"/>
        <v>SGD 4.60</v>
      </c>
      <c r="F448" s="45">
        <f t="shared" si="92"/>
        <v>0.46964856230031948</v>
      </c>
      <c r="G448" s="44" t="str">
        <f t="shared" si="92"/>
        <v>Buy</v>
      </c>
      <c r="H448" s="46"/>
      <c r="I448" s="45">
        <f>SINGTEL!$D$30/SINGTEL!$D$23</f>
        <v>5.627123442808607E-2</v>
      </c>
      <c r="J448" s="45">
        <f>SINGTEL!$E$30/SINGTEL!$E$23</f>
        <v>0.17657390725918828</v>
      </c>
      <c r="K448" s="45">
        <f>SINGTEL!$F$30/SINGTEL!$F$23</f>
        <v>0.19797809452798099</v>
      </c>
      <c r="L448" s="45">
        <f>SINGTEL!$G$30/SINGTEL!$G$23</f>
        <v>0.21972424858629735</v>
      </c>
      <c r="M448" s="45">
        <f t="shared" si="93"/>
        <v>0.16345301415821128</v>
      </c>
      <c r="N448" s="46"/>
      <c r="O448" s="47">
        <f>SINGTEL!$D$12/SINGTEL!$D$24</f>
        <v>2.1634695579649708</v>
      </c>
      <c r="P448" s="47">
        <f>SINGTEL!$E$12/SINGTEL!$E$24</f>
        <v>2.9373722696206972</v>
      </c>
      <c r="Q448" s="47">
        <f>SINGTEL!$F$12/SINGTEL!$F$24</f>
        <v>2.9021226021508419</v>
      </c>
      <c r="R448" s="47">
        <f>SINGTEL!$G$12/SINGTEL!$G$24</f>
        <v>2.9527600520071795</v>
      </c>
      <c r="S448" s="45">
        <f t="shared" si="94"/>
        <v>0.78929049404220875</v>
      </c>
      <c r="T448" s="46"/>
      <c r="U448" s="48" t="str">
        <f t="shared" si="95"/>
        <v>SGD 3.13</v>
      </c>
      <c r="V448" s="44" t="str">
        <f t="shared" si="95"/>
        <v>SingTel</v>
      </c>
      <c r="Z448" s="49"/>
    </row>
    <row r="449" spans="1:113">
      <c r="A449" s="41"/>
      <c r="C449" s="48" t="str">
        <f t="shared" si="92"/>
        <v xml:space="preserve">Telstra </v>
      </c>
      <c r="D449" s="44" t="str">
        <f t="shared" si="92"/>
        <v>AUD 3.93</v>
      </c>
      <c r="E449" s="44" t="str">
        <f t="shared" si="92"/>
        <v>AUD 3.50</v>
      </c>
      <c r="F449" s="45">
        <f t="shared" si="92"/>
        <v>-0.10941475826972014</v>
      </c>
      <c r="G449" s="44" t="str">
        <f t="shared" si="92"/>
        <v>Buy</v>
      </c>
      <c r="H449" s="46"/>
      <c r="I449" s="45">
        <f>TLS!$D$30/TLS!$D$23</f>
        <v>0.10923067054153364</v>
      </c>
      <c r="J449" s="45">
        <f>TLS!$E$30/TLS!$E$23</f>
        <v>0.11968557322485998</v>
      </c>
      <c r="K449" s="45">
        <f>TLS!$F$30/TLS!$F$23</f>
        <v>0.10676711582464216</v>
      </c>
      <c r="L449" s="45">
        <f>TLS!$G$30/TLS!$G$23</f>
        <v>0.10589288487204815</v>
      </c>
      <c r="M449" s="45">
        <f t="shared" si="93"/>
        <v>-3.3377856694854907E-3</v>
      </c>
      <c r="N449" s="46"/>
      <c r="O449" s="47">
        <f>TLS!$D$12/TLS!$D$24</f>
        <v>1.7005663279663783</v>
      </c>
      <c r="P449" s="47">
        <f>TLS!$E$12/TLS!$E$24</f>
        <v>1.4519910174144381</v>
      </c>
      <c r="Q449" s="47">
        <f>TLS!$F$12/TLS!$F$24</f>
        <v>1.4479276760702273</v>
      </c>
      <c r="R449" s="47">
        <f>TLS!$G$12/TLS!$G$24</f>
        <v>1.3229817960405044</v>
      </c>
      <c r="S449" s="45">
        <f t="shared" si="94"/>
        <v>-0.37758453192587393</v>
      </c>
      <c r="T449" s="46"/>
      <c r="U449" s="48" t="str">
        <f t="shared" si="95"/>
        <v>AUD 3.93</v>
      </c>
      <c r="V449" s="44" t="str">
        <f t="shared" si="95"/>
        <v>Telstra</v>
      </c>
      <c r="Z449" s="49"/>
    </row>
    <row r="450" spans="1:113">
      <c r="A450" s="41"/>
      <c r="C450" s="51" t="str">
        <f>C390</f>
        <v>Agg. Developed Asia Incumbent</v>
      </c>
      <c r="D450" s="58"/>
      <c r="E450" s="58"/>
      <c r="F450" s="55"/>
      <c r="G450" s="58"/>
      <c r="H450" s="56"/>
      <c r="I450" s="55">
        <f>'DM ASIA INCUMB'!$D$30/'DM ASIA INCUMB'!$D$23</f>
        <v>9.5659079429041519E-2</v>
      </c>
      <c r="J450" s="55">
        <f>'DM ASIA INCUMB'!$E$30/'DM ASIA INCUMB'!$E$23</f>
        <v>0.10278875390828168</v>
      </c>
      <c r="K450" s="55">
        <f>'DM ASIA INCUMB'!$F$30/'DM ASIA INCUMB'!$F$23</f>
        <v>0.11542116184673833</v>
      </c>
      <c r="L450" s="55">
        <f>'DM ASIA INCUMB'!$G$30/'DM ASIA INCUMB'!$G$23</f>
        <v>0.11827909234678814</v>
      </c>
      <c r="M450" s="55">
        <f t="shared" si="93"/>
        <v>2.2620012917746624E-2</v>
      </c>
      <c r="N450" s="56"/>
      <c r="O450" s="54">
        <f>'DM ASIA INCUMB'!$D$12/'DM ASIA INCUMB'!$D$24</f>
        <v>1.7518306015947127</v>
      </c>
      <c r="P450" s="54">
        <f>'DM ASIA INCUMB'!$E$12/'DM ASIA INCUMB'!$E$24</f>
        <v>1.7788363455124721</v>
      </c>
      <c r="Q450" s="54">
        <f>'DM ASIA INCUMB'!$F$12/'DM ASIA INCUMB'!$F$24</f>
        <v>1.6176593263969228</v>
      </c>
      <c r="R450" s="54">
        <f>'DM ASIA INCUMB'!$G$12/'DM ASIA INCUMB'!$G$24</f>
        <v>1.5434114169082389</v>
      </c>
      <c r="S450" s="55">
        <f t="shared" si="94"/>
        <v>-0.2084191846864738</v>
      </c>
      <c r="T450" s="56"/>
      <c r="U450" s="51"/>
      <c r="V450" s="58" t="str">
        <f>V390</f>
        <v xml:space="preserve">Agg. Developed Asia Incumbent </v>
      </c>
      <c r="Z450" s="49"/>
    </row>
    <row r="451" spans="1:113">
      <c r="A451" s="41"/>
      <c r="C451" s="43"/>
      <c r="D451" s="50"/>
      <c r="E451" s="50"/>
      <c r="F451" s="61"/>
      <c r="G451" s="50"/>
      <c r="H451" s="56"/>
      <c r="I451" s="61"/>
      <c r="J451" s="61"/>
      <c r="K451" s="61"/>
      <c r="L451" s="61"/>
      <c r="M451" s="61"/>
      <c r="N451" s="56"/>
      <c r="O451" s="62"/>
      <c r="P451" s="62"/>
      <c r="Q451" s="62"/>
      <c r="R451" s="62"/>
      <c r="S451" s="61"/>
      <c r="T451" s="56"/>
      <c r="U451" s="43"/>
      <c r="V451" s="50"/>
      <c r="Z451" s="49"/>
    </row>
    <row r="452" spans="1:113">
      <c r="A452" s="41"/>
      <c r="C452" s="51" t="s">
        <v>857</v>
      </c>
      <c r="D452" s="58"/>
      <c r="E452" s="58"/>
      <c r="F452" s="55"/>
      <c r="G452" s="58"/>
      <c r="H452" s="56"/>
      <c r="I452" s="55">
        <f>'AGG DM INCUMB'!$D$30/'AGG DM INCUMB'!$D$23</f>
        <v>0.10054540342926707</v>
      </c>
      <c r="J452" s="55">
        <f>'AGG DM INCUMB'!$E$30/'AGG DM INCUMB'!$E$23</f>
        <v>0.10206900615859163</v>
      </c>
      <c r="K452" s="55">
        <f>'AGG DM INCUMB'!$F$30/'AGG DM INCUMB'!$F$23</f>
        <v>0.11066980595477201</v>
      </c>
      <c r="L452" s="55">
        <f>'AGG DM INCUMB'!$G$30/'AGG DM INCUMB'!$G$23</f>
        <v>0.11584284090177054</v>
      </c>
      <c r="M452" s="55">
        <f>L452-I452</f>
        <v>1.5297437472503464E-2</v>
      </c>
      <c r="N452" s="56"/>
      <c r="O452" s="54">
        <f>'AGG DM INCUMB'!$D$12/'AGG DM INCUMB'!$D$24</f>
        <v>2.4096986033602192</v>
      </c>
      <c r="P452" s="54">
        <f>'AGG DM INCUMB'!$E$12/'AGG DM INCUMB'!$E$24</f>
        <v>2.3252402269640253</v>
      </c>
      <c r="Q452" s="54">
        <f>'AGG DM INCUMB'!$F$12/'AGG DM INCUMB'!$F$24</f>
        <v>2.1934143125042915</v>
      </c>
      <c r="R452" s="54">
        <f>'AGG DM INCUMB'!$G$12/'AGG DM INCUMB'!$G$24</f>
        <v>2.0974037053764785</v>
      </c>
      <c r="S452" s="55">
        <f>R452-O452</f>
        <v>-0.31229489798374077</v>
      </c>
      <c r="T452" s="56"/>
      <c r="U452" s="51"/>
      <c r="V452" s="58" t="str">
        <f>C452</f>
        <v>Agg. DM Incumbent total</v>
      </c>
      <c r="Z452" s="49"/>
    </row>
    <row r="453" spans="1:113">
      <c r="A453" s="41"/>
      <c r="C453" s="41"/>
      <c r="D453" s="44"/>
      <c r="E453" s="44"/>
      <c r="F453" s="45"/>
      <c r="G453" s="44"/>
      <c r="H453" s="46"/>
      <c r="I453" s="45"/>
      <c r="J453" s="45"/>
      <c r="K453" s="45"/>
      <c r="L453" s="45"/>
      <c r="M453" s="45"/>
      <c r="N453" s="46"/>
      <c r="O453" s="47"/>
      <c r="P453" s="47"/>
      <c r="Q453" s="47"/>
      <c r="R453" s="47"/>
      <c r="S453" s="45"/>
      <c r="T453" s="46"/>
      <c r="U453" s="48"/>
      <c r="V453" s="50"/>
      <c r="Z453" s="49"/>
    </row>
    <row r="454" spans="1:113">
      <c r="A454" s="41" t="s">
        <v>1374</v>
      </c>
      <c r="C454" s="48" t="str">
        <f t="shared" ref="C454:G461" si="96">C394</f>
        <v>1&amp;1</v>
      </c>
      <c r="D454" s="44" t="str">
        <f t="shared" si="96"/>
        <v>EUR 14.0</v>
      </c>
      <c r="E454" s="44" t="str">
        <f t="shared" si="96"/>
        <v>EUR 26.0</v>
      </c>
      <c r="F454" s="45">
        <f t="shared" si="96"/>
        <v>0.85449358059914404</v>
      </c>
      <c r="G454" s="44" t="str">
        <f t="shared" si="96"/>
        <v>Buy</v>
      </c>
      <c r="H454" s="46"/>
      <c r="I454" s="45">
        <f>DRI!$D$30/DRI!$D$23</f>
        <v>7.6255229326584226E-2</v>
      </c>
      <c r="J454" s="45">
        <f>DRI!$E$30/DRI!$E$23</f>
        <v>7.1981000214633259E-2</v>
      </c>
      <c r="K454" s="45">
        <f>DRI!$F$30/DRI!$F$23</f>
        <v>7.0294195985496105E-2</v>
      </c>
      <c r="L454" s="45">
        <f>DRI!$G$30/DRI!$G$23</f>
        <v>7.2572704644170913E-2</v>
      </c>
      <c r="M454" s="45">
        <f>L454-I454</f>
        <v>-3.6825246824133129E-3</v>
      </c>
      <c r="N454" s="46"/>
      <c r="O454" s="47">
        <f>DRI!$D$12/DRI!$D$24</f>
        <v>-0.34843439704845464</v>
      </c>
      <c r="P454" s="47">
        <f>DRI!$E$12/DRI!$E$24</f>
        <v>0.1819202148502255</v>
      </c>
      <c r="Q454" s="47">
        <f>DRI!$F$12/DRI!$F$24</f>
        <v>0.43142857247278393</v>
      </c>
      <c r="R454" s="47">
        <f>DRI!$G$12/DRI!$G$24</f>
        <v>0.61509363061471911</v>
      </c>
      <c r="S454" s="45">
        <f>R454-O454</f>
        <v>0.96352802766317369</v>
      </c>
      <c r="T454" s="46"/>
      <c r="U454" s="48" t="str">
        <f t="shared" ref="U454:V460" si="97">U394</f>
        <v>EUR 14.0</v>
      </c>
      <c r="V454" s="44" t="str">
        <f t="shared" si="97"/>
        <v>1&amp;1</v>
      </c>
      <c r="Z454" s="4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row>
    <row r="455" spans="1:113">
      <c r="C455" s="48" t="str">
        <f t="shared" si="96"/>
        <v>Elisa</v>
      </c>
      <c r="D455" s="44" t="str">
        <f t="shared" si="96"/>
        <v>EUR 46.6</v>
      </c>
      <c r="E455" s="44" t="str">
        <f t="shared" si="96"/>
        <v>EUR 53.0</v>
      </c>
      <c r="F455" s="45">
        <f t="shared" si="96"/>
        <v>0.13831615120274909</v>
      </c>
      <c r="G455" s="44" t="str">
        <f t="shared" si="96"/>
        <v>Neutral</v>
      </c>
      <c r="H455" s="46"/>
      <c r="I455" s="45">
        <f>ELISA!$D$30/ELISA!$D$23</f>
        <v>0.17093576669047678</v>
      </c>
      <c r="J455" s="45">
        <f>ELISA!$E$30/ELISA!$E$23</f>
        <v>0.16594817805873516</v>
      </c>
      <c r="K455" s="45">
        <f>ELISA!$F$30/ELISA!$F$23</f>
        <v>0.16923797354949621</v>
      </c>
      <c r="L455" s="45">
        <f>ELISA!$G$30/ELISA!$G$23</f>
        <v>0.1725550533812151</v>
      </c>
      <c r="M455" s="45">
        <f t="shared" ref="M455:M462" si="98">L455-I455</f>
        <v>1.6192866907383252E-3</v>
      </c>
      <c r="N455" s="46"/>
      <c r="O455" s="47">
        <f>ELISA!$D$12/ELISA!$D$24</f>
        <v>1.7248677248677249</v>
      </c>
      <c r="P455" s="47">
        <f>ELISA!$E$12/ELISA!$E$24</f>
        <v>1.6851403536828788</v>
      </c>
      <c r="Q455" s="47">
        <f>ELISA!$F$12/ELISA!$F$24</f>
        <v>1.5866587887835168</v>
      </c>
      <c r="R455" s="47">
        <f>ELISA!$G$12/ELISA!$G$24</f>
        <v>1.5035582063212618</v>
      </c>
      <c r="S455" s="45">
        <f t="shared" ref="S455:S462" si="99">R455-O455</f>
        <v>-0.22130951854646308</v>
      </c>
      <c r="T455" s="46"/>
      <c r="U455" s="48" t="str">
        <f t="shared" si="97"/>
        <v>EUR 46.6</v>
      </c>
      <c r="V455" s="44" t="str">
        <f t="shared" si="97"/>
        <v>Elisa</v>
      </c>
      <c r="Z455" s="4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row>
    <row r="456" spans="1:113">
      <c r="A456" s="41"/>
      <c r="C456" s="48" t="str">
        <f t="shared" si="96"/>
        <v>Liberty Global (prop.)</v>
      </c>
      <c r="D456" s="44" t="str">
        <f t="shared" si="96"/>
        <v>USD 20.3</v>
      </c>
      <c r="E456" s="44" t="str">
        <f t="shared" si="96"/>
        <v>USD 23.0</v>
      </c>
      <c r="F456" s="45">
        <f t="shared" si="96"/>
        <v>0.13356333169048806</v>
      </c>
      <c r="G456" s="44" t="str">
        <f t="shared" si="96"/>
        <v>Neutral</v>
      </c>
      <c r="H456" s="46"/>
      <c r="I456" s="45">
        <f>LBTY!$D$30/LBTY!$D$23</f>
        <v>-0.51062271099209489</v>
      </c>
      <c r="J456" s="45">
        <f>LBTY!$E$30/LBTY!$E$23</f>
        <v>-0.27152224060622859</v>
      </c>
      <c r="K456" s="45">
        <f>LBTY!$F$30/LBTY!$F$23</f>
        <v>-0.23894910724551477</v>
      </c>
      <c r="L456" s="45">
        <f>LBTY!$G$30/LBTY!$G$23</f>
        <v>-0.17598190180041429</v>
      </c>
      <c r="M456" s="45">
        <f>L456-I456</f>
        <v>0.3346408091916806</v>
      </c>
      <c r="N456" s="46"/>
      <c r="O456" s="47">
        <f>LBTY!$D$12/LBTY!$D$24</f>
        <v>1.5414441658860738</v>
      </c>
      <c r="P456" s="47">
        <f>LBTY!$E$12/LBTY!$E$24</f>
        <v>1.4825141267322901</v>
      </c>
      <c r="Q456" s="47">
        <f>LBTY!$F$12/LBTY!$F$24</f>
        <v>1.4878167704360674</v>
      </c>
      <c r="R456" s="47">
        <f>LBTY!$G$12/LBTY!$G$24</f>
        <v>1.5462019371029445</v>
      </c>
      <c r="S456" s="45">
        <f>R456-O456</f>
        <v>4.7577712168707098E-3</v>
      </c>
      <c r="T456" s="46"/>
      <c r="U456" s="48" t="str">
        <f t="shared" si="97"/>
        <v>USD 20.3</v>
      </c>
      <c r="V456" s="44" t="str">
        <f t="shared" si="97"/>
        <v>Liberty Global</v>
      </c>
      <c r="Z456" s="4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row>
    <row r="457" spans="1:113">
      <c r="A457" s="41"/>
      <c r="C457" s="48" t="str">
        <f t="shared" si="96"/>
        <v>NOS</v>
      </c>
      <c r="D457" s="44" t="str">
        <f t="shared" si="96"/>
        <v>EUR 3.58</v>
      </c>
      <c r="E457" s="44" t="str">
        <f t="shared" si="96"/>
        <v>EUR 3.70</v>
      </c>
      <c r="F457" s="45">
        <f t="shared" si="96"/>
        <v>3.4965034965035002E-2</v>
      </c>
      <c r="G457" s="44" t="str">
        <f t="shared" si="96"/>
        <v>Neutral</v>
      </c>
      <c r="H457" s="46"/>
      <c r="I457" s="45">
        <f>NOS!$D$30/NOS!$D$23</f>
        <v>8.7940427622739153E-2</v>
      </c>
      <c r="J457" s="45">
        <f>NOS!$E$30/NOS!$E$23</f>
        <v>8.4053996629169736E-2</v>
      </c>
      <c r="K457" s="45">
        <f>NOS!$F$30/NOS!$F$23</f>
        <v>0.10719992270313372</v>
      </c>
      <c r="L457" s="45">
        <f>NOS!$G$30/NOS!$G$23</f>
        <v>0.11185622133367304</v>
      </c>
      <c r="M457" s="45">
        <f>L457-I457</f>
        <v>2.3915793710933886E-2</v>
      </c>
      <c r="N457" s="46"/>
      <c r="O457" s="47">
        <f>NOS!$D$12/NOS!$D$24</f>
        <v>1.5200155927541907</v>
      </c>
      <c r="P457" s="47">
        <f>NOS!$E$12/NOS!$E$24</f>
        <v>1.3892877122410134</v>
      </c>
      <c r="Q457" s="47">
        <f>NOS!$F$12/NOS!$F$24</f>
        <v>1.5126435252748314</v>
      </c>
      <c r="R457" s="47">
        <f>NOS!$G$12/NOS!$G$24</f>
        <v>1.5173538904209309</v>
      </c>
      <c r="S457" s="45">
        <f>R457-O457</f>
        <v>-2.6617023332597967E-3</v>
      </c>
      <c r="T457" s="46"/>
      <c r="U457" s="48" t="str">
        <f t="shared" si="97"/>
        <v>EUR 3.58</v>
      </c>
      <c r="V457" s="44" t="str">
        <f t="shared" si="97"/>
        <v>NOS</v>
      </c>
      <c r="Z457" s="4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row>
    <row r="458" spans="1:113">
      <c r="C458" s="48" t="str">
        <f t="shared" si="96"/>
        <v>Orange Belgium</v>
      </c>
      <c r="D458" s="44" t="str">
        <f t="shared" si="96"/>
        <v>EUR 14.8</v>
      </c>
      <c r="E458" s="44" t="str">
        <f t="shared" si="96"/>
        <v>EUR 15.0</v>
      </c>
      <c r="F458" s="45">
        <f t="shared" si="96"/>
        <v>1.3513513513513375E-2</v>
      </c>
      <c r="G458" s="44" t="str">
        <f t="shared" si="96"/>
        <v>Neutral</v>
      </c>
      <c r="H458" s="46"/>
      <c r="I458" s="45">
        <f>OBEL!$D$30/OBEL!$D$23</f>
        <v>8.4376631929384868E-2</v>
      </c>
      <c r="J458" s="45">
        <f>OBEL!$E$30/OBEL!$E$23</f>
        <v>9.6115214517567729E-2</v>
      </c>
      <c r="K458" s="45">
        <f>OBEL!$F$30/OBEL!$F$23</f>
        <v>9.5747136161063409E-2</v>
      </c>
      <c r="L458" s="45">
        <f>OBEL!$G$30/OBEL!$G$23</f>
        <v>9.7673609901345965E-2</v>
      </c>
      <c r="M458" s="45">
        <f t="shared" si="98"/>
        <v>1.3296977971961096E-2</v>
      </c>
      <c r="N458" s="46"/>
      <c r="O458" s="47">
        <f>OBEL!$D$12/OBEL!$D$24</f>
        <v>4.080411524099393</v>
      </c>
      <c r="P458" s="47">
        <f>OBEL!$E$12/OBEL!$E$24</f>
        <v>3.3136208201899668</v>
      </c>
      <c r="Q458" s="47">
        <f>OBEL!$F$12/OBEL!$F$24</f>
        <v>3.0634842481576832</v>
      </c>
      <c r="R458" s="47">
        <f>OBEL!$G$12/OBEL!$G$24</f>
        <v>2.8118376295104728</v>
      </c>
      <c r="S458" s="45">
        <f t="shared" si="99"/>
        <v>-1.2685738945889202</v>
      </c>
      <c r="T458" s="46"/>
      <c r="U458" s="48" t="str">
        <f t="shared" si="97"/>
        <v>EUR 14.8</v>
      </c>
      <c r="V458" s="44" t="str">
        <f t="shared" si="97"/>
        <v>Mobistar</v>
      </c>
      <c r="Z458" s="4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row>
    <row r="459" spans="1:113">
      <c r="C459" s="48" t="str">
        <f t="shared" si="96"/>
        <v>Tele2</v>
      </c>
      <c r="D459" s="44" t="str">
        <f t="shared" si="96"/>
        <v>SEK 117.7</v>
      </c>
      <c r="E459" s="44" t="str">
        <f t="shared" si="96"/>
        <v>SEK 109.0</v>
      </c>
      <c r="F459" s="45">
        <f t="shared" si="96"/>
        <v>-7.3523161920951985E-2</v>
      </c>
      <c r="G459" s="44" t="str">
        <f t="shared" si="96"/>
        <v>Neutral</v>
      </c>
      <c r="H459" s="46"/>
      <c r="I459" s="45">
        <f>TELE2!$D$30/TELE2!$D$23</f>
        <v>0.12720967247387713</v>
      </c>
      <c r="J459" s="45">
        <f>TELE2!$E$30/TELE2!$E$23</f>
        <v>0.12082650001810943</v>
      </c>
      <c r="K459" s="45">
        <f>TELE2!$F$30/TELE2!$F$23</f>
        <v>0.1331707806904516</v>
      </c>
      <c r="L459" s="45">
        <f>TELE2!$G$30/TELE2!$G$23</f>
        <v>0.13907213793158779</v>
      </c>
      <c r="M459" s="45">
        <f t="shared" si="98"/>
        <v>1.1862465457710664E-2</v>
      </c>
      <c r="N459" s="46"/>
      <c r="O459" s="47">
        <f>TELE2!$D$12/TELE2!$D$24</f>
        <v>2.4639279042853457</v>
      </c>
      <c r="P459" s="47">
        <f>TELE2!$E$12/TELE2!$E$24</f>
        <v>2.4339691659965088</v>
      </c>
      <c r="Q459" s="47">
        <f>TELE2!$F$12/TELE2!$F$24</f>
        <v>2.4658080887629517</v>
      </c>
      <c r="R459" s="47">
        <f>TELE2!$G$12/TELE2!$G$24</f>
        <v>2.4889881089737642</v>
      </c>
      <c r="S459" s="45">
        <f t="shared" si="99"/>
        <v>2.5060204688418519E-2</v>
      </c>
      <c r="T459" s="46"/>
      <c r="U459" s="48" t="str">
        <f t="shared" si="97"/>
        <v>SEK 117.7</v>
      </c>
      <c r="V459" s="44" t="str">
        <f t="shared" si="97"/>
        <v>Tele2</v>
      </c>
      <c r="Z459" s="4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row>
    <row r="460" spans="1:113">
      <c r="A460" s="41"/>
      <c r="C460" s="48" t="str">
        <f t="shared" si="96"/>
        <v>United Internet</v>
      </c>
      <c r="D460" s="44" t="str">
        <f t="shared" si="96"/>
        <v>EUR 19.1</v>
      </c>
      <c r="E460" s="44" t="str">
        <f t="shared" si="96"/>
        <v>EUR 28.0</v>
      </c>
      <c r="F460" s="45">
        <f t="shared" si="96"/>
        <v>0.46904512067156356</v>
      </c>
      <c r="G460" s="44" t="str">
        <f t="shared" si="96"/>
        <v>Buy</v>
      </c>
      <c r="H460" s="46"/>
      <c r="I460" s="45">
        <f>UTDI!$D$30/UTDI!$D$23</f>
        <v>5.4878788630962842E-2</v>
      </c>
      <c r="J460" s="45">
        <f>UTDI!$E$30/UTDI!$E$23</f>
        <v>6.4060870265977621E-2</v>
      </c>
      <c r="K460" s="45">
        <f>UTDI!$F$30/UTDI!$F$23</f>
        <v>6.7432648605729451E-2</v>
      </c>
      <c r="L460" s="45">
        <f>UTDI!$G$30/UTDI!$G$23</f>
        <v>6.9251511312732425E-2</v>
      </c>
      <c r="M460" s="45">
        <f>L460-I460</f>
        <v>1.4372722681769583E-2</v>
      </c>
      <c r="N460" s="46"/>
      <c r="O460" s="47">
        <f>UTDI!$D$12/UTDI!$D$24</f>
        <v>2.1081806933905538</v>
      </c>
      <c r="P460" s="47">
        <f>UTDI!$E$12/UTDI!$E$24</f>
        <v>2.5126348714659992</v>
      </c>
      <c r="Q460" s="47">
        <f>UTDI!$F$12/UTDI!$F$24</f>
        <v>2.4457204887423951</v>
      </c>
      <c r="R460" s="47">
        <f>UTDI!$G$12/UTDI!$G$24</f>
        <v>2.309667464138903</v>
      </c>
      <c r="S460" s="45">
        <f>R460-O460</f>
        <v>0.2014867707483492</v>
      </c>
      <c r="T460" s="46"/>
      <c r="U460" s="48" t="str">
        <f t="shared" si="97"/>
        <v>EUR 19.1</v>
      </c>
      <c r="V460" s="44" t="str">
        <f t="shared" si="97"/>
        <v>United Internet</v>
      </c>
      <c r="Z460" s="4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row>
    <row r="461" spans="1:113">
      <c r="C461" s="48" t="str">
        <f t="shared" si="96"/>
        <v>Vodafone</v>
      </c>
      <c r="D461" s="44" t="str">
        <f t="shared" si="96"/>
        <v>GBP 0.77</v>
      </c>
      <c r="E461" s="44" t="str">
        <f t="shared" si="96"/>
        <v>GBP 1.40</v>
      </c>
      <c r="F461" s="45">
        <f t="shared" si="96"/>
        <v>0.80785123966942152</v>
      </c>
      <c r="G461" s="44" t="str">
        <f t="shared" si="96"/>
        <v>Buy</v>
      </c>
      <c r="H461" s="46"/>
      <c r="I461" s="45">
        <f>VOD!$D$30/VOD!$D$23</f>
        <v>6.4028101557660283E-2</v>
      </c>
      <c r="J461" s="45">
        <f>VOD!$E$30/VOD!$E$23</f>
        <v>6.873001886889897E-2</v>
      </c>
      <c r="K461" s="45">
        <f>VOD!$F$30/VOD!$F$23</f>
        <v>8.3460783244958314E-2</v>
      </c>
      <c r="L461" s="45">
        <f>VOD!$G$30/VOD!$G$23</f>
        <v>9.2109850715979033E-2</v>
      </c>
      <c r="M461" s="45">
        <f>L461-I461</f>
        <v>2.808174915831875E-2</v>
      </c>
      <c r="N461" s="46"/>
      <c r="O461" s="47">
        <f>VOD!$D$12/VOD!$D$24</f>
        <v>2.9895627718738695</v>
      </c>
      <c r="P461" s="47">
        <f>VOD!$E$12/VOD!$E$24</f>
        <v>1.9300661907250489</v>
      </c>
      <c r="Q461" s="47">
        <f>VOD!$F$12/VOD!$F$24</f>
        <v>1.8802113796180253</v>
      </c>
      <c r="R461" s="47">
        <f>VOD!$G$12/VOD!$G$24</f>
        <v>1.6238590806007207</v>
      </c>
      <c r="S461" s="45">
        <f>R461-O461</f>
        <v>-1.3657036912731488</v>
      </c>
      <c r="T461" s="46"/>
      <c r="U461" s="48" t="str">
        <f>U401</f>
        <v>GBP 0.77</v>
      </c>
      <c r="V461" s="44" t="s">
        <v>276</v>
      </c>
      <c r="Z461" s="4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row>
    <row r="462" spans="1:113">
      <c r="C462" s="51" t="str">
        <f>C402</f>
        <v>Agg. W. Europe Other</v>
      </c>
      <c r="D462" s="52"/>
      <c r="E462" s="52"/>
      <c r="F462" s="53"/>
      <c r="G462" s="52"/>
      <c r="H462" s="46"/>
      <c r="I462" s="55">
        <f>'W.EUR OTHER'!$D$30/'W.EUR OTHER'!$D$23</f>
        <v>5.2706554782112586E-2</v>
      </c>
      <c r="J462" s="55">
        <f>'W.EUR OTHER'!$E$30/'W.EUR OTHER'!$E$23</f>
        <v>6.5038546429637231E-2</v>
      </c>
      <c r="K462" s="55">
        <f>'W.EUR OTHER'!$F$30/'W.EUR OTHER'!$F$23</f>
        <v>7.8303214735090623E-2</v>
      </c>
      <c r="L462" s="55">
        <f>'W.EUR OTHER'!$G$30/'W.EUR OTHER'!$G$23</f>
        <v>8.7320972591154414E-2</v>
      </c>
      <c r="M462" s="55">
        <f t="shared" si="98"/>
        <v>3.4614417809041828E-2</v>
      </c>
      <c r="N462" s="56"/>
      <c r="O462" s="54">
        <f>'W.EUR OTHER'!$D$12/'W.EUR OTHER'!$D$24</f>
        <v>2.4082428507307436</v>
      </c>
      <c r="P462" s="54">
        <f>'W.EUR OTHER'!$E$12/'W.EUR OTHER'!$E$24</f>
        <v>1.8516701468004735</v>
      </c>
      <c r="Q462" s="54">
        <f>'W.EUR OTHER'!$F$12/'W.EUR OTHER'!$F$24</f>
        <v>1.8267998183709697</v>
      </c>
      <c r="R462" s="54">
        <f>'W.EUR OTHER'!$G$12/'W.EUR OTHER'!$G$24</f>
        <v>1.7001279913495002</v>
      </c>
      <c r="S462" s="55">
        <f t="shared" si="99"/>
        <v>-0.70811485938124341</v>
      </c>
      <c r="T462" s="46"/>
      <c r="U462" s="57"/>
      <c r="V462" s="58" t="str">
        <f>C462</f>
        <v>Agg. W. Europe Other</v>
      </c>
      <c r="Z462" s="4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row>
    <row r="463" spans="1:113">
      <c r="C463" s="48"/>
      <c r="D463" s="44"/>
      <c r="E463" s="44"/>
      <c r="F463" s="45"/>
      <c r="G463" s="44"/>
      <c r="H463" s="46"/>
      <c r="I463" s="45"/>
      <c r="J463" s="45"/>
      <c r="K463" s="45"/>
      <c r="L463" s="45"/>
      <c r="M463" s="45"/>
      <c r="N463" s="46"/>
      <c r="O463" s="47"/>
      <c r="P463" s="47"/>
      <c r="Q463" s="47"/>
      <c r="R463" s="47"/>
      <c r="S463" s="45"/>
      <c r="T463" s="46"/>
      <c r="U463" s="48"/>
      <c r="V463" s="44"/>
      <c r="Z463" s="4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row>
    <row r="464" spans="1:113">
      <c r="A464" s="41"/>
      <c r="B464" s="42" t="s">
        <v>551</v>
      </c>
      <c r="C464" s="48" t="str">
        <f t="shared" ref="C464:G469" si="100">C404</f>
        <v>HKBN</v>
      </c>
      <c r="D464" s="44" t="str">
        <f t="shared" si="100"/>
        <v>HKD 3</v>
      </c>
      <c r="E464" s="44" t="str">
        <f t="shared" si="100"/>
        <v>HKD 16</v>
      </c>
      <c r="F464" s="45">
        <f t="shared" si="100"/>
        <v>4.9925093632958806</v>
      </c>
      <c r="G464" s="44" t="str">
        <f t="shared" si="100"/>
        <v>Buy</v>
      </c>
      <c r="H464" s="46"/>
      <c r="I464" s="45">
        <f>HKBN!$D$30/HKBN!$D$23</f>
        <v>4.4060578154516798E-2</v>
      </c>
      <c r="J464" s="45">
        <f>HKBN!$E$30/HKBN!$E$23</f>
        <v>4.8068910192093021E-2</v>
      </c>
      <c r="K464" s="45">
        <f>HKBN!$F$30/HKBN!$F$23</f>
        <v>5.1967945376251511E-2</v>
      </c>
      <c r="L464" s="45">
        <f>HKBN!$G$30/HKBN!$G$23</f>
        <v>5.5585997350571868E-2</v>
      </c>
      <c r="M464" s="45">
        <f>L464-I464</f>
        <v>1.152541919605507E-2</v>
      </c>
      <c r="N464" s="46"/>
      <c r="O464" s="47">
        <f>HKBN!$D$12/HKBN!$D$24</f>
        <v>3.4564336066530585</v>
      </c>
      <c r="P464" s="47">
        <f>HKBN!$E$12/HKBN!$E$24</f>
        <v>3.3162997202605173</v>
      </c>
      <c r="Q464" s="47">
        <f>HKBN!$F$12/HKBN!$F$24</f>
        <v>3.1928881834596572</v>
      </c>
      <c r="R464" s="47">
        <f>HKBN!$G$12/HKBN!$G$24</f>
        <v>3.0660966277584292</v>
      </c>
      <c r="S464" s="45">
        <f>R464-O464</f>
        <v>-0.39033697889462937</v>
      </c>
      <c r="T464" s="46"/>
      <c r="U464" s="48" t="str">
        <f t="shared" ref="U464:V469" si="101">U404</f>
        <v>HKD 3</v>
      </c>
      <c r="V464" s="69" t="str">
        <f t="shared" si="101"/>
        <v>HKBN</v>
      </c>
      <c r="Z464" s="4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row>
    <row r="465" spans="1:113">
      <c r="C465" s="48" t="str">
        <f t="shared" si="100"/>
        <v>KDDI</v>
      </c>
      <c r="D465" s="44" t="str">
        <f t="shared" si="100"/>
        <v>JPY 4,851</v>
      </c>
      <c r="E465" s="44" t="str">
        <f t="shared" si="100"/>
        <v>JPY 6,600</v>
      </c>
      <c r="F465" s="45">
        <f t="shared" si="100"/>
        <v>0.36054421768707479</v>
      </c>
      <c r="G465" s="44" t="str">
        <f t="shared" si="100"/>
        <v>Buy</v>
      </c>
      <c r="H465" s="46"/>
      <c r="I465" s="45">
        <f>KDDI!$D$30/KDDI!$D$23</f>
        <v>0.11088750041709763</v>
      </c>
      <c r="J465" s="45">
        <f>KDDI!$E$30/KDDI!$E$23</f>
        <v>0.12509695165816209</v>
      </c>
      <c r="K465" s="45">
        <f>KDDI!$F$30/KDDI!$F$23</f>
        <v>0.12900551763090046</v>
      </c>
      <c r="L465" s="45">
        <f>KDDI!$G$30/KDDI!$G$23</f>
        <v>0.13281302924485389</v>
      </c>
      <c r="M465" s="45">
        <f t="shared" ref="M465:M470" si="102">L465-I465</f>
        <v>2.1925528827756252E-2</v>
      </c>
      <c r="N465" s="46"/>
      <c r="O465" s="47">
        <f>KDDI!$D$12/KDDI!$D$24</f>
        <v>0.92221771284515675</v>
      </c>
      <c r="P465" s="47">
        <f>KDDI!$E$12/KDDI!$E$24</f>
        <v>0.7217634763991233</v>
      </c>
      <c r="Q465" s="47">
        <f>KDDI!$F$12/KDDI!$F$24</f>
        <v>0.57809624102703183</v>
      </c>
      <c r="R465" s="47">
        <f>KDDI!$G$12/KDDI!$G$24</f>
        <v>0.40437614042678932</v>
      </c>
      <c r="S465" s="45">
        <f t="shared" ref="S465:S470" si="103">R465-O465</f>
        <v>-0.51784157241836737</v>
      </c>
      <c r="T465" s="46"/>
      <c r="U465" s="48" t="str">
        <f t="shared" si="101"/>
        <v>JPY 4,851</v>
      </c>
      <c r="V465" s="44" t="str">
        <f t="shared" si="101"/>
        <v>KDDI</v>
      </c>
      <c r="Z465" s="4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row>
    <row r="466" spans="1:113">
      <c r="A466" s="41"/>
      <c r="C466" s="48" t="str">
        <f t="shared" si="100"/>
        <v>Macquarie Telecom</v>
      </c>
      <c r="D466" s="44" t="str">
        <f t="shared" si="100"/>
        <v>AUD 76.51</v>
      </c>
      <c r="E466" s="44" t="str">
        <f t="shared" si="100"/>
        <v>AUD 28.00</v>
      </c>
      <c r="F466" s="45">
        <f t="shared" si="100"/>
        <v>-0.63403476669716374</v>
      </c>
      <c r="G466" s="44" t="str">
        <f t="shared" si="100"/>
        <v>Neutral</v>
      </c>
      <c r="H466" s="46"/>
      <c r="I466" s="45">
        <f>MAQ!$D$30/MAQ!$D$23</f>
        <v>6.5404469582332647E-2</v>
      </c>
      <c r="J466" s="45">
        <f>MAQ!$E$30/MAQ!$E$23</f>
        <v>6.9107592391874653E-2</v>
      </c>
      <c r="K466" s="45">
        <f>MAQ!$F$30/MAQ!$F$23</f>
        <v>7.7643173399958396E-2</v>
      </c>
      <c r="L466" s="45">
        <f>MAQ!$G$30/MAQ!$G$23</f>
        <v>8.1456314440227273E-2</v>
      </c>
      <c r="M466" s="45">
        <f>L466-I466</f>
        <v>1.6051844857894626E-2</v>
      </c>
      <c r="N466" s="46"/>
      <c r="O466" s="47">
        <f>MAQ!$D$12/MAQ!$D$24</f>
        <v>-0.27981817046257362</v>
      </c>
      <c r="P466" s="47">
        <f>MAQ!$E$12/MAQ!$E$24</f>
        <v>-0.45554131042779494</v>
      </c>
      <c r="Q466" s="47">
        <f>MAQ!$F$12/MAQ!$F$24</f>
        <v>-0.53347252619737706</v>
      </c>
      <c r="R466" s="47">
        <f>MAQ!$G$12/MAQ!$G$24</f>
        <v>-0.74312821645389171</v>
      </c>
      <c r="S466" s="45">
        <f>R466-O466</f>
        <v>-0.46331004599131809</v>
      </c>
      <c r="T466" s="46"/>
      <c r="U466" s="48" t="str">
        <f t="shared" si="101"/>
        <v>AUD 76.51</v>
      </c>
      <c r="V466" s="69" t="str">
        <f t="shared" si="101"/>
        <v>Macquarie Telecom</v>
      </c>
      <c r="Z466" s="49"/>
    </row>
    <row r="467" spans="1:113">
      <c r="C467" s="48" t="str">
        <f t="shared" si="100"/>
        <v>Rakuten</v>
      </c>
      <c r="D467" s="44" t="str">
        <f t="shared" si="100"/>
        <v>JPY 946</v>
      </c>
      <c r="E467" s="44" t="str">
        <f t="shared" si="100"/>
        <v>JPY 400</v>
      </c>
      <c r="F467" s="45">
        <f t="shared" si="100"/>
        <v>-0.57734573119188504</v>
      </c>
      <c r="G467" s="44" t="str">
        <f t="shared" si="100"/>
        <v>Reduce</v>
      </c>
      <c r="H467" s="46"/>
      <c r="I467" s="45">
        <f>RAK!$D$30/RAK!$D$23</f>
        <v>-0.16389298585681075</v>
      </c>
      <c r="J467" s="45">
        <f>RAK!$E$30/RAK!$E$23</f>
        <v>-8.6862777756685439E-2</v>
      </c>
      <c r="K467" s="45">
        <f>RAK!$F$30/RAK!$F$23</f>
        <v>-7.3477382047833689E-2</v>
      </c>
      <c r="L467" s="45">
        <f>RAK!$G$30/RAK!$G$23</f>
        <v>-6.3189561273835515E-2</v>
      </c>
      <c r="M467" s="45">
        <f>L467-I467</f>
        <v>0.10070342458297524</v>
      </c>
      <c r="N467" s="46"/>
      <c r="O467" s="47">
        <f>RAK!$D$12/RAK!$D$24</f>
        <v>0.6006249198604392</v>
      </c>
      <c r="P467" s="47">
        <f>RAK!$E$12/RAK!$E$24</f>
        <v>0.46286567244099419</v>
      </c>
      <c r="Q467" s="47">
        <f>RAK!$F$12/RAK!$F$24</f>
        <v>0.33671077487333662</v>
      </c>
      <c r="R467" s="47">
        <f>RAK!$G$12/RAK!$G$24</f>
        <v>0.25710787658597511</v>
      </c>
      <c r="S467" s="45">
        <f>R467-O467</f>
        <v>-0.34351704327446408</v>
      </c>
      <c r="T467" s="46"/>
      <c r="U467" s="48" t="str">
        <f t="shared" si="101"/>
        <v>JPY 946</v>
      </c>
      <c r="V467" s="44" t="str">
        <f t="shared" si="101"/>
        <v>Rakuten</v>
      </c>
      <c r="Z467" s="4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row>
    <row r="468" spans="1:113">
      <c r="C468" s="48" t="str">
        <f t="shared" si="100"/>
        <v>SoftBank KK (Corp)</v>
      </c>
      <c r="D468" s="44" t="str">
        <f t="shared" si="100"/>
        <v>JPY 1,996</v>
      </c>
      <c r="E468" s="44" t="str">
        <f t="shared" si="100"/>
        <v>JPY 2,700</v>
      </c>
      <c r="F468" s="45">
        <f t="shared" si="100"/>
        <v>0.35270541082164319</v>
      </c>
      <c r="G468" s="44" t="str">
        <f t="shared" si="100"/>
        <v>Buy</v>
      </c>
      <c r="H468" s="46"/>
      <c r="I468" s="45">
        <f>SBKK!$D$30/SBKK!$D$23</f>
        <v>8.0374753451676523E-2</v>
      </c>
      <c r="J468" s="45">
        <f>SBKK!$E$30/SBKK!$E$23</f>
        <v>8.3622881112003083E-2</v>
      </c>
      <c r="K468" s="45">
        <f>SBKK!$F$30/SBKK!$F$23</f>
        <v>8.8435742358154837E-2</v>
      </c>
      <c r="L468" s="45">
        <f>SBKK!$G$30/SBKK!$G$23</f>
        <v>8.839630866665113E-2</v>
      </c>
      <c r="M468" s="45">
        <f t="shared" si="102"/>
        <v>8.0215552149746072E-3</v>
      </c>
      <c r="N468" s="46"/>
      <c r="O468" s="47">
        <f>SBKK!$D$12/SBKK!$D$24</f>
        <v>2.7612210617399322</v>
      </c>
      <c r="P468" s="47">
        <f>SBKK!$E$12/SBKK!$E$24</f>
        <v>2.5889159828553439</v>
      </c>
      <c r="Q468" s="47">
        <f>SBKK!$F$12/SBKK!$F$24</f>
        <v>2.112980181137873</v>
      </c>
      <c r="R468" s="47">
        <f>SBKK!$G$12/SBKK!$G$24</f>
        <v>1.763238423890142</v>
      </c>
      <c r="S468" s="45">
        <f t="shared" si="103"/>
        <v>-0.99798263784979024</v>
      </c>
      <c r="T468" s="46"/>
      <c r="U468" s="48" t="str">
        <f t="shared" si="101"/>
        <v>JPY 1,996</v>
      </c>
      <c r="V468" s="44" t="str">
        <f t="shared" si="101"/>
        <v>SoftBank KK (Corp)</v>
      </c>
      <c r="Z468" s="4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row>
    <row r="469" spans="1:113">
      <c r="A469" s="41"/>
      <c r="C469" s="48" t="str">
        <f t="shared" si="100"/>
        <v>TPG</v>
      </c>
      <c r="D469" s="44" t="str">
        <f t="shared" si="100"/>
        <v>AUD 4.99</v>
      </c>
      <c r="E469" s="44" t="str">
        <f t="shared" si="100"/>
        <v>AUD 7.50</v>
      </c>
      <c r="F469" s="45">
        <f t="shared" si="100"/>
        <v>0.50300601202404804</v>
      </c>
      <c r="G469" s="44" t="str">
        <f t="shared" si="100"/>
        <v>Neutral</v>
      </c>
      <c r="H469" s="46"/>
      <c r="I469" s="45">
        <f>TPG!$D$30/TPG!$D$23</f>
        <v>8.1736920496538787E-2</v>
      </c>
      <c r="J469" s="45">
        <f>TPG!$E$30/TPG!$E$23</f>
        <v>7.9596456458852771E-2</v>
      </c>
      <c r="K469" s="45">
        <f>TPG!$F$30/TPG!$F$23</f>
        <v>8.3062767030333565E-2</v>
      </c>
      <c r="L469" s="45">
        <f>TPG!$G$30/TPG!$G$23</f>
        <v>8.5726282763352576E-2</v>
      </c>
      <c r="M469" s="45">
        <f>L469-I469</f>
        <v>3.9893622668137896E-3</v>
      </c>
      <c r="N469" s="46"/>
      <c r="O469" s="47">
        <f>TPG!$D$12/TPG!$D$24</f>
        <v>2.6518882418815704</v>
      </c>
      <c r="P469" s="47">
        <f>TPG!$E$12/TPG!$E$24</f>
        <v>2.5591656812657231</v>
      </c>
      <c r="Q469" s="47">
        <f>TPG!$F$12/TPG!$F$24</f>
        <v>2.362866143691456</v>
      </c>
      <c r="R469" s="47">
        <f>TPG!$G$12/TPG!$G$24</f>
        <v>2.1750917488950332</v>
      </c>
      <c r="S469" s="45">
        <f>R469-O469</f>
        <v>-0.47679649298653715</v>
      </c>
      <c r="T469" s="46"/>
      <c r="U469" s="48" t="str">
        <f t="shared" si="101"/>
        <v>AUD 4.99</v>
      </c>
      <c r="V469" s="44" t="str">
        <f t="shared" si="101"/>
        <v>TPG</v>
      </c>
      <c r="Z469" s="49"/>
    </row>
    <row r="470" spans="1:113">
      <c r="C470" s="51" t="str">
        <f>C410</f>
        <v>Agg. Developed Asia Other</v>
      </c>
      <c r="D470" s="52"/>
      <c r="E470" s="52"/>
      <c r="F470" s="53"/>
      <c r="G470" s="52"/>
      <c r="H470" s="46"/>
      <c r="I470" s="55">
        <f>'DM ASIA OTHER'!$D$30/'DM ASIA OTHER'!$D$23</f>
        <v>5.7423782142108963E-2</v>
      </c>
      <c r="J470" s="55">
        <f>'DM ASIA OTHER'!$E$30/'DM ASIA OTHER'!$E$23</f>
        <v>7.3563137962689332E-2</v>
      </c>
      <c r="K470" s="55">
        <f>'DM ASIA OTHER'!$F$30/'DM ASIA OTHER'!$F$23</f>
        <v>7.8133988062971976E-2</v>
      </c>
      <c r="L470" s="55">
        <f>'DM ASIA OTHER'!$G$30/'DM ASIA OTHER'!$G$23</f>
        <v>8.0174417998658529E-2</v>
      </c>
      <c r="M470" s="55">
        <f t="shared" si="102"/>
        <v>2.2750635856549566E-2</v>
      </c>
      <c r="N470" s="56"/>
      <c r="O470" s="54">
        <f>'DM ASIA OTHER'!$D$12/'DM ASIA OTHER'!$D$24</f>
        <v>1.7971234855250044</v>
      </c>
      <c r="P470" s="54">
        <f>'DM ASIA OTHER'!$E$12/'DM ASIA OTHER'!$E$24</f>
        <v>1.5583850572402054</v>
      </c>
      <c r="Q470" s="54">
        <f>'DM ASIA OTHER'!$F$12/'DM ASIA OTHER'!$F$24</f>
        <v>1.288756750128198</v>
      </c>
      <c r="R470" s="54">
        <f>'DM ASIA OTHER'!$G$12/'DM ASIA OTHER'!$G$24</f>
        <v>1.0425518349632927</v>
      </c>
      <c r="S470" s="55">
        <f t="shared" si="103"/>
        <v>-0.75457165056171172</v>
      </c>
      <c r="T470" s="46"/>
      <c r="U470" s="57"/>
      <c r="V470" s="58" t="str">
        <f>V410</f>
        <v>Agg. Developed Asia Cellular</v>
      </c>
      <c r="Z470" s="4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row>
    <row r="471" spans="1:113">
      <c r="A471" s="41"/>
      <c r="C471" s="48"/>
      <c r="D471" s="44"/>
      <c r="E471" s="44"/>
      <c r="F471" s="45"/>
      <c r="G471" s="44"/>
      <c r="H471" s="46"/>
      <c r="I471" s="45"/>
      <c r="J471" s="45"/>
      <c r="K471" s="45"/>
      <c r="L471" s="45"/>
      <c r="M471" s="45"/>
      <c r="N471" s="46"/>
      <c r="O471" s="47"/>
      <c r="P471" s="47"/>
      <c r="Q471" s="47"/>
      <c r="R471" s="47"/>
      <c r="S471" s="45"/>
      <c r="T471" s="46"/>
      <c r="U471" s="48"/>
      <c r="V471" s="44"/>
      <c r="Z471" s="4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row>
    <row r="472" spans="1:113">
      <c r="A472" s="41"/>
      <c r="B472" s="42" t="s">
        <v>514</v>
      </c>
      <c r="C472" s="48" t="str">
        <f>C412</f>
        <v>Altice US</v>
      </c>
      <c r="D472" s="44" t="str">
        <f>D412</f>
        <v>US$2.1</v>
      </c>
      <c r="E472" s="44" t="str">
        <f>E412</f>
        <v>US$4.0</v>
      </c>
      <c r="F472" s="45">
        <f>F412</f>
        <v>0.86915887850467288</v>
      </c>
      <c r="G472" s="44" t="str">
        <f>G412</f>
        <v>Neutral</v>
      </c>
      <c r="H472" s="46"/>
      <c r="I472" s="45">
        <f>(ATCUS!D$30/ATCUS!D$23)</f>
        <v>3.4193873724378196E-2</v>
      </c>
      <c r="J472" s="45">
        <f>(ATCUS!E$30/ATCUS!E$23)</f>
        <v>-6.3396147949493446E-3</v>
      </c>
      <c r="K472" s="45">
        <f>(ATCUS!F$30/ATCUS!F$23)</f>
        <v>-1.2834276057259932E-2</v>
      </c>
      <c r="L472" s="45">
        <f>(ATCUS!G$30/ATCUS!G$23)</f>
        <v>-1.0831834485953096E-2</v>
      </c>
      <c r="M472" s="45">
        <f>L472-I472</f>
        <v>-4.5025708210331292E-2</v>
      </c>
      <c r="N472" s="46"/>
      <c r="O472" s="47">
        <f>(ATCUS!D$12/ATCUS!D$24)</f>
        <v>6.7671777194649891</v>
      </c>
      <c r="P472" s="47">
        <f>(ATCUS!E$12/ATCUS!E$24)</f>
        <v>6.8960080585378583</v>
      </c>
      <c r="Q472" s="47">
        <f>(ATCUS!F$12/ATCUS!F$24)</f>
        <v>7.0798582252954239</v>
      </c>
      <c r="R472" s="47">
        <f>(ATCUS!G$12/ATCUS!G$24)</f>
        <v>7.0496839644457685</v>
      </c>
      <c r="S472" s="45">
        <f t="shared" ref="S472:S477" si="104">R472-O472</f>
        <v>0.28250624498077936</v>
      </c>
      <c r="T472" s="46"/>
      <c r="U472" s="48" t="str">
        <f>D472</f>
        <v>US$2.1</v>
      </c>
      <c r="V472" s="44" t="str">
        <f t="shared" ref="V472:V477" si="105">C472</f>
        <v>Altice US</v>
      </c>
      <c r="Z472" s="4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row>
    <row r="473" spans="1:113">
      <c r="A473" s="41"/>
      <c r="B473" s="42" t="s">
        <v>514</v>
      </c>
      <c r="C473" s="48" t="s">
        <v>306</v>
      </c>
      <c r="D473" s="44" t="str">
        <f>B473&amp;TEXT(Prices!$C$45,"0.0")</f>
        <v>US$330.8</v>
      </c>
      <c r="E473" s="44" t="str">
        <f>B473&amp;TEXT(Prices!$E$45,"0.0")</f>
        <v>US$581.0</v>
      </c>
      <c r="F473" s="45">
        <f>Prices!$F$45</f>
        <v>0.75645444101819947</v>
      </c>
      <c r="G473" s="44" t="str">
        <f>Prices!$D$45</f>
        <v>Buy</v>
      </c>
      <c r="H473" s="46"/>
      <c r="I473" s="45">
        <f>(CHTR!D$30/CHTR!D$23)</f>
        <v>7.9123778203381803E-2</v>
      </c>
      <c r="J473" s="45">
        <f>(CHTR!E$30/CHTR!E$23)</f>
        <v>9.6071126184011632E-2</v>
      </c>
      <c r="K473" s="45">
        <f>(CHTR!F$30/CHTR!F$23)</f>
        <v>0.10404166327410599</v>
      </c>
      <c r="L473" s="45">
        <f>(CHTR!G$30/CHTR!G$23)</f>
        <v>0.10978919338261196</v>
      </c>
      <c r="M473" s="45">
        <f>L473-I473</f>
        <v>3.066541517923016E-2</v>
      </c>
      <c r="N473" s="46"/>
      <c r="O473" s="47">
        <f>(CHTR!D$12/CHTR!D$24)</f>
        <v>4.4335434365579607</v>
      </c>
      <c r="P473" s="47">
        <f>(CHTR!E$12/CHTR!E$24)</f>
        <v>4.4339270155663897</v>
      </c>
      <c r="Q473" s="47">
        <f>(CHTR!F$12/CHTR!F$24)</f>
        <v>4.4324809609447025</v>
      </c>
      <c r="R473" s="47">
        <f>(CHTR!G$12/CHTR!G$24)</f>
        <v>4.4309560147019109</v>
      </c>
      <c r="S473" s="45">
        <f t="shared" si="104"/>
        <v>-2.5874218560497653E-3</v>
      </c>
      <c r="T473" s="46"/>
      <c r="U473" s="48" t="str">
        <f>D473</f>
        <v>US$330.8</v>
      </c>
      <c r="V473" s="44" t="str">
        <f t="shared" si="105"/>
        <v>Charter</v>
      </c>
      <c r="Z473" s="4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row>
    <row r="474" spans="1:113">
      <c r="A474" s="41"/>
      <c r="B474" s="42" t="s">
        <v>514</v>
      </c>
      <c r="C474" s="48" t="s">
        <v>304</v>
      </c>
      <c r="D474" s="44" t="str">
        <f>B474&amp;TEXT(Prices!$C$46,"0.0")</f>
        <v>US$39.8</v>
      </c>
      <c r="E474" s="44" t="str">
        <f>B474&amp;TEXT(Prices!$E$46,"0.0")</f>
        <v>US$50.0</v>
      </c>
      <c r="F474" s="45">
        <f>Prices!$F$46</f>
        <v>0.25628140703517599</v>
      </c>
      <c r="G474" s="44" t="str">
        <f>Prices!$D$46</f>
        <v>Buy</v>
      </c>
      <c r="H474" s="46"/>
      <c r="I474" s="45">
        <f>(CMCSA!D$30/CMCSA!D$23)</f>
        <v>0.13058824506029199</v>
      </c>
      <c r="J474" s="45">
        <f>(CMCSA!E$30/CMCSA!E$23)</f>
        <v>0.13896332396791827</v>
      </c>
      <c r="K474" s="45">
        <f>(CMCSA!F$30/CMCSA!F$23)</f>
        <v>0.14867288397116193</v>
      </c>
      <c r="L474" s="45">
        <f>(CMCSA!G$30/CMCSA!G$23)</f>
        <v>0.16420778213566758</v>
      </c>
      <c r="M474" s="45">
        <f>L474-I474</f>
        <v>3.36195370753756E-2</v>
      </c>
      <c r="N474" s="46"/>
      <c r="O474" s="47">
        <f>(CMCSA!D$12/CMCSA!D$24)</f>
        <v>2.3279999999999998</v>
      </c>
      <c r="P474" s="47">
        <f>(CMCSA!E$12/CMCSA!E$24)</f>
        <v>2.4</v>
      </c>
      <c r="Q474" s="47">
        <f>(CMCSA!F$12/CMCSA!F$24)</f>
        <v>2.4</v>
      </c>
      <c r="R474" s="47">
        <f>(CMCSA!G$12/CMCSA!G$24)</f>
        <v>2.4</v>
      </c>
      <c r="S474" s="45">
        <f t="shared" si="104"/>
        <v>7.2000000000000064E-2</v>
      </c>
      <c r="T474" s="46"/>
      <c r="U474" s="48" t="str">
        <f>D474</f>
        <v>US$39.8</v>
      </c>
      <c r="V474" s="44" t="str">
        <f t="shared" si="105"/>
        <v>Comcast</v>
      </c>
      <c r="Z474" s="4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row>
    <row r="475" spans="1:113">
      <c r="A475" s="41"/>
      <c r="B475" s="42" t="s">
        <v>522</v>
      </c>
      <c r="C475" s="48" t="s">
        <v>1602</v>
      </c>
      <c r="D475" s="44" t="str">
        <f>B475&amp;TEXT(Prices!C$47,"0.0")</f>
        <v>US$ 35.0</v>
      </c>
      <c r="E475" s="44" t="str">
        <f>B475&amp;TEXT(Prices!E$47,"0.0")</f>
        <v>US$ 54.0</v>
      </c>
      <c r="F475" s="45">
        <f>Prices!F$47</f>
        <v>0.54285714285714293</v>
      </c>
      <c r="G475" s="44" t="str">
        <f>Prices!D$47</f>
        <v>Buy</v>
      </c>
      <c r="H475" s="46"/>
      <c r="I475" s="45">
        <f>(FYBR!D$30/FYBR!D$23)</f>
        <v>5.0426012867327424E-3</v>
      </c>
      <c r="J475" s="45">
        <f>(FYBR!E$30/FYBR!E$23)</f>
        <v>-4.6189121569402226E-2</v>
      </c>
      <c r="K475" s="45">
        <f>(FYBR!F$30/FYBR!F$23)</f>
        <v>-4.6409140302670508E-2</v>
      </c>
      <c r="L475" s="45">
        <f>(FYBR!G$30/FYBR!G$23)</f>
        <v>-3.7654525320458966E-2</v>
      </c>
      <c r="M475" s="45">
        <f>FYBR!H$42</f>
        <v>3.3177717934998796E-2</v>
      </c>
      <c r="N475" s="46"/>
      <c r="O475" s="47">
        <f>(FYBR!D$12/FYBR!D$24)</f>
        <v>4.2599905970850962</v>
      </c>
      <c r="P475" s="47">
        <f>(FYBR!E$12/FYBR!E$24)</f>
        <v>17.906079686570077</v>
      </c>
      <c r="Q475" s="47">
        <f>(FYBR!F$12/FYBR!F$24)</f>
        <v>18.725202619067911</v>
      </c>
      <c r="R475" s="47">
        <f>(FYBR!G$12/FYBR!G$24)</f>
        <v>19.421824341508977</v>
      </c>
      <c r="S475" s="45">
        <f t="shared" si="104"/>
        <v>15.16183374442388</v>
      </c>
      <c r="T475" s="46"/>
      <c r="U475" s="48" t="str">
        <f>D475</f>
        <v>US$ 35.0</v>
      </c>
      <c r="V475" s="44" t="str">
        <f t="shared" si="105"/>
        <v>Frontier</v>
      </c>
      <c r="Z475" s="4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row>
    <row r="476" spans="1:113">
      <c r="A476" s="41"/>
      <c r="B476" s="42" t="s">
        <v>522</v>
      </c>
      <c r="C476" s="48" t="s">
        <v>1603</v>
      </c>
      <c r="D476" s="44" t="str">
        <f>B476&amp;TEXT(Prices!C$48,"0.0")</f>
        <v>US$ 22.3</v>
      </c>
      <c r="E476" s="44" t="str">
        <f>B476&amp;TEXT(Prices!E$48,"0.0")</f>
        <v>US$ 100.0</v>
      </c>
      <c r="F476" s="45">
        <f>Prices!F$48</f>
        <v>3.4883303411131061</v>
      </c>
      <c r="G476" s="44" t="str">
        <f>Prices!D$48</f>
        <v>Buy</v>
      </c>
      <c r="H476" s="46"/>
      <c r="I476" s="45">
        <f>(SATS!D$30/SATS!D$23)</f>
        <v>-1.2821269170116188E-2</v>
      </c>
      <c r="J476" s="45">
        <f>(SATS!E$30/SATS!E$23)</f>
        <v>4.4880646060447508E-4</v>
      </c>
      <c r="K476" s="45">
        <f>(SATS!F$30/SATS!F$23)</f>
        <v>1.4755570921519809E-2</v>
      </c>
      <c r="L476" s="45">
        <f>(SATS!G$30/SATS!G$23)</f>
        <v>1.2082469530482278E-2</v>
      </c>
      <c r="M476" s="45">
        <f>SATS!H$42</f>
        <v>4.5519366726737731E-2</v>
      </c>
      <c r="N476" s="46"/>
      <c r="O476" s="47">
        <f>(SATS!D$12/SATS!D$24)</f>
        <v>12.587577815865098</v>
      </c>
      <c r="P476" s="47">
        <f>(SATS!E$12/SATS!E$24)</f>
        <v>9.0602166772369017</v>
      </c>
      <c r="Q476" s="47">
        <f>(SATS!F$12/SATS!F$24)</f>
        <v>6.9743049686105234</v>
      </c>
      <c r="R476" s="47">
        <f>(SATS!G$12/SATS!G$24)</f>
        <v>4.5891485200586262</v>
      </c>
      <c r="S476" s="45">
        <f t="shared" si="104"/>
        <v>-7.9984292958064716</v>
      </c>
      <c r="T476" s="46"/>
      <c r="U476" s="48" t="str">
        <f>D476</f>
        <v>US$ 22.3</v>
      </c>
      <c r="V476" s="44" t="str">
        <f t="shared" si="105"/>
        <v>EchoStar</v>
      </c>
      <c r="Z476" s="4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row>
    <row r="477" spans="1:113">
      <c r="A477" s="41"/>
      <c r="C477" s="51" t="str">
        <f>C417</f>
        <v>Agg. US Other</v>
      </c>
      <c r="D477" s="58"/>
      <c r="E477" s="58"/>
      <c r="F477" s="55"/>
      <c r="G477" s="58"/>
      <c r="H477" s="56"/>
      <c r="I477" s="55">
        <f>('US OTHER'!D$30/'US OTHER'!D$23)</f>
        <v>9.7603649672715606E-2</v>
      </c>
      <c r="J477" s="55">
        <f>('US OTHER'!E$30/'US OTHER'!E$23)</f>
        <v>0.10871302273049306</v>
      </c>
      <c r="K477" s="55">
        <f>('US OTHER'!F$30/'US OTHER'!F$23)</f>
        <v>0.11736951027663342</v>
      </c>
      <c r="L477" s="55">
        <f>('US OTHER'!G$30/'US OTHER'!G$23)</f>
        <v>0.12809948625861939</v>
      </c>
      <c r="M477" s="55">
        <f>L477-I477</f>
        <v>3.0495836585903782E-2</v>
      </c>
      <c r="N477" s="56"/>
      <c r="O477" s="66">
        <f>('US OTHER'!D$12/'US OTHER'!D$24)</f>
        <v>3.5652440130546639</v>
      </c>
      <c r="P477" s="66">
        <f>('US OTHER'!E$12/'US OTHER'!E$24)</f>
        <v>3.6472477047343377</v>
      </c>
      <c r="Q477" s="66">
        <f>('US OTHER'!F$12/'US OTHER'!F$24)</f>
        <v>3.602594157703781</v>
      </c>
      <c r="R477" s="66">
        <f>('US OTHER'!G$12/'US OTHER'!G$24)</f>
        <v>3.5030938738494388</v>
      </c>
      <c r="S477" s="55">
        <f t="shared" si="104"/>
        <v>-6.2150139205225052E-2</v>
      </c>
      <c r="T477" s="56"/>
      <c r="U477" s="51"/>
      <c r="V477" s="58" t="str">
        <f t="shared" si="105"/>
        <v>Agg. US Other</v>
      </c>
      <c r="Z477" s="4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row>
    <row r="478" spans="1:113">
      <c r="A478" s="41"/>
      <c r="C478" s="48"/>
      <c r="D478" s="44"/>
      <c r="E478" s="44"/>
      <c r="F478" s="45"/>
      <c r="G478" s="44"/>
      <c r="H478" s="46"/>
      <c r="I478" s="45"/>
      <c r="J478" s="45"/>
      <c r="K478" s="45"/>
      <c r="L478" s="45"/>
      <c r="M478" s="45"/>
      <c r="N478" s="46"/>
      <c r="O478" s="47"/>
      <c r="P478" s="47"/>
      <c r="Q478" s="47"/>
      <c r="R478" s="47"/>
      <c r="S478" s="45"/>
      <c r="T478" s="46"/>
      <c r="U478" s="48"/>
      <c r="V478" s="44"/>
      <c r="Z478" s="4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row>
    <row r="479" spans="1:113">
      <c r="C479" s="48"/>
      <c r="D479" s="44"/>
      <c r="E479" s="44"/>
      <c r="F479" s="45"/>
      <c r="G479" s="44"/>
      <c r="H479" s="46"/>
      <c r="I479" s="45"/>
      <c r="J479" s="45"/>
      <c r="K479" s="45"/>
      <c r="L479" s="45"/>
      <c r="M479" s="45"/>
      <c r="N479" s="46"/>
      <c r="O479" s="47"/>
      <c r="P479" s="47"/>
      <c r="Q479" s="47"/>
      <c r="R479" s="47"/>
      <c r="S479" s="45"/>
      <c r="T479" s="46"/>
      <c r="U479" s="48"/>
      <c r="V479" s="44"/>
      <c r="Z479" s="4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row>
    <row r="480" spans="1:113">
      <c r="C480" s="51" t="str">
        <f>C420</f>
        <v>Agg. W Europe</v>
      </c>
      <c r="D480" s="52"/>
      <c r="E480" s="52"/>
      <c r="F480" s="53"/>
      <c r="G480" s="52"/>
      <c r="H480" s="46"/>
      <c r="I480" s="55">
        <f>'W.EUR AGG'!$D$30/'W.EUR AGG'!$D$23</f>
        <v>6.0842396530858156E-2</v>
      </c>
      <c r="J480" s="55">
        <f>'W.EUR AGG'!$E$30/'W.EUR AGG'!$E$23</f>
        <v>6.5972703127204727E-2</v>
      </c>
      <c r="K480" s="55">
        <f>'W.EUR AGG'!$F$30/'W.EUR AGG'!$F$23</f>
        <v>7.722049672468545E-2</v>
      </c>
      <c r="L480" s="55">
        <f>'W.EUR AGG'!$G$30/'W.EUR AGG'!$G$23</f>
        <v>8.3629948840499943E-2</v>
      </c>
      <c r="M480" s="55">
        <f>L480-I480</f>
        <v>2.2787552309641787E-2</v>
      </c>
      <c r="N480" s="56"/>
      <c r="O480" s="54">
        <f>'W.EUR AGG'!$D$12/'W.EUR AGG'!$D$24</f>
        <v>2.4549325881199526</v>
      </c>
      <c r="P480" s="54">
        <f>'W.EUR AGG'!$E$12/'W.EUR AGG'!$E$24</f>
        <v>2.332516100748629</v>
      </c>
      <c r="Q480" s="54">
        <f>'W.EUR AGG'!$F$12/'W.EUR AGG'!$F$24</f>
        <v>2.2661858207688641</v>
      </c>
      <c r="R480" s="54">
        <f>'W.EUR AGG'!$G$12/'W.EUR AGG'!$G$24</f>
        <v>2.2160289812607226</v>
      </c>
      <c r="S480" s="55">
        <f>R480-O480</f>
        <v>-0.23890360685923007</v>
      </c>
      <c r="T480" s="46"/>
      <c r="U480" s="57"/>
      <c r="V480" s="58" t="str">
        <f>V420</f>
        <v>Agg. W Europe</v>
      </c>
      <c r="Z480" s="4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row>
    <row r="481" spans="1:113">
      <c r="C481" s="41" t="s">
        <v>1608</v>
      </c>
      <c r="D481" s="44"/>
      <c r="E481" s="44"/>
      <c r="F481" s="45"/>
      <c r="G481" s="44"/>
      <c r="H481" s="46"/>
      <c r="I481" s="59">
        <f>'US AGG'!D$30/'US AGG'!D$23</f>
        <v>0.12644121932178587</v>
      </c>
      <c r="J481" s="59">
        <f>'US AGG'!E$30/'US AGG'!E$23</f>
        <v>0.13002136317803062</v>
      </c>
      <c r="K481" s="59">
        <f>'US AGG'!F$30/'US AGG'!F$23</f>
        <v>0.1369569824420391</v>
      </c>
      <c r="L481" s="59">
        <f>'US AGG'!G$30/'US AGG'!G$23</f>
        <v>0.14556456739487547</v>
      </c>
      <c r="M481" s="59">
        <f>L481-I481</f>
        <v>1.9123348073089602E-2</v>
      </c>
      <c r="N481" s="56"/>
      <c r="O481" s="60">
        <f>'US AGG'!D$12/'US AGG'!D$24</f>
        <v>3.1282789397169881</v>
      </c>
      <c r="P481" s="60">
        <f>'US AGG'!E$12/'US AGG'!E$24</f>
        <v>3.0389462004325782</v>
      </c>
      <c r="Q481" s="60">
        <f>'US AGG'!F$12/'US AGG'!F$24</f>
        <v>2.9224554424667044</v>
      </c>
      <c r="R481" s="60">
        <f>'US AGG'!G$12/'US AGG'!G$24</f>
        <v>2.7934912690468372</v>
      </c>
      <c r="S481" s="59">
        <f>R481-O481</f>
        <v>-0.33478767067015092</v>
      </c>
      <c r="T481" s="46"/>
      <c r="U481" s="48"/>
      <c r="V481" s="50" t="str">
        <f>V421</f>
        <v>Agg. US</v>
      </c>
      <c r="Z481" s="4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row>
    <row r="482" spans="1:113">
      <c r="C482" s="67" t="str">
        <f>C422</f>
        <v xml:space="preserve">Agg. Developed Asia </v>
      </c>
      <c r="D482" s="52"/>
      <c r="E482" s="52"/>
      <c r="F482" s="53"/>
      <c r="G482" s="52"/>
      <c r="H482" s="46"/>
      <c r="I482" s="55">
        <f>'AGG DM ASIA'!$D$30/'AGG DM ASIA'!$D$23</f>
        <v>7.8687520165739294E-2</v>
      </c>
      <c r="J482" s="55">
        <f>'AGG DM ASIA'!$E$30/'AGG DM ASIA'!$E$23</f>
        <v>8.967235424441071E-2</v>
      </c>
      <c r="K482" s="55">
        <f>'AGG DM ASIA'!$F$30/'AGG DM ASIA'!$F$23</f>
        <v>9.828187831948694E-2</v>
      </c>
      <c r="L482" s="55">
        <f>'AGG DM ASIA'!$G$30/'AGG DM ASIA'!$G$23</f>
        <v>0.10058473190546023</v>
      </c>
      <c r="M482" s="55">
        <f>L482-I482</f>
        <v>2.1897211739720937E-2</v>
      </c>
      <c r="N482" s="56"/>
      <c r="O482" s="54">
        <f>'AGG DM ASIA'!$D$12/'AGG DM ASIA'!$D$24</f>
        <v>1.7711251891425721</v>
      </c>
      <c r="P482" s="54">
        <f>'AGG DM ASIA'!$E$12/'AGG DM ASIA'!$E$24</f>
        <v>1.682280434885312</v>
      </c>
      <c r="Q482" s="54">
        <f>'AGG DM ASIA'!$F$12/'AGG DM ASIA'!$F$24</f>
        <v>1.4734092240014098</v>
      </c>
      <c r="R482" s="54">
        <f>'AGG DM ASIA'!$G$12/'AGG DM ASIA'!$G$24</f>
        <v>1.3202024306876947</v>
      </c>
      <c r="S482" s="55">
        <f>R482-O482</f>
        <v>-0.45092275845487739</v>
      </c>
      <c r="T482" s="46"/>
      <c r="U482" s="57"/>
      <c r="V482" s="58" t="str">
        <f>V422</f>
        <v xml:space="preserve">Agg. Developed Asia </v>
      </c>
      <c r="Z482" s="4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row>
    <row r="483" spans="1:113">
      <c r="C483" s="41"/>
      <c r="D483" s="44"/>
      <c r="E483" s="44"/>
      <c r="F483" s="45"/>
      <c r="G483" s="44"/>
      <c r="H483" s="46"/>
      <c r="I483" s="59"/>
      <c r="J483" s="59"/>
      <c r="K483" s="59"/>
      <c r="L483" s="59"/>
      <c r="M483" s="59"/>
      <c r="N483" s="56"/>
      <c r="O483" s="60"/>
      <c r="P483" s="60"/>
      <c r="Q483" s="60"/>
      <c r="R483" s="60"/>
      <c r="S483" s="59"/>
      <c r="T483" s="46"/>
      <c r="U483" s="48"/>
      <c r="V483" s="50"/>
      <c r="Z483" s="4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row>
    <row r="484" spans="1:113">
      <c r="C484" s="67" t="str">
        <f>C424</f>
        <v>Agg. Global Developed</v>
      </c>
      <c r="D484" s="52"/>
      <c r="E484" s="52"/>
      <c r="F484" s="53"/>
      <c r="G484" s="52"/>
      <c r="H484" s="46"/>
      <c r="I484" s="55">
        <f>'AGG DM'!$D$30/'AGG DM'!$D$23</f>
        <v>9.5898149417904879E-2</v>
      </c>
      <c r="J484" s="55">
        <f>'AGG DM'!$E$30/'AGG DM'!$E$23</f>
        <v>0.10120379650302887</v>
      </c>
      <c r="K484" s="55">
        <f>'AGG DM'!$F$30/'AGG DM'!$F$23</f>
        <v>0.10978786479820117</v>
      </c>
      <c r="L484" s="55">
        <f>'AGG DM'!$G$30/'AGG DM'!$G$23</f>
        <v>0.11638239836360442</v>
      </c>
      <c r="M484" s="55">
        <f>L484-I484</f>
        <v>2.0484248945699543E-2</v>
      </c>
      <c r="N484" s="56"/>
      <c r="O484" s="54">
        <f>'AGG DM'!$D$12/'AGG DM'!$D$24</f>
        <v>2.6937858453389043</v>
      </c>
      <c r="P484" s="54">
        <f>'AGG DM'!$E$12/'AGG DM'!$E$24</f>
        <v>2.5959788966301742</v>
      </c>
      <c r="Q484" s="54">
        <f>'AGG DM'!$F$12/'AGG DM'!$F$24</f>
        <v>2.4720938003888269</v>
      </c>
      <c r="R484" s="54">
        <f>'AGG DM'!$G$12/'AGG DM'!$G$24</f>
        <v>2.3626815606713998</v>
      </c>
      <c r="S484" s="55">
        <f>R484-O484</f>
        <v>-0.33110428466750452</v>
      </c>
      <c r="T484" s="46"/>
      <c r="U484" s="57"/>
      <c r="V484" s="58" t="str">
        <f>V424</f>
        <v xml:space="preserve">Agg. Global Developed </v>
      </c>
      <c r="Z484" s="4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row>
    <row r="485" spans="1:113">
      <c r="C485" s="43"/>
      <c r="D485" s="44"/>
      <c r="E485" s="44"/>
      <c r="F485" s="45"/>
      <c r="G485" s="44"/>
      <c r="H485" s="134"/>
      <c r="I485" s="45"/>
      <c r="J485" s="45"/>
      <c r="K485" s="45"/>
      <c r="L485" s="45"/>
      <c r="M485" s="45"/>
      <c r="N485" s="46"/>
      <c r="O485" s="45"/>
      <c r="P485" s="45"/>
      <c r="Q485" s="45"/>
      <c r="R485" s="45"/>
      <c r="S485" s="45"/>
      <c r="T485" s="46"/>
      <c r="U485" s="48"/>
      <c r="V485" s="50"/>
      <c r="Z485" s="4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row>
    <row r="486" spans="1:113">
      <c r="C486" s="43"/>
      <c r="D486" s="44"/>
      <c r="E486" s="44"/>
      <c r="F486" s="45"/>
      <c r="G486" s="44"/>
      <c r="H486" s="134"/>
      <c r="I486" s="45"/>
      <c r="J486" s="45"/>
      <c r="K486" s="45"/>
      <c r="L486" s="45"/>
      <c r="M486" s="45"/>
      <c r="N486" s="46"/>
      <c r="O486" s="45"/>
      <c r="P486" s="45"/>
      <c r="Q486" s="45"/>
      <c r="R486" s="45"/>
      <c r="S486" s="45"/>
      <c r="T486" s="46"/>
      <c r="U486" s="48"/>
      <c r="V486" s="50"/>
      <c r="Z486" s="4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row>
    <row r="487" spans="1:113" s="41" customFormat="1">
      <c r="B487" s="147"/>
      <c r="C487" s="164"/>
      <c r="D487" s="165" t="s">
        <v>459</v>
      </c>
      <c r="E487" s="165" t="s">
        <v>56</v>
      </c>
      <c r="F487" s="165" t="s">
        <v>58</v>
      </c>
      <c r="G487" s="165" t="s">
        <v>55</v>
      </c>
      <c r="H487" s="49"/>
      <c r="I487" s="166" t="s">
        <v>285</v>
      </c>
      <c r="J487" s="166"/>
      <c r="K487" s="166"/>
      <c r="L487" s="166"/>
      <c r="M487" s="166"/>
      <c r="O487" s="166" t="s">
        <v>469</v>
      </c>
      <c r="P487" s="166"/>
      <c r="Q487" s="166"/>
      <c r="R487" s="166"/>
      <c r="S487" s="166"/>
      <c r="T487" s="49"/>
      <c r="U487" s="167" t="s">
        <v>459</v>
      </c>
      <c r="V487" s="165"/>
      <c r="Z487" s="49"/>
      <c r="AC487" s="135"/>
      <c r="AD487" s="136"/>
      <c r="AE487" s="136"/>
      <c r="AF487" s="136"/>
      <c r="AG487" s="136"/>
      <c r="AH487" s="136"/>
      <c r="AI487" s="136"/>
      <c r="AJ487" s="136"/>
      <c r="AK487" s="136"/>
      <c r="AL487" s="136"/>
      <c r="AM487" s="136"/>
      <c r="AN487" s="136"/>
      <c r="AO487" s="136"/>
      <c r="AP487" s="136"/>
      <c r="AQ487" s="136"/>
      <c r="AR487" s="136"/>
      <c r="AS487" s="136"/>
      <c r="AT487" s="136"/>
      <c r="AU487" s="136"/>
      <c r="AV487" s="136"/>
      <c r="AW487" s="136"/>
      <c r="BC487" s="137"/>
      <c r="BD487" s="137"/>
      <c r="BE487" s="137"/>
      <c r="BG487" s="137"/>
      <c r="BH487" s="137"/>
      <c r="BI487" s="137"/>
      <c r="BK487" s="137"/>
      <c r="BL487" s="137"/>
      <c r="BM487" s="137"/>
      <c r="BO487" s="137"/>
      <c r="BP487" s="137"/>
      <c r="BQ487" s="137"/>
    </row>
    <row r="488" spans="1:113">
      <c r="A488" s="41" t="s">
        <v>501</v>
      </c>
      <c r="C488" s="48" t="s">
        <v>182</v>
      </c>
      <c r="D488" s="44" t="str">
        <f t="shared" ref="D488:G498" si="106">D428</f>
        <v>GBP1.44</v>
      </c>
      <c r="E488" s="44" t="str">
        <f t="shared" si="106"/>
        <v>GBP2.30</v>
      </c>
      <c r="F488" s="45">
        <f t="shared" si="106"/>
        <v>0.59777700590482818</v>
      </c>
      <c r="G488" s="44" t="str">
        <f t="shared" si="106"/>
        <v>Buy</v>
      </c>
      <c r="H488" s="46"/>
      <c r="I488" s="47">
        <f>BT!$D$25/BT!$D$33</f>
        <v>2.8530313367862243</v>
      </c>
      <c r="J488" s="47">
        <f>BT!$E$25/BT!$E$33</f>
        <v>2.6383469352915059</v>
      </c>
      <c r="K488" s="47">
        <f>BT!$F$25/BT!$F$33</f>
        <v>2.5278130793807541</v>
      </c>
      <c r="L488" s="47">
        <f>BT!$G$25/BT!$G$33</f>
        <v>3.0741026535156712</v>
      </c>
      <c r="M488" s="45">
        <f t="shared" ref="M488:M499" si="107">L488-I488</f>
        <v>0.22107131672944691</v>
      </c>
      <c r="N488" s="46"/>
      <c r="O488" s="45">
        <f>(BT!$D$24-BT!$D$25)/BT!$D$23</f>
        <v>0.241467299138798</v>
      </c>
      <c r="P488" s="45">
        <f>(BT!$E$24-BT!$E$25)/BT!$E$23</f>
        <v>0.23980635206525674</v>
      </c>
      <c r="Q488" s="45">
        <f>(BT!$F$24-BT!$F$25)/BT!$F$23</f>
        <v>0.2350409309892128</v>
      </c>
      <c r="R488" s="45">
        <f>(BT!$G$24-BT!$G$25)/BT!$G$23</f>
        <v>0.21865183269604579</v>
      </c>
      <c r="S488" s="45">
        <f t="shared" ref="S488:S499" si="108">R488-O488</f>
        <v>-2.2815466442752202E-2</v>
      </c>
      <c r="T488" s="46"/>
      <c r="U488" s="48" t="str">
        <f t="shared" ref="U488:V492" si="109">U428</f>
        <v>GBP1.44</v>
      </c>
      <c r="V488" s="69" t="str">
        <f t="shared" si="109"/>
        <v>British Telecom</v>
      </c>
      <c r="Z488" s="4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row>
    <row r="489" spans="1:113">
      <c r="A489" s="41"/>
      <c r="C489" s="48" t="s">
        <v>183</v>
      </c>
      <c r="D489" s="44" t="str">
        <f t="shared" si="106"/>
        <v>EUR 26.13</v>
      </c>
      <c r="E489" s="44" t="str">
        <f t="shared" si="106"/>
        <v>EUR 33.00</v>
      </c>
      <c r="F489" s="45">
        <f t="shared" si="106"/>
        <v>0.26291618828932273</v>
      </c>
      <c r="G489" s="44" t="str">
        <f t="shared" si="106"/>
        <v>Buy</v>
      </c>
      <c r="H489" s="46"/>
      <c r="I489" s="47">
        <f>DT!$D$25/DT!$D$33</f>
        <v>4.01038703321644</v>
      </c>
      <c r="J489" s="47">
        <f>DT!$E$25/DT!$E$33</f>
        <v>4.5174704707331896</v>
      </c>
      <c r="K489" s="47">
        <f>DT!$F$25/DT!$F$33</f>
        <v>4.9324253390337995</v>
      </c>
      <c r="L489" s="47">
        <f>DT!$G$25/DT!$G$33</f>
        <v>5.3245543875364438</v>
      </c>
      <c r="M489" s="45">
        <f t="shared" si="107"/>
        <v>1.3141673543200039</v>
      </c>
      <c r="N489" s="46"/>
      <c r="O489" s="45">
        <f>(DT!$D$24-DT!$D$25)/DT!$D$23</f>
        <v>0.15295289813913104</v>
      </c>
      <c r="P489" s="45">
        <f>(DT!$E$24-DT!$E$25)/DT!$E$23</f>
        <v>0.1370143146376524</v>
      </c>
      <c r="Q489" s="45">
        <f>(DT!$F$24-DT!$F$25)/DT!$F$23</f>
        <v>0.13131712056050765</v>
      </c>
      <c r="R489" s="45">
        <f>(DT!$G$24-DT!$G$25)/DT!$G$23</f>
        <v>0.12854552757386398</v>
      </c>
      <c r="S489" s="45">
        <f t="shared" si="108"/>
        <v>-2.4407370565267067E-2</v>
      </c>
      <c r="T489" s="46"/>
      <c r="U489" s="48" t="str">
        <f t="shared" si="109"/>
        <v>EUR 26.13</v>
      </c>
      <c r="V489" s="69" t="str">
        <f t="shared" si="109"/>
        <v>Deutsche Telekom</v>
      </c>
      <c r="Z489" s="4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row>
    <row r="490" spans="1:113">
      <c r="A490" s="41"/>
      <c r="C490" s="48" t="s">
        <v>453</v>
      </c>
      <c r="D490" s="44" t="str">
        <f t="shared" si="106"/>
        <v>EUR 3.75</v>
      </c>
      <c r="E490" s="44" t="str">
        <f t="shared" si="106"/>
        <v>EUR 3.80</v>
      </c>
      <c r="F490" s="45">
        <f t="shared" si="106"/>
        <v>1.4415376401494928E-2</v>
      </c>
      <c r="G490" s="44" t="str">
        <f t="shared" si="106"/>
        <v>Neutral</v>
      </c>
      <c r="H490" s="46"/>
      <c r="I490" s="47">
        <f>KPN!$D$25/KPN!$D$33</f>
        <v>4.9244422427731527</v>
      </c>
      <c r="J490" s="47">
        <f>KPN!$E$25/KPN!$E$33</f>
        <v>4.7317977651788583</v>
      </c>
      <c r="K490" s="47">
        <f>KPN!$F$25/KPN!$F$33</f>
        <v>4.9865367501007256</v>
      </c>
      <c r="L490" s="47">
        <f>KPN!$G$25/KPN!$G$33</f>
        <v>5.1470852959933513</v>
      </c>
      <c r="M490" s="45">
        <f t="shared" si="107"/>
        <v>0.22264305322019862</v>
      </c>
      <c r="N490" s="46"/>
      <c r="O490" s="45">
        <f>(KPN!$D$24-KPN!$D$25)/KPN!$D$23</f>
        <v>0.22345191722354255</v>
      </c>
      <c r="P490" s="45">
        <f>(KPN!$E$24-KPN!$E$25)/KPN!$E$23</f>
        <v>0.21713162138977704</v>
      </c>
      <c r="Q490" s="45">
        <f>(KPN!$F$24-KPN!$F$25)/KPN!$F$23</f>
        <v>0.20967754886828441</v>
      </c>
      <c r="R490" s="45">
        <f>(KPN!$G$24-KPN!$G$25)/KPN!$G$23</f>
        <v>0.2059174520397665</v>
      </c>
      <c r="S490" s="45">
        <f t="shared" si="108"/>
        <v>-1.7534465183776049E-2</v>
      </c>
      <c r="T490" s="46"/>
      <c r="U490" s="48" t="str">
        <f t="shared" si="109"/>
        <v>EUR 3.75</v>
      </c>
      <c r="V490" s="69" t="str">
        <f t="shared" si="109"/>
        <v>KPN</v>
      </c>
      <c r="Z490" s="4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row>
    <row r="491" spans="1:113">
      <c r="A491" s="41"/>
      <c r="C491" s="48" t="s">
        <v>722</v>
      </c>
      <c r="D491" s="44" t="str">
        <f t="shared" si="106"/>
        <v>EUR 10.72</v>
      </c>
      <c r="E491" s="44" t="str">
        <f t="shared" si="106"/>
        <v>EUR 14.00</v>
      </c>
      <c r="F491" s="45">
        <f t="shared" si="106"/>
        <v>0.30597014925373123</v>
      </c>
      <c r="G491" s="44" t="str">
        <f t="shared" si="106"/>
        <v>Buy</v>
      </c>
      <c r="H491" s="46"/>
      <c r="I491" s="47">
        <f>ORA!$D$25/ORA!$D$33</f>
        <v>5.160995850622407</v>
      </c>
      <c r="J491" s="47">
        <f>ORA!$E$25/ORA!$E$33</f>
        <v>7.405507342991001</v>
      </c>
      <c r="K491" s="47">
        <f>ORA!$F$25/ORA!$F$33</f>
        <v>8.7995034898683961</v>
      </c>
      <c r="L491" s="47">
        <f>ORA!$G$25/ORA!$G$33</f>
        <v>9.4601422133819479</v>
      </c>
      <c r="M491" s="45">
        <f t="shared" si="107"/>
        <v>4.299146362759541</v>
      </c>
      <c r="N491" s="46"/>
      <c r="O491" s="45">
        <f>(ORA!$D$24-ORA!$D$25)/ORA!$D$23</f>
        <v>0.17002653372572632</v>
      </c>
      <c r="P491" s="45">
        <f>(ORA!$E$24-ORA!$E$25)/ORA!$E$23</f>
        <v>0.15161459798890381</v>
      </c>
      <c r="Q491" s="45">
        <f>(ORA!$F$24-ORA!$F$25)/ORA!$F$23</f>
        <v>0.14969394530009342</v>
      </c>
      <c r="R491" s="45">
        <f>(ORA!$G$24-ORA!$G$25)/ORA!$G$23</f>
        <v>0.13937813822724265</v>
      </c>
      <c r="S491" s="45">
        <f t="shared" si="108"/>
        <v>-3.0648395498483666E-2</v>
      </c>
      <c r="T491" s="46"/>
      <c r="U491" s="48" t="str">
        <f t="shared" si="109"/>
        <v>EUR 10.72</v>
      </c>
      <c r="V491" s="69" t="str">
        <f t="shared" si="109"/>
        <v>Orange</v>
      </c>
      <c r="Z491" s="4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row>
    <row r="492" spans="1:113">
      <c r="A492" s="41"/>
      <c r="C492" s="48" t="s">
        <v>454</v>
      </c>
      <c r="D492" s="44" t="str">
        <f t="shared" si="106"/>
        <v>EUR 15.08</v>
      </c>
      <c r="E492" s="44" t="str">
        <f t="shared" si="106"/>
        <v>EUR 18.50</v>
      </c>
      <c r="F492" s="45">
        <f t="shared" si="106"/>
        <v>0.22679045092838201</v>
      </c>
      <c r="G492" s="44" t="str">
        <f t="shared" si="106"/>
        <v>Buy</v>
      </c>
      <c r="H492" s="46"/>
      <c r="I492" s="47">
        <f>OTE!$D$25/OTE!$D$33</f>
        <v>35.633663366336648</v>
      </c>
      <c r="J492" s="47">
        <f>OTE!$E$25/OTE!$E$33</f>
        <v>-86.466245213658055</v>
      </c>
      <c r="K492" s="47">
        <f>OTE!$F$25/OTE!$F$33</f>
        <v>-1231.4450772520506</v>
      </c>
      <c r="L492" s="47">
        <f>OTE!$G$25/OTE!$G$33</f>
        <v>59.41121080637879</v>
      </c>
      <c r="M492" s="45">
        <f t="shared" si="107"/>
        <v>23.777547440042142</v>
      </c>
      <c r="N492" s="46"/>
      <c r="O492" s="45">
        <f>(OTE!$D$24-OTE!$D$25)/OTE!$D$23</f>
        <v>0.17183402484073518</v>
      </c>
      <c r="P492" s="45">
        <f>(OTE!$E$24-OTE!$E$25)/OTE!$E$23</f>
        <v>0.16868762158152667</v>
      </c>
      <c r="Q492" s="45">
        <f>(OTE!$F$24-OTE!$F$25)/OTE!$F$23</f>
        <v>0.16819788763938054</v>
      </c>
      <c r="R492" s="45">
        <f>(OTE!$G$24-OTE!$G$25)/OTE!$G$23</f>
        <v>0.16583198222294498</v>
      </c>
      <c r="S492" s="45">
        <f t="shared" si="108"/>
        <v>-6.0020426177901931E-3</v>
      </c>
      <c r="T492" s="46"/>
      <c r="U492" s="48" t="str">
        <f t="shared" si="109"/>
        <v>EUR 15.08</v>
      </c>
      <c r="V492" s="69" t="str">
        <f t="shared" si="109"/>
        <v>OTE</v>
      </c>
      <c r="Z492" s="4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row>
    <row r="493" spans="1:113">
      <c r="A493" s="41"/>
      <c r="C493" s="48" t="s">
        <v>809</v>
      </c>
      <c r="D493" s="44" t="str">
        <f t="shared" si="106"/>
        <v>EUR 6.8</v>
      </c>
      <c r="E493" s="44" t="str">
        <f t="shared" si="106"/>
        <v>EUR 9.5</v>
      </c>
      <c r="F493" s="45">
        <f t="shared" si="106"/>
        <v>0.39296187683284445</v>
      </c>
      <c r="G493" s="44" t="str">
        <f t="shared" si="106"/>
        <v>Neutral</v>
      </c>
      <c r="H493" s="46"/>
      <c r="I493" s="47">
        <f>PROX!$D$25/PROX!$D$33</f>
        <v>3.9188149075915484</v>
      </c>
      <c r="J493" s="47">
        <f>PROX!$E$25/PROX!$E$33</f>
        <v>5.0071759368001443</v>
      </c>
      <c r="K493" s="47">
        <f>PROX!$F$25/PROX!$F$33</f>
        <v>6.5984473596729361</v>
      </c>
      <c r="L493" s="47">
        <f>PROX!$G$25/PROX!$G$33</f>
        <v>7.3492273013663798</v>
      </c>
      <c r="M493" s="45">
        <f t="shared" si="107"/>
        <v>3.4304123937748314</v>
      </c>
      <c r="N493" s="46"/>
      <c r="O493" s="45">
        <f>(PROX!$D$24-PROX!$D$25)/PROX!$D$23</f>
        <v>0.19828740967886072</v>
      </c>
      <c r="P493" s="45">
        <f>(PROX!$E$24-PROX!$E$25)/PROX!$E$23</f>
        <v>0.18040201671133005</v>
      </c>
      <c r="Q493" s="45">
        <f>(PROX!$F$24-PROX!$F$25)/PROX!$F$23</f>
        <v>0.17114009841385933</v>
      </c>
      <c r="R493" s="45">
        <f>(PROX!$G$24-PROX!$G$25)/PROX!$G$23</f>
        <v>0.16630043249295007</v>
      </c>
      <c r="S493" s="45">
        <f t="shared" si="108"/>
        <v>-3.1986977185910648E-2</v>
      </c>
      <c r="T493" s="46"/>
      <c r="U493" s="48" t="str">
        <f t="shared" ref="U493:U498" si="110">U433</f>
        <v>EUR 6.8</v>
      </c>
      <c r="V493" s="69" t="s">
        <v>809</v>
      </c>
      <c r="Z493" s="4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row>
    <row r="494" spans="1:113">
      <c r="C494" s="48" t="s">
        <v>458</v>
      </c>
      <c r="D494" s="44" t="str">
        <f t="shared" si="106"/>
        <v>CHF549</v>
      </c>
      <c r="E494" s="44" t="str">
        <f t="shared" si="106"/>
        <v>CHF600</v>
      </c>
      <c r="F494" s="45">
        <f t="shared" si="106"/>
        <v>9.2896174863388081E-2</v>
      </c>
      <c r="G494" s="44" t="str">
        <f t="shared" si="106"/>
        <v>Neutral</v>
      </c>
      <c r="H494" s="46"/>
      <c r="I494" s="47">
        <f>SWISS!$D$25/SWISS!$D$33</f>
        <v>26.727272727272727</v>
      </c>
      <c r="J494" s="47">
        <f>SWISS!$E$25/SWISS!$E$33</f>
        <v>14.250985793781304</v>
      </c>
      <c r="K494" s="47">
        <f>SWISS!$F$25/SWISS!$F$33</f>
        <v>12.655049738357057</v>
      </c>
      <c r="L494" s="47">
        <f>SWISS!$G$25/SWISS!$G$33</f>
        <v>6.6302212064300727</v>
      </c>
      <c r="M494" s="45">
        <f t="shared" si="107"/>
        <v>-20.097051520842655</v>
      </c>
      <c r="N494" s="46"/>
      <c r="O494" s="45">
        <f>(SWISS!$D$24-SWISS!$D$25)/SWISS!$D$23</f>
        <v>0.20498290653463311</v>
      </c>
      <c r="P494" s="45">
        <f>(SWISS!$E$24-SWISS!$E$25)/SWISS!$E$23</f>
        <v>0.14719700758689278</v>
      </c>
      <c r="Q494" s="45">
        <f>(SWISS!$F$24-SWISS!$F$25)/SWISS!$F$23</f>
        <v>0.19027638138226921</v>
      </c>
      <c r="R494" s="45">
        <f>(SWISS!$G$24-SWISS!$G$25)/SWISS!$G$23</f>
        <v>0.18907012468110806</v>
      </c>
      <c r="S494" s="45">
        <f t="shared" si="108"/>
        <v>-1.5912781853525043E-2</v>
      </c>
      <c r="T494" s="46"/>
      <c r="U494" s="48" t="str">
        <f t="shared" si="110"/>
        <v>CHF549</v>
      </c>
      <c r="V494" s="69" t="str">
        <f t="shared" ref="V494:V499" si="111">V434</f>
        <v>Swisscom</v>
      </c>
    </row>
    <row r="495" spans="1:113">
      <c r="A495" s="41"/>
      <c r="C495" s="48" t="s">
        <v>265</v>
      </c>
      <c r="D495" s="44" t="str">
        <f t="shared" si="106"/>
        <v>EUR 0.24</v>
      </c>
      <c r="E495" s="44" t="str">
        <f t="shared" si="106"/>
        <v>EUR 0.34</v>
      </c>
      <c r="F495" s="45">
        <f t="shared" si="106"/>
        <v>0.44006776789495983</v>
      </c>
      <c r="G495" s="44" t="str">
        <f t="shared" si="106"/>
        <v>Buy</v>
      </c>
      <c r="H495" s="46"/>
      <c r="I495" s="47">
        <f>TI!$D$25/TI!$D$33</f>
        <v>0.75977011494252877</v>
      </c>
      <c r="J495" s="47">
        <f>TI!$E$25/TI!$E$33</f>
        <v>0.8334515187619187</v>
      </c>
      <c r="K495" s="47">
        <f>TI!$F$25/TI!$F$33</f>
        <v>0.96092005339760678</v>
      </c>
      <c r="L495" s="47">
        <f>TI!$G$25/TI!$G$33</f>
        <v>1.1959494333601033</v>
      </c>
      <c r="M495" s="45">
        <f t="shared" si="107"/>
        <v>0.43617931841757451</v>
      </c>
      <c r="N495" s="46"/>
      <c r="O495" s="45">
        <f>(TI!$D$24-TI!$D$25)/TI!$D$23</f>
        <v>0.24953293442384103</v>
      </c>
      <c r="P495" s="45">
        <f>(TI!$E$24-TI!$E$25)/TI!$E$23</f>
        <v>0.24385294732516544</v>
      </c>
      <c r="Q495" s="45">
        <f>(TI!$F$24-TI!$F$25)/TI!$F$23</f>
        <v>0.23842864070816774</v>
      </c>
      <c r="R495" s="45">
        <f>(TI!$G$24-TI!$G$25)/TI!$G$23</f>
        <v>0.21827125773538295</v>
      </c>
      <c r="S495" s="45">
        <f t="shared" si="108"/>
        <v>-3.1261676688458084E-2</v>
      </c>
      <c r="T495" s="46"/>
      <c r="U495" s="48" t="str">
        <f t="shared" si="110"/>
        <v>EUR 0.24</v>
      </c>
      <c r="V495" s="69" t="str">
        <f t="shared" si="111"/>
        <v>Telecom Italia</v>
      </c>
      <c r="Z495" s="4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row>
    <row r="496" spans="1:113">
      <c r="A496" s="41"/>
      <c r="C496" s="48" t="s">
        <v>456</v>
      </c>
      <c r="D496" s="44" t="str">
        <f t="shared" si="106"/>
        <v>EUR 4.21</v>
      </c>
      <c r="E496" s="44" t="str">
        <f t="shared" si="106"/>
        <v>EUR 4.30</v>
      </c>
      <c r="F496" s="45">
        <f t="shared" si="106"/>
        <v>2.065036790885344E-2</v>
      </c>
      <c r="G496" s="44" t="str">
        <f t="shared" si="106"/>
        <v>Neutral</v>
      </c>
      <c r="H496" s="46"/>
      <c r="I496" s="47">
        <f>TEF!$D$25/TEF!$D$33</f>
        <v>2.8326754158475977</v>
      </c>
      <c r="J496" s="47">
        <f>TEF!$E$25/TEF!$E$33</f>
        <v>3.2570515503111714</v>
      </c>
      <c r="K496" s="47">
        <f>TEF!$F$25/TEF!$F$33</f>
        <v>3.4994771703237419</v>
      </c>
      <c r="L496" s="47">
        <f>TEF!$G$25/TEF!$G$33</f>
        <v>3.7696571954061282</v>
      </c>
      <c r="M496" s="45">
        <f t="shared" si="107"/>
        <v>0.93698177955853046</v>
      </c>
      <c r="N496" s="46"/>
      <c r="O496" s="45">
        <f>(TEF!$D$24-TEF!$D$25)/TEF!$D$23</f>
        <v>0.13321932408283221</v>
      </c>
      <c r="P496" s="45">
        <f>(TEF!$E$24-TEF!$E$25)/TEF!$E$23</f>
        <v>0.13152272358763553</v>
      </c>
      <c r="Q496" s="45">
        <f>(TEF!$F$24-TEF!$F$25)/TEF!$F$23</f>
        <v>0.12397263525829484</v>
      </c>
      <c r="R496" s="45">
        <f>(TEF!$G$24-TEF!$G$25)/TEF!$G$23</f>
        <v>0.11818802059583754</v>
      </c>
      <c r="S496" s="45">
        <f t="shared" si="108"/>
        <v>-1.5031303486994677E-2</v>
      </c>
      <c r="T496" s="46"/>
      <c r="U496" s="48" t="str">
        <f t="shared" si="110"/>
        <v>EUR 4.21</v>
      </c>
      <c r="V496" s="69" t="str">
        <f t="shared" si="111"/>
        <v>Telefonica</v>
      </c>
      <c r="Z496" s="4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row>
    <row r="497" spans="1:113">
      <c r="A497" s="41"/>
      <c r="C497" s="48" t="s">
        <v>457</v>
      </c>
      <c r="D497" s="44" t="str">
        <f t="shared" si="106"/>
        <v>NOK 135</v>
      </c>
      <c r="E497" s="44" t="str">
        <f t="shared" si="106"/>
        <v>NOK 138</v>
      </c>
      <c r="F497" s="45">
        <f t="shared" si="106"/>
        <v>2.3738872403560762E-2</v>
      </c>
      <c r="G497" s="44" t="str">
        <f t="shared" si="106"/>
        <v>Buy</v>
      </c>
      <c r="H497" s="46"/>
      <c r="I497" s="47">
        <f>TNOR!$D$25/TNOR!$D$33</f>
        <v>2.9502666376332978</v>
      </c>
      <c r="J497" s="47">
        <f>TNOR!$E$25/TNOR!$E$33</f>
        <v>6.7487593400368713</v>
      </c>
      <c r="K497" s="47">
        <f>TNOR!$F$25/TNOR!$F$33</f>
        <v>6.8320685250149138</v>
      </c>
      <c r="L497" s="47">
        <f>TNOR!$G$25/TNOR!$G$33</f>
        <v>7.1171476514000647</v>
      </c>
      <c r="M497" s="45">
        <f t="shared" si="107"/>
        <v>4.1668810137667673</v>
      </c>
      <c r="N497" s="46"/>
      <c r="O497" s="45">
        <f>(TNOR!$D$24-TNOR!$D$25)/TNOR!$D$23</f>
        <v>0.15886707924459717</v>
      </c>
      <c r="P497" s="45">
        <f>(TNOR!$E$24-TNOR!$E$25)/TNOR!$E$23</f>
        <v>0.14965972525684015</v>
      </c>
      <c r="Q497" s="45">
        <f>(TNOR!$F$24-TNOR!$F$25)/TNOR!$F$23</f>
        <v>0.14105435252657214</v>
      </c>
      <c r="R497" s="45">
        <f>(TNOR!$G$24-TNOR!$G$25)/TNOR!$G$23</f>
        <v>0.13927582358464946</v>
      </c>
      <c r="S497" s="45">
        <f t="shared" si="108"/>
        <v>-1.9591255659947709E-2</v>
      </c>
      <c r="T497" s="46"/>
      <c r="U497" s="48" t="str">
        <f t="shared" si="110"/>
        <v>NOK 135</v>
      </c>
      <c r="V497" s="44" t="str">
        <f t="shared" si="111"/>
        <v>Telenor</v>
      </c>
      <c r="Z497" s="4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row>
    <row r="498" spans="1:113">
      <c r="A498" s="41"/>
      <c r="C498" s="48" t="s">
        <v>1030</v>
      </c>
      <c r="D498" s="44" t="str">
        <f t="shared" si="106"/>
        <v>SEK33.4</v>
      </c>
      <c r="E498" s="44" t="str">
        <f t="shared" si="106"/>
        <v>SEK33.0</v>
      </c>
      <c r="F498" s="45">
        <f t="shared" si="106"/>
        <v>-1.2567324955116699E-2</v>
      </c>
      <c r="G498" s="44" t="str">
        <f t="shared" si="106"/>
        <v>Buy</v>
      </c>
      <c r="H498" s="46"/>
      <c r="I498" s="47">
        <f>TELIA!$D$25/TELIA!$D$33</f>
        <v>3.5441677445304469</v>
      </c>
      <c r="J498" s="47">
        <f>TELIA!$E$25/TELIA!$E$33</f>
        <v>2.9595443528351946</v>
      </c>
      <c r="K498" s="47">
        <f>TELIA!$F$25/TELIA!$F$33</f>
        <v>3.5995847904098737</v>
      </c>
      <c r="L498" s="47">
        <f>TELIA!$G$25/TELIA!$G$33</f>
        <v>3.652301984945022</v>
      </c>
      <c r="M498" s="45">
        <f t="shared" si="107"/>
        <v>0.10813424041457509</v>
      </c>
      <c r="N498" s="46"/>
      <c r="O498" s="45">
        <f>(TELIA!$D$24-TELIA!$D$25)/TELIA!$D$23</f>
        <v>0.15288417068408167</v>
      </c>
      <c r="P498" s="45">
        <f>(TELIA!$E$24-TELIA!$E$25)/TELIA!$E$23</f>
        <v>0.15564452138371637</v>
      </c>
      <c r="Q498" s="45">
        <f>(TELIA!$F$24-TELIA!$F$25)/TELIA!$F$23</f>
        <v>0.14879083427284823</v>
      </c>
      <c r="R498" s="45">
        <f>(TELIA!$G$24-TELIA!$G$25)/TELIA!$G$23</f>
        <v>0.14776847009015667</v>
      </c>
      <c r="S498" s="45">
        <f t="shared" si="108"/>
        <v>-5.1157005939249933E-3</v>
      </c>
      <c r="T498" s="46"/>
      <c r="U498" s="48" t="str">
        <f t="shared" si="110"/>
        <v>SEK33.4</v>
      </c>
      <c r="V498" s="44" t="str">
        <f t="shared" si="111"/>
        <v>Telia</v>
      </c>
      <c r="Z498" s="4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row>
    <row r="499" spans="1:113">
      <c r="A499" s="41"/>
      <c r="C499" s="51" t="str">
        <f>C439</f>
        <v>Agg. W.Europe Incumbent</v>
      </c>
      <c r="D499" s="52"/>
      <c r="E499" s="52"/>
      <c r="F499" s="53"/>
      <c r="G499" s="52"/>
      <c r="H499" s="46"/>
      <c r="I499" s="54">
        <f>'W.EUR INCUMB'!$D$25/'W.EUR INCUMB'!$D$33</f>
        <v>3.5761139278787106</v>
      </c>
      <c r="J499" s="54">
        <f>'W.EUR INCUMB'!$E$25/'W.EUR INCUMB'!$E$33</f>
        <v>4.0303912324831357</v>
      </c>
      <c r="K499" s="54">
        <f>'W.EUR INCUMB'!$F$25/'W.EUR INCUMB'!$F$33</f>
        <v>4.3511329379281412</v>
      </c>
      <c r="L499" s="54">
        <f>'W.EUR INCUMB'!$G$25/'W.EUR INCUMB'!$G$33</f>
        <v>4.6423283035170027</v>
      </c>
      <c r="M499" s="55">
        <f t="shared" si="107"/>
        <v>1.066214375638292</v>
      </c>
      <c r="N499" s="56"/>
      <c r="O499" s="55">
        <f>('W.EUR INCUMB'!$D$24-'W.EUR INCUMB'!$D$25)/'W.EUR INCUMB'!$D$23</f>
        <v>0.17098197467783052</v>
      </c>
      <c r="P499" s="55">
        <f>('W.EUR INCUMB'!$E$24-'W.EUR INCUMB'!$E$25)/'W.EUR INCUMB'!$E$23</f>
        <v>0.1574451233708149</v>
      </c>
      <c r="Q499" s="55">
        <f>('W.EUR INCUMB'!$F$24-'W.EUR INCUMB'!$F$25)/'W.EUR INCUMB'!$F$23</f>
        <v>0.1545252583432726</v>
      </c>
      <c r="R499" s="55">
        <f>('W.EUR INCUMB'!$G$24-'W.EUR INCUMB'!$G$25)/'W.EUR INCUMB'!$G$23</f>
        <v>0.14808952850408955</v>
      </c>
      <c r="S499" s="55">
        <f t="shared" si="108"/>
        <v>-2.2892446173740977E-2</v>
      </c>
      <c r="T499" s="46"/>
      <c r="U499" s="57"/>
      <c r="V499" s="58" t="str">
        <f t="shared" si="111"/>
        <v>Agg. W.Europe Incumbent</v>
      </c>
      <c r="Z499" s="4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row>
    <row r="500" spans="1:113">
      <c r="A500" s="41"/>
      <c r="C500" s="48"/>
      <c r="D500" s="44"/>
      <c r="E500" s="44"/>
      <c r="F500" s="45"/>
      <c r="G500" s="44"/>
      <c r="H500" s="46"/>
      <c r="I500" s="47"/>
      <c r="J500" s="47"/>
      <c r="K500" s="47"/>
      <c r="L500" s="47"/>
      <c r="M500" s="45"/>
      <c r="N500" s="46"/>
      <c r="O500" s="45"/>
      <c r="P500" s="45"/>
      <c r="Q500" s="45"/>
      <c r="R500" s="45"/>
      <c r="S500" s="45"/>
      <c r="T500" s="46"/>
      <c r="U500" s="48"/>
      <c r="V500" s="44"/>
      <c r="Z500" s="4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row>
    <row r="501" spans="1:113">
      <c r="A501" s="41"/>
      <c r="B501" s="42" t="s">
        <v>514</v>
      </c>
      <c r="C501" s="48" t="s">
        <v>486</v>
      </c>
      <c r="D501" s="44" t="str">
        <f>B501&amp;TEXT(Prices!$C$40,"0.0")</f>
        <v>US$20.7</v>
      </c>
      <c r="E501" s="44" t="str">
        <f>B501&amp;TEXT(Prices!$E$40,"0.00")</f>
        <v>US$21.00</v>
      </c>
      <c r="F501" s="45">
        <f>Prices!$F$40</f>
        <v>1.6949152542373058E-2</v>
      </c>
      <c r="G501" s="44" t="str">
        <f>Prices!$D$40</f>
        <v>Neutral</v>
      </c>
      <c r="H501" s="46"/>
      <c r="I501" s="47">
        <f>(ATT!$D$25/ATT!$D$33)</f>
        <v>2.9542064439140812</v>
      </c>
      <c r="J501" s="47">
        <f>(ATT!$D$25/ATT!$D$33)</f>
        <v>2.9542064439140812</v>
      </c>
      <c r="K501" s="47">
        <f>(ATT!$D$25/ATT!$D$33)</f>
        <v>2.9542064439140812</v>
      </c>
      <c r="L501" s="47">
        <f>(ATT!$D$25/ATT!$D$33)</f>
        <v>2.9542064439140812</v>
      </c>
      <c r="M501" s="45">
        <f>L501-I501</f>
        <v>0</v>
      </c>
      <c r="N501" s="46"/>
      <c r="O501" s="45">
        <f>(ATT!D$24-ATT!D$25)/ATT!D$23</f>
        <v>0.19272552030581239</v>
      </c>
      <c r="P501" s="45">
        <f>(ATT!E$24-ATT!E$25)/ATT!E$23</f>
        <v>0.1754327791817229</v>
      </c>
      <c r="Q501" s="45">
        <f>(ATT!F$24-ATT!F$25)/ATT!F$23</f>
        <v>0.16979531974752662</v>
      </c>
      <c r="R501" s="45">
        <f>(ATT!G$24-ATT!G$25)/ATT!G$23</f>
        <v>0.16786142443940386</v>
      </c>
      <c r="S501" s="45">
        <f>R501-O501</f>
        <v>-2.4864095866408531E-2</v>
      </c>
      <c r="T501" s="46"/>
      <c r="U501" s="48" t="str">
        <f>D501</f>
        <v>US$20.7</v>
      </c>
      <c r="V501" s="44" t="str">
        <f>C501</f>
        <v xml:space="preserve">AT&amp;T </v>
      </c>
      <c r="Z501" s="4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row>
    <row r="502" spans="1:113">
      <c r="B502" s="42" t="s">
        <v>514</v>
      </c>
      <c r="C502" s="48" t="s">
        <v>687</v>
      </c>
      <c r="D502" s="44" t="str">
        <f>B502&amp;TEXT(Prices!$C$41,"0.0")</f>
        <v>US$197.2</v>
      </c>
      <c r="E502" s="44" t="str">
        <f>B502&amp;TEXT(Prices!$E$41,"0.0")</f>
        <v>US$205.0</v>
      </c>
      <c r="F502" s="45">
        <f>Prices!$F$41</f>
        <v>3.9659194644487306E-2</v>
      </c>
      <c r="G502" s="44" t="str">
        <f>Prices!$D$41</f>
        <v>Buy</v>
      </c>
      <c r="H502" s="46"/>
      <c r="I502" s="47">
        <f>TMUS!D$25/TMUS!D$33</f>
        <v>5.9044995408631769</v>
      </c>
      <c r="J502" s="47">
        <f>TMUS!E$25/TMUS!E$33</f>
        <v>6.4308505559497524</v>
      </c>
      <c r="K502" s="47">
        <f>TMUS!F$25/TMUS!F$33</f>
        <v>6.7523616243166469</v>
      </c>
      <c r="L502" s="47">
        <f>TMUS!G$25/TMUS!G$33</f>
        <v>7.3113102043582492</v>
      </c>
      <c r="M502" s="45">
        <f>L502-I502</f>
        <v>1.4068106634950723</v>
      </c>
      <c r="N502" s="46"/>
      <c r="O502" s="45">
        <f>(TMUS!D$24-TMUS!D$25)/TMUS!D$23</f>
        <v>0.12476132284426793</v>
      </c>
      <c r="P502" s="45">
        <f>(TMUS!E$24-TMUS!E$25)/TMUS!E$23</f>
        <v>0.11083701695715932</v>
      </c>
      <c r="Q502" s="45">
        <f>(TMUS!F$24-TMUS!F$25)/TMUS!F$23</f>
        <v>0.10686337277448896</v>
      </c>
      <c r="R502" s="45">
        <f>(TMUS!G$24-TMUS!G$25)/TMUS!G$23</f>
        <v>0.10307063716159309</v>
      </c>
      <c r="S502" s="45">
        <f>R502-O502</f>
        <v>-2.1690685682674835E-2</v>
      </c>
      <c r="T502" s="46"/>
      <c r="U502" s="48" t="str">
        <f>D502</f>
        <v>US$197.2</v>
      </c>
      <c r="V502" s="44" t="str">
        <f>C502</f>
        <v>TMUS</v>
      </c>
      <c r="Z502" s="4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row>
    <row r="503" spans="1:113">
      <c r="A503" s="41"/>
      <c r="B503" s="42" t="s">
        <v>514</v>
      </c>
      <c r="C503" s="48" t="s">
        <v>33</v>
      </c>
      <c r="D503" s="44" t="str">
        <f>B503&amp;TEXT(Prices!$C$39,"0.0")</f>
        <v>US$41.3</v>
      </c>
      <c r="E503" s="44" t="str">
        <f>B503&amp;TEXT(Prices!$E$39,"0.00")</f>
        <v>US$45.00</v>
      </c>
      <c r="F503" s="45">
        <f>Prices!$F$39</f>
        <v>8.9324618736383421E-2</v>
      </c>
      <c r="G503" s="44" t="str">
        <f>Prices!$D$39</f>
        <v>Neutral</v>
      </c>
      <c r="H503" s="46"/>
      <c r="I503" s="47">
        <f>(VZN!D$25/VZN!D$33)</f>
        <v>5.2538015930485154</v>
      </c>
      <c r="J503" s="47">
        <f>(VZN!E$25/VZN!E$33)</f>
        <v>4.8881776360968985</v>
      </c>
      <c r="K503" s="47">
        <f>(VZN!F$25/VZN!F$33)</f>
        <v>5.5282261891178202</v>
      </c>
      <c r="L503" s="47">
        <f>(VZN!G$25/VZN!G$33)</f>
        <v>6.0967229800583231</v>
      </c>
      <c r="M503" s="45">
        <f>L503-I503</f>
        <v>0.84292138700980779</v>
      </c>
      <c r="N503" s="46"/>
      <c r="O503" s="45">
        <f>(VZN!D$24-VZN!D$25)/VZN!D$23</f>
        <v>0.14007941839461388</v>
      </c>
      <c r="P503" s="45">
        <f>(VZN!E$24-VZN!E$25)/VZN!E$23</f>
        <v>0.12696293589837732</v>
      </c>
      <c r="Q503" s="45">
        <f>(VZN!F$24-VZN!F$25)/VZN!F$23</f>
        <v>0.12495793392643062</v>
      </c>
      <c r="R503" s="45">
        <f>(VZN!G$24-VZN!G$25)/VZN!G$23</f>
        <v>0.12317802741475305</v>
      </c>
      <c r="S503" s="45">
        <f>R503-O503</f>
        <v>-1.6901390979860834E-2</v>
      </c>
      <c r="T503" s="46"/>
      <c r="U503" s="48" t="str">
        <f>D503</f>
        <v>US$41.3</v>
      </c>
      <c r="V503" s="44" t="str">
        <f>C503</f>
        <v>Verizon</v>
      </c>
      <c r="Z503" s="4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row>
    <row r="504" spans="1:113">
      <c r="A504" s="41"/>
      <c r="C504" s="51" t="s">
        <v>257</v>
      </c>
      <c r="D504" s="52"/>
      <c r="E504" s="52"/>
      <c r="F504" s="53"/>
      <c r="G504" s="52"/>
      <c r="H504" s="46"/>
      <c r="I504" s="54">
        <f>'US TELCO'!D$25/'US TELCO'!D$33</f>
        <v>4.3960632462084543</v>
      </c>
      <c r="J504" s="54">
        <f>'US TELCO'!E$25/'US TELCO'!E$33</f>
        <v>4.5590133678839528</v>
      </c>
      <c r="K504" s="54">
        <f>'US TELCO'!F$25/'US TELCO'!F$33</f>
        <v>5.0983803052962067</v>
      </c>
      <c r="L504" s="54">
        <f>'US TELCO'!G$25/'US TELCO'!G$33</f>
        <v>5.7200973685046419</v>
      </c>
      <c r="M504" s="55">
        <f>L504-I504</f>
        <v>1.3240341222961876</v>
      </c>
      <c r="N504" s="46"/>
      <c r="O504" s="55">
        <f>('US TELCO'!D$24-'US TELCO'!D$25)/'US TELCO'!D$23</f>
        <v>0.15572904227370432</v>
      </c>
      <c r="P504" s="55">
        <f>('US TELCO'!E$24-'US TELCO'!E$25)/'US TELCO'!E$23</f>
        <v>0.14055049391837962</v>
      </c>
      <c r="Q504" s="55">
        <f>('US TELCO'!F$24-'US TELCO'!F$25)/'US TELCO'!F$23</f>
        <v>0.13648014860190891</v>
      </c>
      <c r="R504" s="55">
        <f>('US TELCO'!G$24-'US TELCO'!G$25)/'US TELCO'!G$23</f>
        <v>0.13392266142768711</v>
      </c>
      <c r="S504" s="55">
        <f>R504-O504</f>
        <v>-2.1806380846017215E-2</v>
      </c>
      <c r="T504" s="46"/>
      <c r="U504" s="57"/>
      <c r="V504" s="58" t="str">
        <f>C504</f>
        <v>Agg. US Telecoms</v>
      </c>
      <c r="Z504" s="4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row>
    <row r="505" spans="1:113">
      <c r="A505" s="41"/>
      <c r="C505" s="48"/>
      <c r="D505" s="44"/>
      <c r="E505" s="44"/>
      <c r="F505" s="45"/>
      <c r="G505" s="44"/>
      <c r="H505" s="46"/>
      <c r="I505" s="47"/>
      <c r="J505" s="47"/>
      <c r="K505" s="47"/>
      <c r="L505" s="47"/>
      <c r="M505" s="45"/>
      <c r="N505" s="46"/>
      <c r="O505" s="45"/>
      <c r="P505" s="45"/>
      <c r="Q505" s="45"/>
      <c r="R505" s="45"/>
      <c r="S505" s="45"/>
      <c r="T505" s="46"/>
      <c r="U505" s="48"/>
      <c r="V505" s="44"/>
      <c r="Z505" s="4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row>
    <row r="506" spans="1:113">
      <c r="A506" s="41"/>
      <c r="C506" s="48" t="str">
        <f t="shared" ref="C506:G509" si="112">C446</f>
        <v>NTT</v>
      </c>
      <c r="D506" s="44" t="str">
        <f t="shared" si="112"/>
        <v>JPY 156</v>
      </c>
      <c r="E506" s="44" t="str">
        <f t="shared" si="112"/>
        <v>JPY 240</v>
      </c>
      <c r="F506" s="45">
        <f t="shared" si="112"/>
        <v>0.54340836012861726</v>
      </c>
      <c r="G506" s="44" t="str">
        <f t="shared" si="112"/>
        <v>Buy</v>
      </c>
      <c r="H506" s="46"/>
      <c r="I506" s="47">
        <f>NTT!$D$25/NTT!$D$33</f>
        <v>41.915059536306678</v>
      </c>
      <c r="J506" s="47">
        <f>NTT!$E$25/NTT!$E$33</f>
        <v>34.058348200066405</v>
      </c>
      <c r="K506" s="47">
        <f>NTT!$F$25/NTT!$F$33</f>
        <v>39.409711393206386</v>
      </c>
      <c r="L506" s="47">
        <f>NTT!$G$25/NTT!$G$33</f>
        <v>37.536631184852467</v>
      </c>
      <c r="M506" s="45">
        <f t="shared" ref="M506:M510" si="113">L506-I506</f>
        <v>-4.3784283514542111</v>
      </c>
      <c r="N506" s="46"/>
      <c r="O506" s="45">
        <f>(NTT!$D$24-NTT!$D$25)/NTT!$D$23</f>
        <v>0.15108563994437213</v>
      </c>
      <c r="P506" s="45">
        <f>(NTT!$E$24-NTT!$E$25)/NTT!$E$23</f>
        <v>0.14704918958717675</v>
      </c>
      <c r="Q506" s="45">
        <f>(NTT!$F$24-NTT!$F$25)/NTT!$F$23</f>
        <v>0.14301526311783649</v>
      </c>
      <c r="R506" s="45">
        <f>(NTT!$G$24-NTT!$G$25)/NTT!$G$23</f>
        <v>0.14012674079089815</v>
      </c>
      <c r="S506" s="45">
        <f t="shared" ref="S506:S510" si="114">R506-O506</f>
        <v>-1.0958899153473978E-2</v>
      </c>
      <c r="T506" s="46"/>
      <c r="U506" s="48" t="str">
        <f t="shared" ref="U506:V509" si="115">U446</f>
        <v>JPY 156</v>
      </c>
      <c r="V506" s="44" t="str">
        <f t="shared" si="115"/>
        <v>NTT</v>
      </c>
      <c r="Z506" s="4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row>
    <row r="507" spans="1:113">
      <c r="A507" s="41"/>
      <c r="C507" s="48" t="str">
        <f t="shared" si="112"/>
        <v>Spark NZ</v>
      </c>
      <c r="D507" s="44" t="str">
        <f t="shared" si="112"/>
        <v>NZD 3.52</v>
      </c>
      <c r="E507" s="44" t="str">
        <f t="shared" si="112"/>
        <v>NZD 5.00</v>
      </c>
      <c r="F507" s="45">
        <f t="shared" si="112"/>
        <v>0.42045454545454541</v>
      </c>
      <c r="G507" s="44" t="str">
        <f t="shared" si="112"/>
        <v>Neutral</v>
      </c>
      <c r="H507" s="46"/>
      <c r="I507" s="47">
        <f>SPK!$D$25/SPK!$D$33</f>
        <v>36.049363704179697</v>
      </c>
      <c r="J507" s="47">
        <f>SPK!$E$25/SPK!$E$33</f>
        <v>64.104626290788602</v>
      </c>
      <c r="K507" s="47">
        <f>SPK!$F$25/SPK!$F$33</f>
        <v>432.82351836836057</v>
      </c>
      <c r="L507" s="47">
        <f>SPK!$G$25/SPK!$G$33</f>
        <v>-90.827108207454302</v>
      </c>
      <c r="M507" s="45">
        <f t="shared" si="113"/>
        <v>-126.876471911634</v>
      </c>
      <c r="N507" s="46"/>
      <c r="O507" s="45">
        <f>(SPK!$D$24-SPK!$D$25)/SPK!$D$23</f>
        <v>0.11551348282713594</v>
      </c>
      <c r="P507" s="45">
        <f>(SPK!$E$24-SPK!$E$25)/SPK!$E$23</f>
        <v>0.11551348282713594</v>
      </c>
      <c r="Q507" s="45">
        <f>(SPK!$F$24-SPK!$F$25)/SPK!$F$23</f>
        <v>0.11551348282713597</v>
      </c>
      <c r="R507" s="45">
        <f>(SPK!$G$24-SPK!$G$25)/SPK!$G$23</f>
        <v>0.11551348282713594</v>
      </c>
      <c r="S507" s="45">
        <f t="shared" si="114"/>
        <v>0</v>
      </c>
      <c r="T507" s="46"/>
      <c r="U507" s="48" t="str">
        <f t="shared" si="115"/>
        <v>NZD 3.52</v>
      </c>
      <c r="V507" s="44" t="str">
        <f t="shared" si="115"/>
        <v>Spark NZ</v>
      </c>
      <c r="Z507" s="4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row>
    <row r="508" spans="1:113">
      <c r="A508" s="41"/>
      <c r="C508" s="48" t="str">
        <f t="shared" si="112"/>
        <v>SingTel</v>
      </c>
      <c r="D508" s="44" t="str">
        <f t="shared" si="112"/>
        <v>SGD 3.13</v>
      </c>
      <c r="E508" s="44" t="str">
        <f t="shared" si="112"/>
        <v>SGD 4.60</v>
      </c>
      <c r="F508" s="45">
        <f t="shared" si="112"/>
        <v>0.46964856230031948</v>
      </c>
      <c r="G508" s="44" t="str">
        <f t="shared" si="112"/>
        <v>Buy</v>
      </c>
      <c r="H508" s="46"/>
      <c r="I508" s="47">
        <f>SINGTEL!$D$25/SINGTEL!$D$33</f>
        <v>-4.775577557755776</v>
      </c>
      <c r="J508" s="47">
        <f>SINGTEL!$E$25/SINGTEL!$E$33</f>
        <v>-2.3543411039421756</v>
      </c>
      <c r="K508" s="47">
        <f>SINGTEL!$F$25/SINGTEL!$F$33</f>
        <v>-4.627366080814622</v>
      </c>
      <c r="L508" s="47">
        <f>SINGTEL!$G$25/SINGTEL!$G$33</f>
        <v>-4.6411025257498295</v>
      </c>
      <c r="M508" s="45">
        <f t="shared" si="113"/>
        <v>0.13447503200594646</v>
      </c>
      <c r="N508" s="46"/>
      <c r="O508" s="45">
        <f>(SINGTEL!$D$24-SINGTEL!$D$25)/SINGTEL!$D$23</f>
        <v>0.15218006795016986</v>
      </c>
      <c r="P508" s="45">
        <f>(SINGTEL!$E$24-SINGTEL!$E$25)/SINGTEL!$E$23</f>
        <v>0.21163203719371854</v>
      </c>
      <c r="Q508" s="45">
        <f>(SINGTEL!$F$24-SINGTEL!$F$25)/SINGTEL!$F$23</f>
        <v>0.14228701586212883</v>
      </c>
      <c r="R508" s="45">
        <f>(SINGTEL!$G$24-SINGTEL!$G$25)/SINGTEL!$G$23</f>
        <v>0.14171522017656302</v>
      </c>
      <c r="S508" s="45">
        <f t="shared" si="114"/>
        <v>-1.0464847773606845E-2</v>
      </c>
      <c r="T508" s="46"/>
      <c r="U508" s="48" t="str">
        <f t="shared" si="115"/>
        <v>SGD 3.13</v>
      </c>
      <c r="V508" s="44" t="str">
        <f t="shared" si="115"/>
        <v>SingTel</v>
      </c>
      <c r="Z508" s="4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row>
    <row r="509" spans="1:113">
      <c r="A509" s="41"/>
      <c r="C509" s="48" t="str">
        <f t="shared" si="112"/>
        <v xml:space="preserve">Telstra </v>
      </c>
      <c r="D509" s="44" t="str">
        <f t="shared" si="112"/>
        <v>AUD 3.93</v>
      </c>
      <c r="E509" s="44" t="str">
        <f t="shared" si="112"/>
        <v>AUD 3.50</v>
      </c>
      <c r="F509" s="45">
        <f t="shared" si="112"/>
        <v>-0.10941475826972014</v>
      </c>
      <c r="G509" s="44" t="str">
        <f t="shared" si="112"/>
        <v>Buy</v>
      </c>
      <c r="H509" s="46"/>
      <c r="I509" s="47">
        <f>TLS!$D$25/TLS!$D$33</f>
        <v>18.671639426785564</v>
      </c>
      <c r="J509" s="47">
        <f>TLS!$E$25/TLS!$E$33</f>
        <v>20.784434568950573</v>
      </c>
      <c r="K509" s="47">
        <f>TLS!$F$25/TLS!$F$33</f>
        <v>19.965379673136187</v>
      </c>
      <c r="L509" s="47">
        <f>TLS!$G$25/TLS!$G$33</f>
        <v>20.634434854990104</v>
      </c>
      <c r="M509" s="45">
        <f t="shared" si="113"/>
        <v>1.9627954282045401</v>
      </c>
      <c r="N509" s="46"/>
      <c r="O509" s="45">
        <f>(TLS!$D$24-TLS!$D$25)/TLS!$D$23</f>
        <v>0.11704756019759542</v>
      </c>
      <c r="P509" s="45">
        <f>(TLS!$E$24-TLS!$E$25)/TLS!$E$23</f>
        <v>0.11552873707898187</v>
      </c>
      <c r="Q509" s="45">
        <f>(TLS!$F$24-TLS!$F$25)/TLS!$F$23</f>
        <v>0.11642486585801105</v>
      </c>
      <c r="R509" s="45">
        <f>(TLS!$G$24-TLS!$G$25)/TLS!$G$23</f>
        <v>0.11699146068467961</v>
      </c>
      <c r="S509" s="45">
        <f t="shared" si="114"/>
        <v>-5.6099512915810945E-5</v>
      </c>
      <c r="T509" s="46"/>
      <c r="U509" s="48" t="str">
        <f t="shared" si="115"/>
        <v>AUD 3.93</v>
      </c>
      <c r="V509" s="44" t="str">
        <f t="shared" si="115"/>
        <v>Telstra</v>
      </c>
      <c r="Z509" s="4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row>
    <row r="510" spans="1:113">
      <c r="A510" s="41"/>
      <c r="C510" s="51" t="str">
        <f>C450</f>
        <v>Agg. Developed Asia Incumbent</v>
      </c>
      <c r="D510" s="58"/>
      <c r="E510" s="58"/>
      <c r="F510" s="55"/>
      <c r="G510" s="58"/>
      <c r="H510" s="56"/>
      <c r="I510" s="54">
        <f>'DM ASIA INCUMB'!$D$25/'DM ASIA INCUMB'!$D$33</f>
        <v>64.098105461019657</v>
      </c>
      <c r="J510" s="54">
        <f>'DM ASIA INCUMB'!$E$25/'DM ASIA INCUMB'!$E$33</f>
        <v>59.007871086485565</v>
      </c>
      <c r="K510" s="54">
        <f>'DM ASIA INCUMB'!$F$25/'DM ASIA INCUMB'!$F$33</f>
        <v>91.445653387624006</v>
      </c>
      <c r="L510" s="54">
        <f>'DM ASIA INCUMB'!$G$25/'DM ASIA INCUMB'!$G$33</f>
        <v>93.264806115500221</v>
      </c>
      <c r="M510" s="55">
        <f t="shared" si="113"/>
        <v>29.166700654480564</v>
      </c>
      <c r="N510" s="56"/>
      <c r="O510" s="55">
        <f>('DM ASIA INCUMB'!$D$24-'DM ASIA INCUMB'!$D$25)/'DM ASIA INCUMB'!$D$23</f>
        <v>0.14467879082538634</v>
      </c>
      <c r="P510" s="55">
        <f>('DM ASIA INCUMB'!$E$24-'DM ASIA INCUMB'!$E$25)/'DM ASIA INCUMB'!$E$23</f>
        <v>0.14674674444600494</v>
      </c>
      <c r="Q510" s="55">
        <f>('DM ASIA INCUMB'!$F$24-'DM ASIA INCUMB'!$F$25)/'DM ASIA INCUMB'!$F$23</f>
        <v>0.13818480256206903</v>
      </c>
      <c r="R510" s="55">
        <f>('DM ASIA INCUMB'!$G$24-'DM ASIA INCUMB'!$G$25)/'DM ASIA INCUMB'!$G$23</f>
        <v>0.13610449124559476</v>
      </c>
      <c r="S510" s="55">
        <f t="shared" si="114"/>
        <v>-8.5742995797915833E-3</v>
      </c>
      <c r="T510" s="56"/>
      <c r="U510" s="51"/>
      <c r="V510" s="58" t="str">
        <f>V450</f>
        <v xml:space="preserve">Agg. Developed Asia Incumbent </v>
      </c>
      <c r="Z510" s="4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row>
    <row r="511" spans="1:113">
      <c r="A511" s="41"/>
      <c r="C511" s="43"/>
      <c r="D511" s="50"/>
      <c r="E511" s="50"/>
      <c r="F511" s="61"/>
      <c r="G511" s="50"/>
      <c r="H511" s="56"/>
      <c r="I511" s="62"/>
      <c r="J511" s="62"/>
      <c r="K511" s="62"/>
      <c r="L511" s="62"/>
      <c r="M511" s="61"/>
      <c r="N511" s="56"/>
      <c r="O511" s="61"/>
      <c r="P511" s="61"/>
      <c r="Q511" s="61"/>
      <c r="R511" s="61"/>
      <c r="S511" s="61"/>
      <c r="T511" s="56"/>
      <c r="U511" s="43"/>
      <c r="V511" s="50"/>
      <c r="Z511" s="4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row>
    <row r="512" spans="1:113">
      <c r="A512" s="41"/>
      <c r="C512" s="51" t="s">
        <v>857</v>
      </c>
      <c r="D512" s="58"/>
      <c r="E512" s="58"/>
      <c r="F512" s="55"/>
      <c r="G512" s="58"/>
      <c r="H512" s="56"/>
      <c r="I512" s="54">
        <f>'AGG DM INCUMB'!$D$25/'AGG DM INCUMB'!$D$33</f>
        <v>4.5156601127014415</v>
      </c>
      <c r="J512" s="54">
        <f>'AGG DM INCUMB'!$E$25/'AGG DM INCUMB'!$E$33</f>
        <v>4.7929188351071543</v>
      </c>
      <c r="K512" s="54">
        <f>'AGG DM INCUMB'!$F$25/'AGG DM INCUMB'!$F$33</f>
        <v>5.3684263260324814</v>
      </c>
      <c r="L512" s="54">
        <f>'AGG DM INCUMB'!$G$25/'AGG DM INCUMB'!$G$33</f>
        <v>5.8660424281600507</v>
      </c>
      <c r="M512" s="55">
        <f>L512-I512</f>
        <v>1.3503823154586092</v>
      </c>
      <c r="N512" s="56"/>
      <c r="O512" s="55">
        <f>('AGG DM INCUMB'!$D$24-'AGG DM INCUMB'!$D$25)/'AGG DM INCUMB'!$D$23</f>
        <v>0.16001046864737647</v>
      </c>
      <c r="P512" s="55">
        <f>('AGG DM INCUMB'!$E$24-'AGG DM INCUMB'!$E$25)/'AGG DM INCUMB'!$E$23</f>
        <v>0.14840732887922939</v>
      </c>
      <c r="Q512" s="55">
        <f>('AGG DM INCUMB'!$F$24-'AGG DM INCUMB'!$F$25)/'AGG DM INCUMB'!$F$23</f>
        <v>0.14403564021507753</v>
      </c>
      <c r="R512" s="55">
        <f>('AGG DM INCUMB'!$G$24-'AGG DM INCUMB'!$G$25)/'AGG DM INCUMB'!$G$23</f>
        <v>0.13997247053771913</v>
      </c>
      <c r="S512" s="55">
        <f>R512-O512</f>
        <v>-2.003799810965734E-2</v>
      </c>
      <c r="T512" s="56"/>
      <c r="U512" s="51"/>
      <c r="V512" s="58" t="str">
        <f>C512</f>
        <v>Agg. DM Incumbent total</v>
      </c>
      <c r="Z512" s="4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row>
    <row r="513" spans="1:113">
      <c r="A513" s="41"/>
      <c r="C513" s="41"/>
      <c r="D513" s="44"/>
      <c r="E513" s="44"/>
      <c r="F513" s="45"/>
      <c r="G513" s="44"/>
      <c r="H513" s="46"/>
      <c r="I513" s="47"/>
      <c r="J513" s="47"/>
      <c r="K513" s="47"/>
      <c r="L513" s="47"/>
      <c r="M513" s="45"/>
      <c r="N513" s="46"/>
      <c r="O513" s="45"/>
      <c r="P513" s="45"/>
      <c r="Q513" s="45"/>
      <c r="R513" s="45"/>
      <c r="S513" s="45"/>
      <c r="T513" s="46"/>
      <c r="U513" s="48"/>
      <c r="V513" s="50"/>
      <c r="Z513" s="4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row>
    <row r="514" spans="1:113">
      <c r="A514" s="41" t="s">
        <v>1374</v>
      </c>
      <c r="C514" s="48" t="str">
        <f t="shared" ref="C514:G521" si="116">C454</f>
        <v>1&amp;1</v>
      </c>
      <c r="D514" s="44" t="str">
        <f t="shared" si="116"/>
        <v>EUR 14.0</v>
      </c>
      <c r="E514" s="44" t="str">
        <f t="shared" si="116"/>
        <v>EUR 26.0</v>
      </c>
      <c r="F514" s="45">
        <f t="shared" si="116"/>
        <v>0.85449358059914404</v>
      </c>
      <c r="G514" s="44" t="str">
        <f t="shared" si="116"/>
        <v>Buy</v>
      </c>
      <c r="H514" s="46"/>
      <c r="I514" s="47">
        <f>DRI!$D$25/DRI!$D$33</f>
        <v>-36.944842801985665</v>
      </c>
      <c r="J514" s="47">
        <f>DRI!$E$25/DRI!$E$33</f>
        <v>-347.13523654362768</v>
      </c>
      <c r="K514" s="47">
        <f>DRI!$F$25/DRI!$F$33</f>
        <v>12.058062549956825</v>
      </c>
      <c r="L514" s="47">
        <f>DRI!$G$25/DRI!$G$33</f>
        <v>10.066571310997688</v>
      </c>
      <c r="M514" s="45">
        <f>L514-I514</f>
        <v>47.011414112983353</v>
      </c>
      <c r="N514" s="46"/>
      <c r="O514" s="45">
        <f>(DRI!$D$24-DRI!$D$25)/DRI!$D$23</f>
        <v>7.2409902918694688E-2</v>
      </c>
      <c r="P514" s="45">
        <f>(DRI!$E$24-DRI!$E$25)/DRI!$E$23</f>
        <v>0.1093597433581104</v>
      </c>
      <c r="Q514" s="45">
        <f>(DRI!$F$24-DRI!$F$25)/DRI!$F$23</f>
        <v>0.11895121248934186</v>
      </c>
      <c r="R514" s="45">
        <f>(DRI!$G$24-DRI!$G$25)/DRI!$G$23</f>
        <v>0.11559163259960162</v>
      </c>
      <c r="S514" s="45">
        <f>R514-O514</f>
        <v>4.318172968090693E-2</v>
      </c>
      <c r="T514" s="46"/>
      <c r="U514" s="48" t="str">
        <f t="shared" ref="U514:V520" si="117">U454</f>
        <v>EUR 14.0</v>
      </c>
      <c r="V514" s="44" t="str">
        <f t="shared" si="117"/>
        <v>1&amp;1</v>
      </c>
      <c r="Z514" s="4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row>
    <row r="515" spans="1:113">
      <c r="C515" s="48" t="str">
        <f t="shared" si="116"/>
        <v>Elisa</v>
      </c>
      <c r="D515" s="44" t="str">
        <f t="shared" si="116"/>
        <v>EUR 46.6</v>
      </c>
      <c r="E515" s="44" t="str">
        <f t="shared" si="116"/>
        <v>EUR 53.0</v>
      </c>
      <c r="F515" s="45">
        <f t="shared" si="116"/>
        <v>0.13831615120274909</v>
      </c>
      <c r="G515" s="44" t="str">
        <f t="shared" si="116"/>
        <v>Neutral</v>
      </c>
      <c r="H515" s="46"/>
      <c r="I515" s="47">
        <f>ELISA!$D$25/ELISA!$D$33</f>
        <v>20.278969957081543</v>
      </c>
      <c r="J515" s="47">
        <f>ELISA!$E$25/ELISA!$E$33</f>
        <v>16.648682670925862</v>
      </c>
      <c r="K515" s="47">
        <f>ELISA!$F$25/ELISA!$F$33</f>
        <v>17.837894389089531</v>
      </c>
      <c r="L515" s="47">
        <f>ELISA!$G$25/ELISA!$G$33</f>
        <v>16.381392095357491</v>
      </c>
      <c r="M515" s="45">
        <f t="shared" ref="M515:M522" si="118">L515-I515</f>
        <v>-3.8975778617240522</v>
      </c>
      <c r="N515" s="46"/>
      <c r="O515" s="45">
        <f>(ELISA!$D$24-ELISA!$D$25)/ELISA!$D$23</f>
        <v>0.1266542962284613</v>
      </c>
      <c r="P515" s="45">
        <f>(ELISA!$E$24-ELISA!$E$25)/ELISA!$E$23</f>
        <v>0.11901374140170246</v>
      </c>
      <c r="Q515" s="45">
        <f>(ELISA!$F$24-ELISA!$F$25)/ELISA!$F$23</f>
        <v>0.10045853213444149</v>
      </c>
      <c r="R515" s="45">
        <f>(ELISA!$G$24-ELISA!$G$25)/ELISA!$G$23</f>
        <v>9.9542406511683973E-2</v>
      </c>
      <c r="S515" s="45">
        <f t="shared" ref="S515:S522" si="119">R515-O515</f>
        <v>-2.7111889716777332E-2</v>
      </c>
      <c r="T515" s="46"/>
      <c r="U515" s="48" t="str">
        <f t="shared" si="117"/>
        <v>EUR 46.6</v>
      </c>
      <c r="V515" s="44" t="str">
        <f t="shared" si="117"/>
        <v>Elisa</v>
      </c>
      <c r="Z515" s="4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row>
    <row r="516" spans="1:113">
      <c r="A516" s="41"/>
      <c r="C516" s="48" t="str">
        <f t="shared" si="116"/>
        <v>Liberty Global (prop.)</v>
      </c>
      <c r="D516" s="44" t="str">
        <f t="shared" si="116"/>
        <v>USD 20.3</v>
      </c>
      <c r="E516" s="44" t="str">
        <f t="shared" si="116"/>
        <v>USD 23.0</v>
      </c>
      <c r="F516" s="45">
        <f t="shared" si="116"/>
        <v>0.13356333169048806</v>
      </c>
      <c r="G516" s="44" t="str">
        <f t="shared" si="116"/>
        <v>Neutral</v>
      </c>
      <c r="H516" s="46"/>
      <c r="I516" s="47">
        <f>LBTY!$D$25/LBTY!$D$33</f>
        <v>0.13676494307280768</v>
      </c>
      <c r="J516" s="47">
        <f>LBTY!$E$25/LBTY!$E$33</f>
        <v>0.14553228871955085</v>
      </c>
      <c r="K516" s="47">
        <f>LBTY!$F$25/LBTY!$F$33</f>
        <v>0.16170544788938496</v>
      </c>
      <c r="L516" s="47">
        <f>LBTY!$G$25/LBTY!$G$33</f>
        <v>0.15912912323643696</v>
      </c>
      <c r="M516" s="45">
        <f>L516-I516</f>
        <v>2.2364180163629288E-2</v>
      </c>
      <c r="N516" s="46"/>
      <c r="O516" s="45">
        <f>(LBTY!$D$24-LBTY!$D$25)/LBTY!$D$23</f>
        <v>2.8917019659881422</v>
      </c>
      <c r="P516" s="45">
        <f>(LBTY!$E$24-LBTY!$E$25)/LBTY!$E$23</f>
        <v>2.8906898844422457</v>
      </c>
      <c r="Q516" s="45">
        <f>(LBTY!$F$24-LBTY!$F$25)/LBTY!$F$23</f>
        <v>2.8639776997817243</v>
      </c>
      <c r="R516" s="45">
        <f>(LBTY!$G$24-LBTY!$G$25)/LBTY!$G$23</f>
        <v>2.8976671671894878</v>
      </c>
      <c r="S516" s="45">
        <f>R516-O516</f>
        <v>5.9652012013455824E-3</v>
      </c>
      <c r="T516" s="46"/>
      <c r="U516" s="48" t="str">
        <f t="shared" si="117"/>
        <v>USD 20.3</v>
      </c>
      <c r="V516" s="44" t="str">
        <f t="shared" si="117"/>
        <v>Liberty Global</v>
      </c>
      <c r="Z516" s="49"/>
    </row>
    <row r="517" spans="1:113" s="5" customFormat="1">
      <c r="A517" s="41"/>
      <c r="B517" s="42"/>
      <c r="C517" s="48" t="str">
        <f t="shared" si="116"/>
        <v>NOS</v>
      </c>
      <c r="D517" s="44" t="str">
        <f t="shared" si="116"/>
        <v>EUR 3.58</v>
      </c>
      <c r="E517" s="44" t="str">
        <f t="shared" si="116"/>
        <v>EUR 3.70</v>
      </c>
      <c r="F517" s="45">
        <f t="shared" si="116"/>
        <v>3.4965034965035002E-2</v>
      </c>
      <c r="G517" s="44" t="str">
        <f t="shared" si="116"/>
        <v>Neutral</v>
      </c>
      <c r="H517" s="46"/>
      <c r="I517" s="47">
        <f>NOS!$D$25/NOS!$D$33</f>
        <v>4.7551755842998551</v>
      </c>
      <c r="J517" s="47">
        <f>NOS!$E$25/NOS!$E$33</f>
        <v>4.5948235794587866</v>
      </c>
      <c r="K517" s="47">
        <f>NOS!$F$25/NOS!$F$33</f>
        <v>7.8166758439833073</v>
      </c>
      <c r="L517" s="47">
        <f>NOS!$G$25/NOS!$G$33</f>
        <v>7.3630681294721185</v>
      </c>
      <c r="M517" s="45">
        <f>L517-I517</f>
        <v>2.6078925451722634</v>
      </c>
      <c r="N517" s="46"/>
      <c r="O517" s="45">
        <f>(NOS!$D$24-NOS!$D$25)/NOS!$D$23</f>
        <v>0.23494832355115472</v>
      </c>
      <c r="P517" s="45">
        <f>(NOS!$E$24-NOS!$E$25)/NOS!$E$23</f>
        <v>0.22842582370916681</v>
      </c>
      <c r="Q517" s="45">
        <f>(NOS!$F$24-NOS!$F$25)/NOS!$F$23</f>
        <v>0.22513766462281234</v>
      </c>
      <c r="R517" s="45">
        <f>(NOS!$G$24-NOS!$G$25)/NOS!$G$23</f>
        <v>0.22048599868688676</v>
      </c>
      <c r="S517" s="45">
        <f>R517-O517</f>
        <v>-1.4462324864267961E-2</v>
      </c>
      <c r="T517" s="46"/>
      <c r="U517" s="48" t="str">
        <f t="shared" si="117"/>
        <v>EUR 3.58</v>
      </c>
      <c r="V517" s="44" t="str">
        <f t="shared" si="117"/>
        <v>NOS</v>
      </c>
      <c r="Z517" s="49"/>
      <c r="AB517" s="63"/>
    </row>
    <row r="518" spans="1:113">
      <c r="B518" s="88"/>
      <c r="C518" s="48" t="str">
        <f t="shared" si="116"/>
        <v>Orange Belgium</v>
      </c>
      <c r="D518" s="44" t="str">
        <f t="shared" si="116"/>
        <v>EUR 14.8</v>
      </c>
      <c r="E518" s="44" t="str">
        <f t="shared" si="116"/>
        <v>EUR 15.0</v>
      </c>
      <c r="F518" s="45">
        <f t="shared" si="116"/>
        <v>1.3513513513513375E-2</v>
      </c>
      <c r="G518" s="44" t="str">
        <f t="shared" si="116"/>
        <v>Neutral</v>
      </c>
      <c r="H518" s="46"/>
      <c r="I518" s="47">
        <f>OBEL!$D$25/OBEL!$D$33</f>
        <v>4.0091582561259784</v>
      </c>
      <c r="J518" s="47">
        <f>OBEL!$E$25/OBEL!$E$33</f>
        <v>2.5669870779170227</v>
      </c>
      <c r="K518" s="47">
        <f>OBEL!$F$25/OBEL!$F$33</f>
        <v>3.2379153151426787</v>
      </c>
      <c r="L518" s="47">
        <f>OBEL!$G$25/OBEL!$G$33</f>
        <v>3.5622791278177766</v>
      </c>
      <c r="M518" s="45">
        <f t="shared" si="118"/>
        <v>-0.44687912830820187</v>
      </c>
      <c r="N518" s="46"/>
      <c r="O518" s="45">
        <f>(OBEL!$D$24-OBEL!$D$25)/OBEL!$D$23</f>
        <v>0.14269257481043518</v>
      </c>
      <c r="P518" s="45">
        <f>(OBEL!$E$24-OBEL!$E$25)/OBEL!$E$23</f>
        <v>0.16498205011441355</v>
      </c>
      <c r="Q518" s="45">
        <f>(OBEL!$F$24-OBEL!$F$25)/OBEL!$F$23</f>
        <v>0.1503768185201019</v>
      </c>
      <c r="R518" s="45">
        <f>(OBEL!$G$24-OBEL!$G$25)/OBEL!$G$23</f>
        <v>0.1487366721335403</v>
      </c>
      <c r="S518" s="45">
        <f t="shared" si="119"/>
        <v>6.0440973231051243E-3</v>
      </c>
      <c r="T518" s="46"/>
      <c r="U518" s="48" t="str">
        <f t="shared" si="117"/>
        <v>EUR 14.8</v>
      </c>
      <c r="V518" s="44" t="str">
        <f t="shared" si="117"/>
        <v>Mobistar</v>
      </c>
      <c r="Z518" s="49"/>
      <c r="BF518" s="39"/>
      <c r="BG518" s="39"/>
      <c r="BH518" s="39"/>
      <c r="BI518" s="39"/>
      <c r="BJ518" s="39"/>
      <c r="BK518" s="39"/>
      <c r="BL518" s="39"/>
      <c r="BM518" s="39"/>
      <c r="BN518" s="39"/>
      <c r="BO518" s="39"/>
      <c r="BP518" s="39"/>
      <c r="BQ518" s="39"/>
      <c r="BR518" s="39"/>
      <c r="BS518" s="39"/>
      <c r="BT518" s="39"/>
      <c r="BU518" s="39"/>
      <c r="BV518" s="39"/>
      <c r="BW518" s="39"/>
      <c r="BX518" s="39"/>
      <c r="BY518" s="39"/>
      <c r="BZ518" s="39"/>
      <c r="CA518" s="39"/>
      <c r="CB518" s="39"/>
      <c r="CC518" s="39"/>
      <c r="CD518" s="39"/>
      <c r="CE518" s="39"/>
      <c r="CF518" s="39"/>
      <c r="CG518" s="39"/>
      <c r="CH518" s="39"/>
      <c r="CI518" s="39"/>
      <c r="CJ518" s="39"/>
      <c r="CK518" s="39"/>
      <c r="CL518" s="39"/>
      <c r="CM518" s="39"/>
      <c r="CN518" s="39"/>
      <c r="CO518" s="39"/>
      <c r="CP518" s="39"/>
      <c r="CQ518" s="39"/>
      <c r="CR518" s="39"/>
      <c r="CS518" s="39"/>
      <c r="CT518" s="39"/>
      <c r="CU518" s="39"/>
      <c r="CV518" s="39"/>
      <c r="CW518" s="39"/>
      <c r="CX518" s="39"/>
      <c r="CY518" s="39"/>
      <c r="CZ518" s="39"/>
      <c r="DA518" s="39"/>
      <c r="DB518" s="39"/>
      <c r="DC518" s="39"/>
      <c r="DD518" s="39"/>
      <c r="DE518" s="39"/>
      <c r="DF518" s="39"/>
      <c r="DG518" s="39"/>
      <c r="DH518" s="39"/>
      <c r="DI518" s="39"/>
    </row>
    <row r="519" spans="1:113">
      <c r="B519" s="88"/>
      <c r="C519" s="48" t="str">
        <f t="shared" si="116"/>
        <v>Tele2</v>
      </c>
      <c r="D519" s="44" t="str">
        <f t="shared" si="116"/>
        <v>SEK 117.7</v>
      </c>
      <c r="E519" s="44" t="str">
        <f t="shared" si="116"/>
        <v>SEK 109.0</v>
      </c>
      <c r="F519" s="45">
        <f t="shared" si="116"/>
        <v>-7.3523161920951985E-2</v>
      </c>
      <c r="G519" s="44" t="str">
        <f t="shared" si="116"/>
        <v>Neutral</v>
      </c>
      <c r="H519" s="46"/>
      <c r="I519" s="47">
        <f>TELE2!$D$25/TELE2!$D$33</f>
        <v>7.283991567817746</v>
      </c>
      <c r="J519" s="47">
        <f>TELE2!$E$25/TELE2!$E$33</f>
        <v>6.0372736825399471</v>
      </c>
      <c r="K519" s="47">
        <f>TELE2!$F$25/TELE2!$F$33</f>
        <v>6.4587588458633611</v>
      </c>
      <c r="L519" s="47">
        <f>TELE2!$G$25/TELE2!$G$33</f>
        <v>6.3743563972796249</v>
      </c>
      <c r="M519" s="45">
        <f t="shared" si="118"/>
        <v>-0.90963517053812115</v>
      </c>
      <c r="N519" s="46"/>
      <c r="O519" s="45">
        <f>(TELE2!$D$24-TELE2!$D$25)/TELE2!$D$23</f>
        <v>0.13250944672970694</v>
      </c>
      <c r="P519" s="45">
        <f>(TELE2!$E$24-TELE2!$E$25)/TELE2!$E$23</f>
        <v>0.13370731627195021</v>
      </c>
      <c r="Q519" s="45">
        <f>(TELE2!$F$24-TELE2!$F$25)/TELE2!$F$23</f>
        <v>0.13119419299944646</v>
      </c>
      <c r="R519" s="45">
        <f>(TELE2!$G$24-TELE2!$G$25)/TELE2!$G$23</f>
        <v>0.1227028523239483</v>
      </c>
      <c r="S519" s="45">
        <f t="shared" si="119"/>
        <v>-9.8065944057586368E-3</v>
      </c>
      <c r="T519" s="46"/>
      <c r="U519" s="48" t="str">
        <f t="shared" si="117"/>
        <v>SEK 117.7</v>
      </c>
      <c r="V519" s="44" t="str">
        <f t="shared" si="117"/>
        <v>Tele2</v>
      </c>
      <c r="Z519" s="4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c r="CR519" s="39"/>
      <c r="CS519" s="39"/>
      <c r="CT519" s="39"/>
      <c r="CU519" s="39"/>
      <c r="CV519" s="39"/>
      <c r="CW519" s="39"/>
      <c r="CX519" s="39"/>
      <c r="CY519" s="39"/>
      <c r="CZ519" s="39"/>
      <c r="DA519" s="39"/>
      <c r="DB519" s="39"/>
      <c r="DC519" s="39"/>
      <c r="DD519" s="39"/>
      <c r="DE519" s="39"/>
      <c r="DF519" s="39"/>
      <c r="DG519" s="39"/>
      <c r="DH519" s="39"/>
      <c r="DI519" s="39"/>
    </row>
    <row r="520" spans="1:113">
      <c r="A520" s="41"/>
      <c r="C520" s="48" t="str">
        <f t="shared" si="116"/>
        <v>United Internet</v>
      </c>
      <c r="D520" s="44" t="str">
        <f t="shared" si="116"/>
        <v>EUR 19.1</v>
      </c>
      <c r="E520" s="44" t="str">
        <f t="shared" si="116"/>
        <v>EUR 28.0</v>
      </c>
      <c r="F520" s="45">
        <f t="shared" si="116"/>
        <v>0.46904512067156356</v>
      </c>
      <c r="G520" s="44" t="str">
        <f t="shared" si="116"/>
        <v>Buy</v>
      </c>
      <c r="H520" s="46"/>
      <c r="I520" s="47">
        <f>UTDI!$D$25/UTDI!$D$33</f>
        <v>3.6446757373309424</v>
      </c>
      <c r="J520" s="47">
        <f>UTDI!$E$25/UTDI!$E$33</f>
        <v>2.3669711513735234</v>
      </c>
      <c r="K520" s="47">
        <f>UTDI!$F$25/UTDI!$F$33</f>
        <v>2.7317675164023036</v>
      </c>
      <c r="L520" s="47">
        <f>UTDI!$G$25/UTDI!$G$33</f>
        <v>3.494386021490655</v>
      </c>
      <c r="M520" s="45">
        <f>L520-I520</f>
        <v>-0.15028971584028739</v>
      </c>
      <c r="N520" s="46"/>
      <c r="O520" s="45">
        <f>(UTDI!$D$24-UTDI!$D$25)/UTDI!$D$23</f>
        <v>0.12477764757036791</v>
      </c>
      <c r="P520" s="45">
        <f>(UTDI!$E$24-UTDI!$E$25)/UTDI!$E$23</f>
        <v>0.13888431887536737</v>
      </c>
      <c r="Q520" s="45">
        <f>(UTDI!$F$24-UTDI!$F$25)/UTDI!$F$23</f>
        <v>0.13923713499628923</v>
      </c>
      <c r="R520" s="45">
        <f>(UTDI!$G$24-UTDI!$G$25)/UTDI!$G$23</f>
        <v>0.1300664400281196</v>
      </c>
      <c r="S520" s="45">
        <f>R520-O520</f>
        <v>5.2887924577516843E-3</v>
      </c>
      <c r="T520" s="46"/>
      <c r="U520" s="48" t="str">
        <f t="shared" si="117"/>
        <v>EUR 19.1</v>
      </c>
      <c r="V520" s="44" t="str">
        <f t="shared" si="117"/>
        <v>United Internet</v>
      </c>
      <c r="Z520" s="49"/>
      <c r="BF520" s="39"/>
      <c r="BG520" s="39"/>
      <c r="BH520" s="39"/>
      <c r="BI520" s="39"/>
      <c r="BJ520" s="39"/>
      <c r="BK520" s="39"/>
      <c r="BL520" s="39"/>
      <c r="BM520" s="39"/>
      <c r="BN520" s="39"/>
      <c r="BO520" s="39"/>
      <c r="BP520" s="39"/>
      <c r="BQ520" s="39"/>
      <c r="BR520" s="39"/>
      <c r="BS520" s="39"/>
      <c r="BT520" s="39"/>
      <c r="BU520" s="39"/>
      <c r="BV520" s="39"/>
      <c r="BW520" s="39"/>
      <c r="BX520" s="39"/>
      <c r="BY520" s="39"/>
      <c r="BZ520" s="39"/>
      <c r="CA520" s="39"/>
      <c r="CB520" s="39"/>
      <c r="CC520" s="39"/>
      <c r="CD520" s="39"/>
      <c r="CE520" s="39"/>
      <c r="CF520" s="39"/>
      <c r="CG520" s="39"/>
      <c r="CH520" s="39"/>
      <c r="CI520" s="39"/>
      <c r="CJ520" s="39"/>
      <c r="CK520" s="39"/>
      <c r="CL520" s="39"/>
      <c r="CM520" s="39"/>
      <c r="CN520" s="39"/>
      <c r="CO520" s="39"/>
      <c r="CP520" s="39"/>
      <c r="CQ520" s="39"/>
      <c r="CR520" s="39"/>
      <c r="CS520" s="39"/>
      <c r="CT520" s="39"/>
      <c r="CU520" s="39"/>
      <c r="CV520" s="39"/>
      <c r="CW520" s="39"/>
      <c r="CX520" s="39"/>
      <c r="CY520" s="39"/>
      <c r="CZ520" s="39"/>
      <c r="DA520" s="39"/>
      <c r="DB520" s="39"/>
      <c r="DC520" s="39"/>
      <c r="DD520" s="39"/>
      <c r="DE520" s="39"/>
      <c r="DF520" s="39"/>
      <c r="DG520" s="39"/>
      <c r="DH520" s="39"/>
      <c r="DI520" s="39"/>
    </row>
    <row r="521" spans="1:113">
      <c r="B521" s="88"/>
      <c r="C521" s="48" t="str">
        <f t="shared" si="116"/>
        <v>Vodafone</v>
      </c>
      <c r="D521" s="44" t="str">
        <f t="shared" si="116"/>
        <v>GBP 0.77</v>
      </c>
      <c r="E521" s="44" t="str">
        <f t="shared" si="116"/>
        <v>GBP 1.40</v>
      </c>
      <c r="F521" s="45">
        <f t="shared" si="116"/>
        <v>0.80785123966942152</v>
      </c>
      <c r="G521" s="44" t="str">
        <f t="shared" si="116"/>
        <v>Buy</v>
      </c>
      <c r="H521" s="46"/>
      <c r="I521" s="47">
        <f>VOD!$D$25/VOD!$D$33</f>
        <v>2.292420537897311</v>
      </c>
      <c r="J521" s="47">
        <f>VOD!$E$25/VOD!$E$33</f>
        <v>2.6969014040096146</v>
      </c>
      <c r="K521" s="47">
        <f>VOD!$F$25/VOD!$F$33</f>
        <v>3.4903593478680066</v>
      </c>
      <c r="L521" s="47">
        <f>VOD!$G$25/VOD!$G$33</f>
        <v>3.7827419975399859</v>
      </c>
      <c r="M521" s="45">
        <f>L521-I521</f>
        <v>1.4903214596426748</v>
      </c>
      <c r="N521" s="46"/>
      <c r="O521" s="45">
        <f>(VOD!$D$24-VOD!$D$25)/VOD!$D$23</f>
        <v>0.16989183192017904</v>
      </c>
      <c r="P521" s="45">
        <f>(VOD!$E$24-VOD!$E$25)/VOD!$E$23</f>
        <v>0.16898871195300696</v>
      </c>
      <c r="Q521" s="45">
        <f>(VOD!$F$24-VOD!$F$25)/VOD!$F$23</f>
        <v>0.16648173255340726</v>
      </c>
      <c r="R521" s="45">
        <f>(VOD!$G$24-VOD!$G$25)/VOD!$G$23</f>
        <v>0.16400522618784824</v>
      </c>
      <c r="S521" s="45">
        <f>R521-O521</f>
        <v>-5.8866057323307963E-3</v>
      </c>
      <c r="T521" s="46"/>
      <c r="U521" s="48" t="str">
        <f>U461</f>
        <v>GBP 0.77</v>
      </c>
      <c r="V521" s="44" t="s">
        <v>276</v>
      </c>
      <c r="Z521" s="49"/>
      <c r="BF521" s="39"/>
      <c r="BG521" s="39"/>
      <c r="BH521" s="39"/>
      <c r="BI521" s="39"/>
      <c r="BJ521" s="39"/>
      <c r="BK521" s="39"/>
      <c r="BL521" s="39"/>
      <c r="BM521" s="39"/>
      <c r="BN521" s="39"/>
      <c r="BO521" s="39"/>
      <c r="BP521" s="39"/>
      <c r="BQ521" s="39"/>
      <c r="BR521" s="39"/>
      <c r="BS521" s="39"/>
      <c r="BT521" s="39"/>
      <c r="BU521" s="39"/>
      <c r="BV521" s="39"/>
      <c r="BW521" s="39"/>
      <c r="BX521" s="39"/>
      <c r="BY521" s="39"/>
      <c r="BZ521" s="39"/>
      <c r="CA521" s="39"/>
      <c r="CB521" s="39"/>
      <c r="CC521" s="39"/>
      <c r="CD521" s="39"/>
      <c r="CE521" s="39"/>
      <c r="CF521" s="39"/>
      <c r="CG521" s="39"/>
      <c r="CH521" s="39"/>
      <c r="CI521" s="39"/>
      <c r="CJ521" s="39"/>
      <c r="CK521" s="39"/>
      <c r="CL521" s="39"/>
      <c r="CM521" s="39"/>
      <c r="CN521" s="39"/>
      <c r="CO521" s="39"/>
      <c r="CP521" s="39"/>
      <c r="CQ521" s="39"/>
      <c r="CR521" s="39"/>
      <c r="CS521" s="39"/>
      <c r="CT521" s="39"/>
      <c r="CU521" s="39"/>
      <c r="CV521" s="39"/>
      <c r="CW521" s="39"/>
      <c r="CX521" s="39"/>
      <c r="CY521" s="39"/>
      <c r="CZ521" s="39"/>
      <c r="DA521" s="39"/>
      <c r="DB521" s="39"/>
      <c r="DC521" s="39"/>
      <c r="DD521" s="39"/>
      <c r="DE521" s="39"/>
      <c r="DF521" s="39"/>
      <c r="DG521" s="39"/>
      <c r="DH521" s="39"/>
      <c r="DI521" s="39"/>
    </row>
    <row r="522" spans="1:113">
      <c r="B522" s="88"/>
      <c r="C522" s="51" t="str">
        <f>C462</f>
        <v>Agg. W. Europe Other</v>
      </c>
      <c r="D522" s="52"/>
      <c r="E522" s="52"/>
      <c r="F522" s="53"/>
      <c r="G522" s="52"/>
      <c r="H522" s="46"/>
      <c r="I522" s="54">
        <f>'W.EUR OTHER'!$D$25/'W.EUR OTHER'!$D$33</f>
        <v>0.61892435648805655</v>
      </c>
      <c r="J522" s="54">
        <f>'W.EUR OTHER'!$E$25/'W.EUR OTHER'!$E$33</f>
        <v>0.64702361924797414</v>
      </c>
      <c r="K522" s="54">
        <f>'W.EUR OTHER'!$F$25/'W.EUR OTHER'!$F$33</f>
        <v>0.75805975633868472</v>
      </c>
      <c r="L522" s="54">
        <f>'W.EUR OTHER'!$G$25/'W.EUR OTHER'!$G$33</f>
        <v>0.81649092774394183</v>
      </c>
      <c r="M522" s="55">
        <f t="shared" si="118"/>
        <v>0.19756657125588528</v>
      </c>
      <c r="N522" s="56"/>
      <c r="O522" s="55">
        <f>('W.EUR OTHER'!$D$24-'W.EUR OTHER'!$D$25)/'W.EUR OTHER'!$D$23</f>
        <v>0.25247562088686032</v>
      </c>
      <c r="P522" s="55">
        <f>('W.EUR OTHER'!$E$24-'W.EUR OTHER'!$E$25)/'W.EUR OTHER'!$E$23</f>
        <v>0.25178694343818259</v>
      </c>
      <c r="Q522" s="55">
        <f>('W.EUR OTHER'!$F$24-'W.EUR OTHER'!$F$25)/'W.EUR OTHER'!$F$23</f>
        <v>0.2461225562789425</v>
      </c>
      <c r="R522" s="55">
        <f>('W.EUR OTHER'!$G$24-'W.EUR OTHER'!$G$25)/'W.EUR OTHER'!$G$23</f>
        <v>0.24246740988655754</v>
      </c>
      <c r="S522" s="55">
        <f t="shared" si="119"/>
        <v>-1.0008211000302775E-2</v>
      </c>
      <c r="T522" s="46"/>
      <c r="U522" s="57"/>
      <c r="V522" s="58" t="str">
        <f>V462</f>
        <v>Agg. W. Europe Other</v>
      </c>
      <c r="Z522" s="49"/>
      <c r="BF522" s="39"/>
      <c r="BG522" s="39"/>
      <c r="BH522" s="39"/>
      <c r="BI522" s="39"/>
      <c r="BJ522" s="39"/>
      <c r="BK522" s="39"/>
      <c r="BL522" s="39"/>
      <c r="BM522" s="39"/>
      <c r="BN522" s="39"/>
      <c r="BO522" s="39"/>
      <c r="BP522" s="39"/>
      <c r="BQ522" s="39"/>
      <c r="BR522" s="39"/>
      <c r="BS522" s="39"/>
      <c r="BT522" s="39"/>
      <c r="BU522" s="39"/>
      <c r="BV522" s="39"/>
      <c r="BW522" s="39"/>
      <c r="BX522" s="39"/>
      <c r="BY522" s="39"/>
      <c r="BZ522" s="39"/>
      <c r="CA522" s="39"/>
      <c r="CB522" s="39"/>
      <c r="CC522" s="39"/>
      <c r="CD522" s="39"/>
      <c r="CE522" s="39"/>
      <c r="CF522" s="39"/>
      <c r="CG522" s="39"/>
      <c r="CH522" s="39"/>
      <c r="CI522" s="39"/>
      <c r="CJ522" s="39"/>
      <c r="CK522" s="39"/>
      <c r="CL522" s="39"/>
      <c r="CM522" s="39"/>
      <c r="CN522" s="39"/>
      <c r="CO522" s="39"/>
      <c r="CP522" s="39"/>
      <c r="CQ522" s="39"/>
      <c r="CR522" s="39"/>
      <c r="CS522" s="39"/>
      <c r="CT522" s="39"/>
      <c r="CU522" s="39"/>
      <c r="CV522" s="39"/>
      <c r="CW522" s="39"/>
      <c r="CX522" s="39"/>
      <c r="CY522" s="39"/>
      <c r="CZ522" s="39"/>
      <c r="DA522" s="39"/>
      <c r="DB522" s="39"/>
      <c r="DC522" s="39"/>
      <c r="DD522" s="39"/>
      <c r="DE522" s="39"/>
      <c r="DF522" s="39"/>
      <c r="DG522" s="39"/>
      <c r="DH522" s="39"/>
      <c r="DI522" s="39"/>
    </row>
    <row r="523" spans="1:113">
      <c r="B523" s="88"/>
      <c r="C523" s="48"/>
      <c r="D523" s="44"/>
      <c r="E523" s="44"/>
      <c r="F523" s="45"/>
      <c r="G523" s="44"/>
      <c r="H523" s="46"/>
      <c r="I523" s="47"/>
      <c r="J523" s="47"/>
      <c r="K523" s="47"/>
      <c r="L523" s="47"/>
      <c r="M523" s="45"/>
      <c r="N523" s="46"/>
      <c r="O523" s="45"/>
      <c r="P523" s="45"/>
      <c r="Q523" s="45"/>
      <c r="R523" s="45"/>
      <c r="S523" s="45"/>
      <c r="T523" s="46"/>
      <c r="U523" s="48"/>
      <c r="V523" s="44"/>
      <c r="Z523" s="49"/>
      <c r="BF523" s="39"/>
      <c r="BG523" s="39"/>
      <c r="BH523" s="39"/>
      <c r="BI523" s="39"/>
      <c r="BJ523" s="39"/>
      <c r="BK523" s="39"/>
      <c r="BL523" s="39"/>
      <c r="BM523" s="39"/>
      <c r="BN523" s="39"/>
      <c r="BO523" s="39"/>
      <c r="BP523" s="39"/>
      <c r="BQ523" s="39"/>
      <c r="BR523" s="39"/>
      <c r="BS523" s="39"/>
      <c r="BT523" s="39"/>
      <c r="BU523" s="39"/>
      <c r="BV523" s="39"/>
      <c r="BW523" s="39"/>
      <c r="BX523" s="39"/>
      <c r="BY523" s="39"/>
      <c r="BZ523" s="39"/>
      <c r="CA523" s="39"/>
      <c r="CB523" s="39"/>
      <c r="CC523" s="39"/>
      <c r="CD523" s="39"/>
      <c r="CE523" s="39"/>
      <c r="CF523" s="39"/>
      <c r="CG523" s="39"/>
      <c r="CH523" s="39"/>
      <c r="CI523" s="39"/>
      <c r="CJ523" s="39"/>
      <c r="CK523" s="39"/>
      <c r="CL523" s="39"/>
      <c r="CM523" s="39"/>
      <c r="CN523" s="39"/>
      <c r="CO523" s="39"/>
      <c r="CP523" s="39"/>
      <c r="CQ523" s="39"/>
      <c r="CR523" s="39"/>
      <c r="CS523" s="39"/>
      <c r="CT523" s="39"/>
      <c r="CU523" s="39"/>
      <c r="CV523" s="39"/>
      <c r="CW523" s="39"/>
      <c r="CX523" s="39"/>
      <c r="CY523" s="39"/>
      <c r="CZ523" s="39"/>
      <c r="DA523" s="39"/>
      <c r="DB523" s="39"/>
      <c r="DC523" s="39"/>
      <c r="DD523" s="39"/>
      <c r="DE523" s="39"/>
      <c r="DF523" s="39"/>
      <c r="DG523" s="39"/>
      <c r="DH523" s="39"/>
      <c r="DI523" s="39"/>
    </row>
    <row r="524" spans="1:113">
      <c r="A524" s="41"/>
      <c r="B524" s="42" t="s">
        <v>551</v>
      </c>
      <c r="C524" s="48" t="str">
        <f t="shared" ref="C524:G529" si="120">C464</f>
        <v>HKBN</v>
      </c>
      <c r="D524" s="44" t="str">
        <f t="shared" si="120"/>
        <v>HKD 3</v>
      </c>
      <c r="E524" s="44" t="str">
        <f t="shared" si="120"/>
        <v>HKD 16</v>
      </c>
      <c r="F524" s="45">
        <f t="shared" si="120"/>
        <v>4.9925093632958806</v>
      </c>
      <c r="G524" s="44" t="str">
        <f t="shared" si="120"/>
        <v>Buy</v>
      </c>
      <c r="H524" s="46"/>
      <c r="I524" s="47">
        <f>HKBN!$D$25/HKBN!$D$33</f>
        <v>7.2909441765952563</v>
      </c>
      <c r="J524" s="47">
        <f>HKBN!$E$25/HKBN!$E$33</f>
        <v>7.6475647463880545</v>
      </c>
      <c r="K524" s="47">
        <f>HKBN!$F$25/HKBN!$F$33</f>
        <v>7.8831870849307561</v>
      </c>
      <c r="L524" s="47">
        <f>HKBN!$G$25/HKBN!$G$33</f>
        <v>8.2468458732835916</v>
      </c>
      <c r="M524" s="45">
        <f>L524-I524</f>
        <v>0.95590169668833536</v>
      </c>
      <c r="N524" s="46"/>
      <c r="O524" s="45">
        <f>(HKBN!$D$24-HKBN!$D$25)/HKBN!$D$23</f>
        <v>5.6239019135151981E-2</v>
      </c>
      <c r="P524" s="45">
        <f>(HKBN!$E$24-HKBN!$E$25)/HKBN!$E$23</f>
        <v>5.3601060101908363E-2</v>
      </c>
      <c r="Q524" s="45">
        <f>(HKBN!$F$24-HKBN!$F$25)/HKBN!$F$23</f>
        <v>5.4508733139122516E-2</v>
      </c>
      <c r="R524" s="45">
        <f>(HKBN!$G$24-HKBN!$G$25)/HKBN!$G$23</f>
        <v>5.1756009715912536E-2</v>
      </c>
      <c r="S524" s="45">
        <f>R524-O524</f>
        <v>-4.4830094192394448E-3</v>
      </c>
      <c r="T524" s="46"/>
      <c r="U524" s="48" t="str">
        <f t="shared" ref="U524:V529" si="121">U464</f>
        <v>HKD 3</v>
      </c>
      <c r="V524" s="69" t="str">
        <f t="shared" si="121"/>
        <v>HKBN</v>
      </c>
      <c r="Z524" s="49"/>
      <c r="BF524" s="39"/>
      <c r="BG524" s="39"/>
      <c r="BH524" s="39"/>
      <c r="BI524" s="39"/>
      <c r="BJ524" s="39"/>
      <c r="BK524" s="39"/>
      <c r="BL524" s="39"/>
      <c r="BM524" s="39"/>
      <c r="BN524" s="39"/>
      <c r="BO524" s="39"/>
      <c r="BP524" s="39"/>
      <c r="BQ524" s="39"/>
      <c r="BR524" s="39"/>
      <c r="BS524" s="39"/>
      <c r="BT524" s="39"/>
      <c r="BU524" s="39"/>
      <c r="BV524" s="39"/>
      <c r="BW524" s="39"/>
      <c r="BX524" s="39"/>
      <c r="BY524" s="39"/>
      <c r="BZ524" s="39"/>
      <c r="CA524" s="39"/>
      <c r="CB524" s="39"/>
      <c r="CC524" s="39"/>
      <c r="CD524" s="39"/>
      <c r="CE524" s="39"/>
      <c r="CF524" s="39"/>
      <c r="CG524" s="39"/>
      <c r="CH524" s="39"/>
      <c r="CI524" s="39"/>
      <c r="CJ524" s="39"/>
      <c r="CK524" s="39"/>
      <c r="CL524" s="39"/>
      <c r="CM524" s="39"/>
      <c r="CN524" s="39"/>
      <c r="CO524" s="39"/>
      <c r="CP524" s="39"/>
      <c r="CQ524" s="39"/>
      <c r="CR524" s="39"/>
      <c r="CS524" s="39"/>
      <c r="CT524" s="39"/>
      <c r="CU524" s="39"/>
      <c r="CV524" s="39"/>
      <c r="CW524" s="39"/>
      <c r="CX524" s="39"/>
      <c r="CY524" s="39"/>
      <c r="CZ524" s="39"/>
      <c r="DA524" s="39"/>
      <c r="DB524" s="39"/>
      <c r="DC524" s="39"/>
      <c r="DD524" s="39"/>
      <c r="DE524" s="39"/>
      <c r="DF524" s="39"/>
      <c r="DG524" s="39"/>
      <c r="DH524" s="39"/>
      <c r="DI524" s="39"/>
    </row>
    <row r="525" spans="1:113">
      <c r="B525" s="88"/>
      <c r="C525" s="48" t="str">
        <f t="shared" si="120"/>
        <v>KDDI</v>
      </c>
      <c r="D525" s="44" t="str">
        <f t="shared" si="120"/>
        <v>JPY 4,851</v>
      </c>
      <c r="E525" s="44" t="str">
        <f t="shared" si="120"/>
        <v>JPY 6,600</v>
      </c>
      <c r="F525" s="45">
        <f t="shared" si="120"/>
        <v>0.36054421768707479</v>
      </c>
      <c r="G525" s="44" t="str">
        <f t="shared" si="120"/>
        <v>Buy</v>
      </c>
      <c r="H525" s="46"/>
      <c r="I525" s="47" t="e">
        <f>KDDI!$D$25/KDDI!$D$33</f>
        <v>#DIV/0!</v>
      </c>
      <c r="J525" s="47" t="e">
        <f>KDDI!$E$25/KDDI!$E$33</f>
        <v>#DIV/0!</v>
      </c>
      <c r="K525" s="47" t="e">
        <f>KDDI!$F$25/KDDI!$F$33</f>
        <v>#DIV/0!</v>
      </c>
      <c r="L525" s="47" t="e">
        <f>KDDI!$G$25/KDDI!$G$33</f>
        <v>#DIV/0!</v>
      </c>
      <c r="M525" s="45" t="e">
        <f t="shared" ref="M525:M530" si="122">L525-I525</f>
        <v>#DIV/0!</v>
      </c>
      <c r="N525" s="46"/>
      <c r="O525" s="45">
        <f>(KDDI!$D$24-KDDI!$D$25)/KDDI!$D$23</f>
        <v>0.13022084626336103</v>
      </c>
      <c r="P525" s="45">
        <f>(KDDI!$E$24-KDDI!$E$25)/KDDI!$E$23</f>
        <v>0.105</v>
      </c>
      <c r="Q525" s="45">
        <f>(KDDI!$F$24-KDDI!$F$25)/KDDI!$F$23</f>
        <v>0.10500000000000001</v>
      </c>
      <c r="R525" s="45">
        <f>(KDDI!$G$24-KDDI!$G$25)/KDDI!$G$23</f>
        <v>0.10500000000000002</v>
      </c>
      <c r="S525" s="45">
        <f t="shared" ref="S525:S530" si="123">R525-O525</f>
        <v>-2.5220846263361005E-2</v>
      </c>
      <c r="T525" s="46"/>
      <c r="U525" s="48" t="str">
        <f t="shared" si="121"/>
        <v>JPY 4,851</v>
      </c>
      <c r="V525" s="44" t="str">
        <f t="shared" si="121"/>
        <v>KDDI</v>
      </c>
      <c r="Z525" s="49"/>
      <c r="BF525" s="39"/>
      <c r="BG525" s="39"/>
      <c r="BH525" s="39"/>
      <c r="BI525" s="39"/>
      <c r="BJ525" s="39"/>
      <c r="BK525" s="39"/>
      <c r="BL525" s="39"/>
      <c r="BM525" s="39"/>
      <c r="BN525" s="39"/>
      <c r="BO525" s="39"/>
      <c r="BP525" s="39"/>
      <c r="BQ525" s="39"/>
      <c r="BR525" s="39"/>
      <c r="BS525" s="39"/>
      <c r="BT525" s="39"/>
      <c r="BU525" s="39"/>
      <c r="BV525" s="39"/>
      <c r="BW525" s="39"/>
      <c r="BX525" s="39"/>
      <c r="BY525" s="39"/>
      <c r="BZ525" s="39"/>
      <c r="CA525" s="39"/>
      <c r="CB525" s="39"/>
      <c r="CC525" s="39"/>
      <c r="CD525" s="39"/>
      <c r="CE525" s="39"/>
      <c r="CF525" s="39"/>
      <c r="CG525" s="39"/>
      <c r="CH525" s="39"/>
      <c r="CI525" s="39"/>
      <c r="CJ525" s="39"/>
      <c r="CK525" s="39"/>
      <c r="CL525" s="39"/>
      <c r="CM525" s="39"/>
      <c r="CN525" s="39"/>
      <c r="CO525" s="39"/>
      <c r="CP525" s="39"/>
      <c r="CQ525" s="39"/>
      <c r="CR525" s="39"/>
      <c r="CS525" s="39"/>
      <c r="CT525" s="39"/>
      <c r="CU525" s="39"/>
      <c r="CV525" s="39"/>
      <c r="CW525" s="39"/>
      <c r="CX525" s="39"/>
      <c r="CY525" s="39"/>
      <c r="CZ525" s="39"/>
      <c r="DA525" s="39"/>
      <c r="DB525" s="39"/>
      <c r="DC525" s="39"/>
      <c r="DD525" s="39"/>
      <c r="DE525" s="39"/>
      <c r="DF525" s="39"/>
      <c r="DG525" s="39"/>
      <c r="DH525" s="39"/>
      <c r="DI525" s="39"/>
    </row>
    <row r="526" spans="1:113">
      <c r="A526" s="41"/>
      <c r="C526" s="48" t="str">
        <f t="shared" si="120"/>
        <v>Macquarie Telecom</v>
      </c>
      <c r="D526" s="44" t="str">
        <f t="shared" si="120"/>
        <v>AUD 76.51</v>
      </c>
      <c r="E526" s="44" t="str">
        <f t="shared" si="120"/>
        <v>AUD 28.00</v>
      </c>
      <c r="F526" s="45">
        <f t="shared" si="120"/>
        <v>-0.63403476669716374</v>
      </c>
      <c r="G526" s="44" t="str">
        <f t="shared" si="120"/>
        <v>Neutral</v>
      </c>
      <c r="H526" s="46"/>
      <c r="I526" s="47">
        <f>MAQ!$D$25/MAQ!$D$33</f>
        <v>-23.338257652176388</v>
      </c>
      <c r="J526" s="47">
        <f>MAQ!$E$25/MAQ!$E$33</f>
        <v>-178.16415494742481</v>
      </c>
      <c r="K526" s="47">
        <f>MAQ!$F$25/MAQ!$F$33</f>
        <v>606.43971804794558</v>
      </c>
      <c r="L526" s="47">
        <f>MAQ!$G$25/MAQ!$G$33</f>
        <v>158.29771112441586</v>
      </c>
      <c r="M526" s="45">
        <f>L526-I526</f>
        <v>181.63596877659225</v>
      </c>
      <c r="N526" s="46"/>
      <c r="O526" s="45">
        <f>(MAQ!$D$24-MAQ!$D$25)/MAQ!$D$23</f>
        <v>0.20162351626950278</v>
      </c>
      <c r="P526" s="45">
        <f>(MAQ!$E$24-MAQ!$E$25)/MAQ!$E$23</f>
        <v>0.15628503203139577</v>
      </c>
      <c r="Q526" s="45">
        <f>(MAQ!$F$24-MAQ!$F$25)/MAQ!$F$23</f>
        <v>0.14335233086217225</v>
      </c>
      <c r="R526" s="45">
        <f>(MAQ!$G$24-MAQ!$G$25)/MAQ!$G$23</f>
        <v>0.11895429956678835</v>
      </c>
      <c r="S526" s="45">
        <f>R526-O526</f>
        <v>-8.2669216702714432E-2</v>
      </c>
      <c r="T526" s="46"/>
      <c r="U526" s="48" t="str">
        <f t="shared" si="121"/>
        <v>AUD 76.51</v>
      </c>
      <c r="V526" s="69" t="str">
        <f t="shared" si="121"/>
        <v>Macquarie Telecom</v>
      </c>
      <c r="Z526" s="49"/>
      <c r="BF526" s="39"/>
      <c r="BG526" s="39"/>
      <c r="BH526" s="39"/>
      <c r="BI526" s="39"/>
      <c r="BJ526" s="39"/>
      <c r="BK526" s="39"/>
      <c r="BL526" s="39"/>
      <c r="BM526" s="39"/>
      <c r="BN526" s="39"/>
      <c r="BO526" s="39"/>
      <c r="BP526" s="39"/>
      <c r="BQ526" s="39"/>
      <c r="BR526" s="39"/>
      <c r="BS526" s="39"/>
      <c r="BT526" s="39"/>
      <c r="BU526" s="39"/>
      <c r="BV526" s="39"/>
      <c r="BW526" s="39"/>
      <c r="BX526" s="39"/>
      <c r="BY526" s="39"/>
      <c r="BZ526" s="39"/>
      <c r="CA526" s="39"/>
      <c r="CB526" s="39"/>
      <c r="CC526" s="39"/>
      <c r="CD526" s="39"/>
      <c r="CE526" s="39"/>
      <c r="CF526" s="39"/>
      <c r="CG526" s="39"/>
      <c r="CH526" s="39"/>
      <c r="CI526" s="39"/>
      <c r="CJ526" s="39"/>
      <c r="CK526" s="39"/>
      <c r="CL526" s="39"/>
      <c r="CM526" s="39"/>
      <c r="CN526" s="39"/>
      <c r="CO526" s="39"/>
      <c r="CP526" s="39"/>
      <c r="CQ526" s="39"/>
      <c r="CR526" s="39"/>
      <c r="CS526" s="39"/>
      <c r="CT526" s="39"/>
      <c r="CU526" s="39"/>
      <c r="CV526" s="39"/>
      <c r="CW526" s="39"/>
      <c r="CX526" s="39"/>
      <c r="CY526" s="39"/>
      <c r="CZ526" s="39"/>
      <c r="DA526" s="39"/>
      <c r="DB526" s="39"/>
      <c r="DC526" s="39"/>
      <c r="DD526" s="39"/>
      <c r="DE526" s="39"/>
      <c r="DF526" s="39"/>
      <c r="DG526" s="39"/>
      <c r="DH526" s="39"/>
      <c r="DI526" s="39"/>
    </row>
    <row r="527" spans="1:113">
      <c r="B527" s="88"/>
      <c r="C527" s="48" t="str">
        <f t="shared" si="120"/>
        <v>Rakuten</v>
      </c>
      <c r="D527" s="44" t="str">
        <f t="shared" si="120"/>
        <v>JPY 946</v>
      </c>
      <c r="E527" s="44" t="str">
        <f t="shared" si="120"/>
        <v>JPY 400</v>
      </c>
      <c r="F527" s="45">
        <f t="shared" si="120"/>
        <v>-0.57734573119188504</v>
      </c>
      <c r="G527" s="44" t="str">
        <f t="shared" si="120"/>
        <v>Reduce</v>
      </c>
      <c r="H527" s="46"/>
      <c r="I527" s="47">
        <f>RAK!$D$25/RAK!$D$33</f>
        <v>26.867299649598714</v>
      </c>
      <c r="J527" s="47">
        <f>RAK!$E$25/RAK!$E$33</f>
        <v>-0.61730550917953919</v>
      </c>
      <c r="K527" s="47">
        <f>RAK!$F$25/RAK!$F$33</f>
        <v>-2.0274821140736414E-2</v>
      </c>
      <c r="L527" s="47">
        <f>RAK!$G$25/RAK!$G$33</f>
        <v>3.0240602663107137E-2</v>
      </c>
      <c r="M527" s="45">
        <f>L527-I527</f>
        <v>-26.837059046935607</v>
      </c>
      <c r="N527" s="46"/>
      <c r="O527" s="45">
        <f>(RAK!$D$24-RAK!$D$25)/RAK!$D$23</f>
        <v>0.18629421406208135</v>
      </c>
      <c r="P527" s="45">
        <f>(RAK!$E$24-RAK!$E$25)/RAK!$E$23</f>
        <v>0.12070465144396403</v>
      </c>
      <c r="Q527" s="45">
        <f>(RAK!$F$24-RAK!$F$25)/RAK!$F$23</f>
        <v>0.10721468142148284</v>
      </c>
      <c r="R527" s="45">
        <f>(RAK!$G$24-RAK!$G$25)/RAK!$G$23</f>
        <v>0.12536348988531326</v>
      </c>
      <c r="S527" s="45">
        <f>R527-O527</f>
        <v>-6.0930724176768092E-2</v>
      </c>
      <c r="T527" s="46"/>
      <c r="U527" s="48" t="str">
        <f t="shared" si="121"/>
        <v>JPY 946</v>
      </c>
      <c r="V527" s="44" t="str">
        <f t="shared" si="121"/>
        <v>Rakuten</v>
      </c>
      <c r="Z527" s="49"/>
      <c r="BF527" s="39"/>
      <c r="BG527" s="39"/>
      <c r="BH527" s="39"/>
      <c r="BI527" s="39"/>
      <c r="BJ527" s="39"/>
      <c r="BK527" s="39"/>
      <c r="BL527" s="39"/>
      <c r="BM527" s="39"/>
      <c r="BN527" s="39"/>
      <c r="BO527" s="39"/>
      <c r="BP527" s="39"/>
      <c r="BQ527" s="39"/>
      <c r="BR527" s="39"/>
      <c r="BS527" s="39"/>
      <c r="BT527" s="39"/>
      <c r="BU527" s="39"/>
      <c r="BV527" s="39"/>
      <c r="BW527" s="39"/>
      <c r="BX527" s="39"/>
      <c r="BY527" s="39"/>
      <c r="BZ527" s="39"/>
      <c r="CA527" s="39"/>
      <c r="CB527" s="39"/>
      <c r="CC527" s="39"/>
      <c r="CD527" s="39"/>
      <c r="CE527" s="39"/>
      <c r="CF527" s="39"/>
      <c r="CG527" s="39"/>
      <c r="CH527" s="39"/>
      <c r="CI527" s="39"/>
      <c r="CJ527" s="39"/>
      <c r="CK527" s="39"/>
      <c r="CL527" s="39"/>
      <c r="CM527" s="39"/>
      <c r="CN527" s="39"/>
      <c r="CO527" s="39"/>
      <c r="CP527" s="39"/>
      <c r="CQ527" s="39"/>
      <c r="CR527" s="39"/>
      <c r="CS527" s="39"/>
      <c r="CT527" s="39"/>
      <c r="CU527" s="39"/>
      <c r="CV527" s="39"/>
      <c r="CW527" s="39"/>
      <c r="CX527" s="39"/>
      <c r="CY527" s="39"/>
      <c r="CZ527" s="39"/>
      <c r="DA527" s="39"/>
      <c r="DB527" s="39"/>
      <c r="DC527" s="39"/>
      <c r="DD527" s="39"/>
      <c r="DE527" s="39"/>
      <c r="DF527" s="39"/>
      <c r="DG527" s="39"/>
      <c r="DH527" s="39"/>
      <c r="DI527" s="39"/>
    </row>
    <row r="528" spans="1:113">
      <c r="B528" s="88"/>
      <c r="C528" s="48" t="str">
        <f t="shared" si="120"/>
        <v>SoftBank KK (Corp)</v>
      </c>
      <c r="D528" s="44" t="str">
        <f t="shared" si="120"/>
        <v>JPY 1,996</v>
      </c>
      <c r="E528" s="44" t="str">
        <f t="shared" si="120"/>
        <v>JPY 2,700</v>
      </c>
      <c r="F528" s="45">
        <f t="shared" si="120"/>
        <v>0.35270541082164319</v>
      </c>
      <c r="G528" s="44" t="str">
        <f t="shared" si="120"/>
        <v>Buy</v>
      </c>
      <c r="H528" s="46"/>
      <c r="I528" s="47">
        <f>SBKK!$D$25/SBKK!$D$33</f>
        <v>-23.000783602095101</v>
      </c>
      <c r="J528" s="47">
        <f>SBKK!$E$25/SBKK!$E$33</f>
        <v>-21.841084298282212</v>
      </c>
      <c r="K528" s="47">
        <f>SBKK!$F$25/SBKK!$F$33</f>
        <v>-28.383388785745364</v>
      </c>
      <c r="L528" s="47">
        <f>SBKK!$G$25/SBKK!$G$33</f>
        <v>-35.108360158653085</v>
      </c>
      <c r="M528" s="45">
        <f t="shared" si="122"/>
        <v>-12.107576556557984</v>
      </c>
      <c r="N528" s="46"/>
      <c r="O528" s="45">
        <f>(SBKK!$D$24-SBKK!$D$25)/SBKK!$D$23</f>
        <v>9.0762656147271539E-2</v>
      </c>
      <c r="P528" s="45">
        <f>(SBKK!$E$24-SBKK!$E$25)/SBKK!$E$23</f>
        <v>8.5129852607516238E-2</v>
      </c>
      <c r="Q528" s="45">
        <f>(SBKK!$F$24-SBKK!$F$25)/SBKK!$F$23</f>
        <v>7.8168069461786671E-2</v>
      </c>
      <c r="R528" s="45">
        <f>(SBKK!$G$24-SBKK!$G$25)/SBKK!$G$23</f>
        <v>7.4814763886853555E-2</v>
      </c>
      <c r="S528" s="45">
        <f t="shared" si="123"/>
        <v>-1.5947892260417984E-2</v>
      </c>
      <c r="T528" s="46"/>
      <c r="U528" s="48" t="str">
        <f t="shared" si="121"/>
        <v>JPY 1,996</v>
      </c>
      <c r="V528" s="44" t="str">
        <f t="shared" si="121"/>
        <v>SoftBank KK (Corp)</v>
      </c>
      <c r="Z528" s="4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row>
    <row r="529" spans="1:113">
      <c r="A529" s="41"/>
      <c r="C529" s="48" t="str">
        <f t="shared" si="120"/>
        <v>TPG</v>
      </c>
      <c r="D529" s="44" t="str">
        <f t="shared" si="120"/>
        <v>AUD 4.99</v>
      </c>
      <c r="E529" s="44" t="str">
        <f t="shared" si="120"/>
        <v>AUD 7.50</v>
      </c>
      <c r="F529" s="45">
        <f t="shared" si="120"/>
        <v>0.50300601202404804</v>
      </c>
      <c r="G529" s="44" t="str">
        <f t="shared" si="120"/>
        <v>Neutral</v>
      </c>
      <c r="H529" s="46"/>
      <c r="I529" s="47">
        <f>TPG!$D$25/TPG!$D$33</f>
        <v>3.1923258665060681</v>
      </c>
      <c r="J529" s="47">
        <f>TPG!$E$25/TPG!$E$33</f>
        <v>4.2663393576568414</v>
      </c>
      <c r="K529" s="47">
        <f>TPG!$F$25/TPG!$F$33</f>
        <v>4.5129630833965173</v>
      </c>
      <c r="L529" s="47">
        <f>TPG!$G$25/TPG!$G$33</f>
        <v>4.9642573311072002</v>
      </c>
      <c r="M529" s="45">
        <f>L529-I529</f>
        <v>1.7719314646011322</v>
      </c>
      <c r="N529" s="46"/>
      <c r="O529" s="45">
        <f>(TPG!$D$24-TPG!$D$25)/TPG!$D$23</f>
        <v>0.1194675351838924</v>
      </c>
      <c r="P529" s="45">
        <f>(TPG!$E$24-TPG!$E$25)/TPG!$E$23</f>
        <v>0.10498846262432035</v>
      </c>
      <c r="Q529" s="45">
        <f>(TPG!$F$24-TPG!$F$25)/TPG!$F$23</f>
        <v>0.10957917646847119</v>
      </c>
      <c r="R529" s="45">
        <f>(TPG!$G$24-TPG!$G$25)/TPG!$G$23</f>
        <v>0.10822448872336637</v>
      </c>
      <c r="S529" s="45">
        <f>R529-O529</f>
        <v>-1.1243046460526027E-2</v>
      </c>
      <c r="T529" s="46"/>
      <c r="U529" s="48" t="str">
        <f t="shared" si="121"/>
        <v>AUD 4.99</v>
      </c>
      <c r="V529" s="44" t="str">
        <f t="shared" si="121"/>
        <v>TPG</v>
      </c>
      <c r="Z529" s="49"/>
      <c r="BF529" s="39"/>
      <c r="BG529" s="39"/>
      <c r="BH529" s="39"/>
      <c r="BI529" s="39"/>
      <c r="BJ529" s="39"/>
      <c r="BK529" s="39"/>
      <c r="BL529" s="39"/>
      <c r="BM529" s="39"/>
      <c r="BN529" s="39"/>
      <c r="BO529" s="39"/>
      <c r="BP529" s="39"/>
      <c r="BQ529" s="39"/>
      <c r="BR529" s="39"/>
      <c r="BS529" s="39"/>
      <c r="BT529" s="39"/>
      <c r="BU529" s="39"/>
      <c r="BV529" s="39"/>
      <c r="BW529" s="39"/>
      <c r="BX529" s="39"/>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row>
    <row r="530" spans="1:113">
      <c r="B530" s="88"/>
      <c r="C530" s="51" t="str">
        <f>C470</f>
        <v>Agg. Developed Asia Other</v>
      </c>
      <c r="D530" s="52"/>
      <c r="E530" s="52"/>
      <c r="F530" s="53"/>
      <c r="G530" s="52"/>
      <c r="H530" s="46"/>
      <c r="I530" s="54">
        <f>'DM ASIA OTHER'!$D$25/'DM ASIA OTHER'!$D$33</f>
        <v>-72.255067597319794</v>
      </c>
      <c r="J530" s="54">
        <f>'DM ASIA OTHER'!$E$25/'DM ASIA OTHER'!$E$33</f>
        <v>22.034730779202626</v>
      </c>
      <c r="K530" s="54">
        <f>'DM ASIA OTHER'!$F$25/'DM ASIA OTHER'!$F$33</f>
        <v>19.287924999498212</v>
      </c>
      <c r="L530" s="54">
        <f>'DM ASIA OTHER'!$G$25/'DM ASIA OTHER'!$G$33</f>
        <v>17.088337146219093</v>
      </c>
      <c r="M530" s="55">
        <f t="shared" si="122"/>
        <v>89.343404743538883</v>
      </c>
      <c r="N530" s="56"/>
      <c r="O530" s="55">
        <f>('DM ASIA OTHER'!$D$24-'DM ASIA OTHER'!$D$25)/'DM ASIA OTHER'!$D$23</f>
        <v>0.12031874219577422</v>
      </c>
      <c r="P530" s="55">
        <f>('DM ASIA OTHER'!$E$24-'DM ASIA OTHER'!$E$25)/'DM ASIA OTHER'!$E$23</f>
        <v>9.8535897007888493E-2</v>
      </c>
      <c r="Q530" s="55">
        <f>('DM ASIA OTHER'!$F$24-'DM ASIA OTHER'!$F$25)/'DM ASIA OTHER'!$F$23</f>
        <v>9.3588573555036719E-2</v>
      </c>
      <c r="R530" s="55">
        <f>('DM ASIA OTHER'!$G$24-'DM ASIA OTHER'!$G$25)/'DM ASIA OTHER'!$G$23</f>
        <v>9.4927072203669208E-2</v>
      </c>
      <c r="S530" s="55">
        <f t="shared" si="123"/>
        <v>-2.5391669992105015E-2</v>
      </c>
      <c r="T530" s="46"/>
      <c r="U530" s="57"/>
      <c r="V530" s="58" t="str">
        <f>V470</f>
        <v>Agg. Developed Asia Cellular</v>
      </c>
      <c r="Z530" s="49"/>
      <c r="BF530" s="39"/>
      <c r="BG530" s="39"/>
      <c r="BH530" s="39"/>
      <c r="BI530" s="39"/>
      <c r="BJ530" s="39"/>
      <c r="BK530" s="39"/>
      <c r="BL530" s="39"/>
      <c r="BM530" s="39"/>
      <c r="BN530" s="39"/>
      <c r="BO530" s="39"/>
      <c r="BP530" s="39"/>
      <c r="BQ530" s="39"/>
      <c r="BR530" s="39"/>
      <c r="BS530" s="39"/>
      <c r="BT530" s="39"/>
      <c r="BU530" s="39"/>
      <c r="BV530" s="39"/>
      <c r="BW530" s="39"/>
      <c r="BX530" s="39"/>
      <c r="BY530" s="39"/>
      <c r="BZ530" s="39"/>
      <c r="CA530" s="39"/>
      <c r="CB530" s="39"/>
      <c r="CC530" s="39"/>
      <c r="CD530" s="39"/>
      <c r="CE530" s="39"/>
      <c r="CF530" s="39"/>
      <c r="CG530" s="39"/>
      <c r="CH530" s="39"/>
      <c r="CI530" s="39"/>
      <c r="CJ530" s="39"/>
      <c r="CK530" s="39"/>
      <c r="CL530" s="39"/>
      <c r="CM530" s="39"/>
      <c r="CN530" s="39"/>
      <c r="CO530" s="39"/>
      <c r="CP530" s="39"/>
      <c r="CQ530" s="39"/>
      <c r="CR530" s="39"/>
      <c r="CS530" s="39"/>
      <c r="CT530" s="39"/>
      <c r="CU530" s="39"/>
      <c r="CV530" s="39"/>
      <c r="CW530" s="39"/>
      <c r="CX530" s="39"/>
      <c r="CY530" s="39"/>
      <c r="CZ530" s="39"/>
      <c r="DA530" s="39"/>
      <c r="DB530" s="39"/>
      <c r="DC530" s="39"/>
      <c r="DD530" s="39"/>
      <c r="DE530" s="39"/>
      <c r="DF530" s="39"/>
      <c r="DG530" s="39"/>
      <c r="DH530" s="39"/>
      <c r="DI530" s="39"/>
    </row>
    <row r="531" spans="1:113">
      <c r="A531" s="41"/>
      <c r="C531" s="48"/>
      <c r="D531" s="44"/>
      <c r="E531" s="44"/>
      <c r="F531" s="45"/>
      <c r="G531" s="44"/>
      <c r="H531" s="46"/>
      <c r="I531" s="47"/>
      <c r="J531" s="47"/>
      <c r="K531" s="47"/>
      <c r="L531" s="47"/>
      <c r="M531" s="45"/>
      <c r="N531" s="46"/>
      <c r="O531" s="45"/>
      <c r="P531" s="45"/>
      <c r="Q531" s="45"/>
      <c r="R531" s="45"/>
      <c r="S531" s="45"/>
      <c r="T531" s="46"/>
      <c r="U531" s="48"/>
      <c r="V531" s="44"/>
      <c r="Z531" s="49"/>
    </row>
    <row r="532" spans="1:113">
      <c r="A532" s="41"/>
      <c r="B532" s="42" t="s">
        <v>514</v>
      </c>
      <c r="C532" s="48" t="str">
        <f>C472</f>
        <v>Altice US</v>
      </c>
      <c r="D532" s="44" t="str">
        <f>D472</f>
        <v>US$2.1</v>
      </c>
      <c r="E532" s="44" t="str">
        <f>E472</f>
        <v>US$4.0</v>
      </c>
      <c r="F532" s="45">
        <f>F472</f>
        <v>0.86915887850467288</v>
      </c>
      <c r="G532" s="44" t="str">
        <f>G472</f>
        <v>Neutral</v>
      </c>
      <c r="H532" s="46"/>
      <c r="I532" s="47">
        <f>ATCUS!D$25/ATCUS!D$33</f>
        <v>-1.1616471033237346</v>
      </c>
      <c r="J532" s="47">
        <f>ATCUS!E$25/ATCUS!E$33</f>
        <v>-1.1027911849407777</v>
      </c>
      <c r="K532" s="47">
        <f>ATCUS!F$25/ATCUS!F$33</f>
        <v>-1.136403695644477</v>
      </c>
      <c r="L532" s="47">
        <f>ATCUS!G$25/ATCUS!G$33</f>
        <v>-1.2077089178764628</v>
      </c>
      <c r="M532" s="45">
        <f t="shared" ref="M532:M537" si="124">L532-I532</f>
        <v>-4.6061814552728286E-2</v>
      </c>
      <c r="N532" s="46"/>
      <c r="O532" s="45">
        <f>(ATCUS!D$24-ATCUS!D$25)/ATCUS!D$23</f>
        <v>0.18456199935390724</v>
      </c>
      <c r="P532" s="45">
        <f>(ATCUS!E$24-ATCUS!E$25)/ATCUS!E$23</f>
        <v>0.18197244750492556</v>
      </c>
      <c r="Q532" s="45">
        <f>(ATCUS!F$24-ATCUS!F$25)/ATCUS!F$23</f>
        <v>0.16890744684054584</v>
      </c>
      <c r="R532" s="45">
        <f>(ATCUS!G$24-ATCUS!G$25)/ATCUS!G$23</f>
        <v>0.15582058070194013</v>
      </c>
      <c r="S532" s="45">
        <f t="shared" ref="S532:S537" si="125">R532-O532</f>
        <v>-2.874141865196711E-2</v>
      </c>
      <c r="T532" s="46"/>
      <c r="U532" s="48" t="str">
        <f>D532</f>
        <v>US$2.1</v>
      </c>
      <c r="V532" s="44" t="str">
        <f t="shared" ref="V532:V537" si="126">C532</f>
        <v>Altice US</v>
      </c>
      <c r="Z532" s="49"/>
    </row>
    <row r="533" spans="1:113">
      <c r="A533" s="41"/>
      <c r="B533" s="42" t="s">
        <v>514</v>
      </c>
      <c r="C533" s="48" t="s">
        <v>306</v>
      </c>
      <c r="D533" s="44" t="str">
        <f>B533&amp;TEXT(Prices!$C$45,"0.0")</f>
        <v>US$330.8</v>
      </c>
      <c r="E533" s="44" t="str">
        <f>B533&amp;TEXT(Prices!$E$45,"0.0")</f>
        <v>US$581.0</v>
      </c>
      <c r="F533" s="45">
        <f>Prices!$F$45</f>
        <v>0.75645444101819947</v>
      </c>
      <c r="G533" s="44" t="str">
        <f>Prices!$D$45</f>
        <v>Buy</v>
      </c>
      <c r="H533" s="46"/>
      <c r="I533" s="47" t="e">
        <f>CHTR!D$25/CHTR!D$33</f>
        <v>#DIV/0!</v>
      </c>
      <c r="J533" s="47" t="e">
        <f>CHTR!E$25/CHTR!E$33</f>
        <v>#DIV/0!</v>
      </c>
      <c r="K533" s="47" t="e">
        <f>CHTR!F$25/CHTR!F$33</f>
        <v>#DIV/0!</v>
      </c>
      <c r="L533" s="47" t="e">
        <f>CHTR!G$25/CHTR!G$33</f>
        <v>#DIV/0!</v>
      </c>
      <c r="M533" s="45" t="e">
        <f t="shared" si="124"/>
        <v>#DIV/0!</v>
      </c>
      <c r="N533" s="46"/>
      <c r="O533" s="45">
        <f>(CHTR!D$24-CHTR!D$25)/CHTR!D$23</f>
        <v>0.20354533301591371</v>
      </c>
      <c r="P533" s="45">
        <f>(CHTR!E$24-CHTR!E$25)/CHTR!E$23</f>
        <v>0.22257326321829726</v>
      </c>
      <c r="Q533" s="45">
        <f>(CHTR!F$24-CHTR!F$25)/CHTR!F$23</f>
        <v>0.2241830563214525</v>
      </c>
      <c r="R533" s="45">
        <f>(CHTR!G$24-CHTR!G$25)/CHTR!G$23</f>
        <v>0.19650609392325183</v>
      </c>
      <c r="S533" s="45">
        <f t="shared" si="125"/>
        <v>-7.0392390926618809E-3</v>
      </c>
      <c r="T533" s="46"/>
      <c r="U533" s="48" t="str">
        <f>D533</f>
        <v>US$330.8</v>
      </c>
      <c r="V533" s="44" t="str">
        <f t="shared" si="126"/>
        <v>Charter</v>
      </c>
      <c r="Z533" s="49"/>
    </row>
    <row r="534" spans="1:113">
      <c r="A534" s="41"/>
      <c r="B534" s="42" t="s">
        <v>514</v>
      </c>
      <c r="C534" s="48" t="s">
        <v>304</v>
      </c>
      <c r="D534" s="44" t="str">
        <f>B534&amp;TEXT(Prices!$C$46,"0.0")</f>
        <v>US$39.8</v>
      </c>
      <c r="E534" s="44" t="str">
        <f>B534&amp;TEXT(Prices!$E$46,"0.0")</f>
        <v>US$50.0</v>
      </c>
      <c r="F534" s="45">
        <f>Prices!$F$46</f>
        <v>0.25628140703517599</v>
      </c>
      <c r="G534" s="44" t="str">
        <f>Prices!$D$46</f>
        <v>Buy</v>
      </c>
      <c r="H534" s="46"/>
      <c r="I534" s="47">
        <f>CMCSA!D$25/CMCSA!D$33</f>
        <v>-6.5389143270685723</v>
      </c>
      <c r="J534" s="47">
        <f>CMCSA!E$25/CMCSA!E$33</f>
        <v>-6.9722092419189945</v>
      </c>
      <c r="K534" s="47">
        <f>CMCSA!F$25/CMCSA!F$33</f>
        <v>-7.2588928602454406</v>
      </c>
      <c r="L534" s="47">
        <f>CMCSA!G$25/CMCSA!G$33</f>
        <v>-7.8066141774879103</v>
      </c>
      <c r="M534" s="45">
        <f t="shared" si="124"/>
        <v>-1.267699850419338</v>
      </c>
      <c r="N534" s="46"/>
      <c r="O534" s="45">
        <f>(CMCSA!D$24-CMCSA!D$25)/CMCSA!D$23</f>
        <v>0.10068338074562588</v>
      </c>
      <c r="P534" s="45">
        <f>(CMCSA!E$24-CMCSA!E$25)/CMCSA!E$23</f>
        <v>9.6964736306617214E-2</v>
      </c>
      <c r="Q534" s="45">
        <f>(CMCSA!F$24-CMCSA!F$25)/CMCSA!F$23</f>
        <v>8.8526467370388148E-2</v>
      </c>
      <c r="R534" s="45">
        <f>(CMCSA!G$24-CMCSA!G$25)/CMCSA!G$23</f>
        <v>7.6443175151908058E-2</v>
      </c>
      <c r="S534" s="45">
        <f t="shared" si="125"/>
        <v>-2.4240205593717826E-2</v>
      </c>
      <c r="T534" s="46"/>
      <c r="U534" s="48" t="str">
        <f>D534</f>
        <v>US$39.8</v>
      </c>
      <c r="V534" s="44" t="str">
        <f t="shared" si="126"/>
        <v>Comcast</v>
      </c>
      <c r="Z534" s="49"/>
    </row>
    <row r="535" spans="1:113">
      <c r="A535" s="41"/>
      <c r="B535" s="42" t="s">
        <v>522</v>
      </c>
      <c r="C535" s="48" t="s">
        <v>1602</v>
      </c>
      <c r="D535" s="44" t="str">
        <f>B535&amp;TEXT(Prices!C$47,"0.0")</f>
        <v>US$ 35.0</v>
      </c>
      <c r="E535" s="44" t="str">
        <f>B535&amp;TEXT(Prices!E$47,"0.0")</f>
        <v>US$ 54.0</v>
      </c>
      <c r="F535" s="45">
        <f>Prices!F$47</f>
        <v>0.54285714285714293</v>
      </c>
      <c r="G535" s="44" t="str">
        <f>Prices!D$47</f>
        <v>Buy</v>
      </c>
      <c r="H535" s="46"/>
      <c r="I535" s="47">
        <f>(FYBR!D$25/FYBR!D$33)</f>
        <v>1.660030627871363</v>
      </c>
      <c r="J535" s="47">
        <f>(FYBR!E$25/FYBR!E$33)</f>
        <v>2.9239620374201398</v>
      </c>
      <c r="K535" s="47">
        <f>(FYBR!F$25/FYBR!F$33)</f>
        <v>2.2125330265953966</v>
      </c>
      <c r="L535" s="47">
        <f>(FYBR!G$25/FYBR!G$33)</f>
        <v>0.35712168414182449</v>
      </c>
      <c r="M535" s="45">
        <f t="shared" si="124"/>
        <v>-1.3029089437295385</v>
      </c>
      <c r="N535" s="46"/>
      <c r="O535" s="45">
        <f>(FYBR!D$24-FYBR!D$25)/FYBR!D$23</f>
        <v>0.55833768040340814</v>
      </c>
      <c r="P535" s="45">
        <f>(FYBR!E$24-FYBR!E$25)/FYBR!E$23</f>
        <v>0.7550643353176627</v>
      </c>
      <c r="Q535" s="45">
        <f>(FYBR!F$24-FYBR!F$25)/FYBR!F$23</f>
        <v>0.67240874526405459</v>
      </c>
      <c r="R535" s="45">
        <f>(FYBR!G$24-FYBR!G$25)/FYBR!G$23</f>
        <v>0.43309578244817704</v>
      </c>
      <c r="S535" s="45">
        <f t="shared" si="125"/>
        <v>-0.12524189795523111</v>
      </c>
      <c r="T535" s="46"/>
      <c r="U535" s="48" t="str">
        <f>D535</f>
        <v>US$ 35.0</v>
      </c>
      <c r="V535" s="44" t="str">
        <f t="shared" si="126"/>
        <v>Frontier</v>
      </c>
      <c r="Z535" s="49"/>
      <c r="BF535" s="39"/>
      <c r="BG535" s="39"/>
      <c r="BH535" s="39"/>
      <c r="BI535" s="39"/>
      <c r="BJ535" s="39"/>
      <c r="BK535" s="39"/>
      <c r="BL535" s="39"/>
      <c r="BM535" s="39"/>
      <c r="BN535" s="39"/>
      <c r="BO535" s="39"/>
      <c r="BP535" s="39"/>
      <c r="BQ535" s="39"/>
      <c r="BR535" s="39"/>
      <c r="BS535" s="39"/>
      <c r="BT535" s="39"/>
      <c r="BU535" s="39"/>
      <c r="BV535" s="39"/>
      <c r="BW535" s="39"/>
      <c r="BX535" s="39"/>
      <c r="BY535" s="39"/>
      <c r="BZ535" s="39"/>
      <c r="CA535" s="39"/>
      <c r="CB535" s="39"/>
      <c r="CC535" s="39"/>
      <c r="CD535" s="39"/>
      <c r="CE535" s="39"/>
      <c r="CF535" s="39"/>
      <c r="CG535" s="39"/>
      <c r="CH535" s="39"/>
      <c r="CI535" s="39"/>
      <c r="CJ535" s="39"/>
      <c r="CK535" s="39"/>
      <c r="CL535" s="39"/>
      <c r="CM535" s="39"/>
      <c r="CN535" s="39"/>
      <c r="CO535" s="39"/>
      <c r="CP535" s="39"/>
      <c r="CQ535" s="39"/>
      <c r="CR535" s="39"/>
      <c r="CS535" s="39"/>
      <c r="CT535" s="39"/>
      <c r="CU535" s="39"/>
      <c r="CV535" s="39"/>
      <c r="CW535" s="39"/>
      <c r="CX535" s="39"/>
      <c r="CY535" s="39"/>
      <c r="CZ535" s="39"/>
      <c r="DA535" s="39"/>
      <c r="DB535" s="39"/>
      <c r="DC535" s="39"/>
      <c r="DD535" s="39"/>
      <c r="DE535" s="39"/>
      <c r="DF535" s="39"/>
      <c r="DG535" s="39"/>
      <c r="DH535" s="39"/>
      <c r="DI535" s="39"/>
    </row>
    <row r="536" spans="1:113">
      <c r="A536" s="41"/>
      <c r="B536" s="42" t="s">
        <v>522</v>
      </c>
      <c r="C536" s="48" t="s">
        <v>1603</v>
      </c>
      <c r="D536" s="44" t="str">
        <f>B536&amp;TEXT(Prices!C$48,"0.0")</f>
        <v>US$ 22.3</v>
      </c>
      <c r="E536" s="44" t="str">
        <f>B536&amp;TEXT(Prices!E$48,"0.0")</f>
        <v>US$ 100.0</v>
      </c>
      <c r="F536" s="45">
        <f>Prices!F$48</f>
        <v>3.4883303411131061</v>
      </c>
      <c r="G536" s="44" t="str">
        <f>Prices!D$48</f>
        <v>Buy</v>
      </c>
      <c r="H536" s="46"/>
      <c r="I536" s="47">
        <f>(SATS!D$25/SATS!D$33)</f>
        <v>-1.0282579514332699</v>
      </c>
      <c r="J536" s="47">
        <f>(SATS!E$25/SATS!E$33)</f>
        <v>0.82357698716938044</v>
      </c>
      <c r="K536" s="47">
        <f>(SATS!F$25/SATS!F$33)</f>
        <v>1.2641712060496699</v>
      </c>
      <c r="L536" s="47">
        <f>(SATS!G$25/SATS!G$33)</f>
        <v>2.0188209406367701</v>
      </c>
      <c r="M536" s="45">
        <f t="shared" si="124"/>
        <v>3.04707889207004</v>
      </c>
      <c r="N536" s="46"/>
      <c r="O536" s="45">
        <f>(SATS!D$24-SATS!D$25)/SATS!D$23</f>
        <v>0.17193828435994468</v>
      </c>
      <c r="P536" s="45">
        <f>(SATS!E$24-SATS!E$25)/SATS!E$23</f>
        <v>6.5001676966438035E-2</v>
      </c>
      <c r="Q536" s="45">
        <f>(SATS!F$24-SATS!F$25)/SATS!F$23</f>
        <v>6.8546942000262692E-2</v>
      </c>
      <c r="R536" s="45">
        <f>(SATS!G$24-SATS!G$25)/SATS!G$23</f>
        <v>4.7909324937603255E-2</v>
      </c>
      <c r="S536" s="45">
        <f t="shared" si="125"/>
        <v>-0.12402895942234143</v>
      </c>
      <c r="T536" s="46"/>
      <c r="U536" s="48" t="str">
        <f>D536</f>
        <v>US$ 22.3</v>
      </c>
      <c r="V536" s="44" t="str">
        <f t="shared" si="126"/>
        <v>EchoStar</v>
      </c>
      <c r="Z536" s="49"/>
      <c r="BF536" s="39"/>
      <c r="BG536" s="39"/>
      <c r="BH536" s="39"/>
      <c r="BI536" s="39"/>
      <c r="BJ536" s="39"/>
      <c r="BK536" s="39"/>
      <c r="BL536" s="39"/>
      <c r="BM536" s="39"/>
      <c r="BN536" s="39"/>
      <c r="BO536" s="39"/>
      <c r="BP536" s="39"/>
      <c r="BQ536" s="39"/>
      <c r="BR536" s="39"/>
      <c r="BS536" s="39"/>
      <c r="BT536" s="39"/>
      <c r="BU536" s="39"/>
      <c r="BV536" s="39"/>
      <c r="BW536" s="39"/>
      <c r="BX536" s="39"/>
      <c r="BY536" s="39"/>
      <c r="BZ536" s="39"/>
      <c r="CA536" s="39"/>
      <c r="CB536" s="39"/>
      <c r="CC536" s="39"/>
      <c r="CD536" s="39"/>
      <c r="CE536" s="39"/>
      <c r="CF536" s="39"/>
      <c r="CG536" s="39"/>
      <c r="CH536" s="39"/>
      <c r="CI536" s="39"/>
      <c r="CJ536" s="39"/>
      <c r="CK536" s="39"/>
      <c r="CL536" s="39"/>
      <c r="CM536" s="39"/>
      <c r="CN536" s="39"/>
      <c r="CO536" s="39"/>
      <c r="CP536" s="39"/>
      <c r="CQ536" s="39"/>
      <c r="CR536" s="39"/>
      <c r="CS536" s="39"/>
      <c r="CT536" s="39"/>
      <c r="CU536" s="39"/>
      <c r="CV536" s="39"/>
      <c r="CW536" s="39"/>
      <c r="CX536" s="39"/>
      <c r="CY536" s="39"/>
      <c r="CZ536" s="39"/>
      <c r="DA536" s="39"/>
      <c r="DB536" s="39"/>
      <c r="DC536" s="39"/>
      <c r="DD536" s="39"/>
      <c r="DE536" s="39"/>
      <c r="DF536" s="39"/>
      <c r="DG536" s="39"/>
      <c r="DH536" s="39"/>
      <c r="DI536" s="39"/>
    </row>
    <row r="537" spans="1:113">
      <c r="A537" s="41"/>
      <c r="C537" s="51" t="str">
        <f>C477</f>
        <v>Agg. US Other</v>
      </c>
      <c r="D537" s="58"/>
      <c r="E537" s="58"/>
      <c r="F537" s="55"/>
      <c r="G537" s="58"/>
      <c r="H537" s="56"/>
      <c r="I537" s="54">
        <f>('US OTHER'!D$25/'US OTHER'!D$33)</f>
        <v>-7.2955071339394966</v>
      </c>
      <c r="J537" s="54">
        <f>('US OTHER'!E$25/'US OTHER'!E$33)</f>
        <v>-8.904956946078352</v>
      </c>
      <c r="K537" s="54">
        <f>('US OTHER'!F$25/'US OTHER'!F$33)</f>
        <v>-9.016765723680523</v>
      </c>
      <c r="L537" s="54">
        <f>('US OTHER'!G$25/'US OTHER'!G$33)</f>
        <v>-10.069741169883414</v>
      </c>
      <c r="M537" s="55">
        <f t="shared" si="124"/>
        <v>-2.7742340359439179</v>
      </c>
      <c r="N537" s="56"/>
      <c r="O537" s="55">
        <f>('US OTHER'!D$24-'US OTHER'!D$25)/'US OTHER'!D$23</f>
        <v>0.14985634458881938</v>
      </c>
      <c r="P537" s="55">
        <f>('US OTHER'!E$24-'US OTHER'!E$25)/'US OTHER'!E$23</f>
        <v>0.13612901389974683</v>
      </c>
      <c r="Q537" s="55">
        <f>('US OTHER'!F$24-'US OTHER'!F$25)/'US OTHER'!F$23</f>
        <v>0.13049267084175895</v>
      </c>
      <c r="R537" s="55">
        <f>('US OTHER'!G$24-'US OTHER'!G$25)/'US OTHER'!G$23</f>
        <v>0.11191751821935698</v>
      </c>
      <c r="S537" s="55">
        <f t="shared" si="125"/>
        <v>-3.79388263694624E-2</v>
      </c>
      <c r="T537" s="56"/>
      <c r="U537" s="51"/>
      <c r="V537" s="58" t="str">
        <f t="shared" si="126"/>
        <v>Agg. US Other</v>
      </c>
      <c r="Z537" s="49"/>
    </row>
    <row r="538" spans="1:113">
      <c r="A538" s="41"/>
      <c r="C538" s="48"/>
      <c r="D538" s="44"/>
      <c r="E538" s="44"/>
      <c r="F538" s="45"/>
      <c r="G538" s="44"/>
      <c r="H538" s="46"/>
      <c r="I538" s="47"/>
      <c r="J538" s="47"/>
      <c r="K538" s="47"/>
      <c r="L538" s="47"/>
      <c r="M538" s="45"/>
      <c r="N538" s="46"/>
      <c r="O538" s="45"/>
      <c r="P538" s="45"/>
      <c r="Q538" s="45"/>
      <c r="R538" s="45"/>
      <c r="S538" s="45"/>
      <c r="T538" s="46"/>
      <c r="U538" s="48"/>
      <c r="V538" s="44"/>
      <c r="Z538" s="49"/>
    </row>
    <row r="539" spans="1:113">
      <c r="C539" s="48"/>
      <c r="D539" s="44"/>
      <c r="E539" s="44"/>
      <c r="F539" s="45"/>
      <c r="G539" s="44"/>
      <c r="H539" s="46"/>
      <c r="I539" s="47"/>
      <c r="J539" s="47"/>
      <c r="K539" s="47"/>
      <c r="L539" s="47"/>
      <c r="M539" s="45"/>
      <c r="N539" s="46"/>
      <c r="O539" s="45"/>
      <c r="P539" s="45"/>
      <c r="Q539" s="45"/>
      <c r="R539" s="45"/>
      <c r="S539" s="45"/>
      <c r="T539" s="46"/>
      <c r="U539" s="48"/>
      <c r="V539" s="44"/>
      <c r="Z539" s="49"/>
      <c r="BF539" s="39"/>
      <c r="BG539" s="39"/>
      <c r="BH539" s="39"/>
      <c r="BI539" s="39"/>
      <c r="BJ539" s="39"/>
      <c r="BK539" s="39"/>
      <c r="BL539" s="39"/>
      <c r="BM539" s="39"/>
      <c r="BN539" s="39"/>
      <c r="BO539" s="39"/>
      <c r="BP539" s="39"/>
      <c r="BQ539" s="39"/>
      <c r="BR539" s="39"/>
      <c r="BS539" s="39"/>
      <c r="BT539" s="39"/>
      <c r="BU539" s="39"/>
      <c r="BV539" s="39"/>
      <c r="BW539" s="39"/>
      <c r="BX539" s="39"/>
      <c r="BY539" s="39"/>
      <c r="BZ539" s="39"/>
      <c r="CA539" s="39"/>
      <c r="CB539" s="39"/>
      <c r="CC539" s="39"/>
      <c r="CD539" s="39"/>
      <c r="CE539" s="39"/>
      <c r="CF539" s="39"/>
      <c r="CG539" s="39"/>
      <c r="CH539" s="39"/>
      <c r="CI539" s="39"/>
      <c r="CJ539" s="39"/>
      <c r="CK539" s="39"/>
      <c r="CL539" s="39"/>
      <c r="CM539" s="39"/>
      <c r="CN539" s="39"/>
      <c r="CO539" s="39"/>
      <c r="CP539" s="39"/>
      <c r="CQ539" s="39"/>
      <c r="CR539" s="39"/>
      <c r="CS539" s="39"/>
      <c r="CT539" s="39"/>
      <c r="CU539" s="39"/>
      <c r="CV539" s="39"/>
      <c r="CW539" s="39"/>
      <c r="CX539" s="39"/>
      <c r="CY539" s="39"/>
      <c r="CZ539" s="39"/>
      <c r="DA539" s="39"/>
      <c r="DB539" s="39"/>
      <c r="DC539" s="39"/>
      <c r="DD539" s="39"/>
      <c r="DE539" s="39"/>
      <c r="DF539" s="39"/>
      <c r="DG539" s="39"/>
      <c r="DH539" s="39"/>
      <c r="DI539" s="39"/>
    </row>
    <row r="540" spans="1:113">
      <c r="C540" s="51" t="str">
        <f>C480</f>
        <v>Agg. W Europe</v>
      </c>
      <c r="D540" s="52"/>
      <c r="E540" s="52"/>
      <c r="F540" s="53"/>
      <c r="G540" s="52"/>
      <c r="H540" s="46"/>
      <c r="I540" s="54">
        <f>'W.EUR AGG'!$D$25/'W.EUR AGG'!$D$33</f>
        <v>2.1295087335092768</v>
      </c>
      <c r="J540" s="54">
        <f>'W.EUR AGG'!$E$25/'W.EUR AGG'!$E$33</f>
        <v>2.4080844179111249</v>
      </c>
      <c r="K540" s="54">
        <f>'W.EUR AGG'!$F$25/'W.EUR AGG'!$F$33</f>
        <v>2.6831302824512071</v>
      </c>
      <c r="L540" s="54">
        <f>'W.EUR AGG'!$G$25/'W.EUR AGG'!$G$33</f>
        <v>2.8911400819773223</v>
      </c>
      <c r="M540" s="55">
        <f>L540-I540</f>
        <v>0.76163134846804548</v>
      </c>
      <c r="N540" s="56"/>
      <c r="O540" s="55">
        <f>('W.EUR AGG'!$D$24-'W.EUR AGG'!$D$25)/'W.EUR AGG'!$D$23</f>
        <v>0.18670970476366289</v>
      </c>
      <c r="P540" s="55">
        <f>('W.EUR AGG'!$E$24-'W.EUR AGG'!$E$25)/'W.EUR AGG'!$E$23</f>
        <v>0.17513971541988235</v>
      </c>
      <c r="Q540" s="55">
        <f>('W.EUR AGG'!$F$24-'W.EUR AGG'!$F$25)/'W.EUR AGG'!$F$23</f>
        <v>0.17190157147848195</v>
      </c>
      <c r="R540" s="55">
        <f>('W.EUR AGG'!$G$24-'W.EUR AGG'!$G$25)/'W.EUR AGG'!$G$23</f>
        <v>0.16514279674863036</v>
      </c>
      <c r="S540" s="55">
        <f>R540-O540</f>
        <v>-2.1566908015032527E-2</v>
      </c>
      <c r="T540" s="46"/>
      <c r="U540" s="57"/>
      <c r="V540" s="58" t="str">
        <f>V480</f>
        <v>Agg. W Europe</v>
      </c>
      <c r="Z540" s="49"/>
      <c r="BF540" s="39"/>
      <c r="BG540" s="39"/>
      <c r="BH540" s="39"/>
      <c r="BI540" s="39"/>
      <c r="BJ540" s="39"/>
      <c r="BK540" s="39"/>
      <c r="BL540" s="39"/>
      <c r="BM540" s="39"/>
      <c r="BN540" s="39"/>
      <c r="BO540" s="39"/>
      <c r="BP540" s="39"/>
      <c r="BQ540" s="39"/>
      <c r="BR540" s="39"/>
      <c r="BS540" s="39"/>
      <c r="BT540" s="39"/>
      <c r="BU540" s="39"/>
      <c r="BV540" s="39"/>
      <c r="BW540" s="39"/>
      <c r="BX540" s="39"/>
      <c r="BY540" s="39"/>
      <c r="BZ540" s="39"/>
      <c r="CA540" s="39"/>
      <c r="CB540" s="39"/>
      <c r="CC540" s="39"/>
      <c r="CD540" s="39"/>
      <c r="CE540" s="39"/>
      <c r="CF540" s="39"/>
      <c r="CG540" s="39"/>
      <c r="CH540" s="39"/>
      <c r="CI540" s="39"/>
      <c r="CJ540" s="39"/>
      <c r="CK540" s="39"/>
      <c r="CL540" s="39"/>
      <c r="CM540" s="39"/>
      <c r="CN540" s="39"/>
      <c r="CO540" s="39"/>
      <c r="CP540" s="39"/>
      <c r="CQ540" s="39"/>
      <c r="CR540" s="39"/>
      <c r="CS540" s="39"/>
      <c r="CT540" s="39"/>
      <c r="CU540" s="39"/>
      <c r="CV540" s="39"/>
      <c r="CW540" s="39"/>
      <c r="CX540" s="39"/>
      <c r="CY540" s="39"/>
      <c r="CZ540" s="39"/>
      <c r="DA540" s="39"/>
      <c r="DB540" s="39"/>
      <c r="DC540" s="39"/>
      <c r="DD540" s="39"/>
      <c r="DE540" s="39"/>
      <c r="DF540" s="39"/>
      <c r="DG540" s="39"/>
      <c r="DH540" s="39"/>
      <c r="DI540" s="39"/>
    </row>
    <row r="541" spans="1:113">
      <c r="C541" s="41" t="s">
        <v>1608</v>
      </c>
      <c r="D541" s="44"/>
      <c r="E541" s="44"/>
      <c r="F541" s="45"/>
      <c r="G541" s="44"/>
      <c r="H541" s="46"/>
      <c r="I541" s="60">
        <f>'US AGG'!D$25/'US AGG'!D$33</f>
        <v>14.088095167166689</v>
      </c>
      <c r="J541" s="60">
        <f>'US AGG'!$E$25/'US AGG'!$E$33</f>
        <v>12.801876092735794</v>
      </c>
      <c r="K541" s="60">
        <f>'US AGG'!F$25/'US AGG'!F$33</f>
        <v>15.768152535760972</v>
      </c>
      <c r="L541" s="60">
        <f>'US AGG'!G$25/'US AGG'!G$33</f>
        <v>19.959504395217206</v>
      </c>
      <c r="M541" s="59">
        <f>L541-I541</f>
        <v>5.871409228050517</v>
      </c>
      <c r="N541" s="56"/>
      <c r="O541" s="59">
        <f>('US AGG'!D$24-'US AGG'!D$25)/'US AGG'!D$23</f>
        <v>0.15412203773637692</v>
      </c>
      <c r="P541" s="59">
        <f>('US AGG'!E$24-'US AGG'!E$25)/'US AGG'!E$23</f>
        <v>0.13952711318814848</v>
      </c>
      <c r="Q541" s="59">
        <f>('US AGG'!F$24-'US AGG'!F$25)/'US AGG'!F$23</f>
        <v>0.13483028898305444</v>
      </c>
      <c r="R541" s="59">
        <f>('US AGG'!G$24-'US AGG'!G$25)/'US AGG'!G$23</f>
        <v>0.12636515570710158</v>
      </c>
      <c r="S541" s="59">
        <f>R541-O541</f>
        <v>-2.7756882029275343E-2</v>
      </c>
      <c r="T541" s="46"/>
      <c r="U541" s="48"/>
      <c r="V541" s="50" t="str">
        <f>V481</f>
        <v>Agg. US</v>
      </c>
      <c r="Z541" s="49"/>
      <c r="BF541" s="39"/>
      <c r="BG541" s="39"/>
      <c r="BH541" s="39"/>
      <c r="BI541" s="39"/>
      <c r="BJ541" s="39"/>
      <c r="BK541" s="39"/>
      <c r="BL541" s="39"/>
      <c r="BM541" s="39"/>
      <c r="BN541" s="39"/>
      <c r="BO541" s="39"/>
      <c r="BP541" s="39"/>
      <c r="BQ541" s="39"/>
      <c r="BR541" s="39"/>
      <c r="BS541" s="39"/>
      <c r="BT541" s="39"/>
      <c r="BU541" s="39"/>
      <c r="BV541" s="39"/>
      <c r="BW541" s="39"/>
      <c r="BX541" s="39"/>
      <c r="BY541" s="39"/>
      <c r="BZ541" s="39"/>
      <c r="CA541" s="39"/>
      <c r="CB541" s="39"/>
      <c r="CC541" s="39"/>
      <c r="CD541" s="39"/>
      <c r="CE541" s="39"/>
      <c r="CF541" s="39"/>
      <c r="CG541" s="39"/>
      <c r="CH541" s="39"/>
      <c r="CI541" s="39"/>
      <c r="CJ541" s="39"/>
      <c r="CK541" s="39"/>
      <c r="CL541" s="39"/>
      <c r="CM541" s="39"/>
      <c r="CN541" s="39"/>
      <c r="CO541" s="39"/>
      <c r="CP541" s="39"/>
      <c r="CQ541" s="39"/>
      <c r="CR541" s="39"/>
      <c r="CS541" s="39"/>
      <c r="CT541" s="39"/>
      <c r="CU541" s="39"/>
      <c r="CV541" s="39"/>
      <c r="CW541" s="39"/>
      <c r="CX541" s="39"/>
      <c r="CY541" s="39"/>
      <c r="CZ541" s="39"/>
      <c r="DA541" s="39"/>
      <c r="DB541" s="39"/>
      <c r="DC541" s="39"/>
      <c r="DD541" s="39"/>
      <c r="DE541" s="39"/>
      <c r="DF541" s="39"/>
      <c r="DG541" s="39"/>
      <c r="DH541" s="39"/>
      <c r="DI541" s="39"/>
    </row>
    <row r="542" spans="1:113">
      <c r="C542" s="67" t="str">
        <f>C482</f>
        <v xml:space="preserve">Agg. Developed Asia </v>
      </c>
      <c r="D542" s="52"/>
      <c r="E542" s="52"/>
      <c r="F542" s="53"/>
      <c r="G542" s="52"/>
      <c r="H542" s="46"/>
      <c r="I542" s="54">
        <f>'AGG DM ASIA'!$D$25/'AGG DM ASIA'!$D$33</f>
        <v>449.61048064521526</v>
      </c>
      <c r="J542" s="54">
        <f>'AGG DM ASIA'!$E$25/'AGG DM ASIA'!$E$33</f>
        <v>31.633992201645089</v>
      </c>
      <c r="K542" s="54">
        <f>'AGG DM ASIA'!$F$25/'AGG DM ASIA'!$F$33</f>
        <v>32.090955105029181</v>
      </c>
      <c r="L542" s="54">
        <f>'AGG DM ASIA'!$G$25/'AGG DM ASIA'!$G$33</f>
        <v>29.006420132334743</v>
      </c>
      <c r="M542" s="55">
        <f>L542-I542</f>
        <v>-420.60406051288049</v>
      </c>
      <c r="N542" s="56"/>
      <c r="O542" s="55">
        <f>('AGG DM ASIA'!$D$24-'AGG DM ASIA'!$D$25)/'AGG DM ASIA'!$D$23</f>
        <v>0.13386605917923589</v>
      </c>
      <c r="P542" s="55">
        <f>('AGG DM ASIA'!$E$24-'AGG DM ASIA'!$E$25)/'AGG DM ASIA'!$E$23</f>
        <v>0.12510980976823935</v>
      </c>
      <c r="Q542" s="55">
        <f>('AGG DM ASIA'!$F$24-'AGG DM ASIA'!$F$25)/'AGG DM ASIA'!$F$23</f>
        <v>0.11768586591349602</v>
      </c>
      <c r="R542" s="55">
        <f>('AGG DM ASIA'!$G$24-'AGG DM ASIA'!$G$25)/'AGG DM ASIA'!$G$23</f>
        <v>0.11698326512213376</v>
      </c>
      <c r="S542" s="55">
        <f>R542-O542</f>
        <v>-1.6882794057102121E-2</v>
      </c>
      <c r="T542" s="46"/>
      <c r="U542" s="57"/>
      <c r="V542" s="58" t="str">
        <f>V482</f>
        <v xml:space="preserve">Agg. Developed Asia </v>
      </c>
      <c r="Z542" s="4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row>
    <row r="543" spans="1:113">
      <c r="C543" s="41"/>
      <c r="D543" s="44"/>
      <c r="E543" s="44"/>
      <c r="F543" s="45"/>
      <c r="G543" s="44"/>
      <c r="H543" s="46"/>
      <c r="I543" s="60"/>
      <c r="J543" s="60"/>
      <c r="K543" s="60"/>
      <c r="L543" s="60"/>
      <c r="M543" s="59"/>
      <c r="N543" s="56"/>
      <c r="O543" s="59"/>
      <c r="P543" s="59"/>
      <c r="Q543" s="59"/>
      <c r="R543" s="59"/>
      <c r="S543" s="59"/>
      <c r="T543" s="46"/>
      <c r="U543" s="48"/>
      <c r="V543" s="50"/>
      <c r="Z543" s="49"/>
      <c r="BF543" s="39"/>
      <c r="BG543" s="39"/>
      <c r="BH543" s="39"/>
      <c r="BI543" s="39"/>
      <c r="BJ543" s="39"/>
      <c r="BK543" s="39"/>
      <c r="BL543" s="39"/>
      <c r="BM543" s="39"/>
      <c r="BN543" s="39"/>
      <c r="BO543" s="39"/>
      <c r="BP543" s="39"/>
      <c r="BQ543" s="39"/>
      <c r="BR543" s="39"/>
      <c r="BS543" s="39"/>
      <c r="BT543" s="39"/>
      <c r="BU543" s="39"/>
      <c r="BV543" s="39"/>
      <c r="BW543" s="39"/>
      <c r="BX543" s="39"/>
      <c r="BY543" s="39"/>
      <c r="BZ543" s="39"/>
      <c r="CA543" s="39"/>
      <c r="CB543" s="39"/>
      <c r="CC543" s="39"/>
      <c r="CD543" s="39"/>
      <c r="CE543" s="39"/>
      <c r="CF543" s="39"/>
      <c r="CG543" s="39"/>
      <c r="CH543" s="39"/>
      <c r="CI543" s="39"/>
      <c r="CJ543" s="39"/>
      <c r="CK543" s="39"/>
      <c r="CL543" s="39"/>
      <c r="CM543" s="39"/>
      <c r="CN543" s="39"/>
      <c r="CO543" s="39"/>
      <c r="CP543" s="39"/>
      <c r="CQ543" s="39"/>
      <c r="CR543" s="39"/>
      <c r="CS543" s="39"/>
      <c r="CT543" s="39"/>
      <c r="CU543" s="39"/>
      <c r="CV543" s="39"/>
      <c r="CW543" s="39"/>
      <c r="CX543" s="39"/>
      <c r="CY543" s="39"/>
      <c r="CZ543" s="39"/>
      <c r="DA543" s="39"/>
      <c r="DB543" s="39"/>
      <c r="DC543" s="39"/>
      <c r="DD543" s="39"/>
      <c r="DE543" s="39"/>
      <c r="DF543" s="39"/>
      <c r="DG543" s="39"/>
      <c r="DH543" s="39"/>
      <c r="DI543" s="39"/>
    </row>
    <row r="544" spans="1:113">
      <c r="C544" s="67" t="str">
        <f>C484</f>
        <v>Agg. Global Developed</v>
      </c>
      <c r="D544" s="52"/>
      <c r="E544" s="52"/>
      <c r="F544" s="53"/>
      <c r="G544" s="52"/>
      <c r="H544" s="46"/>
      <c r="I544" s="54">
        <f>'AGG DM'!$D$25/'AGG DM'!$D$33</f>
        <v>5.5904120433475795</v>
      </c>
      <c r="J544" s="54">
        <f>'AGG DM'!$E$25/'AGG DM'!$E$33</f>
        <v>5.9129734345441252</v>
      </c>
      <c r="K544" s="54">
        <f>'AGG DM'!$F$25/'AGG DM'!$F$33</f>
        <v>6.7524821740751548</v>
      </c>
      <c r="L544" s="54">
        <f>'AGG DM'!$G$25/'AGG DM'!$G$33</f>
        <v>7.4437237017191231</v>
      </c>
      <c r="M544" s="55">
        <f>L544-I544</f>
        <v>1.8533116583715437</v>
      </c>
      <c r="N544" s="56"/>
      <c r="O544" s="55">
        <f>('AGG DM'!$D$24-'AGG DM'!$D$25)/'AGG DM'!$D$23</f>
        <v>0.16060869261248181</v>
      </c>
      <c r="P544" s="55">
        <f>('AGG DM'!$E$24-'AGG DM'!$E$25)/'AGG DM'!$E$23</f>
        <v>0.14824282357144819</v>
      </c>
      <c r="Q544" s="55">
        <f>('AGG DM'!$F$24-'AGG DM'!$F$25)/'AGG DM'!$F$23</f>
        <v>0.14333659943470631</v>
      </c>
      <c r="R544" s="55">
        <f>('AGG DM'!$G$24-'AGG DM'!$G$25)/'AGG DM'!$G$23</f>
        <v>0.13687816737541481</v>
      </c>
      <c r="S544" s="55">
        <f>R544-O544</f>
        <v>-2.3730525237067007E-2</v>
      </c>
      <c r="T544" s="46"/>
      <c r="U544" s="57"/>
      <c r="V544" s="58" t="str">
        <f>V484</f>
        <v xml:space="preserve">Agg. Global Developed </v>
      </c>
      <c r="Z544" s="49"/>
      <c r="BF544" s="39"/>
      <c r="BG544" s="39"/>
      <c r="BH544" s="39"/>
      <c r="BI544" s="39"/>
      <c r="BJ544" s="39"/>
      <c r="BK544" s="39"/>
      <c r="BL544" s="39"/>
      <c r="BM544" s="39"/>
      <c r="BN544" s="39"/>
      <c r="BO544" s="39"/>
      <c r="BP544" s="39"/>
      <c r="BQ544" s="39"/>
      <c r="BR544" s="39"/>
      <c r="BS544" s="39"/>
      <c r="BT544" s="39"/>
      <c r="BU544" s="39"/>
      <c r="BV544" s="39"/>
      <c r="BW544" s="39"/>
      <c r="BX544" s="39"/>
      <c r="BY544" s="39"/>
      <c r="BZ544" s="39"/>
      <c r="CA544" s="39"/>
      <c r="CB544" s="39"/>
      <c r="CC544" s="39"/>
      <c r="CD544" s="39"/>
      <c r="CE544" s="39"/>
      <c r="CF544" s="39"/>
      <c r="CG544" s="39"/>
      <c r="CH544" s="39"/>
      <c r="CI544" s="39"/>
      <c r="CJ544" s="39"/>
      <c r="CK544" s="39"/>
      <c r="CL544" s="39"/>
      <c r="CM544" s="39"/>
      <c r="CN544" s="39"/>
      <c r="CO544" s="39"/>
      <c r="CP544" s="39"/>
      <c r="CQ544" s="39"/>
      <c r="CR544" s="39"/>
      <c r="CS544" s="39"/>
      <c r="CT544" s="39"/>
      <c r="CU544" s="39"/>
      <c r="CV544" s="39"/>
      <c r="CW544" s="39"/>
      <c r="CX544" s="39"/>
      <c r="CY544" s="39"/>
      <c r="CZ544" s="39"/>
      <c r="DA544" s="39"/>
      <c r="DB544" s="39"/>
      <c r="DC544" s="39"/>
      <c r="DD544" s="39"/>
      <c r="DE544" s="39"/>
      <c r="DF544" s="39"/>
      <c r="DG544" s="39"/>
      <c r="DH544" s="39"/>
      <c r="DI544" s="39"/>
    </row>
    <row r="545" spans="1:113">
      <c r="C545" s="43"/>
      <c r="D545" s="44"/>
      <c r="E545" s="44"/>
      <c r="F545" s="45"/>
      <c r="G545" s="44"/>
      <c r="H545" s="134"/>
      <c r="I545" s="47"/>
      <c r="J545" s="47"/>
      <c r="K545" s="47"/>
      <c r="L545" s="47"/>
      <c r="M545" s="47"/>
      <c r="N545" s="46"/>
      <c r="O545" s="47"/>
      <c r="P545" s="47"/>
      <c r="Q545" s="47"/>
      <c r="R545" s="47"/>
      <c r="S545" s="47"/>
      <c r="T545" s="46"/>
      <c r="U545" s="48"/>
      <c r="V545" s="50"/>
      <c r="Z545" s="49"/>
      <c r="BF545" s="39"/>
      <c r="BG545" s="39"/>
      <c r="BH545" s="39"/>
      <c r="BI545" s="39"/>
      <c r="BJ545" s="39"/>
      <c r="BK545" s="39"/>
      <c r="BL545" s="39"/>
      <c r="BM545" s="39"/>
      <c r="BN545" s="39"/>
      <c r="BO545" s="39"/>
      <c r="BP545" s="39"/>
      <c r="BQ545" s="39"/>
      <c r="BR545" s="39"/>
      <c r="BS545" s="39"/>
      <c r="BT545" s="39"/>
      <c r="BU545" s="39"/>
      <c r="BV545" s="39"/>
      <c r="BW545" s="39"/>
      <c r="BX545" s="39"/>
      <c r="BY545" s="39"/>
      <c r="BZ545" s="39"/>
      <c r="CA545" s="39"/>
      <c r="CB545" s="39"/>
      <c r="CC545" s="39"/>
      <c r="CD545" s="39"/>
      <c r="CE545" s="39"/>
      <c r="CF545" s="39"/>
      <c r="CG545" s="39"/>
      <c r="CH545" s="39"/>
      <c r="CI545" s="39"/>
      <c r="CJ545" s="39"/>
      <c r="CK545" s="39"/>
      <c r="CL545" s="39"/>
      <c r="CM545" s="39"/>
      <c r="CN545" s="39"/>
      <c r="CO545" s="39"/>
      <c r="CP545" s="39"/>
      <c r="CQ545" s="39"/>
      <c r="CR545" s="39"/>
      <c r="CS545" s="39"/>
      <c r="CT545" s="39"/>
      <c r="CU545" s="39"/>
      <c r="CV545" s="39"/>
      <c r="CW545" s="39"/>
      <c r="CX545" s="39"/>
      <c r="CY545" s="39"/>
      <c r="CZ545" s="39"/>
      <c r="DA545" s="39"/>
      <c r="DB545" s="39"/>
      <c r="DC545" s="39"/>
      <c r="DD545" s="39"/>
      <c r="DE545" s="39"/>
      <c r="DF545" s="39"/>
      <c r="DG545" s="39"/>
      <c r="DH545" s="39"/>
      <c r="DI545" s="39"/>
    </row>
    <row r="546" spans="1:113">
      <c r="C546" s="43"/>
      <c r="D546" s="44"/>
      <c r="E546" s="44"/>
      <c r="F546" s="45"/>
      <c r="G546" s="44"/>
      <c r="H546" s="134"/>
      <c r="I546" s="47"/>
      <c r="J546" s="47"/>
      <c r="K546" s="47"/>
      <c r="L546" s="47"/>
      <c r="M546" s="47"/>
      <c r="N546" s="46"/>
      <c r="O546" s="47"/>
      <c r="P546" s="47"/>
      <c r="Q546" s="47"/>
      <c r="R546" s="47"/>
      <c r="S546" s="47"/>
      <c r="T546" s="46"/>
      <c r="U546" s="48"/>
      <c r="V546" s="50"/>
      <c r="Z546" s="49"/>
      <c r="BF546" s="39"/>
      <c r="BG546" s="39"/>
      <c r="BH546" s="39"/>
      <c r="BI546" s="39"/>
      <c r="BJ546" s="39"/>
      <c r="BK546" s="39"/>
      <c r="BL546" s="39"/>
      <c r="BM546" s="39"/>
      <c r="BN546" s="39"/>
      <c r="BO546" s="39"/>
      <c r="BP546" s="39"/>
      <c r="BQ546" s="39"/>
      <c r="BR546" s="39"/>
      <c r="BS546" s="39"/>
      <c r="BT546" s="39"/>
      <c r="BU546" s="39"/>
      <c r="BV546" s="39"/>
      <c r="BW546" s="39"/>
      <c r="BX546" s="39"/>
      <c r="BY546" s="39"/>
      <c r="BZ546" s="39"/>
      <c r="CA546" s="39"/>
      <c r="CB546" s="39"/>
      <c r="CC546" s="39"/>
      <c r="CD546" s="39"/>
      <c r="CE546" s="39"/>
      <c r="CF546" s="39"/>
      <c r="CG546" s="39"/>
      <c r="CH546" s="39"/>
      <c r="CI546" s="39"/>
      <c r="CJ546" s="39"/>
      <c r="CK546" s="39"/>
      <c r="CL546" s="39"/>
      <c r="CM546" s="39"/>
      <c r="CN546" s="39"/>
      <c r="CO546" s="39"/>
      <c r="CP546" s="39"/>
      <c r="CQ546" s="39"/>
      <c r="CR546" s="39"/>
      <c r="CS546" s="39"/>
      <c r="CT546" s="39"/>
      <c r="CU546" s="39"/>
      <c r="CV546" s="39"/>
      <c r="CW546" s="39"/>
      <c r="CX546" s="39"/>
      <c r="CY546" s="39"/>
      <c r="CZ546" s="39"/>
      <c r="DA546" s="39"/>
      <c r="DB546" s="39"/>
      <c r="DC546" s="39"/>
      <c r="DD546" s="39"/>
      <c r="DE546" s="39"/>
      <c r="DF546" s="39"/>
      <c r="DG546" s="39"/>
      <c r="DH546" s="39"/>
      <c r="DI546" s="39"/>
    </row>
    <row r="547" spans="1:113" s="41" customFormat="1">
      <c r="B547" s="147"/>
      <c r="C547" s="164"/>
      <c r="D547" s="165" t="s">
        <v>459</v>
      </c>
      <c r="E547" s="165" t="s">
        <v>56</v>
      </c>
      <c r="F547" s="165" t="s">
        <v>58</v>
      </c>
      <c r="G547" s="165" t="s">
        <v>55</v>
      </c>
      <c r="H547" s="49"/>
      <c r="I547" s="166" t="s">
        <v>628</v>
      </c>
      <c r="J547" s="166"/>
      <c r="K547" s="166"/>
      <c r="L547" s="166"/>
      <c r="M547" s="166"/>
      <c r="O547" s="166" t="s">
        <v>620</v>
      </c>
      <c r="P547" s="166"/>
      <c r="Q547" s="166"/>
      <c r="R547" s="166"/>
      <c r="S547" s="166"/>
      <c r="T547" s="49"/>
      <c r="U547" s="167" t="s">
        <v>459</v>
      </c>
      <c r="V547" s="165"/>
      <c r="Z547" s="49"/>
      <c r="AC547" s="135"/>
      <c r="AD547" s="136"/>
      <c r="AE547" s="136"/>
      <c r="AF547" s="136"/>
      <c r="AG547" s="136"/>
      <c r="AH547" s="136"/>
      <c r="AI547" s="136"/>
      <c r="AJ547" s="136"/>
      <c r="AK547" s="136"/>
      <c r="AL547" s="136"/>
      <c r="AM547" s="136"/>
      <c r="AN547" s="136"/>
      <c r="AO547" s="136"/>
      <c r="AP547" s="136"/>
      <c r="AQ547" s="136"/>
      <c r="AR547" s="136"/>
      <c r="AS547" s="136"/>
      <c r="AT547" s="136"/>
      <c r="AU547" s="136"/>
      <c r="AV547" s="136"/>
      <c r="AW547" s="136"/>
      <c r="BC547" s="137"/>
      <c r="BD547" s="137"/>
      <c r="BE547" s="137"/>
      <c r="BG547" s="137"/>
      <c r="BH547" s="137"/>
      <c r="BI547" s="137"/>
      <c r="BK547" s="137"/>
      <c r="BL547" s="137"/>
      <c r="BM547" s="137"/>
      <c r="BO547" s="137"/>
      <c r="BP547" s="137"/>
      <c r="BQ547" s="137"/>
    </row>
    <row r="548" spans="1:113">
      <c r="A548" s="41" t="s">
        <v>501</v>
      </c>
      <c r="C548" s="48" t="s">
        <v>182</v>
      </c>
      <c r="D548" s="44" t="str">
        <f t="shared" ref="D548:G558" si="127">D488</f>
        <v>GBP1.44</v>
      </c>
      <c r="E548" s="44" t="str">
        <f t="shared" si="127"/>
        <v>GBP2.30</v>
      </c>
      <c r="F548" s="45">
        <f t="shared" si="127"/>
        <v>0.59777700590482818</v>
      </c>
      <c r="G548" s="44" t="str">
        <f t="shared" si="127"/>
        <v>Buy</v>
      </c>
      <c r="H548" s="46"/>
      <c r="I548" s="45">
        <f>BT!$D$31/BT!$D$29</f>
        <v>0.6609586984504412</v>
      </c>
      <c r="J548" s="45">
        <f>BT!$E$31/BT!$E$29</f>
        <v>0.75092461640495889</v>
      </c>
      <c r="K548" s="45">
        <f>BT!$F$31/BT!$F$29</f>
        <v>0.77120440509705668</v>
      </c>
      <c r="L548" s="45">
        <f>BT!$G$31/BT!$G$29</f>
        <v>0.71479041018892409</v>
      </c>
      <c r="M548" s="45">
        <f t="shared" ref="M548:M559" si="128">L548-I548</f>
        <v>5.383171173848289E-2</v>
      </c>
      <c r="N548" s="46"/>
      <c r="O548" s="45">
        <f>BT!$D$31/BT!$D$30</f>
        <v>0.45162687639448418</v>
      </c>
      <c r="P548" s="45">
        <f>BT!$E$31/BT!$E$30</f>
        <v>0.54046775516772472</v>
      </c>
      <c r="Q548" s="45">
        <f>BT!$F$31/BT!$F$30</f>
        <v>0.57482722015735832</v>
      </c>
      <c r="R548" s="45">
        <f>BT!$G$31/BT!$G$30</f>
        <v>0.6590281964520629</v>
      </c>
      <c r="S548" s="45">
        <f>R548-O548</f>
        <v>0.20740132005757872</v>
      </c>
      <c r="T548" s="46"/>
      <c r="U548" s="48" t="str">
        <f t="shared" ref="U548:V552" si="129">U488</f>
        <v>GBP1.44</v>
      </c>
      <c r="V548" s="69" t="str">
        <f t="shared" si="129"/>
        <v>British Telecom</v>
      </c>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row>
    <row r="549" spans="1:113">
      <c r="A549" s="41"/>
      <c r="C549" s="48" t="s">
        <v>183</v>
      </c>
      <c r="D549" s="44" t="str">
        <f t="shared" si="127"/>
        <v>EUR 26.13</v>
      </c>
      <c r="E549" s="44" t="str">
        <f t="shared" si="127"/>
        <v>EUR 33.00</v>
      </c>
      <c r="F549" s="45">
        <f t="shared" si="127"/>
        <v>0.26291618828932273</v>
      </c>
      <c r="G549" s="44" t="str">
        <f t="shared" si="127"/>
        <v>Buy</v>
      </c>
      <c r="H549" s="46"/>
      <c r="I549" s="45">
        <f>DT!$D$31/DT!$D$29</f>
        <v>0.44152632185396423</v>
      </c>
      <c r="J549" s="45">
        <f>DT!$E$31/DT!$E$29</f>
        <v>0.39242154908955412</v>
      </c>
      <c r="K549" s="45">
        <f>DT!$F$31/DT!$F$29</f>
        <v>0.41532275910057009</v>
      </c>
      <c r="L549" s="45">
        <f>DT!$G$31/DT!$G$29</f>
        <v>0.42268378203167312</v>
      </c>
      <c r="M549" s="45">
        <f t="shared" si="128"/>
        <v>-1.8842539822291116E-2</v>
      </c>
      <c r="N549" s="46"/>
      <c r="O549" s="45">
        <f>DT!$D$31/DT!$D$30</f>
        <v>0.48357347984886651</v>
      </c>
      <c r="P549" s="45">
        <f>DT!$E$31/DT!$E$30</f>
        <v>0.47116723257344739</v>
      </c>
      <c r="Q549" s="45">
        <f>DT!$F$31/DT!$F$30</f>
        <v>0.47507396212394348</v>
      </c>
      <c r="R549" s="45">
        <f>DT!$G$31/DT!$G$30</f>
        <v>0.47568696041046132</v>
      </c>
      <c r="S549" s="45">
        <f>R549-O549</f>
        <v>-7.8865194384051818E-3</v>
      </c>
      <c r="T549" s="46"/>
      <c r="U549" s="48" t="str">
        <f t="shared" si="129"/>
        <v>EUR 26.13</v>
      </c>
      <c r="V549" s="69" t="str">
        <f t="shared" si="129"/>
        <v>Deutsche Telekom</v>
      </c>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c r="BZ549" s="39"/>
      <c r="CA549" s="39"/>
      <c r="CB549" s="39"/>
      <c r="CC549" s="39"/>
      <c r="CD549" s="39"/>
      <c r="CE549" s="39"/>
      <c r="CF549" s="39"/>
      <c r="CG549" s="39"/>
      <c r="CH549" s="39"/>
      <c r="CI549" s="39"/>
      <c r="CJ549" s="39"/>
      <c r="CK549" s="39"/>
      <c r="CL549" s="39"/>
      <c r="CM549" s="39"/>
      <c r="CN549" s="39"/>
      <c r="CO549" s="39"/>
      <c r="CP549" s="39"/>
      <c r="CQ549" s="39"/>
      <c r="CR549" s="39"/>
      <c r="CS549" s="39"/>
      <c r="CT549" s="39"/>
      <c r="CU549" s="39"/>
      <c r="CV549" s="39"/>
      <c r="CW549" s="39"/>
      <c r="CX549" s="39"/>
      <c r="CY549" s="39"/>
      <c r="CZ549" s="39"/>
      <c r="DA549" s="39"/>
      <c r="DB549" s="39"/>
      <c r="DC549" s="39"/>
      <c r="DD549" s="39"/>
      <c r="DE549" s="39"/>
      <c r="DF549" s="39"/>
      <c r="DG549" s="39"/>
      <c r="DH549" s="39"/>
      <c r="DI549" s="39"/>
    </row>
    <row r="550" spans="1:113">
      <c r="A550" s="41"/>
      <c r="C550" s="48" t="s">
        <v>453</v>
      </c>
      <c r="D550" s="44" t="str">
        <f t="shared" si="127"/>
        <v>EUR 3.75</v>
      </c>
      <c r="E550" s="44" t="str">
        <f t="shared" si="127"/>
        <v>EUR 3.80</v>
      </c>
      <c r="F550" s="45">
        <f t="shared" si="127"/>
        <v>1.4415376401494928E-2</v>
      </c>
      <c r="G550" s="44" t="str">
        <f t="shared" si="127"/>
        <v>Neutral</v>
      </c>
      <c r="H550" s="46"/>
      <c r="I550" s="45">
        <f>KPN!$D$31/KPN!$D$29</f>
        <v>0.83417648679646006</v>
      </c>
      <c r="J550" s="45">
        <f>KPN!$E$31/KPN!$E$29</f>
        <v>0.75070914684201662</v>
      </c>
      <c r="K550" s="45">
        <f>KPN!$F$31/KPN!$F$29</f>
        <v>0.76201568659989372</v>
      </c>
      <c r="L550" s="45">
        <f>KPN!$G$31/KPN!$G$29</f>
        <v>0.79769101577629153</v>
      </c>
      <c r="M550" s="45">
        <f t="shared" si="128"/>
        <v>-3.6485471020168525E-2</v>
      </c>
      <c r="N550" s="46"/>
      <c r="O550" s="45" t="s">
        <v>602</v>
      </c>
      <c r="P550" s="45">
        <f>KPN!$E$31/KPN!$E$30</f>
        <v>1.2180290569164614</v>
      </c>
      <c r="Q550" s="45">
        <f>KPN!$F$31/KPN!$F$30</f>
        <v>1.1660777898930534</v>
      </c>
      <c r="R550" s="45">
        <f>KPN!$G$31/KPN!$G$30</f>
        <v>1.1473222009669943</v>
      </c>
      <c r="S550" s="45" t="s">
        <v>602</v>
      </c>
      <c r="T550" s="46"/>
      <c r="U550" s="48" t="str">
        <f t="shared" si="129"/>
        <v>EUR 3.75</v>
      </c>
      <c r="V550" s="69" t="str">
        <f t="shared" si="129"/>
        <v>KPN</v>
      </c>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c r="CR550" s="39"/>
      <c r="CS550" s="39"/>
      <c r="CT550" s="39"/>
      <c r="CU550" s="39"/>
      <c r="CV550" s="39"/>
      <c r="CW550" s="39"/>
      <c r="CX550" s="39"/>
      <c r="CY550" s="39"/>
      <c r="CZ550" s="39"/>
      <c r="DA550" s="39"/>
      <c r="DB550" s="39"/>
      <c r="DC550" s="39"/>
      <c r="DD550" s="39"/>
      <c r="DE550" s="39"/>
      <c r="DF550" s="39"/>
      <c r="DG550" s="39"/>
      <c r="DH550" s="39"/>
      <c r="DI550" s="39"/>
    </row>
    <row r="551" spans="1:113">
      <c r="A551" s="41"/>
      <c r="C551" s="48" t="s">
        <v>722</v>
      </c>
      <c r="D551" s="44" t="str">
        <f t="shared" si="127"/>
        <v>EUR 10.72</v>
      </c>
      <c r="E551" s="44" t="str">
        <f t="shared" si="127"/>
        <v>EUR 14.00</v>
      </c>
      <c r="F551" s="45">
        <f t="shared" si="127"/>
        <v>0.30597014925373123</v>
      </c>
      <c r="G551" s="44" t="str">
        <f t="shared" si="127"/>
        <v>Buy</v>
      </c>
      <c r="H551" s="46"/>
      <c r="I551" s="45">
        <f>ORA!$D$31/ORA!$D$29</f>
        <v>0.86277397877582995</v>
      </c>
      <c r="J551" s="45">
        <f>ORA!$E$31/ORA!$E$29</f>
        <v>1.3382196662895602</v>
      </c>
      <c r="K551" s="45">
        <f>ORA!$F$31/ORA!$F$29</f>
        <v>1.1039476009525604</v>
      </c>
      <c r="L551" s="45">
        <f>ORA!$G$31/ORA!$G$29</f>
        <v>0.92064768090208071</v>
      </c>
      <c r="M551" s="45">
        <f t="shared" si="128"/>
        <v>5.7873702126250759E-2</v>
      </c>
      <c r="N551" s="46"/>
      <c r="O551" s="45">
        <f>ORA!$D$31/ORA!$D$30</f>
        <v>0.53267989461372334</v>
      </c>
      <c r="P551" s="45">
        <f>ORA!$E$31/ORA!$E$30</f>
        <v>0.74329096947276585</v>
      </c>
      <c r="Q551" s="45">
        <f>ORA!$F$31/ORA!$F$30</f>
        <v>0.57798441301330483</v>
      </c>
      <c r="R551" s="45">
        <f>ORA!$G$31/ORA!$G$30</f>
        <v>0.56761202999415628</v>
      </c>
      <c r="S551" s="45">
        <f t="shared" ref="S551:S559" si="130">R551-O551</f>
        <v>3.4932135380432938E-2</v>
      </c>
      <c r="T551" s="46"/>
      <c r="U551" s="48" t="str">
        <f t="shared" si="129"/>
        <v>EUR 10.72</v>
      </c>
      <c r="V551" s="69" t="str">
        <f t="shared" si="129"/>
        <v>Orange</v>
      </c>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c r="CR551" s="39"/>
      <c r="CS551" s="39"/>
      <c r="CT551" s="39"/>
      <c r="CU551" s="39"/>
      <c r="CV551" s="39"/>
      <c r="CW551" s="39"/>
      <c r="CX551" s="39"/>
      <c r="CY551" s="39"/>
      <c r="CZ551" s="39"/>
      <c r="DA551" s="39"/>
      <c r="DB551" s="39"/>
      <c r="DC551" s="39"/>
      <c r="DD551" s="39"/>
      <c r="DE551" s="39"/>
      <c r="DF551" s="39"/>
      <c r="DG551" s="39"/>
      <c r="DH551" s="39"/>
      <c r="DI551" s="39"/>
    </row>
    <row r="552" spans="1:113">
      <c r="A552" s="41"/>
      <c r="C552" s="48" t="s">
        <v>454</v>
      </c>
      <c r="D552" s="44" t="str">
        <f t="shared" si="127"/>
        <v>EUR 15.08</v>
      </c>
      <c r="E552" s="44" t="str">
        <f t="shared" si="127"/>
        <v>EUR 18.50</v>
      </c>
      <c r="F552" s="45">
        <f t="shared" si="127"/>
        <v>0.22679045092838201</v>
      </c>
      <c r="G552" s="44" t="str">
        <f t="shared" si="127"/>
        <v>Buy</v>
      </c>
      <c r="H552" s="46"/>
      <c r="I552" s="45">
        <f>OTE!$D$31/OTE!$D$29</f>
        <v>0.56044385256081508</v>
      </c>
      <c r="J552" s="45">
        <f>OTE!$E$31/OTE!$E$29</f>
        <v>0.54285993624546702</v>
      </c>
      <c r="K552" s="45">
        <f>OTE!$F$31/OTE!$F$29</f>
        <v>0.53484012689455729</v>
      </c>
      <c r="L552" s="45">
        <f>OTE!$G$31/OTE!$G$29</f>
        <v>0.53716268590414917</v>
      </c>
      <c r="M552" s="45">
        <f t="shared" si="128"/>
        <v>-2.3281166656665908E-2</v>
      </c>
      <c r="N552" s="46"/>
      <c r="O552" s="45">
        <f>OTE!$D$31/OTE!$D$30</f>
        <v>0.61014278696301616</v>
      </c>
      <c r="P552" s="45">
        <f>OTE!$E$31/OTE!$E$30</f>
        <v>0.59181008096591992</v>
      </c>
      <c r="Q552" s="45">
        <f>OTE!$F$31/OTE!$F$30</f>
        <v>0.56626807095819154</v>
      </c>
      <c r="R552" s="45">
        <f>OTE!$G$31/OTE!$G$30</f>
        <v>0.56147224654486072</v>
      </c>
      <c r="S552" s="45">
        <f t="shared" si="130"/>
        <v>-4.8670540418155439E-2</v>
      </c>
      <c r="T552" s="46"/>
      <c r="U552" s="48" t="str">
        <f t="shared" si="129"/>
        <v>EUR 15.08</v>
      </c>
      <c r="V552" s="69" t="str">
        <f t="shared" si="129"/>
        <v>OTE</v>
      </c>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c r="BZ552" s="39"/>
      <c r="CA552" s="39"/>
      <c r="CB552" s="39"/>
      <c r="CC552" s="39"/>
      <c r="CD552" s="39"/>
      <c r="CE552" s="39"/>
      <c r="CF552" s="39"/>
      <c r="CG552" s="39"/>
      <c r="CH552" s="39"/>
      <c r="CI552" s="39"/>
      <c r="CJ552" s="39"/>
      <c r="CK552" s="39"/>
      <c r="CL552" s="39"/>
      <c r="CM552" s="39"/>
      <c r="CN552" s="39"/>
      <c r="CO552" s="39"/>
      <c r="CP552" s="39"/>
      <c r="CQ552" s="39"/>
      <c r="CR552" s="39"/>
      <c r="CS552" s="39"/>
      <c r="CT552" s="39"/>
      <c r="CU552" s="39"/>
      <c r="CV552" s="39"/>
      <c r="CW552" s="39"/>
      <c r="CX552" s="39"/>
      <c r="CY552" s="39"/>
      <c r="CZ552" s="39"/>
      <c r="DA552" s="39"/>
      <c r="DB552" s="39"/>
      <c r="DC552" s="39"/>
      <c r="DD552" s="39"/>
      <c r="DE552" s="39"/>
      <c r="DF552" s="39"/>
      <c r="DG552" s="39"/>
      <c r="DH552" s="39"/>
      <c r="DI552" s="39"/>
    </row>
    <row r="553" spans="1:113">
      <c r="A553" s="41"/>
      <c r="C553" s="48" t="s">
        <v>809</v>
      </c>
      <c r="D553" s="44" t="str">
        <f t="shared" si="127"/>
        <v>EUR 6.8</v>
      </c>
      <c r="E553" s="44" t="str">
        <f t="shared" si="127"/>
        <v>EUR 9.5</v>
      </c>
      <c r="F553" s="45">
        <f t="shared" si="127"/>
        <v>0.39296187683284445</v>
      </c>
      <c r="G553" s="44" t="str">
        <f t="shared" si="127"/>
        <v>Neutral</v>
      </c>
      <c r="H553" s="46"/>
      <c r="I553" s="45">
        <f>PROX!$D$31/PROX!$D$29</f>
        <v>5.7327576775933871</v>
      </c>
      <c r="J553" s="45">
        <f>PROX!$E$31/PROX!$E$29</f>
        <v>2.9536538636547558</v>
      </c>
      <c r="K553" s="45">
        <f>PROX!$F$31/PROX!$F$29</f>
        <v>1.1673312184171345</v>
      </c>
      <c r="L553" s="45">
        <f>PROX!$G$31/PROX!$G$29</f>
        <v>1.1778760851052601</v>
      </c>
      <c r="M553" s="45">
        <f t="shared" si="128"/>
        <v>-4.554881592488127</v>
      </c>
      <c r="N553" s="46"/>
      <c r="O553" s="45">
        <f>PROX!$D$31/PROX!$D$30</f>
        <v>0.91965606855365234</v>
      </c>
      <c r="P553" s="45">
        <f>PROX!$E$31/PROX!$E$30</f>
        <v>1.0703406954711434</v>
      </c>
      <c r="Q553" s="45">
        <f>PROX!$F$31/PROX!$F$30</f>
        <v>1.0946728776659218</v>
      </c>
      <c r="R553" s="45">
        <f>PROX!$G$31/PROX!$G$30</f>
        <v>1.7586264642245473</v>
      </c>
      <c r="S553" s="45">
        <f t="shared" si="130"/>
        <v>0.83897039567089493</v>
      </c>
      <c r="T553" s="46"/>
      <c r="U553" s="48" t="str">
        <f t="shared" ref="U553:U558" si="131">U493</f>
        <v>EUR 6.8</v>
      </c>
      <c r="V553" s="69" t="s">
        <v>809</v>
      </c>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row>
    <row r="554" spans="1:113">
      <c r="C554" s="48" t="s">
        <v>458</v>
      </c>
      <c r="D554" s="44" t="str">
        <f t="shared" si="127"/>
        <v>CHF549</v>
      </c>
      <c r="E554" s="44" t="str">
        <f t="shared" si="127"/>
        <v>CHF600</v>
      </c>
      <c r="F554" s="45">
        <f t="shared" si="127"/>
        <v>9.2896174863388081E-2</v>
      </c>
      <c r="G554" s="44" t="str">
        <f t="shared" si="127"/>
        <v>Neutral</v>
      </c>
      <c r="H554" s="46"/>
      <c r="I554" s="45">
        <f>SWISS!$D$31/SWISS!$D$29</f>
        <v>0.72804320878957174</v>
      </c>
      <c r="J554" s="45">
        <f>SWISS!$E$31/SWISS!$E$29</f>
        <v>0.77110859873836324</v>
      </c>
      <c r="K554" s="45">
        <f>SWISS!$F$31/SWISS!$F$29</f>
        <v>0.72384910138801861</v>
      </c>
      <c r="L554" s="45">
        <f>SWISS!$G$31/SWISS!$G$29</f>
        <v>0.7251491932298908</v>
      </c>
      <c r="M554" s="45">
        <f t="shared" si="128"/>
        <v>-2.8940155596809403E-3</v>
      </c>
      <c r="N554" s="46"/>
      <c r="O554" s="45">
        <f>SWISS!$D$31/SWISS!$D$30</f>
        <v>0.65823806704637811</v>
      </c>
      <c r="P554" s="45">
        <f>SWISS!$E$31/SWISS!$E$30</f>
        <v>0.68244740149649474</v>
      </c>
      <c r="Q554" s="45">
        <f>SWISS!$F$31/SWISS!$F$30</f>
        <v>0.52009224885988625</v>
      </c>
      <c r="R554" s="45">
        <f>SWISS!$G$31/SWISS!$G$30</f>
        <v>0.55468021819079882</v>
      </c>
      <c r="S554" s="45">
        <f t="shared" si="130"/>
        <v>-0.10355784885557928</v>
      </c>
      <c r="T554" s="46"/>
      <c r="U554" s="48" t="str">
        <f t="shared" si="131"/>
        <v>CHF549</v>
      </c>
      <c r="V554" s="69" t="str">
        <f t="shared" ref="V554:V559" si="132">V494</f>
        <v>Swisscom</v>
      </c>
    </row>
    <row r="555" spans="1:113">
      <c r="A555" s="41"/>
      <c r="C555" s="48" t="s">
        <v>265</v>
      </c>
      <c r="D555" s="44" t="str">
        <f t="shared" si="127"/>
        <v>EUR 0.24</v>
      </c>
      <c r="E555" s="44" t="str">
        <f t="shared" si="127"/>
        <v>EUR 0.34</v>
      </c>
      <c r="F555" s="45">
        <f t="shared" si="127"/>
        <v>0.44006776789495983</v>
      </c>
      <c r="G555" s="44" t="str">
        <f t="shared" si="127"/>
        <v>Buy</v>
      </c>
      <c r="H555" s="46"/>
      <c r="I555" s="45">
        <f>TI!$D$31/TI!$D$29</f>
        <v>0</v>
      </c>
      <c r="J555" s="45">
        <f>TI!$E$31/TI!$E$29</f>
        <v>0</v>
      </c>
      <c r="K555" s="45">
        <f>TI!$F$31/TI!$F$29</f>
        <v>0</v>
      </c>
      <c r="L555" s="45">
        <f>TI!$G$31/TI!$G$29</f>
        <v>0</v>
      </c>
      <c r="M555" s="45">
        <f t="shared" si="128"/>
        <v>0</v>
      </c>
      <c r="N555" s="46"/>
      <c r="O555" s="45">
        <f>TI!$D$31/TI!$D$30</f>
        <v>0</v>
      </c>
      <c r="P555" s="45">
        <f>TI!$E$31/TI!$E$30</f>
        <v>0</v>
      </c>
      <c r="Q555" s="45">
        <f>TI!$F$31/TI!$F$30</f>
        <v>0</v>
      </c>
      <c r="R555" s="45">
        <f>TI!$G$31/TI!$G$30</f>
        <v>0</v>
      </c>
      <c r="S555" s="45">
        <f t="shared" si="130"/>
        <v>0</v>
      </c>
      <c r="T555" s="46"/>
      <c r="U555" s="48" t="str">
        <f t="shared" si="131"/>
        <v>EUR 0.24</v>
      </c>
      <c r="V555" s="69" t="str">
        <f t="shared" si="132"/>
        <v>Telecom Italia</v>
      </c>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c r="BZ555" s="39"/>
      <c r="CA555" s="39"/>
      <c r="CB555" s="39"/>
      <c r="CC555" s="39"/>
      <c r="CD555" s="39"/>
      <c r="CE555" s="39"/>
      <c r="CF555" s="39"/>
      <c r="CG555" s="39"/>
      <c r="CH555" s="39"/>
      <c r="CI555" s="39"/>
      <c r="CJ555" s="39"/>
      <c r="CK555" s="39"/>
      <c r="CL555" s="39"/>
      <c r="CM555" s="39"/>
      <c r="CN555" s="39"/>
      <c r="CO555" s="39"/>
      <c r="CP555" s="39"/>
      <c r="CQ555" s="39"/>
      <c r="CR555" s="39"/>
      <c r="CS555" s="39"/>
      <c r="CT555" s="39"/>
      <c r="CU555" s="39"/>
      <c r="CV555" s="39"/>
      <c r="CW555" s="39"/>
      <c r="CX555" s="39"/>
      <c r="CY555" s="39"/>
      <c r="CZ555" s="39"/>
      <c r="DA555" s="39"/>
      <c r="DB555" s="39"/>
      <c r="DC555" s="39"/>
      <c r="DD555" s="39"/>
      <c r="DE555" s="39"/>
      <c r="DF555" s="39"/>
      <c r="DG555" s="39"/>
      <c r="DH555" s="39"/>
      <c r="DI555" s="39"/>
    </row>
    <row r="556" spans="1:113">
      <c r="A556" s="41"/>
      <c r="C556" s="48" t="s">
        <v>456</v>
      </c>
      <c r="D556" s="44" t="str">
        <f t="shared" si="127"/>
        <v>EUR 4.21</v>
      </c>
      <c r="E556" s="44" t="str">
        <f t="shared" si="127"/>
        <v>EUR 4.30</v>
      </c>
      <c r="F556" s="45">
        <f t="shared" si="127"/>
        <v>2.065036790885344E-2</v>
      </c>
      <c r="G556" s="44" t="str">
        <f t="shared" si="127"/>
        <v>Neutral</v>
      </c>
      <c r="H556" s="46"/>
      <c r="I556" s="45">
        <f>TEF!$D$31/TEF!$D$29</f>
        <v>0.75149030731935818</v>
      </c>
      <c r="J556" s="45">
        <f>TEF!$E$31/TEF!$E$29</f>
        <v>0.77332314096886023</v>
      </c>
      <c r="K556" s="45">
        <f>TEF!$F$31/TEF!$F$29</f>
        <v>0.74429588439165029</v>
      </c>
      <c r="L556" s="45">
        <f>TEF!$G$31/TEF!$G$29</f>
        <v>0.65638414545137425</v>
      </c>
      <c r="M556" s="45">
        <f t="shared" si="128"/>
        <v>-9.5106161867983929E-2</v>
      </c>
      <c r="N556" s="46"/>
      <c r="O556" s="45">
        <f>TEF!$D$31/TEF!$D$30</f>
        <v>0.99374508186524357</v>
      </c>
      <c r="P556" s="45">
        <f>TEF!$E$31/TEF!$E$30</f>
        <v>0.71205081177593488</v>
      </c>
      <c r="Q556" s="45">
        <f>TEF!$F$31/TEF!$F$30</f>
        <v>0.67581154929028053</v>
      </c>
      <c r="R556" s="45">
        <f>TEF!$G$31/TEF!$G$30</f>
        <v>0.56249096969304357</v>
      </c>
      <c r="S556" s="45">
        <f t="shared" si="130"/>
        <v>-0.4312541121722</v>
      </c>
      <c r="T556" s="46"/>
      <c r="U556" s="48" t="str">
        <f t="shared" si="131"/>
        <v>EUR 4.21</v>
      </c>
      <c r="V556" s="69" t="str">
        <f t="shared" si="132"/>
        <v>Telefonica</v>
      </c>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c r="CR556" s="39"/>
      <c r="CS556" s="39"/>
      <c r="CT556" s="39"/>
      <c r="CU556" s="39"/>
      <c r="CV556" s="39"/>
      <c r="CW556" s="39"/>
      <c r="CX556" s="39"/>
      <c r="CY556" s="39"/>
      <c r="CZ556" s="39"/>
      <c r="DA556" s="39"/>
      <c r="DB556" s="39"/>
      <c r="DC556" s="39"/>
      <c r="DD556" s="39"/>
      <c r="DE556" s="39"/>
      <c r="DF556" s="39"/>
      <c r="DG556" s="39"/>
      <c r="DH556" s="39"/>
      <c r="DI556" s="39"/>
    </row>
    <row r="557" spans="1:113">
      <c r="A557" s="41"/>
      <c r="C557" s="48" t="s">
        <v>457</v>
      </c>
      <c r="D557" s="44" t="str">
        <f t="shared" si="127"/>
        <v>NOK 135</v>
      </c>
      <c r="E557" s="44" t="str">
        <f t="shared" si="127"/>
        <v>NOK 138</v>
      </c>
      <c r="F557" s="45">
        <f t="shared" si="127"/>
        <v>2.3738872403560762E-2</v>
      </c>
      <c r="G557" s="44" t="str">
        <f t="shared" si="127"/>
        <v>Buy</v>
      </c>
      <c r="H557" s="46"/>
      <c r="I557" s="45">
        <f>TNOR!$D$31/TNOR!$D$29</f>
        <v>15.445147396983819</v>
      </c>
      <c r="J557" s="45">
        <f>TNOR!$E$31/TNOR!$E$29</f>
        <v>1.1461885543026902</v>
      </c>
      <c r="K557" s="45">
        <f>TNOR!$F$31/TNOR!$F$29</f>
        <v>1.0277381378631243</v>
      </c>
      <c r="L557" s="45">
        <f>TNOR!$G$31/TNOR!$G$29</f>
        <v>0.92126516901245659</v>
      </c>
      <c r="M557" s="45">
        <f t="shared" si="128"/>
        <v>-14.523882227971361</v>
      </c>
      <c r="N557" s="46"/>
      <c r="O557" s="45">
        <f>TNOR!$D$31/TNOR!$D$30</f>
        <v>-4.4194002706972153</v>
      </c>
      <c r="P557" s="45">
        <f>TNOR!$E$31/TNOR!$E$30</f>
        <v>1.9015919991693333</v>
      </c>
      <c r="Q557" s="45">
        <f>TNOR!$F$31/TNOR!$F$30</f>
        <v>1.8810698987342409</v>
      </c>
      <c r="R557" s="45">
        <f>TNOR!$G$31/TNOR!$G$30</f>
        <v>1.6170442407319534</v>
      </c>
      <c r="S557" s="45">
        <f t="shared" si="130"/>
        <v>6.0364445114291687</v>
      </c>
      <c r="T557" s="46"/>
      <c r="U557" s="48" t="str">
        <f t="shared" si="131"/>
        <v>NOK 135</v>
      </c>
      <c r="V557" s="44" t="str">
        <f t="shared" si="132"/>
        <v>Telenor</v>
      </c>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c r="CR557" s="39"/>
      <c r="CS557" s="39"/>
      <c r="CT557" s="39"/>
      <c r="CU557" s="39"/>
      <c r="CV557" s="39"/>
      <c r="CW557" s="39"/>
      <c r="CX557" s="39"/>
      <c r="CY557" s="39"/>
      <c r="CZ557" s="39"/>
      <c r="DA557" s="39"/>
      <c r="DB557" s="39"/>
      <c r="DC557" s="39"/>
      <c r="DD557" s="39"/>
      <c r="DE557" s="39"/>
      <c r="DF557" s="39"/>
      <c r="DG557" s="39"/>
      <c r="DH557" s="39"/>
      <c r="DI557" s="39"/>
    </row>
    <row r="558" spans="1:113">
      <c r="A558" s="41"/>
      <c r="C558" s="48" t="s">
        <v>1030</v>
      </c>
      <c r="D558" s="44" t="str">
        <f t="shared" si="127"/>
        <v>SEK33.4</v>
      </c>
      <c r="E558" s="44" t="str">
        <f t="shared" si="127"/>
        <v>SEK33.0</v>
      </c>
      <c r="F558" s="45">
        <f t="shared" si="127"/>
        <v>-1.2567324955116699E-2</v>
      </c>
      <c r="G558" s="44" t="str">
        <f t="shared" si="127"/>
        <v>Buy</v>
      </c>
      <c r="H558" s="46"/>
      <c r="I558" s="45">
        <f>TELIA!$D$31/TELIA!$D$29</f>
        <v>0.89534130898401743</v>
      </c>
      <c r="J558" s="45">
        <f>TELIA!$E$31/TELIA!$E$29</f>
        <v>0.9590008636030658</v>
      </c>
      <c r="K558" s="45">
        <f>TELIA!$F$31/TELIA!$F$29</f>
        <v>0.85383026858155564</v>
      </c>
      <c r="L558" s="45">
        <f>TELIA!$G$31/TELIA!$G$29</f>
        <v>0.87176384251562777</v>
      </c>
      <c r="M558" s="45">
        <f t="shared" si="128"/>
        <v>-2.3577466468389652E-2</v>
      </c>
      <c r="N558" s="46"/>
      <c r="O558" s="45">
        <f>TELIA!$D$31/TELIA!$D$30</f>
        <v>2.0188957232342268</v>
      </c>
      <c r="P558" s="45">
        <f>TELIA!$E$31/TELIA!$E$30</f>
        <v>2.3007890991629698</v>
      </c>
      <c r="Q558" s="45">
        <f>TELIA!$F$31/TELIA!$F$30</f>
        <v>1.9752560034250808</v>
      </c>
      <c r="R558" s="45">
        <f>TELIA!$G$31/TELIA!$G$30</f>
        <v>2.0031409015006871</v>
      </c>
      <c r="S558" s="45">
        <f t="shared" si="130"/>
        <v>-1.5754821733539703E-2</v>
      </c>
      <c r="T558" s="46"/>
      <c r="U558" s="48" t="str">
        <f t="shared" si="131"/>
        <v>SEK33.4</v>
      </c>
      <c r="V558" s="44" t="str">
        <f t="shared" si="132"/>
        <v>Telia</v>
      </c>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39"/>
      <c r="CS558" s="39"/>
      <c r="CT558" s="39"/>
      <c r="CU558" s="39"/>
      <c r="CV558" s="39"/>
      <c r="CW558" s="39"/>
      <c r="CX558" s="39"/>
      <c r="CY558" s="39"/>
      <c r="CZ558" s="39"/>
      <c r="DA558" s="39"/>
      <c r="DB558" s="39"/>
      <c r="DC558" s="39"/>
      <c r="DD558" s="39"/>
      <c r="DE558" s="39"/>
      <c r="DF558" s="39"/>
      <c r="DG558" s="39"/>
      <c r="DH558" s="39"/>
      <c r="DI558" s="39"/>
    </row>
    <row r="559" spans="1:113">
      <c r="A559" s="41"/>
      <c r="C559" s="51" t="str">
        <f>C499</f>
        <v>Agg. W.Europe Incumbent</v>
      </c>
      <c r="D559" s="52"/>
      <c r="E559" s="52"/>
      <c r="F559" s="53"/>
      <c r="G559" s="52"/>
      <c r="H559" s="46"/>
      <c r="I559" s="55">
        <f>'W.EUR INCUMB'!$D$31/'W.EUR INCUMB'!$D$29</f>
        <v>0.71000971422171699</v>
      </c>
      <c r="J559" s="55">
        <f>'W.EUR INCUMB'!$E$31/'W.EUR INCUMB'!$E$29</f>
        <v>0.64412496054880308</v>
      </c>
      <c r="K559" s="55">
        <f>'W.EUR INCUMB'!$F$31/'W.EUR INCUMB'!$F$29</f>
        <v>0.62538479271211145</v>
      </c>
      <c r="L559" s="55">
        <f>'W.EUR INCUMB'!$G$31/'W.EUR INCUMB'!$G$29</f>
        <v>0.59521953872153821</v>
      </c>
      <c r="M559" s="55">
        <f t="shared" si="128"/>
        <v>-0.11479017550017878</v>
      </c>
      <c r="N559" s="56"/>
      <c r="O559" s="55">
        <f>'W.EUR INCUMB'!$D$31/'W.EUR INCUMB'!$D$30</f>
        <v>0.71335047160241094</v>
      </c>
      <c r="P559" s="55">
        <f>'W.EUR INCUMB'!$E$31/'W.EUR INCUMB'!$E$30</f>
        <v>0.6867998733920373</v>
      </c>
      <c r="Q559" s="55">
        <f>'W.EUR INCUMB'!$F$31/'W.EUR INCUMB'!$F$30</f>
        <v>0.62006129916408537</v>
      </c>
      <c r="R559" s="55">
        <f>'W.EUR INCUMB'!$G$31/'W.EUR INCUMB'!$G$30</f>
        <v>0.60664638435561513</v>
      </c>
      <c r="S559" s="55">
        <f t="shared" si="130"/>
        <v>-0.10670408724679581</v>
      </c>
      <c r="T559" s="46"/>
      <c r="U559" s="57"/>
      <c r="V559" s="58" t="str">
        <f t="shared" si="132"/>
        <v>Agg. W.Europe Incumbent</v>
      </c>
      <c r="AF559" s="39"/>
      <c r="AG559" s="39"/>
      <c r="AH559" s="39"/>
      <c r="AI559" s="39"/>
      <c r="AJ559" s="39"/>
      <c r="AK559" s="39"/>
      <c r="AL559" s="39"/>
      <c r="AM559" s="39"/>
      <c r="AN559" s="39"/>
      <c r="AO559" s="39"/>
      <c r="AP559" s="39"/>
      <c r="AQ559" s="39"/>
      <c r="AR559" s="39"/>
      <c r="AS559" s="39"/>
      <c r="AT559" s="39"/>
      <c r="AU559" s="39"/>
      <c r="AV559" s="39"/>
      <c r="AW559" s="39"/>
      <c r="AX559" s="39"/>
      <c r="AY559" s="39"/>
      <c r="AZ559" s="39"/>
      <c r="BA559" s="39"/>
      <c r="BB559" s="39"/>
      <c r="BC559" s="39"/>
      <c r="BD559" s="39"/>
      <c r="BE559" s="39"/>
      <c r="BF559" s="39"/>
      <c r="BG559" s="39"/>
      <c r="BH559" s="39"/>
      <c r="BI559" s="39"/>
      <c r="BJ559" s="39"/>
      <c r="BK559" s="39"/>
      <c r="BL559" s="39"/>
      <c r="BM559" s="39"/>
      <c r="BN559" s="39"/>
      <c r="BO559" s="39"/>
      <c r="BP559" s="39"/>
      <c r="BQ559" s="39"/>
      <c r="BR559" s="39"/>
      <c r="BS559" s="39"/>
      <c r="BT559" s="39"/>
      <c r="BU559" s="39"/>
      <c r="BV559" s="39"/>
      <c r="BW559" s="39"/>
      <c r="BX559" s="39"/>
      <c r="BY559" s="39"/>
      <c r="BZ559" s="39"/>
      <c r="CA559" s="39"/>
      <c r="CB559" s="39"/>
      <c r="CC559" s="39"/>
      <c r="CD559" s="39"/>
      <c r="CE559" s="39"/>
      <c r="CF559" s="39"/>
      <c r="CG559" s="39"/>
      <c r="CH559" s="39"/>
      <c r="CI559" s="39"/>
      <c r="CJ559" s="39"/>
      <c r="CK559" s="39"/>
      <c r="CL559" s="39"/>
      <c r="CM559" s="39"/>
      <c r="CN559" s="39"/>
      <c r="CO559" s="39"/>
      <c r="CP559" s="39"/>
      <c r="CQ559" s="39"/>
      <c r="CR559" s="39"/>
      <c r="CS559" s="39"/>
      <c r="CT559" s="39"/>
      <c r="CU559" s="39"/>
      <c r="CV559" s="39"/>
      <c r="CW559" s="39"/>
      <c r="CX559" s="39"/>
      <c r="CY559" s="39"/>
      <c r="CZ559" s="39"/>
      <c r="DA559" s="39"/>
      <c r="DB559" s="39"/>
      <c r="DC559" s="39"/>
      <c r="DD559" s="39"/>
      <c r="DE559" s="39"/>
      <c r="DF559" s="39"/>
      <c r="DG559" s="39"/>
      <c r="DH559" s="39"/>
      <c r="DI559" s="39"/>
    </row>
    <row r="560" spans="1:113">
      <c r="A560" s="41"/>
      <c r="C560" s="48"/>
      <c r="D560" s="44"/>
      <c r="E560" s="44"/>
      <c r="F560" s="45"/>
      <c r="G560" s="44"/>
      <c r="H560" s="46"/>
      <c r="I560" s="45"/>
      <c r="J560" s="45"/>
      <c r="K560" s="45"/>
      <c r="L560" s="45"/>
      <c r="M560" s="45"/>
      <c r="N560" s="46"/>
      <c r="O560" s="45"/>
      <c r="P560" s="45"/>
      <c r="Q560" s="45"/>
      <c r="R560" s="45"/>
      <c r="S560" s="45"/>
      <c r="T560" s="46"/>
      <c r="U560" s="48"/>
      <c r="V560" s="44"/>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39"/>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row>
    <row r="561" spans="1:113">
      <c r="A561" s="41"/>
      <c r="B561" s="42" t="s">
        <v>514</v>
      </c>
      <c r="C561" s="48" t="s">
        <v>486</v>
      </c>
      <c r="D561" s="44" t="str">
        <f>B561&amp;TEXT(Prices!$C$40,"0.0")</f>
        <v>US$20.7</v>
      </c>
      <c r="E561" s="44" t="str">
        <f>B561&amp;TEXT(Prices!$E$40,"0.00")</f>
        <v>US$21.00</v>
      </c>
      <c r="F561" s="45">
        <f>Prices!$F$40</f>
        <v>1.6949152542373058E-2</v>
      </c>
      <c r="G561" s="44" t="str">
        <f>Prices!$D$40</f>
        <v>Neutral</v>
      </c>
      <c r="H561" s="46"/>
      <c r="I561" s="45">
        <f>ATT!$D$31/ATT!$D$29</f>
        <v>0.65189431125201536</v>
      </c>
      <c r="J561" s="45">
        <f>ATT!$E$31/ATT!$E$29</f>
        <v>0.57081703102455938</v>
      </c>
      <c r="K561" s="45">
        <f>ATT!$F$31/ATT!$F$29</f>
        <v>0.52998478950154737</v>
      </c>
      <c r="L561" s="45">
        <f>ATT!$G$31/ATT!$G$29</f>
        <v>0.50188166035141257</v>
      </c>
      <c r="M561" s="45">
        <f>L561-I561</f>
        <v>-0.15001265090060278</v>
      </c>
      <c r="N561" s="46"/>
      <c r="O561" s="45">
        <f>ATT!$D$31/ATT!$D$30</f>
        <v>0.46827110193322591</v>
      </c>
      <c r="P561" s="45">
        <f>ATT!$E$31/ATT!$E$30</f>
        <v>0.50352480946420342</v>
      </c>
      <c r="Q561" s="45">
        <f>ATT!$F$31/ATT!$F$30</f>
        <v>0.50344937620144914</v>
      </c>
      <c r="R561" s="45">
        <f>ATT!$G$31/ATT!$G$30</f>
        <v>0.48328154238007703</v>
      </c>
      <c r="S561" s="45">
        <f>R561-O561</f>
        <v>1.5010440446851125E-2</v>
      </c>
      <c r="T561" s="46"/>
      <c r="U561" s="48" t="str">
        <f>D561</f>
        <v>US$20.7</v>
      </c>
      <c r="V561" s="44" t="str">
        <f>C561</f>
        <v xml:space="preserve">AT&amp;T </v>
      </c>
      <c r="AF561" s="39"/>
      <c r="AG561" s="39"/>
      <c r="AH561" s="39"/>
      <c r="AI561" s="39"/>
      <c r="AJ561" s="39"/>
      <c r="AK561" s="39"/>
      <c r="AL561" s="39"/>
      <c r="AM561" s="39"/>
      <c r="AN561" s="39"/>
      <c r="AO561" s="39"/>
      <c r="AP561" s="39"/>
      <c r="AQ561" s="39"/>
      <c r="AR561" s="39"/>
      <c r="AS561" s="39"/>
      <c r="AT561" s="39"/>
      <c r="AU561" s="39"/>
      <c r="AV561" s="39"/>
      <c r="AW561" s="39"/>
      <c r="AX561" s="39"/>
      <c r="AY561" s="39"/>
      <c r="AZ561" s="39"/>
      <c r="BA561" s="39"/>
      <c r="BB561" s="39"/>
      <c r="BC561" s="39"/>
      <c r="BD561" s="39"/>
      <c r="BE561" s="39"/>
      <c r="BF561" s="39"/>
      <c r="BG561" s="39"/>
      <c r="BH561" s="39"/>
      <c r="BI561" s="39"/>
      <c r="BJ561" s="39"/>
      <c r="BK561" s="39"/>
      <c r="BL561" s="39"/>
      <c r="BM561" s="39"/>
      <c r="BN561" s="39"/>
      <c r="BO561" s="39"/>
      <c r="BP561" s="39"/>
      <c r="BQ561" s="39"/>
      <c r="BR561" s="39"/>
      <c r="BS561" s="39"/>
      <c r="BT561" s="39"/>
      <c r="BU561" s="39"/>
      <c r="BV561" s="39"/>
      <c r="BW561" s="39"/>
      <c r="BX561" s="39"/>
      <c r="BY561" s="39"/>
      <c r="BZ561" s="39"/>
      <c r="CA561" s="39"/>
      <c r="CB561" s="39"/>
      <c r="CC561" s="39"/>
      <c r="CD561" s="39"/>
      <c r="CE561" s="39"/>
      <c r="CF561" s="39"/>
      <c r="CG561" s="39"/>
      <c r="CH561" s="39"/>
      <c r="CI561" s="39"/>
      <c r="CJ561" s="39"/>
      <c r="CK561" s="39"/>
      <c r="CL561" s="39"/>
      <c r="CM561" s="39"/>
      <c r="CN561" s="39"/>
      <c r="CO561" s="39"/>
      <c r="CP561" s="39"/>
      <c r="CQ561" s="39"/>
      <c r="CR561" s="39"/>
      <c r="CS561" s="39"/>
      <c r="CT561" s="39"/>
      <c r="CU561" s="39"/>
      <c r="CV561" s="39"/>
      <c r="CW561" s="39"/>
      <c r="CX561" s="39"/>
      <c r="CY561" s="39"/>
      <c r="CZ561" s="39"/>
      <c r="DA561" s="39"/>
      <c r="DB561" s="39"/>
      <c r="DC561" s="39"/>
      <c r="DD561" s="39"/>
      <c r="DE561" s="39"/>
      <c r="DF561" s="39"/>
      <c r="DG561" s="39"/>
      <c r="DH561" s="39"/>
      <c r="DI561" s="39"/>
    </row>
    <row r="562" spans="1:113">
      <c r="B562" s="42" t="s">
        <v>514</v>
      </c>
      <c r="C562" s="48" t="s">
        <v>687</v>
      </c>
      <c r="D562" s="44" t="str">
        <f>B562&amp;TEXT(Prices!$C$41,"0.0")</f>
        <v>US$197.2</v>
      </c>
      <c r="E562" s="44" t="str">
        <f>B562&amp;TEXT(Prices!$E$41,"0.0")</f>
        <v>US$205.0</v>
      </c>
      <c r="F562" s="45">
        <f>Prices!$F$41</f>
        <v>3.9659194644487306E-2</v>
      </c>
      <c r="G562" s="44" t="str">
        <f>Prices!$D$41</f>
        <v>Buy</v>
      </c>
      <c r="H562" s="46"/>
      <c r="I562" s="45">
        <v>0</v>
      </c>
      <c r="J562" s="45">
        <f>TMUS!$E$31/TMUS!$E$29</f>
        <v>0.96296166782136172</v>
      </c>
      <c r="K562" s="45">
        <f>TMUS!$F$31/TMUS!$F$29</f>
        <v>0.79371958176529189</v>
      </c>
      <c r="L562" s="45">
        <f>TMUS!$G$31/TMUS!$G$29</f>
        <v>0.75836834145351051</v>
      </c>
      <c r="M562" s="45">
        <f>L562-I562</f>
        <v>0.75836834145351051</v>
      </c>
      <c r="N562" s="46"/>
      <c r="O562" s="45">
        <f>TMUS!$D$31/TMUS!$D$30</f>
        <v>8.6839870242734291E-2</v>
      </c>
      <c r="P562" s="45">
        <f>TMUS!$E$31/TMUS!$E$30</f>
        <v>0.29451342204380249</v>
      </c>
      <c r="Q562" s="45">
        <f>TMUS!$F$31/TMUS!$F$30</f>
        <v>0.24772053317551518</v>
      </c>
      <c r="R562" s="45">
        <f>TMUS!$G$31/TMUS!$G$30</f>
        <v>0.22973668044118434</v>
      </c>
      <c r="S562" s="45">
        <f>R562-O562</f>
        <v>0.14289681019845005</v>
      </c>
      <c r="T562" s="46"/>
      <c r="U562" s="48" t="str">
        <f>D562</f>
        <v>US$197.2</v>
      </c>
      <c r="V562" s="44" t="str">
        <f>C562</f>
        <v>TMUS</v>
      </c>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c r="BB562" s="39"/>
      <c r="BC562" s="39"/>
      <c r="BD562" s="39"/>
      <c r="BE562" s="39"/>
      <c r="BF562" s="39"/>
      <c r="BG562" s="39"/>
      <c r="BH562" s="39"/>
      <c r="BI562" s="39"/>
      <c r="BJ562" s="39"/>
      <c r="BK562" s="39"/>
      <c r="BL562" s="39"/>
      <c r="BM562" s="39"/>
      <c r="BN562" s="39"/>
      <c r="BO562" s="39"/>
      <c r="BP562" s="39"/>
      <c r="BQ562" s="39"/>
      <c r="BR562" s="39"/>
      <c r="BS562" s="39"/>
      <c r="BT562" s="39"/>
      <c r="BU562" s="39"/>
      <c r="BV562" s="39"/>
      <c r="BW562" s="39"/>
      <c r="BX562" s="39"/>
      <c r="BY562" s="39"/>
      <c r="BZ562" s="39"/>
      <c r="CA562" s="39"/>
      <c r="CB562" s="39"/>
      <c r="CC562" s="39"/>
      <c r="CD562" s="39"/>
      <c r="CE562" s="39"/>
      <c r="CF562" s="39"/>
      <c r="CG562" s="39"/>
      <c r="CH562" s="39"/>
      <c r="CI562" s="39"/>
      <c r="CJ562" s="39"/>
      <c r="CK562" s="39"/>
      <c r="CL562" s="39"/>
      <c r="CM562" s="39"/>
      <c r="CN562" s="39"/>
      <c r="CO562" s="39"/>
      <c r="CP562" s="39"/>
      <c r="CQ562" s="39"/>
      <c r="CR562" s="39"/>
      <c r="CS562" s="39"/>
      <c r="CT562" s="39"/>
      <c r="CU562" s="39"/>
      <c r="CV562" s="39"/>
      <c r="CW562" s="39"/>
      <c r="CX562" s="39"/>
      <c r="CY562" s="39"/>
      <c r="CZ562" s="39"/>
      <c r="DA562" s="39"/>
      <c r="DB562" s="39"/>
      <c r="DC562" s="39"/>
      <c r="DD562" s="39"/>
      <c r="DE562" s="39"/>
      <c r="DF562" s="39"/>
      <c r="DG562" s="39"/>
      <c r="DH562" s="39"/>
      <c r="DI562" s="39"/>
    </row>
    <row r="563" spans="1:113">
      <c r="A563" s="41"/>
      <c r="B563" s="42" t="s">
        <v>514</v>
      </c>
      <c r="C563" s="48" t="s">
        <v>33</v>
      </c>
      <c r="D563" s="44" t="str">
        <f>B563&amp;TEXT(Prices!$C$39,"0.0")</f>
        <v>US$41.3</v>
      </c>
      <c r="E563" s="44" t="str">
        <f>B563&amp;TEXT(Prices!$E$39,"0.00")</f>
        <v>US$45.00</v>
      </c>
      <c r="F563" s="45">
        <f>Prices!$F$39</f>
        <v>8.9324618736383421E-2</v>
      </c>
      <c r="G563" s="44" t="str">
        <f>Prices!$D$39</f>
        <v>Neutral</v>
      </c>
      <c r="H563" s="46"/>
      <c r="I563" s="45">
        <f>VZN!$D$31/VZN!$D$29</f>
        <v>0.58887892865516289</v>
      </c>
      <c r="J563" s="45">
        <f>VZN!$E$31/VZN!$E$29</f>
        <v>0.57195827693583967</v>
      </c>
      <c r="K563" s="45">
        <f>VZN!$F$31/VZN!$F$29</f>
        <v>0.57423711400768862</v>
      </c>
      <c r="L563" s="45">
        <f>VZN!$G$31/VZN!$G$29</f>
        <v>0.56723232496193177</v>
      </c>
      <c r="M563" s="45">
        <f>L563-I563</f>
        <v>-2.1646603693231126E-2</v>
      </c>
      <c r="N563" s="46"/>
      <c r="O563" s="45">
        <f>VZN!$D$31/VZN!$D$30</f>
        <v>0.55499581186681246</v>
      </c>
      <c r="P563" s="45">
        <f>VZN!$E$31/VZN!$E$30</f>
        <v>0.58315543368607736</v>
      </c>
      <c r="Q563" s="45">
        <f>VZN!$F$31/VZN!$F$30</f>
        <v>0.57175260235023162</v>
      </c>
      <c r="R563" s="45">
        <f>VZN!$G$31/VZN!$G$30</f>
        <v>0.56405446393307224</v>
      </c>
      <c r="S563" s="45">
        <f>R563-O563</f>
        <v>9.0586520662597758E-3</v>
      </c>
      <c r="T563" s="46"/>
      <c r="U563" s="48" t="str">
        <f>D563</f>
        <v>US$41.3</v>
      </c>
      <c r="V563" s="44" t="str">
        <f>C563</f>
        <v>Verizon</v>
      </c>
      <c r="AF563" s="39"/>
      <c r="AG563" s="39"/>
      <c r="AH563" s="39"/>
      <c r="AI563" s="39"/>
      <c r="AJ563" s="39"/>
      <c r="AK563" s="39"/>
      <c r="AL563" s="39"/>
      <c r="AM563" s="39"/>
      <c r="AN563" s="39"/>
      <c r="AO563" s="39"/>
      <c r="AP563" s="39"/>
      <c r="AQ563" s="39"/>
      <c r="AR563" s="39"/>
      <c r="AS563" s="39"/>
      <c r="AT563" s="39"/>
      <c r="AU563" s="39"/>
      <c r="AV563" s="39"/>
      <c r="AW563" s="39"/>
      <c r="AX563" s="39"/>
      <c r="AY563" s="39"/>
      <c r="AZ563" s="39"/>
      <c r="BA563" s="39"/>
      <c r="BB563" s="39"/>
      <c r="BC563" s="39"/>
      <c r="BD563" s="39"/>
      <c r="BE563" s="39"/>
      <c r="BF563" s="39"/>
      <c r="BG563" s="39"/>
      <c r="BH563" s="39"/>
      <c r="BI563" s="39"/>
      <c r="BJ563" s="39"/>
      <c r="BK563" s="39"/>
      <c r="BL563" s="39"/>
      <c r="BM563" s="39"/>
      <c r="BN563" s="39"/>
      <c r="BO563" s="39"/>
      <c r="BP563" s="39"/>
      <c r="BQ563" s="39"/>
      <c r="BR563" s="39"/>
      <c r="BS563" s="39"/>
      <c r="BT563" s="39"/>
      <c r="BU563" s="39"/>
      <c r="BV563" s="39"/>
      <c r="BW563" s="39"/>
      <c r="BX563" s="39"/>
      <c r="BY563" s="39"/>
      <c r="BZ563" s="39"/>
      <c r="CA563" s="39"/>
      <c r="CB563" s="39"/>
      <c r="CC563" s="39"/>
      <c r="CD563" s="39"/>
      <c r="CE563" s="39"/>
      <c r="CF563" s="39"/>
      <c r="CG563" s="39"/>
      <c r="CH563" s="39"/>
      <c r="CI563" s="39"/>
      <c r="CJ563" s="39"/>
      <c r="CK563" s="39"/>
      <c r="CL563" s="39"/>
      <c r="CM563" s="39"/>
      <c r="CN563" s="39"/>
      <c r="CO563" s="39"/>
      <c r="CP563" s="39"/>
      <c r="CQ563" s="39"/>
      <c r="CR563" s="39"/>
      <c r="CS563" s="39"/>
      <c r="CT563" s="39"/>
      <c r="CU563" s="39"/>
      <c r="CV563" s="39"/>
      <c r="CW563" s="39"/>
      <c r="CX563" s="39"/>
      <c r="CY563" s="39"/>
      <c r="CZ563" s="39"/>
      <c r="DA563" s="39"/>
      <c r="DB563" s="39"/>
      <c r="DC563" s="39"/>
      <c r="DD563" s="39"/>
      <c r="DE563" s="39"/>
      <c r="DF563" s="39"/>
      <c r="DG563" s="39"/>
      <c r="DH563" s="39"/>
      <c r="DI563" s="39"/>
    </row>
    <row r="564" spans="1:113">
      <c r="A564" s="41"/>
      <c r="C564" s="51" t="s">
        <v>257</v>
      </c>
      <c r="D564" s="52"/>
      <c r="E564" s="52"/>
      <c r="F564" s="53"/>
      <c r="G564" s="52"/>
      <c r="H564" s="46"/>
      <c r="I564" s="55">
        <f>'US TELCO'!$D$31/'US TELCO'!$D$29</f>
        <v>0.45003493807243083</v>
      </c>
      <c r="J564" s="55">
        <f>'US TELCO'!$E$31/'US TELCO'!$E$29</f>
        <v>0.60483746568122188</v>
      </c>
      <c r="K564" s="55">
        <f>'US TELCO'!$F$31/'US TELCO'!$F$29</f>
        <v>0.57845282021107813</v>
      </c>
      <c r="L564" s="55">
        <f>'US TELCO'!$G$31/'US TELCO'!$G$29</f>
        <v>0.56108132177383385</v>
      </c>
      <c r="M564" s="55">
        <f>L564-I564</f>
        <v>0.11104638370140302</v>
      </c>
      <c r="N564" s="46"/>
      <c r="O564" s="55">
        <f>'US TELCO'!$D$31/'US TELCO'!$D$30</f>
        <v>0.43427798797188155</v>
      </c>
      <c r="P564" s="55">
        <f>'US TELCO'!$E$31/'US TELCO'!$E$30</f>
        <v>0.4899544585410186</v>
      </c>
      <c r="Q564" s="55">
        <f>'US TELCO'!$F$31/'US TELCO'!$F$30</f>
        <v>0.46681627580743579</v>
      </c>
      <c r="R564" s="55">
        <f>'US TELCO'!$G$31/'US TELCO'!$G$30</f>
        <v>0.44724054295077309</v>
      </c>
      <c r="S564" s="55">
        <f>R564-O564</f>
        <v>1.2962554978891538E-2</v>
      </c>
      <c r="T564" s="46"/>
      <c r="U564" s="57"/>
      <c r="V564" s="58" t="str">
        <f>C564</f>
        <v>Agg. US Telecoms</v>
      </c>
      <c r="AF564" s="39"/>
      <c r="AG564" s="39"/>
      <c r="AH564" s="39"/>
      <c r="AI564" s="39"/>
      <c r="AJ564" s="39"/>
      <c r="AK564" s="39"/>
      <c r="AL564" s="39"/>
      <c r="AM564" s="39"/>
      <c r="AN564" s="39"/>
      <c r="AO564" s="39"/>
      <c r="AP564" s="39"/>
      <c r="AQ564" s="39"/>
      <c r="AR564" s="39"/>
      <c r="AS564" s="39"/>
      <c r="AT564" s="39"/>
      <c r="AU564" s="39"/>
      <c r="AV564" s="39"/>
      <c r="AW564" s="39"/>
      <c r="AX564" s="39"/>
      <c r="AY564" s="39"/>
      <c r="AZ564" s="39"/>
      <c r="BA564" s="39"/>
      <c r="BB564" s="39"/>
      <c r="BC564" s="39"/>
      <c r="BD564" s="39"/>
      <c r="BE564" s="39"/>
      <c r="BF564" s="39"/>
      <c r="BG564" s="39"/>
      <c r="BH564" s="39"/>
      <c r="BI564" s="39"/>
      <c r="BJ564" s="39"/>
      <c r="BK564" s="39"/>
      <c r="BL564" s="39"/>
      <c r="BM564" s="39"/>
      <c r="BN564" s="39"/>
      <c r="BO564" s="39"/>
      <c r="BP564" s="39"/>
      <c r="BQ564" s="39"/>
      <c r="BR564" s="39"/>
      <c r="BS564" s="39"/>
      <c r="BT564" s="39"/>
      <c r="BU564" s="39"/>
      <c r="BV564" s="39"/>
      <c r="BW564" s="39"/>
      <c r="BX564" s="39"/>
      <c r="BY564" s="39"/>
      <c r="BZ564" s="39"/>
      <c r="CA564" s="39"/>
      <c r="CB564" s="39"/>
      <c r="CC564" s="39"/>
      <c r="CD564" s="39"/>
      <c r="CE564" s="39"/>
      <c r="CF564" s="39"/>
      <c r="CG564" s="39"/>
      <c r="CH564" s="39"/>
      <c r="CI564" s="39"/>
      <c r="CJ564" s="39"/>
      <c r="CK564" s="39"/>
      <c r="CL564" s="39"/>
      <c r="CM564" s="39"/>
      <c r="CN564" s="39"/>
      <c r="CO564" s="39"/>
      <c r="CP564" s="39"/>
      <c r="CQ564" s="39"/>
      <c r="CR564" s="39"/>
      <c r="CS564" s="39"/>
      <c r="CT564" s="39"/>
      <c r="CU564" s="39"/>
      <c r="CV564" s="39"/>
      <c r="CW564" s="39"/>
      <c r="CX564" s="39"/>
      <c r="CY564" s="39"/>
      <c r="CZ564" s="39"/>
      <c r="DA564" s="39"/>
      <c r="DB564" s="39"/>
      <c r="DC564" s="39"/>
      <c r="DD564" s="39"/>
      <c r="DE564" s="39"/>
      <c r="DF564" s="39"/>
      <c r="DG564" s="39"/>
      <c r="DH564" s="39"/>
      <c r="DI564" s="39"/>
    </row>
    <row r="565" spans="1:113">
      <c r="A565" s="41"/>
      <c r="C565" s="48"/>
      <c r="D565" s="44"/>
      <c r="E565" s="44"/>
      <c r="F565" s="45"/>
      <c r="G565" s="44"/>
      <c r="H565" s="46"/>
      <c r="I565" s="45"/>
      <c r="J565" s="45"/>
      <c r="K565" s="45"/>
      <c r="L565" s="45"/>
      <c r="M565" s="45"/>
      <c r="N565" s="46"/>
      <c r="O565" s="45"/>
      <c r="P565" s="45"/>
      <c r="Q565" s="45"/>
      <c r="R565" s="45"/>
      <c r="S565" s="45"/>
      <c r="T565" s="46"/>
      <c r="U565" s="48"/>
      <c r="V565" s="44"/>
      <c r="AF565" s="39"/>
      <c r="AG565" s="39"/>
      <c r="AH565" s="39"/>
      <c r="AI565" s="39"/>
      <c r="AJ565" s="39"/>
      <c r="AK565" s="39"/>
      <c r="AL565" s="39"/>
      <c r="AM565" s="39"/>
      <c r="AN565" s="39"/>
      <c r="AO565" s="39"/>
      <c r="AP565" s="39"/>
      <c r="AQ565" s="39"/>
      <c r="AR565" s="39"/>
      <c r="AS565" s="39"/>
      <c r="AT565" s="39"/>
      <c r="AU565" s="39"/>
      <c r="AV565" s="39"/>
      <c r="AW565" s="39"/>
      <c r="AX565" s="39"/>
      <c r="AY565" s="39"/>
      <c r="AZ565" s="39"/>
      <c r="BA565" s="39"/>
      <c r="BB565" s="39"/>
      <c r="BC565" s="39"/>
      <c r="BD565" s="39"/>
      <c r="BE565" s="39"/>
      <c r="BF565" s="39"/>
      <c r="BG565" s="39"/>
      <c r="BH565" s="39"/>
      <c r="BI565" s="39"/>
      <c r="BJ565" s="39"/>
      <c r="BK565" s="39"/>
      <c r="BL565" s="39"/>
      <c r="BM565" s="39"/>
      <c r="BN565" s="39"/>
      <c r="BO565" s="39"/>
      <c r="BP565" s="39"/>
      <c r="BQ565" s="39"/>
      <c r="BR565" s="39"/>
      <c r="BS565" s="39"/>
      <c r="BT565" s="39"/>
      <c r="BU565" s="39"/>
      <c r="BV565" s="39"/>
      <c r="BW565" s="39"/>
      <c r="BX565" s="39"/>
      <c r="BY565" s="39"/>
      <c r="BZ565" s="39"/>
      <c r="CA565" s="39"/>
      <c r="CB565" s="39"/>
      <c r="CC565" s="39"/>
      <c r="CD565" s="39"/>
      <c r="CE565" s="39"/>
      <c r="CF565" s="39"/>
      <c r="CG565" s="39"/>
      <c r="CH565" s="39"/>
      <c r="CI565" s="39"/>
      <c r="CJ565" s="39"/>
      <c r="CK565" s="39"/>
      <c r="CL565" s="39"/>
      <c r="CM565" s="39"/>
      <c r="CN565" s="39"/>
      <c r="CO565" s="39"/>
      <c r="CP565" s="39"/>
      <c r="CQ565" s="39"/>
      <c r="CR565" s="39"/>
      <c r="CS565" s="39"/>
      <c r="CT565" s="39"/>
      <c r="CU565" s="39"/>
      <c r="CV565" s="39"/>
      <c r="CW565" s="39"/>
      <c r="CX565" s="39"/>
      <c r="CY565" s="39"/>
      <c r="CZ565" s="39"/>
      <c r="DA565" s="39"/>
      <c r="DB565" s="39"/>
      <c r="DC565" s="39"/>
      <c r="DD565" s="39"/>
      <c r="DE565" s="39"/>
      <c r="DF565" s="39"/>
      <c r="DG565" s="39"/>
      <c r="DH565" s="39"/>
      <c r="DI565" s="39"/>
    </row>
    <row r="566" spans="1:113">
      <c r="A566" s="41"/>
      <c r="C566" s="48" t="str">
        <f t="shared" ref="C566:G569" si="133">C506</f>
        <v>NTT</v>
      </c>
      <c r="D566" s="44" t="str">
        <f t="shared" si="133"/>
        <v>JPY 156</v>
      </c>
      <c r="E566" s="44" t="str">
        <f t="shared" si="133"/>
        <v>JPY 240</v>
      </c>
      <c r="F566" s="45">
        <f t="shared" si="133"/>
        <v>0.54340836012861726</v>
      </c>
      <c r="G566" s="44" t="str">
        <f t="shared" si="133"/>
        <v>Buy</v>
      </c>
      <c r="H566" s="46"/>
      <c r="I566" s="45">
        <f>NTT!$D$31/NTT!$D$29</f>
        <v>0.52308144608154794</v>
      </c>
      <c r="J566" s="45">
        <f>NTT!$E$31/NTT!$E$29</f>
        <v>0.64004791457560828</v>
      </c>
      <c r="K566" s="45">
        <f>NTT!$F$31/NTT!$F$29</f>
        <v>0.50339979171247573</v>
      </c>
      <c r="L566" s="45">
        <f>NTT!$G$31/NTT!$G$29</f>
        <v>0.50364716428817069</v>
      </c>
      <c r="M566" s="45">
        <f t="shared" ref="M566:M570" si="134">L566-I566</f>
        <v>-1.943428179337725E-2</v>
      </c>
      <c r="N566" s="46"/>
      <c r="O566" s="45">
        <f>NTT!$D$31/NTT!$D$30</f>
        <v>0.33511714013777738</v>
      </c>
      <c r="P566" s="45">
        <f>NTT!$E$31/NTT!$E$30</f>
        <v>0.43379315677584251</v>
      </c>
      <c r="Q566" s="45">
        <f>NTT!$F$31/NTT!$F$30</f>
        <v>0.3889036191430289</v>
      </c>
      <c r="R566" s="45">
        <f>NTT!$G$31/NTT!$G$30</f>
        <v>0.4043081069136224</v>
      </c>
      <c r="S566" s="45">
        <f t="shared" ref="S566:S570" si="135">R566-O566</f>
        <v>6.919096677584502E-2</v>
      </c>
      <c r="T566" s="46"/>
      <c r="U566" s="48" t="str">
        <f t="shared" ref="U566:V569" si="136">U506</f>
        <v>JPY 156</v>
      </c>
      <c r="V566" s="44" t="str">
        <f t="shared" si="136"/>
        <v>NTT</v>
      </c>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row>
    <row r="567" spans="1:113">
      <c r="A567" s="41"/>
      <c r="C567" s="48" t="str">
        <f t="shared" si="133"/>
        <v>Spark NZ</v>
      </c>
      <c r="D567" s="44" t="str">
        <f t="shared" si="133"/>
        <v>NZD 3.52</v>
      </c>
      <c r="E567" s="44" t="str">
        <f t="shared" si="133"/>
        <v>NZD 5.00</v>
      </c>
      <c r="F567" s="45">
        <f t="shared" si="133"/>
        <v>0.42045454545454541</v>
      </c>
      <c r="G567" s="44" t="str">
        <f t="shared" si="133"/>
        <v>Neutral</v>
      </c>
      <c r="H567" s="46"/>
      <c r="I567" s="45">
        <f>SPK!$D$31/SPK!$D$29</f>
        <v>0.93399995043208206</v>
      </c>
      <c r="J567" s="45">
        <f>SPK!$E$31/SPK!$E$29</f>
        <v>0.91531255942319412</v>
      </c>
      <c r="K567" s="45">
        <f>SPK!$F$31/SPK!$F$29</f>
        <v>0.91583074210603277</v>
      </c>
      <c r="L567" s="45">
        <f>SPK!$G$31/SPK!$G$29</f>
        <v>0.91580065985487868</v>
      </c>
      <c r="M567" s="45">
        <f t="shared" si="134"/>
        <v>-1.8199290577203375E-2</v>
      </c>
      <c r="N567" s="46"/>
      <c r="O567" s="45">
        <f>SPK!$D$31/SPK!$D$30</f>
        <v>1.0215154389093228</v>
      </c>
      <c r="P567" s="45">
        <f>SPK!$E$31/SPK!$E$30</f>
        <v>0.97935190008557049</v>
      </c>
      <c r="Q567" s="45">
        <f>SPK!$F$31/SPK!$F$30</f>
        <v>0.94952145036585944</v>
      </c>
      <c r="R567" s="45">
        <f>SPK!$G$31/SPK!$G$30</f>
        <v>0.92387325305913992</v>
      </c>
      <c r="S567" s="45">
        <f t="shared" si="135"/>
        <v>-9.7642185850182917E-2</v>
      </c>
      <c r="T567" s="46"/>
      <c r="U567" s="48" t="str">
        <f t="shared" si="136"/>
        <v>NZD 3.52</v>
      </c>
      <c r="V567" s="44" t="str">
        <f t="shared" si="136"/>
        <v>Spark NZ</v>
      </c>
      <c r="AF567" s="39"/>
      <c r="AG567" s="39"/>
      <c r="AH567" s="39"/>
      <c r="AI567" s="39"/>
      <c r="AJ567" s="39"/>
      <c r="AK567" s="39"/>
      <c r="AL567" s="39"/>
      <c r="AM567" s="39"/>
      <c r="AN567" s="39"/>
      <c r="AO567" s="39"/>
      <c r="AP567" s="39"/>
      <c r="AQ567" s="39"/>
      <c r="AR567" s="39"/>
      <c r="AS567" s="39"/>
      <c r="AT567" s="39"/>
      <c r="AU567" s="39"/>
      <c r="AV567" s="39"/>
      <c r="AW567" s="39"/>
      <c r="AX567" s="39"/>
      <c r="AY567" s="39"/>
      <c r="AZ567" s="39"/>
      <c r="BA567" s="39"/>
      <c r="BB567" s="39"/>
      <c r="BC567" s="39"/>
      <c r="BD567" s="39"/>
      <c r="BE567" s="39"/>
      <c r="BF567" s="39"/>
      <c r="BG567" s="39"/>
      <c r="BH567" s="39"/>
      <c r="BI567" s="39"/>
      <c r="BJ567" s="39"/>
      <c r="BK567" s="39"/>
      <c r="BL567" s="39"/>
      <c r="BM567" s="39"/>
      <c r="BN567" s="39"/>
      <c r="BO567" s="39"/>
      <c r="BP567" s="39"/>
      <c r="BQ567" s="39"/>
      <c r="BR567" s="39"/>
      <c r="BS567" s="39"/>
      <c r="BT567" s="39"/>
      <c r="BU567" s="39"/>
      <c r="BV567" s="39"/>
      <c r="BW567" s="39"/>
      <c r="BX567" s="39"/>
      <c r="BY567" s="39"/>
      <c r="BZ567" s="39"/>
      <c r="CA567" s="39"/>
      <c r="CB567" s="39"/>
      <c r="CC567" s="39"/>
      <c r="CD567" s="39"/>
      <c r="CE567" s="39"/>
      <c r="CF567" s="39"/>
      <c r="CG567" s="39"/>
      <c r="CH567" s="39"/>
      <c r="CI567" s="39"/>
      <c r="CJ567" s="39"/>
      <c r="CK567" s="39"/>
      <c r="CL567" s="39"/>
      <c r="CM567" s="39"/>
      <c r="CN567" s="39"/>
      <c r="CO567" s="39"/>
      <c r="CP567" s="39"/>
      <c r="CQ567" s="39"/>
      <c r="CR567" s="39"/>
      <c r="CS567" s="39"/>
      <c r="CT567" s="39"/>
      <c r="CU567" s="39"/>
      <c r="CV567" s="39"/>
      <c r="CW567" s="39"/>
      <c r="CX567" s="39"/>
      <c r="CY567" s="39"/>
      <c r="CZ567" s="39"/>
      <c r="DA567" s="39"/>
      <c r="DB567" s="39"/>
      <c r="DC567" s="39"/>
      <c r="DD567" s="39"/>
      <c r="DE567" s="39"/>
      <c r="DF567" s="39"/>
      <c r="DG567" s="39"/>
      <c r="DH567" s="39"/>
      <c r="DI567" s="39"/>
    </row>
    <row r="568" spans="1:113">
      <c r="A568" s="41"/>
      <c r="C568" s="48" t="str">
        <f t="shared" si="133"/>
        <v>SingTel</v>
      </c>
      <c r="D568" s="44" t="str">
        <f t="shared" si="133"/>
        <v>SGD 3.13</v>
      </c>
      <c r="E568" s="44" t="str">
        <f t="shared" si="133"/>
        <v>SGD 4.60</v>
      </c>
      <c r="F568" s="45">
        <f t="shared" si="133"/>
        <v>0.46964856230031948</v>
      </c>
      <c r="G568" s="44" t="str">
        <f t="shared" si="133"/>
        <v>Buy</v>
      </c>
      <c r="H568" s="46"/>
      <c r="I568" s="45">
        <f>SINGTEL!$D$31/SINGTEL!$D$29</f>
        <v>1.3160212241653415</v>
      </c>
      <c r="J568" s="45">
        <f>SINGTEL!$E$31/SINGTEL!$E$29</f>
        <v>2.4899557160384709</v>
      </c>
      <c r="K568" s="45">
        <f>SINGTEL!$F$31/SINGTEL!$F$29</f>
        <v>1.2881193326402518</v>
      </c>
      <c r="L568" s="45">
        <f>SINGTEL!$G$31/SINGTEL!$G$29</f>
        <v>1.2665811955439454</v>
      </c>
      <c r="M568" s="45">
        <f t="shared" si="134"/>
        <v>-4.944002862139607E-2</v>
      </c>
      <c r="N568" s="46"/>
      <c r="O568" s="45">
        <f>SINGTEL!$D$31/SINGTEL!$D$30</f>
        <v>3.1236881132075465</v>
      </c>
      <c r="P568" s="45">
        <f>SINGTEL!$E$31/SINGTEL!$E$30</f>
        <v>1.19285288483829</v>
      </c>
      <c r="Q568" s="45">
        <f>SINGTEL!$F$31/SINGTEL!$F$30</f>
        <v>1.1401524531944243</v>
      </c>
      <c r="R568" s="45">
        <f>SINGTEL!$G$31/SINGTEL!$G$30</f>
        <v>1.1022221749493575</v>
      </c>
      <c r="S568" s="45">
        <f t="shared" si="135"/>
        <v>-2.021465938258189</v>
      </c>
      <c r="T568" s="46"/>
      <c r="U568" s="48" t="str">
        <f t="shared" si="136"/>
        <v>SGD 3.13</v>
      </c>
      <c r="V568" s="44" t="str">
        <f t="shared" si="136"/>
        <v>SingTel</v>
      </c>
      <c r="AF568" s="39"/>
      <c r="AG568" s="39"/>
      <c r="AH568" s="39"/>
      <c r="AI568" s="39"/>
      <c r="AJ568" s="39"/>
      <c r="AK568" s="39"/>
      <c r="AL568" s="39"/>
      <c r="AM568" s="39"/>
      <c r="AN568" s="39"/>
      <c r="AO568" s="39"/>
      <c r="AP568" s="39"/>
      <c r="AQ568" s="39"/>
      <c r="AR568" s="39"/>
      <c r="AS568" s="39"/>
      <c r="AT568" s="39"/>
      <c r="AU568" s="39"/>
      <c r="AV568" s="39"/>
      <c r="AW568" s="39"/>
      <c r="AX568" s="39"/>
      <c r="AY568" s="39"/>
      <c r="AZ568" s="39"/>
      <c r="BA568" s="39"/>
      <c r="BB568" s="39"/>
      <c r="BC568" s="39"/>
      <c r="BD568" s="39"/>
      <c r="BE568" s="39"/>
      <c r="BF568" s="39"/>
      <c r="BG568" s="39"/>
      <c r="BH568" s="39"/>
      <c r="BI568" s="39"/>
      <c r="BJ568" s="39"/>
      <c r="BK568" s="39"/>
      <c r="BL568" s="39"/>
      <c r="BM568" s="39"/>
      <c r="BN568" s="39"/>
      <c r="BO568" s="39"/>
      <c r="BP568" s="39"/>
      <c r="BQ568" s="39"/>
      <c r="BR568" s="39"/>
      <c r="BS568" s="39"/>
      <c r="BT568" s="39"/>
      <c r="BU568" s="39"/>
      <c r="BV568" s="39"/>
      <c r="BW568" s="39"/>
      <c r="BX568" s="39"/>
      <c r="BY568" s="39"/>
      <c r="BZ568" s="39"/>
      <c r="CA568" s="39"/>
      <c r="CB568" s="39"/>
      <c r="CC568" s="39"/>
      <c r="CD568" s="39"/>
      <c r="CE568" s="39"/>
      <c r="CF568" s="39"/>
      <c r="CG568" s="39"/>
      <c r="CH568" s="39"/>
      <c r="CI568" s="39"/>
      <c r="CJ568" s="39"/>
      <c r="CK568" s="39"/>
      <c r="CL568" s="39"/>
      <c r="CM568" s="39"/>
      <c r="CN568" s="39"/>
      <c r="CO568" s="39"/>
      <c r="CP568" s="39"/>
      <c r="CQ568" s="39"/>
      <c r="CR568" s="39"/>
      <c r="CS568" s="39"/>
      <c r="CT568" s="39"/>
      <c r="CU568" s="39"/>
      <c r="CV568" s="39"/>
      <c r="CW568" s="39"/>
      <c r="CX568" s="39"/>
      <c r="CY568" s="39"/>
      <c r="CZ568" s="39"/>
      <c r="DA568" s="39"/>
      <c r="DB568" s="39"/>
      <c r="DC568" s="39"/>
      <c r="DD568" s="39"/>
      <c r="DE568" s="39"/>
      <c r="DF568" s="39"/>
      <c r="DG568" s="39"/>
      <c r="DH568" s="39"/>
      <c r="DI568" s="39"/>
    </row>
    <row r="569" spans="1:113">
      <c r="A569" s="41"/>
      <c r="C569" s="48" t="str">
        <f t="shared" si="133"/>
        <v xml:space="preserve">Telstra </v>
      </c>
      <c r="D569" s="44" t="str">
        <f t="shared" si="133"/>
        <v>AUD 3.93</v>
      </c>
      <c r="E569" s="44" t="str">
        <f t="shared" si="133"/>
        <v>AUD 3.50</v>
      </c>
      <c r="F569" s="45">
        <f t="shared" si="133"/>
        <v>-0.10941475826972014</v>
      </c>
      <c r="G569" s="44" t="str">
        <f t="shared" si="133"/>
        <v>Buy</v>
      </c>
      <c r="H569" s="46"/>
      <c r="I569" s="45">
        <f>TLS!$D$31/TLS!$D$29</f>
        <v>0.39961644605460811</v>
      </c>
      <c r="J569" s="45">
        <f>TLS!$E$31/TLS!$E$29</f>
        <v>0.34366048085890921</v>
      </c>
      <c r="K569" s="45">
        <f>TLS!$F$31/TLS!$F$29</f>
        <v>0.43340137234380699</v>
      </c>
      <c r="L569" s="45">
        <f>TLS!$G$31/TLS!$G$29</f>
        <v>0.47491131263137731</v>
      </c>
      <c r="M569" s="45">
        <f t="shared" si="134"/>
        <v>7.5294866576769204E-2</v>
      </c>
      <c r="N569" s="46"/>
      <c r="O569" s="45">
        <f>TLS!$D$31/TLS!$D$30</f>
        <v>0.63053107295381938</v>
      </c>
      <c r="P569" s="45">
        <f>TLS!$E$31/TLS!$E$30</f>
        <v>0.5913181871697788</v>
      </c>
      <c r="Q569" s="45">
        <f>TLS!$F$31/TLS!$F$30</f>
        <v>0.67635422034683024</v>
      </c>
      <c r="R569" s="45">
        <f>TLS!$G$31/TLS!$G$30</f>
        <v>0.70617104309422285</v>
      </c>
      <c r="S569" s="45">
        <f t="shared" si="135"/>
        <v>7.5639970140403467E-2</v>
      </c>
      <c r="T569" s="46"/>
      <c r="U569" s="48" t="str">
        <f t="shared" si="136"/>
        <v>AUD 3.93</v>
      </c>
      <c r="V569" s="44" t="str">
        <f t="shared" si="136"/>
        <v>Telstra</v>
      </c>
      <c r="AF569" s="39"/>
      <c r="AG569" s="39"/>
      <c r="AH569" s="39"/>
      <c r="AI569" s="39"/>
      <c r="AJ569" s="39"/>
      <c r="AK569" s="39"/>
      <c r="AL569" s="39"/>
      <c r="AM569" s="39"/>
      <c r="AN569" s="39"/>
      <c r="AO569" s="39"/>
      <c r="AP569" s="39"/>
      <c r="AQ569" s="39"/>
      <c r="AR569" s="39"/>
      <c r="AS569" s="39"/>
      <c r="AT569" s="39"/>
      <c r="AU569" s="39"/>
      <c r="AV569" s="39"/>
      <c r="AW569" s="39"/>
      <c r="AX569" s="39"/>
      <c r="AY569" s="39"/>
      <c r="AZ569" s="39"/>
      <c r="BA569" s="39"/>
      <c r="BB569" s="39"/>
      <c r="BC569" s="39"/>
      <c r="BD569" s="39"/>
      <c r="BE569" s="39"/>
      <c r="BF569" s="39"/>
      <c r="BG569" s="39"/>
      <c r="BH569" s="39"/>
      <c r="BI569" s="39"/>
      <c r="BJ569" s="39"/>
      <c r="BK569" s="39"/>
      <c r="BL569" s="39"/>
      <c r="BM569" s="39"/>
      <c r="BN569" s="39"/>
      <c r="BO569" s="39"/>
      <c r="BP569" s="39"/>
      <c r="BQ569" s="39"/>
      <c r="BR569" s="39"/>
      <c r="BS569" s="39"/>
      <c r="BT569" s="39"/>
      <c r="BU569" s="39"/>
      <c r="BV569" s="39"/>
      <c r="BW569" s="39"/>
      <c r="BX569" s="39"/>
      <c r="BY569" s="39"/>
      <c r="BZ569" s="39"/>
      <c r="CA569" s="39"/>
      <c r="CB569" s="39"/>
      <c r="CC569" s="39"/>
      <c r="CD569" s="39"/>
      <c r="CE569" s="39"/>
      <c r="CF569" s="39"/>
      <c r="CG569" s="39"/>
      <c r="CH569" s="39"/>
      <c r="CI569" s="39"/>
      <c r="CJ569" s="39"/>
      <c r="CK569" s="39"/>
      <c r="CL569" s="39"/>
      <c r="CM569" s="39"/>
      <c r="CN569" s="39"/>
      <c r="CO569" s="39"/>
      <c r="CP569" s="39"/>
      <c r="CQ569" s="39"/>
      <c r="CR569" s="39"/>
      <c r="CS569" s="39"/>
      <c r="CT569" s="39"/>
      <c r="CU569" s="39"/>
      <c r="CV569" s="39"/>
      <c r="CW569" s="39"/>
      <c r="CX569" s="39"/>
      <c r="CY569" s="39"/>
      <c r="CZ569" s="39"/>
      <c r="DA569" s="39"/>
      <c r="DB569" s="39"/>
      <c r="DC569" s="39"/>
      <c r="DD569" s="39"/>
      <c r="DE569" s="39"/>
      <c r="DF569" s="39"/>
      <c r="DG569" s="39"/>
      <c r="DH569" s="39"/>
      <c r="DI569" s="39"/>
    </row>
    <row r="570" spans="1:113">
      <c r="A570" s="41"/>
      <c r="C570" s="51" t="str">
        <f>C510</f>
        <v>Agg. Developed Asia Incumbent</v>
      </c>
      <c r="D570" s="58"/>
      <c r="E570" s="58"/>
      <c r="F570" s="55"/>
      <c r="G570" s="58"/>
      <c r="H570" s="56"/>
      <c r="I570" s="55">
        <f>'DM ASIA INCUMB'!$D$31/'DM ASIA INCUMB'!$D$29</f>
        <v>0.61964672604406157</v>
      </c>
      <c r="J570" s="55">
        <f>'DM ASIA INCUMB'!$E$31/'DM ASIA INCUMB'!$E$29</f>
        <v>0.71578350248848877</v>
      </c>
      <c r="K570" s="55">
        <f>'DM ASIA INCUMB'!$F$31/'DM ASIA INCUMB'!$F$29</f>
        <v>0.62578520561488971</v>
      </c>
      <c r="L570" s="55">
        <f>'DM ASIA INCUMB'!$G$31/'DM ASIA INCUMB'!$G$29</f>
        <v>0.63623659549392442</v>
      </c>
      <c r="M570" s="55">
        <f t="shared" si="134"/>
        <v>1.6589869449862849E-2</v>
      </c>
      <c r="N570" s="56"/>
      <c r="O570" s="55">
        <f>'DM ASIA INCUMB'!$D$31/'DM ASIA INCUMB'!$D$30</f>
        <v>0.56253874110101854</v>
      </c>
      <c r="P570" s="55">
        <f>'DM ASIA INCUMB'!$E$31/'DM ASIA INCUMB'!$E$30</f>
        <v>0.60086008413042413</v>
      </c>
      <c r="Q570" s="55">
        <f>'DM ASIA INCUMB'!$F$31/'DM ASIA INCUMB'!$F$30</f>
        <v>0.56267144793440849</v>
      </c>
      <c r="R570" s="55">
        <f>'DM ASIA INCUMB'!$G$31/'DM ASIA INCUMB'!$G$30</f>
        <v>0.5755918790577359</v>
      </c>
      <c r="S570" s="55">
        <f t="shared" si="135"/>
        <v>1.3053137956717364E-2</v>
      </c>
      <c r="T570" s="56"/>
      <c r="U570" s="51"/>
      <c r="V570" s="58" t="str">
        <f>V510</f>
        <v xml:space="preserve">Agg. Developed Asia Incumbent </v>
      </c>
      <c r="AF570" s="39"/>
      <c r="AG570" s="39"/>
      <c r="AH570" s="39"/>
      <c r="AI570" s="39"/>
      <c r="AJ570" s="39"/>
      <c r="AK570" s="39"/>
      <c r="AL570" s="39"/>
      <c r="AM570" s="39"/>
      <c r="AN570" s="39"/>
      <c r="AO570" s="39"/>
      <c r="AP570" s="39"/>
      <c r="AQ570" s="39"/>
      <c r="AR570" s="39"/>
      <c r="AS570" s="39"/>
      <c r="AT570" s="39"/>
      <c r="AU570" s="39"/>
      <c r="AV570" s="39"/>
      <c r="AW570" s="39"/>
      <c r="AX570" s="39"/>
      <c r="AY570" s="39"/>
      <c r="AZ570" s="39"/>
      <c r="BA570" s="39"/>
      <c r="BB570" s="39"/>
      <c r="BC570" s="39"/>
      <c r="BD570" s="39"/>
      <c r="BE570" s="39"/>
      <c r="BF570" s="39"/>
      <c r="BG570" s="39"/>
      <c r="BH570" s="39"/>
      <c r="BI570" s="39"/>
      <c r="BJ570" s="39"/>
      <c r="BK570" s="39"/>
      <c r="BL570" s="39"/>
      <c r="BM570" s="39"/>
      <c r="BN570" s="39"/>
      <c r="BO570" s="39"/>
      <c r="BP570" s="39"/>
      <c r="BQ570" s="39"/>
      <c r="BR570" s="39"/>
      <c r="BS570" s="39"/>
      <c r="BT570" s="39"/>
      <c r="BU570" s="39"/>
      <c r="BV570" s="39"/>
      <c r="BW570" s="39"/>
      <c r="BX570" s="39"/>
      <c r="BY570" s="39"/>
      <c r="BZ570" s="39"/>
      <c r="CA570" s="39"/>
      <c r="CB570" s="39"/>
      <c r="CC570" s="39"/>
      <c r="CD570" s="39"/>
      <c r="CE570" s="39"/>
      <c r="CF570" s="39"/>
      <c r="CG570" s="39"/>
      <c r="CH570" s="39"/>
      <c r="CI570" s="39"/>
      <c r="CJ570" s="39"/>
      <c r="CK570" s="39"/>
      <c r="CL570" s="39"/>
      <c r="CM570" s="39"/>
      <c r="CN570" s="39"/>
      <c r="CO570" s="39"/>
      <c r="CP570" s="39"/>
      <c r="CQ570" s="39"/>
      <c r="CR570" s="39"/>
      <c r="CS570" s="39"/>
      <c r="CT570" s="39"/>
      <c r="CU570" s="39"/>
      <c r="CV570" s="39"/>
      <c r="CW570" s="39"/>
      <c r="CX570" s="39"/>
      <c r="CY570" s="39"/>
      <c r="CZ570" s="39"/>
      <c r="DA570" s="39"/>
      <c r="DB570" s="39"/>
      <c r="DC570" s="39"/>
      <c r="DD570" s="39"/>
      <c r="DE570" s="39"/>
      <c r="DF570" s="39"/>
      <c r="DG570" s="39"/>
      <c r="DH570" s="39"/>
      <c r="DI570" s="39"/>
    </row>
    <row r="571" spans="1:113">
      <c r="A571" s="41"/>
      <c r="C571" s="43"/>
      <c r="D571" s="50"/>
      <c r="E571" s="50"/>
      <c r="F571" s="61"/>
      <c r="G571" s="50"/>
      <c r="H571" s="56"/>
      <c r="I571" s="61"/>
      <c r="J571" s="61"/>
      <c r="K571" s="61"/>
      <c r="L571" s="61"/>
      <c r="M571" s="61"/>
      <c r="N571" s="56"/>
      <c r="O571" s="61"/>
      <c r="P571" s="61"/>
      <c r="Q571" s="61"/>
      <c r="R571" s="61"/>
      <c r="S571" s="61"/>
      <c r="T571" s="56"/>
      <c r="U571" s="43"/>
      <c r="V571" s="50"/>
      <c r="AF571" s="39"/>
      <c r="AG571" s="39"/>
      <c r="AH571" s="39"/>
      <c r="AI571" s="39"/>
      <c r="AJ571" s="39"/>
      <c r="AK571" s="39"/>
      <c r="AL571" s="39"/>
      <c r="AM571" s="39"/>
      <c r="AN571" s="39"/>
      <c r="AO571" s="39"/>
      <c r="AP571" s="39"/>
      <c r="AQ571" s="39"/>
      <c r="AR571" s="39"/>
      <c r="AS571" s="39"/>
      <c r="AT571" s="39"/>
      <c r="AU571" s="39"/>
      <c r="AV571" s="39"/>
      <c r="AW571" s="39"/>
      <c r="AX571" s="39"/>
      <c r="AY571" s="39"/>
      <c r="AZ571" s="39"/>
      <c r="BA571" s="39"/>
      <c r="BB571" s="39"/>
      <c r="BC571" s="39"/>
      <c r="BD571" s="39"/>
      <c r="BE571" s="39"/>
      <c r="BF571" s="39"/>
      <c r="BG571" s="39"/>
      <c r="BH571" s="39"/>
      <c r="BI571" s="39"/>
      <c r="BJ571" s="39"/>
      <c r="BK571" s="39"/>
      <c r="BL571" s="39"/>
      <c r="BM571" s="39"/>
      <c r="BN571" s="39"/>
      <c r="BO571" s="39"/>
      <c r="BP571" s="39"/>
      <c r="BQ571" s="39"/>
      <c r="BR571" s="39"/>
      <c r="BS571" s="39"/>
      <c r="BT571" s="39"/>
      <c r="BU571" s="39"/>
      <c r="BV571" s="39"/>
      <c r="BW571" s="39"/>
      <c r="BX571" s="39"/>
      <c r="BY571" s="39"/>
      <c r="BZ571" s="39"/>
      <c r="CA571" s="39"/>
      <c r="CB571" s="39"/>
      <c r="CC571" s="39"/>
      <c r="CD571" s="39"/>
      <c r="CE571" s="39"/>
      <c r="CF571" s="39"/>
      <c r="CG571" s="39"/>
      <c r="CH571" s="39"/>
      <c r="CI571" s="39"/>
      <c r="CJ571" s="39"/>
      <c r="CK571" s="39"/>
      <c r="CL571" s="39"/>
      <c r="CM571" s="39"/>
      <c r="CN571" s="39"/>
      <c r="CO571" s="39"/>
      <c r="CP571" s="39"/>
      <c r="CQ571" s="39"/>
      <c r="CR571" s="39"/>
      <c r="CS571" s="39"/>
      <c r="CT571" s="39"/>
      <c r="CU571" s="39"/>
      <c r="CV571" s="39"/>
      <c r="CW571" s="39"/>
      <c r="CX571" s="39"/>
      <c r="CY571" s="39"/>
      <c r="CZ571" s="39"/>
      <c r="DA571" s="39"/>
      <c r="DB571" s="39"/>
      <c r="DC571" s="39"/>
      <c r="DD571" s="39"/>
      <c r="DE571" s="39"/>
      <c r="DF571" s="39"/>
      <c r="DG571" s="39"/>
      <c r="DH571" s="39"/>
      <c r="DI571" s="39"/>
    </row>
    <row r="572" spans="1:113">
      <c r="A572" s="41"/>
      <c r="C572" s="51" t="s">
        <v>857</v>
      </c>
      <c r="D572" s="58"/>
      <c r="E572" s="58"/>
      <c r="F572" s="55"/>
      <c r="G572" s="58"/>
      <c r="H572" s="56"/>
      <c r="I572" s="55">
        <f>'AGG DM INCUMB'!$D$31/'AGG DM INCUMB'!$D$29</f>
        <v>0.54373313702277459</v>
      </c>
      <c r="J572" s="55">
        <f>'AGG DM INCUMB'!$E$31/'AGG DM INCUMB'!$E$29</f>
        <v>0.63494629475352282</v>
      </c>
      <c r="K572" s="55">
        <f>'AGG DM INCUMB'!$F$31/'AGG DM INCUMB'!$F$29</f>
        <v>0.6018429159399411</v>
      </c>
      <c r="L572" s="55">
        <f>'AGG DM INCUMB'!$G$31/'AGG DM INCUMB'!$G$29</f>
        <v>0.58569728685359002</v>
      </c>
      <c r="M572" s="55">
        <f>L572-I572</f>
        <v>4.1964149830815423E-2</v>
      </c>
      <c r="N572" s="56"/>
      <c r="O572" s="55">
        <f>'AGG DM INCUMB'!$D$31/'AGG DM INCUMB'!$D$30</f>
        <v>0.52524402706347351</v>
      </c>
      <c r="P572" s="55">
        <f>'AGG DM INCUMB'!$E$31/'AGG DM INCUMB'!$E$30</f>
        <v>0.56052398854315388</v>
      </c>
      <c r="Q572" s="55">
        <f>'AGG DM INCUMB'!$F$31/'AGG DM INCUMB'!$F$30</f>
        <v>0.52653203166201334</v>
      </c>
      <c r="R572" s="55">
        <f>'AGG DM INCUMB'!$G$31/'AGG DM INCUMB'!$G$30</f>
        <v>0.51497503415796997</v>
      </c>
      <c r="S572" s="55">
        <f>R572-O572</f>
        <v>-1.0268992905503538E-2</v>
      </c>
      <c r="T572" s="56"/>
      <c r="U572" s="51"/>
      <c r="V572" s="58" t="str">
        <f>C572</f>
        <v>Agg. DM Incumbent total</v>
      </c>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39"/>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row>
    <row r="573" spans="1:113">
      <c r="A573" s="41"/>
      <c r="C573" s="41"/>
      <c r="D573" s="44"/>
      <c r="E573" s="44"/>
      <c r="F573" s="45"/>
      <c r="G573" s="44"/>
      <c r="H573" s="46"/>
      <c r="I573" s="45"/>
      <c r="J573" s="45"/>
      <c r="K573" s="45"/>
      <c r="L573" s="45"/>
      <c r="M573" s="45"/>
      <c r="N573" s="46"/>
      <c r="O573" s="45"/>
      <c r="P573" s="45"/>
      <c r="Q573" s="45"/>
      <c r="R573" s="45"/>
      <c r="S573" s="45"/>
      <c r="T573" s="46"/>
      <c r="U573" s="48"/>
      <c r="V573" s="50"/>
      <c r="AF573" s="39"/>
      <c r="AG573" s="39"/>
      <c r="AH573" s="39"/>
      <c r="AI573" s="39"/>
      <c r="AJ573" s="39"/>
      <c r="AK573" s="39"/>
      <c r="AL573" s="39"/>
      <c r="AM573" s="39"/>
      <c r="AN573" s="39"/>
      <c r="AO573" s="39"/>
      <c r="AP573" s="39"/>
      <c r="AQ573" s="39"/>
      <c r="AR573" s="39"/>
      <c r="AS573" s="39"/>
      <c r="AT573" s="39"/>
      <c r="AU573" s="39"/>
      <c r="AV573" s="39"/>
      <c r="AW573" s="39"/>
      <c r="AX573" s="39"/>
      <c r="AY573" s="39"/>
      <c r="AZ573" s="39"/>
      <c r="BA573" s="39"/>
      <c r="BB573" s="39"/>
      <c r="BC573" s="39"/>
      <c r="BD573" s="39"/>
      <c r="BE573" s="39"/>
      <c r="BF573" s="39"/>
      <c r="BG573" s="39"/>
      <c r="BH573" s="39"/>
      <c r="BI573" s="39"/>
      <c r="BJ573" s="39"/>
      <c r="BK573" s="39"/>
      <c r="BL573" s="39"/>
      <c r="BM573" s="39"/>
      <c r="BN573" s="39"/>
      <c r="BO573" s="39"/>
      <c r="BP573" s="39"/>
      <c r="BQ573" s="39"/>
      <c r="BR573" s="39"/>
      <c r="BS573" s="39"/>
      <c r="BT573" s="39"/>
      <c r="BU573" s="39"/>
      <c r="BV573" s="39"/>
      <c r="BW573" s="39"/>
      <c r="BX573" s="39"/>
      <c r="BY573" s="39"/>
      <c r="BZ573" s="39"/>
      <c r="CA573" s="39"/>
      <c r="CB573" s="39"/>
      <c r="CC573" s="39"/>
      <c r="CD573" s="39"/>
      <c r="CE573" s="39"/>
      <c r="CF573" s="39"/>
      <c r="CG573" s="39"/>
      <c r="CH573" s="39"/>
      <c r="CI573" s="39"/>
      <c r="CJ573" s="39"/>
      <c r="CK573" s="39"/>
      <c r="CL573" s="39"/>
      <c r="CM573" s="39"/>
      <c r="CN573" s="39"/>
      <c r="CO573" s="39"/>
      <c r="CP573" s="39"/>
      <c r="CQ573" s="39"/>
      <c r="CR573" s="39"/>
      <c r="CS573" s="39"/>
      <c r="CT573" s="39"/>
      <c r="CU573" s="39"/>
      <c r="CV573" s="39"/>
      <c r="CW573" s="39"/>
      <c r="CX573" s="39"/>
      <c r="CY573" s="39"/>
      <c r="CZ573" s="39"/>
      <c r="DA573" s="39"/>
      <c r="DB573" s="39"/>
      <c r="DC573" s="39"/>
      <c r="DD573" s="39"/>
      <c r="DE573" s="39"/>
      <c r="DF573" s="39"/>
      <c r="DG573" s="39"/>
      <c r="DH573" s="39"/>
      <c r="DI573" s="39"/>
    </row>
    <row r="574" spans="1:113">
      <c r="A574" s="41" t="s">
        <v>1374</v>
      </c>
      <c r="C574" s="48" t="str">
        <f t="shared" ref="C574:G581" si="137">C514</f>
        <v>1&amp;1</v>
      </c>
      <c r="D574" s="44" t="str">
        <f t="shared" si="137"/>
        <v>EUR 14.0</v>
      </c>
      <c r="E574" s="44" t="str">
        <f t="shared" si="137"/>
        <v>EUR 26.0</v>
      </c>
      <c r="F574" s="45">
        <f t="shared" si="137"/>
        <v>0.85449358059914404</v>
      </c>
      <c r="G574" s="44" t="str">
        <f t="shared" si="137"/>
        <v>Buy</v>
      </c>
      <c r="H574" s="46"/>
      <c r="I574" s="45">
        <f>DRI!$D$31/DRI!$D$29</f>
        <v>-7.0360563284723343E-2</v>
      </c>
      <c r="J574" s="45">
        <f>DRI!$E$31/DRI!$E$29</f>
        <v>-3.2905101173657365E-2</v>
      </c>
      <c r="K574" s="45">
        <f>DRI!$F$31/DRI!$F$29</f>
        <v>-3.7708711027023334</v>
      </c>
      <c r="L574" s="45">
        <f>DRI!$G$31/DRI!$G$29</f>
        <v>1.3346147054737605</v>
      </c>
      <c r="M574" s="45">
        <f t="shared" ref="M574:M580" si="138">L574-I574</f>
        <v>1.4049752687584838</v>
      </c>
      <c r="N574" s="46"/>
      <c r="O574" s="45">
        <f>DRI!$D$31/DRI!$D$30</f>
        <v>2.7988513891093827E-2</v>
      </c>
      <c r="P574" s="45">
        <f>DRI!$E$31/DRI!$E$30</f>
        <v>2.9114090359707703E-2</v>
      </c>
      <c r="Q574" s="45">
        <f>DRI!$F$31/DRI!$F$30</f>
        <v>0.58519636460174418</v>
      </c>
      <c r="R574" s="45">
        <f>DRI!$G$31/DRI!$G$30</f>
        <v>0.55841512473464539</v>
      </c>
      <c r="S574" s="45">
        <f>R574-O574</f>
        <v>0.53042661084355158</v>
      </c>
      <c r="T574" s="46"/>
      <c r="U574" s="48" t="str">
        <f t="shared" ref="U574:V580" si="139">U514</f>
        <v>EUR 14.0</v>
      </c>
      <c r="V574" s="44" t="str">
        <f t="shared" si="139"/>
        <v>1&amp;1</v>
      </c>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row>
    <row r="575" spans="1:113">
      <c r="C575" s="48" t="str">
        <f t="shared" si="137"/>
        <v>Elisa</v>
      </c>
      <c r="D575" s="44" t="str">
        <f t="shared" si="137"/>
        <v>EUR 46.6</v>
      </c>
      <c r="E575" s="44" t="str">
        <f t="shared" si="137"/>
        <v>EUR 53.0</v>
      </c>
      <c r="F575" s="45">
        <f t="shared" si="137"/>
        <v>0.13831615120274909</v>
      </c>
      <c r="G575" s="44" t="str">
        <f t="shared" si="137"/>
        <v>Neutral</v>
      </c>
      <c r="H575" s="46"/>
      <c r="I575" s="45">
        <f>ELISA!$D$31/ELISA!$D$29</f>
        <v>1.0455709267761863</v>
      </c>
      <c r="J575" s="45">
        <f>ELISA!$E$31/ELISA!$E$29</f>
        <v>0.99294175650941641</v>
      </c>
      <c r="K575" s="45">
        <f>ELISA!$F$31/ELISA!$F$29</f>
        <v>0.90067574555132479</v>
      </c>
      <c r="L575" s="45">
        <f>ELISA!$G$31/ELISA!$G$29</f>
        <v>0.91590412913059871</v>
      </c>
      <c r="M575" s="45">
        <f t="shared" si="138"/>
        <v>-0.12966679764558764</v>
      </c>
      <c r="N575" s="46"/>
      <c r="O575" s="45">
        <f>ELISA!$D$31/ELISA!$D$30</f>
        <v>0.94316883743989266</v>
      </c>
      <c r="P575" s="45">
        <f>ELISA!$E$31/ELISA!$E$30</f>
        <v>0.97991500469905279</v>
      </c>
      <c r="Q575" s="45">
        <f>ELISA!$F$31/ELISA!$F$30</f>
        <v>0.9775639796055845</v>
      </c>
      <c r="R575" s="45">
        <f>ELISA!$G$31/ELISA!$G$30</f>
        <v>0.97508156792298928</v>
      </c>
      <c r="S575" s="45">
        <f t="shared" ref="S575:S582" si="140">R575-O575</f>
        <v>3.1912730483096619E-2</v>
      </c>
      <c r="T575" s="46"/>
      <c r="U575" s="48" t="str">
        <f t="shared" si="139"/>
        <v>EUR 46.6</v>
      </c>
      <c r="V575" s="44" t="str">
        <f t="shared" si="139"/>
        <v>Elisa</v>
      </c>
      <c r="AF575" s="39"/>
      <c r="AG575" s="39"/>
      <c r="AH575" s="39"/>
      <c r="AI575" s="39"/>
      <c r="AJ575" s="39"/>
      <c r="AK575" s="39"/>
      <c r="AL575" s="39"/>
      <c r="AM575" s="39"/>
      <c r="AN575" s="39"/>
      <c r="AO575" s="39"/>
      <c r="AP575" s="39"/>
      <c r="AQ575" s="39"/>
      <c r="AR575" s="39"/>
      <c r="AS575" s="39"/>
      <c r="AT575" s="39"/>
      <c r="AU575" s="39"/>
      <c r="AV575" s="39"/>
      <c r="AW575" s="39"/>
      <c r="AX575" s="39"/>
      <c r="AY575" s="39"/>
      <c r="AZ575" s="39"/>
      <c r="BA575" s="39"/>
      <c r="BB575" s="39"/>
      <c r="BC575" s="39"/>
      <c r="BD575" s="39"/>
      <c r="BE575" s="39"/>
      <c r="BF575" s="39"/>
      <c r="BG575" s="39"/>
      <c r="BH575" s="39"/>
      <c r="BI575" s="39"/>
      <c r="BJ575" s="39"/>
      <c r="BK575" s="39"/>
      <c r="BL575" s="39"/>
      <c r="BM575" s="39"/>
      <c r="BN575" s="39"/>
      <c r="BO575" s="39"/>
      <c r="BP575" s="39"/>
      <c r="BQ575" s="39"/>
      <c r="BR575" s="39"/>
      <c r="BS575" s="39"/>
      <c r="BT575" s="39"/>
      <c r="BU575" s="39"/>
      <c r="BV575" s="39"/>
      <c r="BW575" s="39"/>
      <c r="BX575" s="39"/>
      <c r="BY575" s="39"/>
      <c r="BZ575" s="39"/>
      <c r="CA575" s="39"/>
      <c r="CB575" s="39"/>
      <c r="CC575" s="39"/>
      <c r="CD575" s="39"/>
      <c r="CE575" s="39"/>
      <c r="CF575" s="39"/>
      <c r="CG575" s="39"/>
      <c r="CH575" s="39"/>
      <c r="CI575" s="39"/>
      <c r="CJ575" s="39"/>
      <c r="CK575" s="39"/>
      <c r="CL575" s="39"/>
      <c r="CM575" s="39"/>
      <c r="CN575" s="39"/>
      <c r="CO575" s="39"/>
      <c r="CP575" s="39"/>
      <c r="CQ575" s="39"/>
      <c r="CR575" s="39"/>
      <c r="CS575" s="39"/>
      <c r="CT575" s="39"/>
      <c r="CU575" s="39"/>
      <c r="CV575" s="39"/>
      <c r="CW575" s="39"/>
      <c r="CX575" s="39"/>
      <c r="CY575" s="39"/>
      <c r="CZ575" s="39"/>
      <c r="DA575" s="39"/>
      <c r="DB575" s="39"/>
      <c r="DC575" s="39"/>
      <c r="DD575" s="39"/>
      <c r="DE575" s="39"/>
      <c r="DF575" s="39"/>
      <c r="DG575" s="39"/>
      <c r="DH575" s="39"/>
      <c r="DI575" s="39"/>
    </row>
    <row r="576" spans="1:113">
      <c r="A576" s="41"/>
      <c r="C576" s="48" t="str">
        <f t="shared" si="137"/>
        <v>Liberty Global (prop.)</v>
      </c>
      <c r="D576" s="44" t="str">
        <f t="shared" si="137"/>
        <v>USD 20.3</v>
      </c>
      <c r="E576" s="44" t="str">
        <f t="shared" si="137"/>
        <v>USD 23.0</v>
      </c>
      <c r="F576" s="45">
        <f t="shared" si="137"/>
        <v>0.13356333169048806</v>
      </c>
      <c r="G576" s="44" t="str">
        <f t="shared" si="137"/>
        <v>Neutral</v>
      </c>
      <c r="H576" s="46"/>
      <c r="I576" s="45">
        <f>LBTY!$D$31/LBTY!$D$29</f>
        <v>0</v>
      </c>
      <c r="J576" s="45">
        <f>LBTY!$E$31/LBTY!$E$29</f>
        <v>0</v>
      </c>
      <c r="K576" s="45">
        <f>LBTY!$F$31/LBTY!$F$29</f>
        <v>0</v>
      </c>
      <c r="L576" s="45">
        <f>LBTY!$G$31/LBTY!$G$29</f>
        <v>0</v>
      </c>
      <c r="M576" s="45">
        <f t="shared" si="138"/>
        <v>0</v>
      </c>
      <c r="N576" s="46"/>
      <c r="O576" s="45">
        <f>LBTY!$D$31/LBTY!$D$30</f>
        <v>0</v>
      </c>
      <c r="P576" s="45">
        <f>LBTY!$E$31/LBTY!$E$30</f>
        <v>0</v>
      </c>
      <c r="Q576" s="45">
        <f>LBTY!$F$31/LBTY!$F$30</f>
        <v>0</v>
      </c>
      <c r="R576" s="45">
        <f>LBTY!$G$31/LBTY!$G$30</f>
        <v>0</v>
      </c>
      <c r="S576" s="45">
        <f>R576-O576</f>
        <v>0</v>
      </c>
      <c r="T576" s="46"/>
      <c r="U576" s="48" t="str">
        <f t="shared" si="139"/>
        <v>USD 20.3</v>
      </c>
      <c r="V576" s="44" t="str">
        <f t="shared" si="139"/>
        <v>Liberty Global</v>
      </c>
      <c r="AF576" s="39"/>
      <c r="AG576" s="39"/>
      <c r="AH576" s="39"/>
      <c r="AI576" s="39"/>
      <c r="AJ576" s="39"/>
      <c r="AK576" s="39"/>
      <c r="AL576" s="39"/>
      <c r="AM576" s="39"/>
      <c r="AN576" s="39"/>
      <c r="AO576" s="39"/>
      <c r="AP576" s="39"/>
      <c r="AQ576" s="39"/>
      <c r="AR576" s="39"/>
      <c r="AS576" s="39"/>
      <c r="AT576" s="39"/>
      <c r="AU576" s="39"/>
      <c r="AV576" s="39"/>
      <c r="AW576" s="39"/>
      <c r="AX576" s="39"/>
      <c r="AY576" s="39"/>
      <c r="AZ576" s="39"/>
      <c r="BA576" s="39"/>
      <c r="BB576" s="39"/>
      <c r="BC576" s="39"/>
      <c r="BD576" s="39"/>
      <c r="BE576" s="39"/>
      <c r="BF576" s="39"/>
      <c r="BG576" s="39"/>
      <c r="BH576" s="39"/>
      <c r="BI576" s="39"/>
      <c r="BJ576" s="39"/>
      <c r="BK576" s="39"/>
      <c r="BL576" s="39"/>
      <c r="BM576" s="39"/>
      <c r="BN576" s="39"/>
      <c r="BO576" s="39"/>
      <c r="BP576" s="39"/>
      <c r="BQ576" s="39"/>
      <c r="BR576" s="39"/>
      <c r="BS576" s="39"/>
      <c r="BT576" s="39"/>
      <c r="BU576" s="39"/>
      <c r="BV576" s="39"/>
      <c r="BW576" s="39"/>
      <c r="BX576" s="39"/>
      <c r="BY576" s="39"/>
      <c r="BZ576" s="39"/>
      <c r="CA576" s="39"/>
      <c r="CB576" s="39"/>
      <c r="CC576" s="39"/>
      <c r="CD576" s="39"/>
      <c r="CE576" s="39"/>
      <c r="CF576" s="39"/>
      <c r="CG576" s="39"/>
      <c r="CH576" s="39"/>
      <c r="CI576" s="39"/>
      <c r="CJ576" s="39"/>
      <c r="CK576" s="39"/>
      <c r="CL576" s="39"/>
      <c r="CM576" s="39"/>
      <c r="CN576" s="39"/>
      <c r="CO576" s="39"/>
      <c r="CP576" s="39"/>
      <c r="CQ576" s="39"/>
      <c r="CR576" s="39"/>
      <c r="CS576" s="39"/>
      <c r="CT576" s="39"/>
      <c r="CU576" s="39"/>
      <c r="CV576" s="39"/>
      <c r="CW576" s="39"/>
      <c r="CX576" s="39"/>
      <c r="CY576" s="39"/>
      <c r="CZ576" s="39"/>
      <c r="DA576" s="39"/>
      <c r="DB576" s="39"/>
      <c r="DC576" s="39"/>
      <c r="DD576" s="39"/>
      <c r="DE576" s="39"/>
      <c r="DF576" s="39"/>
      <c r="DG576" s="39"/>
      <c r="DH576" s="39"/>
      <c r="DI576" s="39"/>
    </row>
    <row r="577" spans="1:113">
      <c r="A577" s="41"/>
      <c r="C577" s="48" t="str">
        <f t="shared" si="137"/>
        <v>NOS</v>
      </c>
      <c r="D577" s="44" t="str">
        <f t="shared" si="137"/>
        <v>EUR 3.58</v>
      </c>
      <c r="E577" s="44" t="str">
        <f t="shared" si="137"/>
        <v>EUR 3.70</v>
      </c>
      <c r="F577" s="45">
        <f t="shared" si="137"/>
        <v>3.4965034965035002E-2</v>
      </c>
      <c r="G577" s="44" t="str">
        <f t="shared" si="137"/>
        <v>Neutral</v>
      </c>
      <c r="H577" s="46"/>
      <c r="I577" s="45">
        <f>NOS!$D$31/NOS!$D$29</f>
        <v>0.74487997265442185</v>
      </c>
      <c r="J577" s="45">
        <f>NOS!$E$31/NOS!$E$29</f>
        <v>0.73167597381258831</v>
      </c>
      <c r="K577" s="45">
        <f>NOS!$F$31/NOS!$F$29</f>
        <v>0.68006035648936225</v>
      </c>
      <c r="L577" s="45">
        <f>NOS!$G$31/NOS!$G$29</f>
        <v>0.69779846864016049</v>
      </c>
      <c r="M577" s="45">
        <f t="shared" si="138"/>
        <v>-4.7081504014261366E-2</v>
      </c>
      <c r="N577" s="46"/>
      <c r="O577" s="45">
        <f>NOS!$D$31/NOS!$D$30</f>
        <v>1.2380439125156995</v>
      </c>
      <c r="P577" s="45">
        <f>NOS!$E$31/NOS!$E$30</f>
        <v>1.295302350369415</v>
      </c>
      <c r="Q577" s="45">
        <f>NOS!$F$31/NOS!$F$30</f>
        <v>1.0313438895368887</v>
      </c>
      <c r="R577" s="45">
        <f>NOS!$G$31/NOS!$G$30</f>
        <v>0.99800603551148559</v>
      </c>
      <c r="S577" s="45">
        <f>R577-O577</f>
        <v>-0.24003787700421386</v>
      </c>
      <c r="T577" s="46"/>
      <c r="U577" s="48" t="str">
        <f t="shared" si="139"/>
        <v>EUR 3.58</v>
      </c>
      <c r="V577" s="44" t="str">
        <f t="shared" si="139"/>
        <v>NOS</v>
      </c>
      <c r="AF577" s="39"/>
      <c r="AG577" s="39"/>
      <c r="AH577" s="39"/>
      <c r="AI577" s="39"/>
      <c r="AJ577" s="39"/>
      <c r="AK577" s="39"/>
      <c r="AL577" s="39"/>
      <c r="AM577" s="39"/>
      <c r="AN577" s="39"/>
      <c r="AO577" s="39"/>
      <c r="AP577" s="39"/>
      <c r="AQ577" s="39"/>
      <c r="AR577" s="39"/>
      <c r="AS577" s="39"/>
      <c r="AT577" s="39"/>
      <c r="AU577" s="39"/>
      <c r="AV577" s="39"/>
      <c r="AW577" s="39"/>
      <c r="AX577" s="39"/>
      <c r="AY577" s="39"/>
      <c r="AZ577" s="39"/>
      <c r="BA577" s="39"/>
      <c r="BB577" s="39"/>
      <c r="BC577" s="39"/>
      <c r="BD577" s="39"/>
      <c r="BE577" s="39"/>
      <c r="BF577" s="39"/>
      <c r="BG577" s="39"/>
      <c r="BH577" s="39"/>
      <c r="BI577" s="39"/>
      <c r="BJ577" s="39"/>
      <c r="BK577" s="39"/>
      <c r="BL577" s="39"/>
      <c r="BM577" s="39"/>
      <c r="BN577" s="39"/>
      <c r="BO577" s="39"/>
      <c r="BP577" s="39"/>
      <c r="BQ577" s="39"/>
      <c r="BR577" s="39"/>
      <c r="BS577" s="39"/>
      <c r="BT577" s="39"/>
      <c r="BU577" s="39"/>
      <c r="BV577" s="39"/>
      <c r="BW577" s="39"/>
      <c r="BX577" s="39"/>
      <c r="BY577" s="39"/>
      <c r="BZ577" s="39"/>
      <c r="CA577" s="39"/>
      <c r="CB577" s="39"/>
      <c r="CC577" s="39"/>
      <c r="CD577" s="39"/>
      <c r="CE577" s="39"/>
      <c r="CF577" s="39"/>
      <c r="CG577" s="39"/>
      <c r="CH577" s="39"/>
      <c r="CI577" s="39"/>
      <c r="CJ577" s="39"/>
      <c r="CK577" s="39"/>
      <c r="CL577" s="39"/>
      <c r="CM577" s="39"/>
      <c r="CN577" s="39"/>
      <c r="CO577" s="39"/>
      <c r="CP577" s="39"/>
      <c r="CQ577" s="39"/>
      <c r="CR577" s="39"/>
      <c r="CS577" s="39"/>
      <c r="CT577" s="39"/>
      <c r="CU577" s="39"/>
      <c r="CV577" s="39"/>
      <c r="CW577" s="39"/>
      <c r="CX577" s="39"/>
      <c r="CY577" s="39"/>
      <c r="CZ577" s="39"/>
      <c r="DA577" s="39"/>
      <c r="DB577" s="39"/>
      <c r="DC577" s="39"/>
      <c r="DD577" s="39"/>
      <c r="DE577" s="39"/>
      <c r="DF577" s="39"/>
      <c r="DG577" s="39"/>
      <c r="DH577" s="39"/>
      <c r="DI577" s="39"/>
    </row>
    <row r="578" spans="1:113">
      <c r="C578" s="48" t="str">
        <f t="shared" si="137"/>
        <v>Orange Belgium</v>
      </c>
      <c r="D578" s="44" t="str">
        <f t="shared" si="137"/>
        <v>EUR 14.8</v>
      </c>
      <c r="E578" s="44" t="str">
        <f t="shared" si="137"/>
        <v>EUR 15.0</v>
      </c>
      <c r="F578" s="45">
        <f t="shared" si="137"/>
        <v>1.3513513513513375E-2</v>
      </c>
      <c r="G578" s="44" t="str">
        <f t="shared" si="137"/>
        <v>Neutral</v>
      </c>
      <c r="H578" s="46"/>
      <c r="I578" s="45">
        <f>OBEL!$D$31/OBEL!$D$29</f>
        <v>0</v>
      </c>
      <c r="J578" s="45">
        <f>OBEL!$E$31/OBEL!$E$29</f>
        <v>0</v>
      </c>
      <c r="K578" s="45">
        <f>OBEL!$F$31/OBEL!$F$29</f>
        <v>0</v>
      </c>
      <c r="L578" s="45">
        <f>OBEL!$G$31/OBEL!$G$29</f>
        <v>0</v>
      </c>
      <c r="M578" s="45">
        <f t="shared" si="138"/>
        <v>0</v>
      </c>
      <c r="N578" s="46"/>
      <c r="O578" s="45">
        <f>OBEL!$D$31/OBEL!$D$30</f>
        <v>0</v>
      </c>
      <c r="P578" s="45">
        <f>OBEL!$E$31/OBEL!$E$30</f>
        <v>0</v>
      </c>
      <c r="Q578" s="45">
        <f>OBEL!$F$31/OBEL!$F$30</f>
        <v>0</v>
      </c>
      <c r="R578" s="45">
        <f>OBEL!$G$31/OBEL!$G$30</f>
        <v>0</v>
      </c>
      <c r="S578" s="45">
        <f t="shared" si="140"/>
        <v>0</v>
      </c>
      <c r="T578" s="46"/>
      <c r="U578" s="48" t="str">
        <f t="shared" si="139"/>
        <v>EUR 14.8</v>
      </c>
      <c r="V578" s="44" t="str">
        <f t="shared" si="139"/>
        <v>Mobistar</v>
      </c>
      <c r="AF578" s="39"/>
      <c r="AG578" s="39"/>
      <c r="AH578" s="39"/>
      <c r="AI578" s="39"/>
      <c r="AJ578" s="39"/>
      <c r="AK578" s="39"/>
      <c r="AL578" s="39"/>
      <c r="AM578" s="39"/>
      <c r="AN578" s="39"/>
      <c r="AO578" s="39"/>
      <c r="AP578" s="39"/>
      <c r="AQ578" s="39"/>
      <c r="AR578" s="39"/>
      <c r="AS578" s="39"/>
      <c r="AT578" s="39"/>
      <c r="AU578" s="39"/>
      <c r="AV578" s="39"/>
      <c r="AW578" s="39"/>
      <c r="AX578" s="39"/>
      <c r="AY578" s="39"/>
      <c r="AZ578" s="39"/>
      <c r="BA578" s="39"/>
      <c r="BB578" s="39"/>
      <c r="BC578" s="39"/>
      <c r="BD578" s="39"/>
      <c r="BE578" s="39"/>
      <c r="BF578" s="39"/>
      <c r="BG578" s="39"/>
      <c r="BH578" s="39"/>
      <c r="BI578" s="39"/>
      <c r="BJ578" s="39"/>
      <c r="BK578" s="39"/>
      <c r="BL578" s="39"/>
      <c r="BM578" s="39"/>
      <c r="BN578" s="39"/>
      <c r="BO578" s="39"/>
      <c r="BP578" s="39"/>
      <c r="BQ578" s="39"/>
      <c r="BR578" s="39"/>
      <c r="BS578" s="39"/>
      <c r="BT578" s="39"/>
      <c r="BU578" s="39"/>
      <c r="BV578" s="39"/>
      <c r="BW578" s="39"/>
      <c r="BX578" s="39"/>
      <c r="BY578" s="39"/>
      <c r="BZ578" s="39"/>
      <c r="CA578" s="39"/>
      <c r="CB578" s="39"/>
      <c r="CC578" s="39"/>
      <c r="CD578" s="39"/>
      <c r="CE578" s="39"/>
      <c r="CF578" s="39"/>
      <c r="CG578" s="39"/>
      <c r="CH578" s="39"/>
      <c r="CI578" s="39"/>
      <c r="CJ578" s="39"/>
      <c r="CK578" s="39"/>
      <c r="CL578" s="39"/>
      <c r="CM578" s="39"/>
      <c r="CN578" s="39"/>
      <c r="CO578" s="39"/>
      <c r="CP578" s="39"/>
      <c r="CQ578" s="39"/>
      <c r="CR578" s="39"/>
      <c r="CS578" s="39"/>
      <c r="CT578" s="39"/>
      <c r="CU578" s="39"/>
      <c r="CV578" s="39"/>
      <c r="CW578" s="39"/>
      <c r="CX578" s="39"/>
      <c r="CY578" s="39"/>
      <c r="CZ578" s="39"/>
      <c r="DA578" s="39"/>
      <c r="DB578" s="39"/>
      <c r="DC578" s="39"/>
      <c r="DD578" s="39"/>
      <c r="DE578" s="39"/>
      <c r="DF578" s="39"/>
      <c r="DG578" s="39"/>
      <c r="DH578" s="39"/>
      <c r="DI578" s="39"/>
    </row>
    <row r="579" spans="1:113">
      <c r="C579" s="48" t="str">
        <f t="shared" si="137"/>
        <v>Tele2</v>
      </c>
      <c r="D579" s="44" t="str">
        <f t="shared" si="137"/>
        <v>SEK 117.7</v>
      </c>
      <c r="E579" s="44" t="str">
        <f t="shared" si="137"/>
        <v>SEK 109.0</v>
      </c>
      <c r="F579" s="45">
        <f t="shared" si="137"/>
        <v>-7.3523161920951985E-2</v>
      </c>
      <c r="G579" s="44" t="str">
        <f t="shared" si="137"/>
        <v>Neutral</v>
      </c>
      <c r="H579" s="46"/>
      <c r="I579" s="45">
        <f>TELE2!$D$31/TELE2!$D$29</f>
        <v>0.86223213397618181</v>
      </c>
      <c r="J579" s="45">
        <f>TELE2!$E$31/TELE2!$E$29</f>
        <v>0.9253400062582855</v>
      </c>
      <c r="K579" s="45">
        <f>TELE2!$F$31/TELE2!$F$29</f>
        <v>0.89575248635289295</v>
      </c>
      <c r="L579" s="45">
        <f>TELE2!$G$31/TELE2!$G$29</f>
        <v>0.83011825626114866</v>
      </c>
      <c r="M579" s="45">
        <f t="shared" si="138"/>
        <v>-3.2113877715033157E-2</v>
      </c>
      <c r="N579" s="46"/>
      <c r="O579" s="45">
        <f>TELE2!$D$31/TELE2!$D$30</f>
        <v>1.0697215273838152</v>
      </c>
      <c r="P579" s="45">
        <f>TELE2!$E$31/TELE2!$E$30</f>
        <v>1.1671859891094869</v>
      </c>
      <c r="Q579" s="45">
        <f>TELE2!$F$31/TELE2!$F$30</f>
        <v>1.0967411459626439</v>
      </c>
      <c r="R579" s="45">
        <f>TELE2!$G$31/TELE2!$G$30</f>
        <v>1.0350854513827512</v>
      </c>
      <c r="S579" s="45">
        <f t="shared" si="140"/>
        <v>-3.4636076001063998E-2</v>
      </c>
      <c r="T579" s="46"/>
      <c r="U579" s="48" t="str">
        <f t="shared" si="139"/>
        <v>SEK 117.7</v>
      </c>
      <c r="V579" s="44" t="str">
        <f t="shared" si="139"/>
        <v>Tele2</v>
      </c>
      <c r="AF579" s="39"/>
      <c r="AG579" s="39"/>
      <c r="AH579" s="39"/>
      <c r="AI579" s="39"/>
      <c r="AJ579" s="39"/>
      <c r="AK579" s="39"/>
      <c r="AL579" s="39"/>
      <c r="AM579" s="39"/>
      <c r="AN579" s="39"/>
      <c r="AO579" s="39"/>
      <c r="AP579" s="39"/>
      <c r="AQ579" s="39"/>
      <c r="AR579" s="39"/>
      <c r="AS579" s="39"/>
      <c r="AT579" s="39"/>
      <c r="AU579" s="39"/>
      <c r="AV579" s="39"/>
      <c r="AW579" s="39"/>
      <c r="AX579" s="39"/>
      <c r="AY579" s="39"/>
      <c r="AZ579" s="39"/>
      <c r="BA579" s="39"/>
      <c r="BB579" s="39"/>
      <c r="BC579" s="39"/>
      <c r="BD579" s="39"/>
      <c r="BE579" s="39"/>
      <c r="BF579" s="39"/>
      <c r="BG579" s="39"/>
      <c r="BH579" s="39"/>
      <c r="BI579" s="39"/>
      <c r="BJ579" s="39"/>
      <c r="BK579" s="39"/>
      <c r="BL579" s="39"/>
      <c r="BM579" s="39"/>
      <c r="BN579" s="39"/>
      <c r="BO579" s="39"/>
      <c r="BP579" s="39"/>
      <c r="BQ579" s="39"/>
      <c r="BR579" s="39"/>
      <c r="BS579" s="39"/>
      <c r="BT579" s="39"/>
      <c r="BU579" s="39"/>
      <c r="BV579" s="39"/>
      <c r="BW579" s="39"/>
      <c r="BX579" s="39"/>
      <c r="BY579" s="39"/>
      <c r="BZ579" s="39"/>
      <c r="CA579" s="39"/>
      <c r="CB579" s="39"/>
      <c r="CC579" s="39"/>
      <c r="CD579" s="39"/>
      <c r="CE579" s="39"/>
      <c r="CF579" s="39"/>
      <c r="CG579" s="39"/>
      <c r="CH579" s="39"/>
      <c r="CI579" s="39"/>
      <c r="CJ579" s="39"/>
      <c r="CK579" s="39"/>
      <c r="CL579" s="39"/>
      <c r="CM579" s="39"/>
      <c r="CN579" s="39"/>
      <c r="CO579" s="39"/>
      <c r="CP579" s="39"/>
      <c r="CQ579" s="39"/>
      <c r="CR579" s="39"/>
      <c r="CS579" s="39"/>
      <c r="CT579" s="39"/>
      <c r="CU579" s="39"/>
      <c r="CV579" s="39"/>
      <c r="CW579" s="39"/>
      <c r="CX579" s="39"/>
      <c r="CY579" s="39"/>
      <c r="CZ579" s="39"/>
      <c r="DA579" s="39"/>
      <c r="DB579" s="39"/>
      <c r="DC579" s="39"/>
      <c r="DD579" s="39"/>
      <c r="DE579" s="39"/>
      <c r="DF579" s="39"/>
      <c r="DG579" s="39"/>
      <c r="DH579" s="39"/>
      <c r="DI579" s="39"/>
    </row>
    <row r="580" spans="1:113">
      <c r="A580" s="41"/>
      <c r="C580" s="48" t="str">
        <f t="shared" si="137"/>
        <v>United Internet</v>
      </c>
      <c r="D580" s="44" t="str">
        <f t="shared" si="137"/>
        <v>EUR 19.1</v>
      </c>
      <c r="E580" s="44" t="str">
        <f t="shared" si="137"/>
        <v>EUR 28.0</v>
      </c>
      <c r="F580" s="45">
        <f t="shared" si="137"/>
        <v>0.46904512067156356</v>
      </c>
      <c r="G580" s="44" t="str">
        <f t="shared" si="137"/>
        <v>Buy</v>
      </c>
      <c r="H580" s="46"/>
      <c r="I580" s="45">
        <f>UTDI!$D$31/UTDI!$D$29</f>
        <v>-0.54536482034321887</v>
      </c>
      <c r="J580" s="45">
        <f>UTDI!$E$31/UTDI!$E$29</f>
        <v>-0.18381282749336211</v>
      </c>
      <c r="K580" s="45">
        <f>UTDI!$F$31/UTDI!$F$29</f>
        <v>-1.4573275107805477</v>
      </c>
      <c r="L580" s="45">
        <f>UTDI!$G$31/UTDI!$G$29</f>
        <v>0.41176135793460056</v>
      </c>
      <c r="M580" s="45">
        <f t="shared" si="138"/>
        <v>0.95712617827781943</v>
      </c>
      <c r="N580" s="46"/>
      <c r="O580" s="45">
        <f>UTDI!$D$31/UTDI!$D$30</f>
        <v>0.24623107490817081</v>
      </c>
      <c r="P580" s="45">
        <f>UTDI!$E$31/UTDI!$E$30</f>
        <v>0.20354201077616471</v>
      </c>
      <c r="Q580" s="45">
        <f>UTDI!$F$31/UTDI!$F$30</f>
        <v>0.18831812789541991</v>
      </c>
      <c r="R580" s="45">
        <f>UTDI!$G$31/UTDI!$G$30</f>
        <v>0.18023293523124639</v>
      </c>
      <c r="S580" s="45">
        <f>R580-O580</f>
        <v>-6.5998139676924417E-2</v>
      </c>
      <c r="T580" s="46"/>
      <c r="U580" s="48" t="str">
        <f t="shared" si="139"/>
        <v>EUR 19.1</v>
      </c>
      <c r="V580" s="44" t="str">
        <f t="shared" si="139"/>
        <v>United Internet</v>
      </c>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39"/>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row>
    <row r="581" spans="1:113">
      <c r="C581" s="48" t="str">
        <f t="shared" si="137"/>
        <v>Vodafone</v>
      </c>
      <c r="D581" s="44" t="str">
        <f t="shared" si="137"/>
        <v>GBP 0.77</v>
      </c>
      <c r="E581" s="44" t="str">
        <f t="shared" si="137"/>
        <v>GBP 1.40</v>
      </c>
      <c r="F581" s="45">
        <f t="shared" si="137"/>
        <v>0.80785123966942152</v>
      </c>
      <c r="G581" s="44" t="str">
        <f t="shared" si="137"/>
        <v>Buy</v>
      </c>
      <c r="H581" s="46"/>
      <c r="I581" s="45" t="s">
        <v>115</v>
      </c>
      <c r="J581" s="45" t="s">
        <v>115</v>
      </c>
      <c r="K581" s="45">
        <f>VOD!$F$31/VOD!$F$29</f>
        <v>0.42395108396650749</v>
      </c>
      <c r="L581" s="45">
        <f>VOD!$G$31/VOD!$G$29</f>
        <v>0.34517618919109433</v>
      </c>
      <c r="M581" s="45" t="s">
        <v>803</v>
      </c>
      <c r="N581" s="46"/>
      <c r="O581" s="45">
        <f>VOD!$D$31/VOD!$D$30</f>
        <v>1.0214631043000839</v>
      </c>
      <c r="P581" s="45">
        <f>VOD!$E$31/VOD!$E$30</f>
        <v>0.42001128780960256</v>
      </c>
      <c r="Q581" s="45">
        <f>VOD!$F$31/VOD!$F$30</f>
        <v>0.31014249077122663</v>
      </c>
      <c r="R581" s="45">
        <f>VOD!$G$31/VOD!$G$30</f>
        <v>0.27714710617011629</v>
      </c>
      <c r="S581" s="45">
        <f t="shared" si="140"/>
        <v>-0.74431599812996763</v>
      </c>
      <c r="T581" s="46"/>
      <c r="U581" s="48" t="str">
        <f>U521</f>
        <v>GBP 0.77</v>
      </c>
      <c r="V581" s="44" t="s">
        <v>276</v>
      </c>
      <c r="AF581" s="39"/>
      <c r="AG581" s="39"/>
      <c r="AH581" s="39"/>
      <c r="AI581" s="39"/>
      <c r="AJ581" s="39"/>
      <c r="AK581" s="39"/>
      <c r="AL581" s="39"/>
      <c r="AM581" s="39"/>
      <c r="AN581" s="39"/>
      <c r="AO581" s="39"/>
      <c r="AP581" s="39"/>
      <c r="AQ581" s="39"/>
      <c r="AR581" s="39"/>
      <c r="AS581" s="39"/>
      <c r="AT581" s="39"/>
      <c r="AU581" s="39"/>
      <c r="AV581" s="39"/>
      <c r="AW581" s="39"/>
      <c r="AX581" s="39"/>
      <c r="AY581" s="39"/>
      <c r="AZ581" s="39"/>
      <c r="BA581" s="39"/>
      <c r="BB581" s="39"/>
      <c r="BC581" s="39"/>
      <c r="BD581" s="39"/>
      <c r="BE581" s="39"/>
      <c r="BF581" s="39"/>
      <c r="BG581" s="39"/>
      <c r="BH581" s="39"/>
      <c r="BI581" s="39"/>
      <c r="BJ581" s="39"/>
      <c r="BK581" s="39"/>
      <c r="BL581" s="39"/>
      <c r="BM581" s="39"/>
      <c r="BN581" s="39"/>
      <c r="BO581" s="39"/>
      <c r="BP581" s="39"/>
      <c r="BQ581" s="39"/>
      <c r="BR581" s="39"/>
      <c r="BS581" s="39"/>
      <c r="BT581" s="39"/>
      <c r="BU581" s="39"/>
      <c r="BV581" s="39"/>
      <c r="BW581" s="39"/>
      <c r="BX581" s="39"/>
      <c r="BY581" s="39"/>
      <c r="BZ581" s="39"/>
      <c r="CA581" s="39"/>
      <c r="CB581" s="39"/>
      <c r="CC581" s="39"/>
      <c r="CD581" s="39"/>
      <c r="CE581" s="39"/>
      <c r="CF581" s="39"/>
      <c r="CG581" s="39"/>
      <c r="CH581" s="39"/>
      <c r="CI581" s="39"/>
      <c r="CJ581" s="39"/>
      <c r="CK581" s="39"/>
      <c r="CL581" s="39"/>
      <c r="CM581" s="39"/>
      <c r="CN581" s="39"/>
      <c r="CO581" s="39"/>
      <c r="CP581" s="39"/>
      <c r="CQ581" s="39"/>
      <c r="CR581" s="39"/>
      <c r="CS581" s="39"/>
      <c r="CT581" s="39"/>
      <c r="CU581" s="39"/>
      <c r="CV581" s="39"/>
      <c r="CW581" s="39"/>
      <c r="CX581" s="39"/>
      <c r="CY581" s="39"/>
      <c r="CZ581" s="39"/>
      <c r="DA581" s="39"/>
      <c r="DB581" s="39"/>
      <c r="DC581" s="39"/>
      <c r="DD581" s="39"/>
      <c r="DE581" s="39"/>
      <c r="DF581" s="39"/>
      <c r="DG581" s="39"/>
      <c r="DH581" s="39"/>
      <c r="DI581" s="39"/>
    </row>
    <row r="582" spans="1:113">
      <c r="C582" s="51" t="str">
        <f>C522</f>
        <v>Agg. W. Europe Other</v>
      </c>
      <c r="D582" s="52"/>
      <c r="E582" s="52"/>
      <c r="F582" s="53"/>
      <c r="G582" s="52"/>
      <c r="H582" s="46"/>
      <c r="I582" s="55">
        <f>'W.EUR OTHER'!$D$31/'W.EUR OTHER'!$D$29</f>
        <v>2.1773296851754451</v>
      </c>
      <c r="J582" s="55">
        <f>'W.EUR OTHER'!$E$31/'W.EUR OTHER'!$E$29</f>
        <v>1.3522122093409186</v>
      </c>
      <c r="K582" s="55">
        <f>'W.EUR OTHER'!$F$31/'W.EUR OTHER'!$F$29</f>
        <v>0.65358788133464962</v>
      </c>
      <c r="L582" s="55">
        <f>'W.EUR OTHER'!$G$31/'W.EUR OTHER'!$G$29</f>
        <v>0.50321211795021492</v>
      </c>
      <c r="M582" s="55">
        <f t="shared" ref="M582" si="141">L582-I582</f>
        <v>-1.6741175672252302</v>
      </c>
      <c r="N582" s="56"/>
      <c r="O582" s="55">
        <f>'W.EUR OTHER'!$D$31/'W.EUR OTHER'!$D$30</f>
        <v>1.2031865579747183</v>
      </c>
      <c r="P582" s="55">
        <f>'W.EUR OTHER'!$E$31/'W.EUR OTHER'!$E$30</f>
        <v>0.58756433573168132</v>
      </c>
      <c r="Q582" s="55">
        <f>'W.EUR OTHER'!$F$31/'W.EUR OTHER'!$F$30</f>
        <v>0.46594939431762855</v>
      </c>
      <c r="R582" s="55">
        <f>'W.EUR OTHER'!$G$31/'W.EUR OTHER'!$G$30</f>
        <v>0.41588335035751078</v>
      </c>
      <c r="S582" s="55">
        <f t="shared" si="140"/>
        <v>-0.78730320761720751</v>
      </c>
      <c r="T582" s="46"/>
      <c r="U582" s="57"/>
      <c r="V582" s="58" t="str">
        <f>V522</f>
        <v>Agg. W. Europe Other</v>
      </c>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c r="BB582" s="39"/>
      <c r="BC582" s="39"/>
      <c r="BD582" s="39"/>
      <c r="BE582" s="39"/>
      <c r="BF582" s="39"/>
      <c r="BG582" s="39"/>
      <c r="BH582" s="39"/>
      <c r="BI582" s="39"/>
      <c r="BJ582" s="39"/>
      <c r="BK582" s="39"/>
      <c r="BL582" s="39"/>
      <c r="BM582" s="39"/>
      <c r="BN582" s="39"/>
      <c r="BO582" s="39"/>
      <c r="BP582" s="39"/>
      <c r="BQ582" s="39"/>
      <c r="BR582" s="39"/>
      <c r="BS582" s="39"/>
      <c r="BT582" s="39"/>
      <c r="BU582" s="39"/>
      <c r="BV582" s="39"/>
      <c r="BW582" s="39"/>
      <c r="BX582" s="39"/>
      <c r="BY582" s="39"/>
      <c r="BZ582" s="39"/>
      <c r="CA582" s="39"/>
      <c r="CB582" s="39"/>
      <c r="CC582" s="39"/>
      <c r="CD582" s="39"/>
      <c r="CE582" s="39"/>
      <c r="CF582" s="39"/>
      <c r="CG582" s="39"/>
      <c r="CH582" s="39"/>
      <c r="CI582" s="39"/>
      <c r="CJ582" s="39"/>
      <c r="CK582" s="39"/>
      <c r="CL582" s="39"/>
      <c r="CM582" s="39"/>
      <c r="CN582" s="39"/>
      <c r="CO582" s="39"/>
      <c r="CP582" s="39"/>
      <c r="CQ582" s="39"/>
      <c r="CR582" s="39"/>
      <c r="CS582" s="39"/>
      <c r="CT582" s="39"/>
      <c r="CU582" s="39"/>
      <c r="CV582" s="39"/>
      <c r="CW582" s="39"/>
      <c r="CX582" s="39"/>
      <c r="CY582" s="39"/>
      <c r="CZ582" s="39"/>
      <c r="DA582" s="39"/>
      <c r="DB582" s="39"/>
      <c r="DC582" s="39"/>
      <c r="DD582" s="39"/>
      <c r="DE582" s="39"/>
      <c r="DF582" s="39"/>
      <c r="DG582" s="39"/>
      <c r="DH582" s="39"/>
      <c r="DI582" s="39"/>
    </row>
    <row r="583" spans="1:113">
      <c r="C583" s="48"/>
      <c r="D583" s="44"/>
      <c r="E583" s="44"/>
      <c r="F583" s="45"/>
      <c r="G583" s="44"/>
      <c r="H583" s="46"/>
      <c r="I583" s="45"/>
      <c r="J583" s="45"/>
      <c r="K583" s="45"/>
      <c r="L583" s="45"/>
      <c r="M583" s="45"/>
      <c r="N583" s="46"/>
      <c r="O583" s="45"/>
      <c r="P583" s="45"/>
      <c r="Q583" s="45"/>
      <c r="R583" s="45"/>
      <c r="S583" s="45"/>
      <c r="T583" s="46"/>
      <c r="U583" s="48"/>
      <c r="V583" s="44"/>
      <c r="AF583" s="39"/>
      <c r="AG583" s="39"/>
      <c r="AH583" s="39"/>
      <c r="AI583" s="39"/>
      <c r="AJ583" s="39"/>
      <c r="AK583" s="39"/>
      <c r="AL583" s="39"/>
      <c r="AM583" s="39"/>
      <c r="AN583" s="39"/>
      <c r="AO583" s="39"/>
      <c r="AP583" s="39"/>
      <c r="AQ583" s="39"/>
      <c r="AR583" s="39"/>
      <c r="AS583" s="39"/>
      <c r="AT583" s="39"/>
      <c r="AU583" s="39"/>
      <c r="AV583" s="39"/>
      <c r="AW583" s="39"/>
      <c r="AX583" s="39"/>
      <c r="AY583" s="39"/>
      <c r="AZ583" s="39"/>
      <c r="BA583" s="39"/>
      <c r="BB583" s="39"/>
      <c r="BC583" s="39"/>
      <c r="BD583" s="39"/>
      <c r="BE583" s="39"/>
      <c r="BF583" s="39"/>
      <c r="BG583" s="39"/>
      <c r="BH583" s="39"/>
      <c r="BI583" s="39"/>
      <c r="BJ583" s="39"/>
      <c r="BK583" s="39"/>
      <c r="BL583" s="39"/>
      <c r="BM583" s="39"/>
      <c r="BN583" s="39"/>
      <c r="BO583" s="39"/>
      <c r="BP583" s="39"/>
      <c r="BQ583" s="39"/>
      <c r="BR583" s="39"/>
      <c r="BS583" s="39"/>
      <c r="BT583" s="39"/>
      <c r="BU583" s="39"/>
      <c r="BV583" s="39"/>
      <c r="BW583" s="39"/>
      <c r="BX583" s="39"/>
      <c r="BY583" s="39"/>
      <c r="BZ583" s="39"/>
      <c r="CA583" s="39"/>
      <c r="CB583" s="39"/>
      <c r="CC583" s="39"/>
      <c r="CD583" s="39"/>
      <c r="CE583" s="39"/>
      <c r="CF583" s="39"/>
      <c r="CG583" s="39"/>
      <c r="CH583" s="39"/>
      <c r="CI583" s="39"/>
      <c r="CJ583" s="39"/>
      <c r="CK583" s="39"/>
      <c r="CL583" s="39"/>
      <c r="CM583" s="39"/>
      <c r="CN583" s="39"/>
      <c r="CO583" s="39"/>
      <c r="CP583" s="39"/>
      <c r="CQ583" s="39"/>
      <c r="CR583" s="39"/>
      <c r="CS583" s="39"/>
      <c r="CT583" s="39"/>
      <c r="CU583" s="39"/>
      <c r="CV583" s="39"/>
      <c r="CW583" s="39"/>
      <c r="CX583" s="39"/>
      <c r="CY583" s="39"/>
      <c r="CZ583" s="39"/>
      <c r="DA583" s="39"/>
      <c r="DB583" s="39"/>
      <c r="DC583" s="39"/>
      <c r="DD583" s="39"/>
      <c r="DE583" s="39"/>
      <c r="DF583" s="39"/>
      <c r="DG583" s="39"/>
      <c r="DH583" s="39"/>
      <c r="DI583" s="39"/>
    </row>
    <row r="584" spans="1:113">
      <c r="A584" s="41"/>
      <c r="B584" s="42" t="s">
        <v>551</v>
      </c>
      <c r="C584" s="48" t="str">
        <f t="shared" ref="C584:G589" si="142">C524</f>
        <v>HKBN</v>
      </c>
      <c r="D584" s="44" t="str">
        <f t="shared" si="142"/>
        <v>HKD 3</v>
      </c>
      <c r="E584" s="44" t="str">
        <f t="shared" si="142"/>
        <v>HKD 16</v>
      </c>
      <c r="F584" s="45">
        <f t="shared" si="142"/>
        <v>4.9925093632958806</v>
      </c>
      <c r="G584" s="44" t="str">
        <f t="shared" si="142"/>
        <v>Buy</v>
      </c>
      <c r="H584" s="46"/>
      <c r="I584" s="45">
        <f>HKBN!$D$31/HKBN!$D$29</f>
        <v>0.77212291378111308</v>
      </c>
      <c r="J584" s="45">
        <f>HKBN!$E$31/HKBN!$E$29</f>
        <v>0.78797997904366801</v>
      </c>
      <c r="K584" s="45">
        <f>HKBN!$F$31/HKBN!$F$29</f>
        <v>0.79763659833525391</v>
      </c>
      <c r="L584" s="45">
        <f>HKBN!$G$31/HKBN!$G$29</f>
        <v>0.81112065043088766</v>
      </c>
      <c r="M584" s="45">
        <f>L584-I584</f>
        <v>3.8997736649774573E-2</v>
      </c>
      <c r="N584" s="46"/>
      <c r="O584" s="45">
        <f>HKBN!$D$31/HKBN!$D$30</f>
        <v>3.0963519763442893</v>
      </c>
      <c r="P584" s="45">
        <f>HKBN!$E$31/HKBN!$E$30</f>
        <v>2.9505051991159608</v>
      </c>
      <c r="Q584" s="45">
        <f>HKBN!$F$31/HKBN!$F$30</f>
        <v>2.7569515367549173</v>
      </c>
      <c r="R584" s="45">
        <f>HKBN!$G$31/HKBN!$G$30</f>
        <v>2.6687637633823718</v>
      </c>
      <c r="S584" s="45">
        <f>R584-O584</f>
        <v>-0.42758821296191751</v>
      </c>
      <c r="T584" s="46"/>
      <c r="U584" s="48" t="str">
        <f t="shared" ref="U584:V589" si="143">U524</f>
        <v>HKD 3</v>
      </c>
      <c r="V584" s="69" t="str">
        <f t="shared" si="143"/>
        <v>HKBN</v>
      </c>
      <c r="AF584" s="39"/>
      <c r="AG584" s="39"/>
      <c r="AH584" s="39"/>
      <c r="AI584" s="39"/>
      <c r="AJ584" s="39"/>
      <c r="AK584" s="39"/>
      <c r="AL584" s="39"/>
      <c r="AM584" s="39"/>
      <c r="AN584" s="39"/>
      <c r="AO584" s="39"/>
      <c r="AP584" s="39"/>
      <c r="AQ584" s="39"/>
      <c r="AR584" s="39"/>
      <c r="AS584" s="39"/>
      <c r="AT584" s="39"/>
      <c r="AU584" s="39"/>
      <c r="AV584" s="39"/>
      <c r="AW584" s="39"/>
      <c r="AX584" s="39"/>
      <c r="AY584" s="39"/>
      <c r="AZ584" s="39"/>
      <c r="BA584" s="39"/>
      <c r="BB584" s="39"/>
      <c r="BC584" s="39"/>
      <c r="BD584" s="39"/>
      <c r="BE584" s="39"/>
      <c r="BF584" s="39"/>
      <c r="BG584" s="39"/>
      <c r="BH584" s="39"/>
      <c r="BI584" s="39"/>
      <c r="BJ584" s="39"/>
      <c r="BK584" s="39"/>
      <c r="BL584" s="39"/>
      <c r="BM584" s="39"/>
      <c r="BN584" s="39"/>
      <c r="BO584" s="39"/>
      <c r="BP584" s="39"/>
      <c r="BQ584" s="39"/>
      <c r="BR584" s="39"/>
      <c r="BS584" s="39"/>
      <c r="BT584" s="39"/>
      <c r="BU584" s="39"/>
      <c r="BV584" s="39"/>
      <c r="BW584" s="39"/>
      <c r="BX584" s="39"/>
      <c r="BY584" s="39"/>
      <c r="BZ584" s="39"/>
      <c r="CA584" s="39"/>
      <c r="CB584" s="39"/>
      <c r="CC584" s="39"/>
      <c r="CD584" s="39"/>
      <c r="CE584" s="39"/>
      <c r="CF584" s="39"/>
      <c r="CG584" s="39"/>
      <c r="CH584" s="39"/>
      <c r="CI584" s="39"/>
      <c r="CJ584" s="39"/>
      <c r="CK584" s="39"/>
      <c r="CL584" s="39"/>
      <c r="CM584" s="39"/>
      <c r="CN584" s="39"/>
      <c r="CO584" s="39"/>
      <c r="CP584" s="39"/>
      <c r="CQ584" s="39"/>
      <c r="CR584" s="39"/>
      <c r="CS584" s="39"/>
      <c r="CT584" s="39"/>
      <c r="CU584" s="39"/>
      <c r="CV584" s="39"/>
      <c r="CW584" s="39"/>
      <c r="CX584" s="39"/>
      <c r="CY584" s="39"/>
      <c r="CZ584" s="39"/>
      <c r="DA584" s="39"/>
      <c r="DB584" s="39"/>
      <c r="DC584" s="39"/>
      <c r="DD584" s="39"/>
      <c r="DE584" s="39"/>
      <c r="DF584" s="39"/>
      <c r="DG584" s="39"/>
      <c r="DH584" s="39"/>
      <c r="DI584" s="39"/>
    </row>
    <row r="585" spans="1:113">
      <c r="C585" s="48" t="str">
        <f t="shared" si="142"/>
        <v>KDDI</v>
      </c>
      <c r="D585" s="44" t="str">
        <f t="shared" si="142"/>
        <v>JPY 4,851</v>
      </c>
      <c r="E585" s="44" t="str">
        <f t="shared" si="142"/>
        <v>JPY 6,600</v>
      </c>
      <c r="F585" s="45">
        <f t="shared" si="142"/>
        <v>0.36054421768707479</v>
      </c>
      <c r="G585" s="44" t="str">
        <f t="shared" si="142"/>
        <v>Buy</v>
      </c>
      <c r="H585" s="46"/>
      <c r="I585" s="45">
        <f>KDDI!$D$31/KDDI!$D$29</f>
        <v>0.49168246047354175</v>
      </c>
      <c r="J585" s="45">
        <f>KDDI!$E$31/KDDI!$E$29</f>
        <v>0.35670664732185364</v>
      </c>
      <c r="K585" s="45">
        <f>KDDI!$F$31/KDDI!$F$29</f>
        <v>0.34640636728694219</v>
      </c>
      <c r="L585" s="45">
        <f>KDDI!$G$31/KDDI!$G$29</f>
        <v>0.3371567621620975</v>
      </c>
      <c r="M585" s="45">
        <f t="shared" ref="M585:M590" si="144">L585-I585</f>
        <v>-0.15452569831144425</v>
      </c>
      <c r="N585" s="46"/>
      <c r="O585" s="45">
        <f>KDDI!$D$31/KDDI!$D$30</f>
        <v>0.45688373474262284</v>
      </c>
      <c r="P585" s="45">
        <f>KDDI!$E$31/KDDI!$E$30</f>
        <v>0.39539284082005799</v>
      </c>
      <c r="Q585" s="45">
        <f>KDDI!$F$31/KDDI!$F$30</f>
        <v>0.37059530201628638</v>
      </c>
      <c r="R585" s="45">
        <f>KDDI!$G$31/KDDI!$G$30</f>
        <v>0.34988842955005445</v>
      </c>
      <c r="S585" s="45">
        <f t="shared" ref="S585:S590" si="145">R585-O585</f>
        <v>-0.10699530519256839</v>
      </c>
      <c r="T585" s="46"/>
      <c r="U585" s="48" t="str">
        <f t="shared" si="143"/>
        <v>JPY 4,851</v>
      </c>
      <c r="V585" s="44" t="str">
        <f t="shared" si="143"/>
        <v>KDDI</v>
      </c>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row>
    <row r="586" spans="1:113">
      <c r="A586" s="41"/>
      <c r="C586" s="48" t="str">
        <f t="shared" si="142"/>
        <v>Macquarie Telecom</v>
      </c>
      <c r="D586" s="44" t="str">
        <f t="shared" si="142"/>
        <v>AUD 76.51</v>
      </c>
      <c r="E586" s="44" t="str">
        <f t="shared" si="142"/>
        <v>AUD 28.00</v>
      </c>
      <c r="F586" s="45">
        <f t="shared" si="142"/>
        <v>-0.63403476669716374</v>
      </c>
      <c r="G586" s="44" t="str">
        <f t="shared" si="142"/>
        <v>Neutral</v>
      </c>
      <c r="H586" s="46"/>
      <c r="I586" s="45">
        <f>MAQ!$D$31/MAQ!$D$29</f>
        <v>0</v>
      </c>
      <c r="J586" s="45">
        <f>MAQ!$E$31/MAQ!$E$29</f>
        <v>0.21644284491816676</v>
      </c>
      <c r="K586" s="45">
        <f>MAQ!$F$31/MAQ!$F$29</f>
        <v>0.3445675998761783</v>
      </c>
      <c r="L586" s="45">
        <f>MAQ!$G$31/MAQ!$G$29</f>
        <v>0.29857489669301807</v>
      </c>
      <c r="M586" s="45">
        <f>L586-I586</f>
        <v>0.29857489669301807</v>
      </c>
      <c r="N586" s="46"/>
      <c r="O586" s="45">
        <f>MAQ!$D$31/MAQ!$D$30</f>
        <v>0</v>
      </c>
      <c r="P586" s="45">
        <f>MAQ!$E$31/MAQ!$E$30</f>
        <v>0.27784171710725131</v>
      </c>
      <c r="Q586" s="45">
        <f>MAQ!$F$31/MAQ!$F$30</f>
        <v>0.4791387955086267</v>
      </c>
      <c r="R586" s="45">
        <f>MAQ!$G$31/MAQ!$G$30</f>
        <v>0.49267992943522398</v>
      </c>
      <c r="S586" s="45">
        <f>R586-O586</f>
        <v>0.49267992943522398</v>
      </c>
      <c r="T586" s="46"/>
      <c r="U586" s="48" t="str">
        <f t="shared" si="143"/>
        <v>AUD 76.51</v>
      </c>
      <c r="V586" s="69" t="str">
        <f t="shared" si="143"/>
        <v>Macquarie Telecom</v>
      </c>
      <c r="AF586" s="39"/>
      <c r="AG586" s="39"/>
      <c r="AH586" s="39"/>
      <c r="AI586" s="39"/>
      <c r="AJ586" s="39"/>
      <c r="AK586" s="39"/>
      <c r="AL586" s="39"/>
      <c r="AM586" s="39"/>
      <c r="AN586" s="39"/>
      <c r="AO586" s="39"/>
      <c r="AP586" s="39"/>
      <c r="AQ586" s="39"/>
      <c r="AR586" s="39"/>
      <c r="AS586" s="39"/>
      <c r="AT586" s="39"/>
      <c r="AU586" s="39"/>
      <c r="AV586" s="39"/>
      <c r="AW586" s="39"/>
      <c r="AX586" s="39"/>
      <c r="AY586" s="39"/>
      <c r="AZ586" s="39"/>
      <c r="BA586" s="39"/>
      <c r="BB586" s="39"/>
      <c r="BC586" s="39"/>
      <c r="BD586" s="39"/>
      <c r="BE586" s="39"/>
      <c r="BF586" s="39"/>
      <c r="BG586" s="39"/>
      <c r="BH586" s="39"/>
      <c r="BI586" s="39"/>
      <c r="BJ586" s="39"/>
      <c r="BK586" s="39"/>
      <c r="BL586" s="39"/>
      <c r="BM586" s="39"/>
      <c r="BN586" s="39"/>
      <c r="BO586" s="39"/>
      <c r="BP586" s="39"/>
      <c r="BQ586" s="39"/>
      <c r="BR586" s="39"/>
      <c r="BS586" s="39"/>
      <c r="BT586" s="39"/>
      <c r="BU586" s="39"/>
      <c r="BV586" s="39"/>
      <c r="BW586" s="39"/>
      <c r="BX586" s="39"/>
      <c r="BY586" s="39"/>
      <c r="BZ586" s="39"/>
      <c r="CA586" s="39"/>
      <c r="CB586" s="39"/>
      <c r="CC586" s="39"/>
      <c r="CD586" s="39"/>
      <c r="CE586" s="39"/>
      <c r="CF586" s="39"/>
      <c r="CG586" s="39"/>
      <c r="CH586" s="39"/>
      <c r="CI586" s="39"/>
      <c r="CJ586" s="39"/>
      <c r="CK586" s="39"/>
      <c r="CL586" s="39"/>
      <c r="CM586" s="39"/>
      <c r="CN586" s="39"/>
      <c r="CO586" s="39"/>
      <c r="CP586" s="39"/>
      <c r="CQ586" s="39"/>
      <c r="CR586" s="39"/>
      <c r="CS586" s="39"/>
      <c r="CT586" s="39"/>
      <c r="CU586" s="39"/>
      <c r="CV586" s="39"/>
      <c r="CW586" s="39"/>
      <c r="CX586" s="39"/>
      <c r="CY586" s="39"/>
      <c r="CZ586" s="39"/>
      <c r="DA586" s="39"/>
      <c r="DB586" s="39"/>
      <c r="DC586" s="39"/>
      <c r="DD586" s="39"/>
      <c r="DE586" s="39"/>
      <c r="DF586" s="39"/>
      <c r="DG586" s="39"/>
      <c r="DH586" s="39"/>
      <c r="DI586" s="39"/>
    </row>
    <row r="587" spans="1:113">
      <c r="C587" s="48" t="str">
        <f t="shared" si="142"/>
        <v>Rakuten</v>
      </c>
      <c r="D587" s="44" t="str">
        <f t="shared" si="142"/>
        <v>JPY 946</v>
      </c>
      <c r="E587" s="44" t="str">
        <f t="shared" si="142"/>
        <v>JPY 400</v>
      </c>
      <c r="F587" s="45">
        <f t="shared" si="142"/>
        <v>-0.57734573119188504</v>
      </c>
      <c r="G587" s="44" t="str">
        <f t="shared" si="142"/>
        <v>Reduce</v>
      </c>
      <c r="H587" s="46"/>
      <c r="I587" s="45">
        <f>RAK!$D$31/RAK!$D$29</f>
        <v>0</v>
      </c>
      <c r="J587" s="45">
        <f>RAK!$E$31/RAK!$E$29</f>
        <v>0</v>
      </c>
      <c r="K587" s="45">
        <f>RAK!$F$31/RAK!$F$29</f>
        <v>0</v>
      </c>
      <c r="L587" s="45">
        <f>RAK!$G$31/RAK!$G$29</f>
        <v>0</v>
      </c>
      <c r="M587" s="45">
        <f>L587-I587</f>
        <v>0</v>
      </c>
      <c r="N587" s="46"/>
      <c r="O587" s="45">
        <f>RAK!$D$31/RAK!$D$30</f>
        <v>0</v>
      </c>
      <c r="P587" s="45">
        <f>RAK!$E$31/RAK!$E$30</f>
        <v>0</v>
      </c>
      <c r="Q587" s="45">
        <f>RAK!$F$31/RAK!$F$30</f>
        <v>0</v>
      </c>
      <c r="R587" s="45">
        <f>RAK!$G$31/RAK!$G$30</f>
        <v>0</v>
      </c>
      <c r="S587" s="45">
        <f>R587-O587</f>
        <v>0</v>
      </c>
      <c r="T587" s="46"/>
      <c r="U587" s="48" t="str">
        <f t="shared" si="143"/>
        <v>JPY 946</v>
      </c>
      <c r="V587" s="44" t="str">
        <f t="shared" si="143"/>
        <v>Rakuten</v>
      </c>
      <c r="AF587" s="39"/>
      <c r="AG587" s="39"/>
      <c r="AH587" s="39"/>
      <c r="AI587" s="39"/>
      <c r="AJ587" s="39"/>
      <c r="AK587" s="39"/>
      <c r="AL587" s="39"/>
      <c r="AM587" s="39"/>
      <c r="AN587" s="39"/>
      <c r="AO587" s="39"/>
      <c r="AP587" s="39"/>
      <c r="AQ587" s="39"/>
      <c r="AR587" s="39"/>
      <c r="AS587" s="39"/>
      <c r="AT587" s="39"/>
      <c r="AU587" s="39"/>
      <c r="AV587" s="39"/>
      <c r="AW587" s="39"/>
      <c r="AX587" s="39"/>
      <c r="AY587" s="39"/>
      <c r="AZ587" s="39"/>
      <c r="BA587" s="39"/>
      <c r="BB587" s="39"/>
      <c r="BC587" s="39"/>
      <c r="BD587" s="39"/>
      <c r="BE587" s="39"/>
      <c r="BF587" s="39"/>
      <c r="BG587" s="39"/>
      <c r="BH587" s="39"/>
      <c r="BI587" s="39"/>
      <c r="BJ587" s="39"/>
      <c r="BK587" s="39"/>
      <c r="BL587" s="39"/>
      <c r="BM587" s="39"/>
      <c r="BN587" s="39"/>
      <c r="BO587" s="39"/>
      <c r="BP587" s="39"/>
      <c r="BQ587" s="39"/>
      <c r="BR587" s="39"/>
      <c r="BS587" s="39"/>
      <c r="BT587" s="39"/>
      <c r="BU587" s="39"/>
      <c r="BV587" s="39"/>
      <c r="BW587" s="39"/>
      <c r="BX587" s="39"/>
      <c r="BY587" s="39"/>
      <c r="BZ587" s="39"/>
      <c r="CA587" s="39"/>
      <c r="CB587" s="39"/>
      <c r="CC587" s="39"/>
      <c r="CD587" s="39"/>
      <c r="CE587" s="39"/>
      <c r="CF587" s="39"/>
      <c r="CG587" s="39"/>
      <c r="CH587" s="39"/>
      <c r="CI587" s="39"/>
      <c r="CJ587" s="39"/>
      <c r="CK587" s="39"/>
      <c r="CL587" s="39"/>
      <c r="CM587" s="39"/>
      <c r="CN587" s="39"/>
      <c r="CO587" s="39"/>
      <c r="CP587" s="39"/>
      <c r="CQ587" s="39"/>
      <c r="CR587" s="39"/>
      <c r="CS587" s="39"/>
      <c r="CT587" s="39"/>
      <c r="CU587" s="39"/>
      <c r="CV587" s="39"/>
      <c r="CW587" s="39"/>
      <c r="CX587" s="39"/>
      <c r="CY587" s="39"/>
      <c r="CZ587" s="39"/>
      <c r="DA587" s="39"/>
      <c r="DB587" s="39"/>
      <c r="DC587" s="39"/>
      <c r="DD587" s="39"/>
      <c r="DE587" s="39"/>
      <c r="DF587" s="39"/>
      <c r="DG587" s="39"/>
      <c r="DH587" s="39"/>
      <c r="DI587" s="39"/>
    </row>
    <row r="588" spans="1:113">
      <c r="C588" s="48" t="str">
        <f t="shared" si="142"/>
        <v>SoftBank KK (Corp)</v>
      </c>
      <c r="D588" s="44" t="str">
        <f t="shared" si="142"/>
        <v>JPY 1,996</v>
      </c>
      <c r="E588" s="44" t="str">
        <f t="shared" si="142"/>
        <v>JPY 2,700</v>
      </c>
      <c r="F588" s="45">
        <f t="shared" si="142"/>
        <v>0.35270541082164319</v>
      </c>
      <c r="G588" s="44" t="str">
        <f t="shared" si="142"/>
        <v>Buy</v>
      </c>
      <c r="H588" s="46"/>
      <c r="I588" s="45">
        <f>SBKK!$D$31/SBKK!$D$29</f>
        <v>0.59746915842011861</v>
      </c>
      <c r="J588" s="45">
        <f>SBKK!$E$31/SBKK!$E$29</f>
        <v>0.58197594888239867</v>
      </c>
      <c r="K588" s="45">
        <f>SBKK!$F$31/SBKK!$F$29</f>
        <v>0.56323470799213171</v>
      </c>
      <c r="L588" s="45">
        <f>SBKK!$G$31/SBKK!$G$29</f>
        <v>0.55990404517931835</v>
      </c>
      <c r="M588" s="45">
        <f t="shared" si="144"/>
        <v>-3.7565113240800252E-2</v>
      </c>
      <c r="N588" s="46"/>
      <c r="O588" s="45">
        <f>SBKK!$D$31/SBKK!$D$30</f>
        <v>0.83157932305521487</v>
      </c>
      <c r="P588" s="45">
        <f>SBKK!$E$31/SBKK!$E$30</f>
        <v>0.80571119031952876</v>
      </c>
      <c r="Q588" s="45">
        <f>SBKK!$F$31/SBKK!$F$30</f>
        <v>0.8</v>
      </c>
      <c r="R588" s="45">
        <f>SBKK!$G$31/SBKK!$G$30</f>
        <v>0.8</v>
      </c>
      <c r="S588" s="45">
        <f t="shared" si="145"/>
        <v>-3.1579323055214825E-2</v>
      </c>
      <c r="T588" s="46"/>
      <c r="U588" s="48" t="str">
        <f t="shared" si="143"/>
        <v>JPY 1,996</v>
      </c>
      <c r="V588" s="44" t="str">
        <f t="shared" si="143"/>
        <v>SoftBank KK (Corp)</v>
      </c>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c r="BZ588" s="39"/>
      <c r="CA588" s="39"/>
      <c r="CB588" s="39"/>
      <c r="CC588" s="39"/>
      <c r="CD588" s="39"/>
      <c r="CE588" s="39"/>
      <c r="CF588" s="39"/>
      <c r="CG588" s="39"/>
      <c r="CH588" s="39"/>
      <c r="CI588" s="39"/>
      <c r="CJ588" s="39"/>
      <c r="CK588" s="39"/>
      <c r="CL588" s="39"/>
      <c r="CM588" s="39"/>
      <c r="CN588" s="39"/>
      <c r="CO588" s="39"/>
      <c r="CP588" s="39"/>
      <c r="CQ588" s="39"/>
      <c r="CR588" s="39"/>
      <c r="CS588" s="39"/>
      <c r="CT588" s="39"/>
      <c r="CU588" s="39"/>
      <c r="CV588" s="39"/>
      <c r="CW588" s="39"/>
      <c r="CX588" s="39"/>
      <c r="CY588" s="39"/>
      <c r="CZ588" s="39"/>
      <c r="DA588" s="39"/>
      <c r="DB588" s="39"/>
      <c r="DC588" s="39"/>
      <c r="DD588" s="39"/>
      <c r="DE588" s="39"/>
      <c r="DF588" s="39"/>
      <c r="DG588" s="39"/>
      <c r="DH588" s="39"/>
      <c r="DI588" s="39"/>
    </row>
    <row r="589" spans="1:113">
      <c r="A589" s="41"/>
      <c r="C589" s="48" t="str">
        <f t="shared" si="142"/>
        <v>TPG</v>
      </c>
      <c r="D589" s="44" t="str">
        <f t="shared" si="142"/>
        <v>AUD 4.99</v>
      </c>
      <c r="E589" s="44" t="str">
        <f t="shared" si="142"/>
        <v>AUD 7.50</v>
      </c>
      <c r="F589" s="45">
        <f t="shared" si="142"/>
        <v>0.50300601202404804</v>
      </c>
      <c r="G589" s="44" t="str">
        <f t="shared" si="142"/>
        <v>Neutral</v>
      </c>
      <c r="H589" s="46"/>
      <c r="I589" s="45">
        <f>TPG!$D$31/TPG!$D$29</f>
        <v>0.47271961947656349</v>
      </c>
      <c r="J589" s="45">
        <f>TPG!$E$31/TPG!$E$29</f>
        <v>0.46258474184744919</v>
      </c>
      <c r="K589" s="45">
        <f>TPG!$F$31/TPG!$F$29</f>
        <v>0.54467129302190564</v>
      </c>
      <c r="L589" s="45">
        <f>TPG!$G$31/TPG!$G$29</f>
        <v>0.54264804997646732</v>
      </c>
      <c r="M589" s="45">
        <f>L589-I589</f>
        <v>6.9928430499903826E-2</v>
      </c>
      <c r="N589" s="46"/>
      <c r="O589" s="45">
        <f>TPG!$D$31/TPG!$D$30</f>
        <v>0.42116811147324357</v>
      </c>
      <c r="P589" s="45">
        <f>TPG!$E$31/TPG!$E$30</f>
        <v>0.45344299556920259</v>
      </c>
      <c r="Q589" s="45">
        <f>TPG!$F$31/TPG!$F$30</f>
        <v>0.45795800006309251</v>
      </c>
      <c r="R589" s="45">
        <f>TPG!$G$31/TPG!$G$30</f>
        <v>0.46777248851637748</v>
      </c>
      <c r="S589" s="45">
        <f>R589-O589</f>
        <v>4.6604377043133915E-2</v>
      </c>
      <c r="T589" s="46"/>
      <c r="U589" s="48" t="str">
        <f t="shared" si="143"/>
        <v>AUD 4.99</v>
      </c>
      <c r="V589" s="44" t="str">
        <f t="shared" si="143"/>
        <v>TPG</v>
      </c>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39"/>
      <c r="CX589" s="39"/>
      <c r="CY589" s="39"/>
      <c r="CZ589" s="39"/>
      <c r="DA589" s="39"/>
      <c r="DB589" s="39"/>
      <c r="DC589" s="39"/>
      <c r="DD589" s="39"/>
      <c r="DE589" s="39"/>
      <c r="DF589" s="39"/>
      <c r="DG589" s="39"/>
      <c r="DH589" s="39"/>
      <c r="DI589" s="39"/>
    </row>
    <row r="590" spans="1:113">
      <c r="C590" s="51" t="str">
        <f>C530</f>
        <v>Agg. Developed Asia Other</v>
      </c>
      <c r="D590" s="52"/>
      <c r="E590" s="52"/>
      <c r="F590" s="53"/>
      <c r="G590" s="52"/>
      <c r="H590" s="46"/>
      <c r="I590" s="55">
        <f>'DM ASIA OTHER'!$D$31/'DM ASIA OTHER'!$D$29</f>
        <v>0.79301083660779303</v>
      </c>
      <c r="J590" s="55">
        <f>'DM ASIA OTHER'!$E$31/'DM ASIA OTHER'!$E$29</f>
        <v>0.53244129285248398</v>
      </c>
      <c r="K590" s="55">
        <f>'DM ASIA OTHER'!$F$31/'DM ASIA OTHER'!$F$29</f>
        <v>0.50688906687720303</v>
      </c>
      <c r="L590" s="55">
        <f>'DM ASIA OTHER'!$G$31/'DM ASIA OTHER'!$G$29</f>
        <v>0.508986640938492</v>
      </c>
      <c r="M590" s="55">
        <f t="shared" si="144"/>
        <v>-0.28402419566930104</v>
      </c>
      <c r="N590" s="56"/>
      <c r="O590" s="55">
        <f>'DM ASIA OTHER'!$D$31/'DM ASIA OTHER'!$D$30</f>
        <v>0.88463681088258062</v>
      </c>
      <c r="P590" s="55">
        <f>'DM ASIA OTHER'!$E$31/'DM ASIA OTHER'!$E$30</f>
        <v>0.68138387579880089</v>
      </c>
      <c r="Q590" s="55">
        <f>'DM ASIA OTHER'!$F$31/'DM ASIA OTHER'!$F$30</f>
        <v>0.65283215815525319</v>
      </c>
      <c r="R590" s="55">
        <f>'DM ASIA OTHER'!$G$31/'DM ASIA OTHER'!$G$30</f>
        <v>0.62898748807188609</v>
      </c>
      <c r="S590" s="55">
        <f t="shared" si="145"/>
        <v>-0.25564932281069452</v>
      </c>
      <c r="T590" s="46"/>
      <c r="U590" s="57"/>
      <c r="V590" s="58" t="str">
        <f>V530</f>
        <v>Agg. Developed Asia Cellular</v>
      </c>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39"/>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row>
    <row r="591" spans="1:113">
      <c r="A591" s="41"/>
      <c r="C591" s="48"/>
      <c r="D591" s="44"/>
      <c r="E591" s="44"/>
      <c r="F591" s="45"/>
      <c r="G591" s="44"/>
      <c r="H591" s="46"/>
      <c r="I591" s="45"/>
      <c r="J591" s="45"/>
      <c r="K591" s="45"/>
      <c r="L591" s="45"/>
      <c r="M591" s="45"/>
      <c r="N591" s="46"/>
      <c r="O591" s="45"/>
      <c r="P591" s="45"/>
      <c r="Q591" s="45"/>
      <c r="R591" s="45"/>
      <c r="S591" s="45"/>
      <c r="T591" s="46"/>
      <c r="U591" s="48"/>
      <c r="V591" s="44"/>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39"/>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row>
    <row r="592" spans="1:113">
      <c r="A592" s="41"/>
      <c r="B592" s="42" t="s">
        <v>514</v>
      </c>
      <c r="C592" s="48" t="str">
        <f>C532</f>
        <v>Altice US</v>
      </c>
      <c r="D592" s="44" t="str">
        <f>D532</f>
        <v>US$2.1</v>
      </c>
      <c r="E592" s="44" t="str">
        <f>E532</f>
        <v>US$4.0</v>
      </c>
      <c r="F592" s="45">
        <f>F532</f>
        <v>0.86915887850467288</v>
      </c>
      <c r="G592" s="44" t="str">
        <f>G532</f>
        <v>Neutral</v>
      </c>
      <c r="H592" s="46"/>
      <c r="I592" s="45">
        <f>ATCUS!$D$31/ATCUS!$D$29</f>
        <v>0</v>
      </c>
      <c r="J592" s="45">
        <f>ATCUS!$E$31/ATCUS!$E$29</f>
        <v>0</v>
      </c>
      <c r="K592" s="45">
        <f>ATCUS!$F$31/ATCUS!$F$29</f>
        <v>0</v>
      </c>
      <c r="L592" s="45">
        <f>ATCUS!$G$31/ATCUS!$G$29</f>
        <v>0</v>
      </c>
      <c r="M592" s="45">
        <f t="shared" ref="M592:M597" si="146">L592-I592</f>
        <v>0</v>
      </c>
      <c r="N592" s="46"/>
      <c r="O592" s="45">
        <f>ATCUS!$D$31/ATCUS!$D$30</f>
        <v>0</v>
      </c>
      <c r="P592" s="45">
        <f>ATCUS!$E$31/ATCUS!$E$30</f>
        <v>0</v>
      </c>
      <c r="Q592" s="45">
        <f>ATCUS!$F$31/ATCUS!$F$30</f>
        <v>0</v>
      </c>
      <c r="R592" s="45">
        <f>ATCUS!$G$31/ATCUS!$G$30</f>
        <v>0</v>
      </c>
      <c r="S592" s="45">
        <f t="shared" ref="S592:S597" si="147">R592-O592</f>
        <v>0</v>
      </c>
      <c r="T592" s="46"/>
      <c r="U592" s="48" t="str">
        <f>D592</f>
        <v>US$2.1</v>
      </c>
      <c r="V592" s="44" t="str">
        <f t="shared" ref="V592:V597" si="148">C592</f>
        <v>Altice US</v>
      </c>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c r="BB592" s="39"/>
      <c r="BC592" s="39"/>
      <c r="BD592" s="39"/>
      <c r="BE592" s="39"/>
      <c r="BF592" s="39"/>
      <c r="BG592" s="39"/>
      <c r="BH592" s="39"/>
      <c r="BI592" s="39"/>
      <c r="BJ592" s="39"/>
      <c r="BK592" s="39"/>
      <c r="BL592" s="39"/>
      <c r="BM592" s="39"/>
      <c r="BN592" s="39"/>
      <c r="BO592" s="39"/>
      <c r="BP592" s="39"/>
      <c r="BQ592" s="39"/>
      <c r="BR592" s="39"/>
      <c r="BS592" s="39"/>
      <c r="BT592" s="39"/>
      <c r="BU592" s="39"/>
      <c r="BV592" s="39"/>
      <c r="BW592" s="39"/>
      <c r="BX592" s="39"/>
      <c r="BY592" s="39"/>
      <c r="BZ592" s="39"/>
      <c r="CA592" s="39"/>
      <c r="CB592" s="39"/>
      <c r="CC592" s="39"/>
      <c r="CD592" s="39"/>
      <c r="CE592" s="39"/>
      <c r="CF592" s="39"/>
      <c r="CG592" s="39"/>
      <c r="CH592" s="39"/>
      <c r="CI592" s="39"/>
      <c r="CJ592" s="39"/>
      <c r="CK592" s="39"/>
      <c r="CL592" s="39"/>
      <c r="CM592" s="39"/>
      <c r="CN592" s="39"/>
      <c r="CO592" s="39"/>
      <c r="CP592" s="39"/>
      <c r="CQ592" s="39"/>
      <c r="CR592" s="39"/>
      <c r="CS592" s="39"/>
      <c r="CT592" s="39"/>
      <c r="CU592" s="39"/>
      <c r="CV592" s="39"/>
      <c r="CW592" s="39"/>
      <c r="CX592" s="39"/>
      <c r="CY592" s="39"/>
      <c r="CZ592" s="39"/>
      <c r="DA592" s="39"/>
      <c r="DB592" s="39"/>
      <c r="DC592" s="39"/>
      <c r="DD592" s="39"/>
      <c r="DE592" s="39"/>
      <c r="DF592" s="39"/>
      <c r="DG592" s="39"/>
      <c r="DH592" s="39"/>
      <c r="DI592" s="39"/>
    </row>
    <row r="593" spans="1:113">
      <c r="A593" s="41"/>
      <c r="B593" s="42" t="s">
        <v>514</v>
      </c>
      <c r="C593" s="48" t="s">
        <v>306</v>
      </c>
      <c r="D593" s="44" t="str">
        <f>B593&amp;TEXT(Prices!$C$45,"0.0")</f>
        <v>US$330.8</v>
      </c>
      <c r="E593" s="44" t="str">
        <f>B593&amp;TEXT(Prices!$E$45,"0.0")</f>
        <v>US$581.0</v>
      </c>
      <c r="F593" s="45">
        <f>Prices!$F$45</f>
        <v>0.75645444101819947</v>
      </c>
      <c r="G593" s="44" t="str">
        <f>Prices!$D$45</f>
        <v>Buy</v>
      </c>
      <c r="H593" s="46"/>
      <c r="I593" s="45">
        <f>CHTR!$D$31/CHTR!$D$29</f>
        <v>0</v>
      </c>
      <c r="J593" s="45">
        <f>CHTR!$E$31/CHTR!$E$29</f>
        <v>0</v>
      </c>
      <c r="K593" s="45">
        <f>CHTR!$F$31/CHTR!$F$29</f>
        <v>0</v>
      </c>
      <c r="L593" s="45">
        <f>CHTR!$G$31/CHTR!$G$29</f>
        <v>0</v>
      </c>
      <c r="M593" s="45">
        <f t="shared" si="146"/>
        <v>0</v>
      </c>
      <c r="N593" s="46"/>
      <c r="O593" s="45">
        <f>CHTR!$D$31/CHTR!$D$30</f>
        <v>0</v>
      </c>
      <c r="P593" s="45">
        <f>CHTR!$E$31/CHTR!$E$30</f>
        <v>0</v>
      </c>
      <c r="Q593" s="45">
        <f>CHTR!$F$31/CHTR!$F$30</f>
        <v>0</v>
      </c>
      <c r="R593" s="45">
        <f>CHTR!$G$31/CHTR!$G$30</f>
        <v>0</v>
      </c>
      <c r="S593" s="45">
        <f t="shared" si="147"/>
        <v>0</v>
      </c>
      <c r="T593" s="46"/>
      <c r="U593" s="48" t="str">
        <f>D593</f>
        <v>US$330.8</v>
      </c>
      <c r="V593" s="44" t="str">
        <f t="shared" si="148"/>
        <v>Charter</v>
      </c>
      <c r="AF593" s="39"/>
      <c r="AG593" s="39"/>
      <c r="AH593" s="39"/>
      <c r="AI593" s="39"/>
      <c r="AJ593" s="39"/>
      <c r="AK593" s="39"/>
      <c r="AL593" s="39"/>
      <c r="AM593" s="39"/>
      <c r="AN593" s="39"/>
      <c r="AO593" s="39"/>
      <c r="AP593" s="39"/>
      <c r="AQ593" s="39"/>
      <c r="AR593" s="39"/>
      <c r="AS593" s="39"/>
      <c r="AT593" s="39"/>
      <c r="AU593" s="39"/>
      <c r="AV593" s="39"/>
      <c r="AW593" s="39"/>
      <c r="AX593" s="39"/>
      <c r="AY593" s="39"/>
      <c r="AZ593" s="39"/>
      <c r="BA593" s="39"/>
      <c r="BB593" s="39"/>
      <c r="BC593" s="39"/>
      <c r="BD593" s="39"/>
      <c r="BE593" s="39"/>
      <c r="BF593" s="39"/>
      <c r="BG593" s="39"/>
      <c r="BH593" s="39"/>
      <c r="BI593" s="39"/>
      <c r="BJ593" s="39"/>
      <c r="BK593" s="39"/>
      <c r="BL593" s="39"/>
      <c r="BM593" s="39"/>
      <c r="BN593" s="39"/>
      <c r="BO593" s="39"/>
      <c r="BP593" s="39"/>
      <c r="BQ593" s="39"/>
      <c r="BR593" s="39"/>
      <c r="BS593" s="39"/>
      <c r="BT593" s="39"/>
      <c r="BU593" s="39"/>
      <c r="BV593" s="39"/>
      <c r="BW593" s="39"/>
      <c r="BX593" s="39"/>
      <c r="BY593" s="39"/>
      <c r="BZ593" s="39"/>
      <c r="CA593" s="39"/>
      <c r="CB593" s="39"/>
      <c r="CC593" s="39"/>
      <c r="CD593" s="39"/>
      <c r="CE593" s="39"/>
      <c r="CF593" s="39"/>
      <c r="CG593" s="39"/>
      <c r="CH593" s="39"/>
      <c r="CI593" s="39"/>
      <c r="CJ593" s="39"/>
      <c r="CK593" s="39"/>
      <c r="CL593" s="39"/>
      <c r="CM593" s="39"/>
      <c r="CN593" s="39"/>
      <c r="CO593" s="39"/>
      <c r="CP593" s="39"/>
      <c r="CQ593" s="39"/>
      <c r="CR593" s="39"/>
      <c r="CS593" s="39"/>
      <c r="CT593" s="39"/>
      <c r="CU593" s="39"/>
      <c r="CV593" s="39"/>
      <c r="CW593" s="39"/>
      <c r="CX593" s="39"/>
      <c r="CY593" s="39"/>
      <c r="CZ593" s="39"/>
      <c r="DA593" s="39"/>
      <c r="DB593" s="39"/>
      <c r="DC593" s="39"/>
      <c r="DD593" s="39"/>
      <c r="DE593" s="39"/>
      <c r="DF593" s="39"/>
      <c r="DG593" s="39"/>
      <c r="DH593" s="39"/>
      <c r="DI593" s="39"/>
    </row>
    <row r="594" spans="1:113">
      <c r="A594" s="41"/>
      <c r="B594" s="42" t="s">
        <v>514</v>
      </c>
      <c r="C594" s="48" t="s">
        <v>304</v>
      </c>
      <c r="D594" s="44" t="str">
        <f>B594&amp;TEXT(Prices!$C$46,"0.0")</f>
        <v>US$39.8</v>
      </c>
      <c r="E594" s="44" t="str">
        <f>B594&amp;TEXT(Prices!$E$46,"0.0")</f>
        <v>US$50.0</v>
      </c>
      <c r="F594" s="45">
        <f>Prices!$F$46</f>
        <v>0.25628140703517599</v>
      </c>
      <c r="G594" s="44" t="str">
        <f>Prices!$D$46</f>
        <v>Buy</v>
      </c>
      <c r="H594" s="46"/>
      <c r="I594" s="45">
        <f>CMCSA!$D$31/CMCSA!$D$29</f>
        <v>0.11918760761130938</v>
      </c>
      <c r="J594" s="45">
        <f>CMCSA!$E$31/CMCSA!$E$29</f>
        <v>0.12147847989528492</v>
      </c>
      <c r="K594" s="45">
        <f>CMCSA!$F$31/CMCSA!$F$29</f>
        <v>0.12006175586080597</v>
      </c>
      <c r="L594" s="45">
        <f>CMCSA!$G$31/CMCSA!$G$29</f>
        <v>0.11565138810734359</v>
      </c>
      <c r="M594" s="45">
        <f t="shared" si="146"/>
        <v>-3.5362195039657929E-3</v>
      </c>
      <c r="N594" s="46"/>
      <c r="O594" s="45">
        <f>CMCSA!$D$31/CMCSA!$D$30</f>
        <v>0.30173363109732415</v>
      </c>
      <c r="P594" s="45">
        <f>CMCSA!$E$31/CMCSA!$E$30</f>
        <v>0.28954863750050969</v>
      </c>
      <c r="Q594" s="45">
        <f>CMCSA!$F$31/CMCSA!$F$30</f>
        <v>0.26780114999825333</v>
      </c>
      <c r="R594" s="45">
        <f>CMCSA!$G$31/CMCSA!$G$30</f>
        <v>0.23376874165182829</v>
      </c>
      <c r="S594" s="45">
        <f t="shared" si="147"/>
        <v>-6.7964889445495863E-2</v>
      </c>
      <c r="T594" s="46"/>
      <c r="U594" s="48" t="str">
        <f>D594</f>
        <v>US$39.8</v>
      </c>
      <c r="V594" s="44" t="str">
        <f t="shared" si="148"/>
        <v>Comcast</v>
      </c>
      <c r="AF594" s="39"/>
      <c r="AG594" s="39"/>
      <c r="AH594" s="39"/>
      <c r="AI594" s="39"/>
      <c r="AJ594" s="39"/>
      <c r="AK594" s="39"/>
      <c r="AL594" s="39"/>
      <c r="AM594" s="39"/>
      <c r="AN594" s="39"/>
      <c r="AO594" s="39"/>
      <c r="AP594" s="39"/>
      <c r="AQ594" s="39"/>
      <c r="AR594" s="39"/>
      <c r="AS594" s="39"/>
      <c r="AT594" s="39"/>
      <c r="AU594" s="39"/>
      <c r="AV594" s="39"/>
      <c r="AW594" s="39"/>
      <c r="AX594" s="39"/>
      <c r="AY594" s="39"/>
      <c r="AZ594" s="39"/>
      <c r="BA594" s="39"/>
      <c r="BB594" s="39"/>
      <c r="BC594" s="39"/>
      <c r="BD594" s="39"/>
      <c r="BE594" s="39"/>
      <c r="BF594" s="39"/>
      <c r="BG594" s="39"/>
      <c r="BH594" s="39"/>
      <c r="BI594" s="39"/>
      <c r="BJ594" s="39"/>
      <c r="BK594" s="39"/>
      <c r="BL594" s="39"/>
      <c r="BM594" s="39"/>
      <c r="BN594" s="39"/>
      <c r="BO594" s="39"/>
      <c r="BP594" s="39"/>
      <c r="BQ594" s="39"/>
      <c r="BR594" s="39"/>
      <c r="BS594" s="39"/>
      <c r="BT594" s="39"/>
      <c r="BU594" s="39"/>
      <c r="BV594" s="39"/>
      <c r="BW594" s="39"/>
      <c r="BX594" s="39"/>
      <c r="BY594" s="39"/>
      <c r="BZ594" s="39"/>
      <c r="CA594" s="39"/>
      <c r="CB594" s="39"/>
      <c r="CC594" s="39"/>
      <c r="CD594" s="39"/>
      <c r="CE594" s="39"/>
      <c r="CF594" s="39"/>
      <c r="CG594" s="39"/>
      <c r="CH594" s="39"/>
      <c r="CI594" s="39"/>
      <c r="CJ594" s="39"/>
      <c r="CK594" s="39"/>
      <c r="CL594" s="39"/>
      <c r="CM594" s="39"/>
      <c r="CN594" s="39"/>
      <c r="CO594" s="39"/>
      <c r="CP594" s="39"/>
      <c r="CQ594" s="39"/>
      <c r="CR594" s="39"/>
      <c r="CS594" s="39"/>
      <c r="CT594" s="39"/>
      <c r="CU594" s="39"/>
      <c r="CV594" s="39"/>
      <c r="CW594" s="39"/>
      <c r="CX594" s="39"/>
      <c r="CY594" s="39"/>
      <c r="CZ594" s="39"/>
      <c r="DA594" s="39"/>
      <c r="DB594" s="39"/>
      <c r="DC594" s="39"/>
      <c r="DD594" s="39"/>
      <c r="DE594" s="39"/>
      <c r="DF594" s="39"/>
      <c r="DG594" s="39"/>
      <c r="DH594" s="39"/>
      <c r="DI594" s="39"/>
    </row>
    <row r="595" spans="1:113">
      <c r="A595" s="41"/>
      <c r="B595" s="42" t="s">
        <v>522</v>
      </c>
      <c r="C595" s="48" t="s">
        <v>1602</v>
      </c>
      <c r="D595" s="44" t="str">
        <f>B595&amp;TEXT(Prices!C$47,"0.0")</f>
        <v>US$ 35.0</v>
      </c>
      <c r="E595" s="44" t="str">
        <f>B595&amp;TEXT(Prices!E$47,"0.0")</f>
        <v>US$ 54.0</v>
      </c>
      <c r="F595" s="45">
        <f>Prices!F$47</f>
        <v>0.54285714285714293</v>
      </c>
      <c r="G595" s="44" t="str">
        <f>Prices!D$47</f>
        <v>Buy</v>
      </c>
      <c r="H595" s="46"/>
      <c r="I595" s="45">
        <f>FYBR!$D$31/FYBR!$D$29</f>
        <v>0</v>
      </c>
      <c r="J595" s="45">
        <f>FYBR!$D$31/FYBR!$D$29</f>
        <v>0</v>
      </c>
      <c r="K595" s="45">
        <f>FYBR!$D$31/FYBR!$D$29</f>
        <v>0</v>
      </c>
      <c r="L595" s="45">
        <f>FYBR!$D$31/FYBR!$D$29</f>
        <v>0</v>
      </c>
      <c r="M595" s="45">
        <f t="shared" si="146"/>
        <v>0</v>
      </c>
      <c r="N595" s="46"/>
      <c r="O595" s="45">
        <f>FYBR!$D$31/FYBR!$D$30</f>
        <v>0</v>
      </c>
      <c r="P595" s="45">
        <f>FYBR!$D$31/FYBR!$D$30</f>
        <v>0</v>
      </c>
      <c r="Q595" s="45">
        <f>FYBR!$D$31/FYBR!$D$30</f>
        <v>0</v>
      </c>
      <c r="R595" s="45">
        <f>FYBR!$D$31/FYBR!$D$30</f>
        <v>0</v>
      </c>
      <c r="S595" s="45">
        <f t="shared" si="147"/>
        <v>0</v>
      </c>
      <c r="T595" s="46"/>
      <c r="U595" s="48" t="str">
        <f>D595</f>
        <v>US$ 35.0</v>
      </c>
      <c r="V595" s="44" t="str">
        <f t="shared" si="148"/>
        <v>Frontier</v>
      </c>
      <c r="AF595" s="39"/>
      <c r="AG595" s="39"/>
      <c r="AH595" s="39"/>
      <c r="AI595" s="39"/>
      <c r="AJ595" s="39"/>
      <c r="AK595" s="39"/>
      <c r="AL595" s="39"/>
      <c r="AM595" s="39"/>
      <c r="AN595" s="39"/>
      <c r="AO595" s="39"/>
      <c r="AP595" s="39"/>
      <c r="AQ595" s="39"/>
      <c r="AR595" s="39"/>
      <c r="AS595" s="39"/>
      <c r="AT595" s="39"/>
      <c r="AU595" s="39"/>
      <c r="AV595" s="39"/>
      <c r="AW595" s="39"/>
      <c r="AX595" s="39"/>
      <c r="AY595" s="39"/>
      <c r="AZ595" s="39"/>
      <c r="BA595" s="39"/>
      <c r="BB595" s="39"/>
      <c r="BC595" s="39"/>
      <c r="BD595" s="39"/>
      <c r="BE595" s="39"/>
      <c r="BF595" s="39"/>
      <c r="BG595" s="39"/>
      <c r="BH595" s="39"/>
      <c r="BI595" s="39"/>
      <c r="BJ595" s="39"/>
      <c r="BK595" s="39"/>
      <c r="BL595" s="39"/>
      <c r="BM595" s="39"/>
      <c r="BN595" s="39"/>
      <c r="BO595" s="39"/>
      <c r="BP595" s="39"/>
      <c r="BQ595" s="39"/>
      <c r="BR595" s="39"/>
      <c r="BS595" s="39"/>
      <c r="BT595" s="39"/>
      <c r="BU595" s="39"/>
      <c r="BV595" s="39"/>
      <c r="BW595" s="39"/>
      <c r="BX595" s="39"/>
      <c r="BY595" s="39"/>
      <c r="BZ595" s="39"/>
      <c r="CA595" s="39"/>
      <c r="CB595" s="39"/>
      <c r="CC595" s="39"/>
      <c r="CD595" s="39"/>
      <c r="CE595" s="39"/>
      <c r="CF595" s="39"/>
      <c r="CG595" s="39"/>
      <c r="CH595" s="39"/>
      <c r="CI595" s="39"/>
      <c r="CJ595" s="39"/>
      <c r="CK595" s="39"/>
      <c r="CL595" s="39"/>
      <c r="CM595" s="39"/>
      <c r="CN595" s="39"/>
      <c r="CO595" s="39"/>
      <c r="CP595" s="39"/>
      <c r="CQ595" s="39"/>
      <c r="CR595" s="39"/>
      <c r="CS595" s="39"/>
      <c r="CT595" s="39"/>
      <c r="CU595" s="39"/>
      <c r="CV595" s="39"/>
      <c r="CW595" s="39"/>
      <c r="CX595" s="39"/>
      <c r="CY595" s="39"/>
      <c r="CZ595" s="39"/>
      <c r="DA595" s="39"/>
      <c r="DB595" s="39"/>
      <c r="DC595" s="39"/>
      <c r="DD595" s="39"/>
      <c r="DE595" s="39"/>
      <c r="DF595" s="39"/>
      <c r="DG595" s="39"/>
      <c r="DH595" s="39"/>
      <c r="DI595" s="39"/>
    </row>
    <row r="596" spans="1:113">
      <c r="A596" s="41"/>
      <c r="B596" s="42" t="s">
        <v>522</v>
      </c>
      <c r="C596" s="48" t="s">
        <v>1603</v>
      </c>
      <c r="D596" s="44" t="str">
        <f>B596&amp;TEXT(Prices!C$48,"0.0")</f>
        <v>US$ 22.3</v>
      </c>
      <c r="E596" s="44" t="str">
        <f>B596&amp;TEXT(Prices!E$48,"0.0")</f>
        <v>US$ 100.0</v>
      </c>
      <c r="F596" s="45">
        <f>Prices!F$48</f>
        <v>3.4883303411131061</v>
      </c>
      <c r="G596" s="44" t="str">
        <f>Prices!D$48</f>
        <v>Buy</v>
      </c>
      <c r="H596" s="46"/>
      <c r="I596" s="45">
        <f>SATS!$D$31/SATS!$D$29</f>
        <v>0</v>
      </c>
      <c r="J596" s="45">
        <f>SATS!$D$31/SATS!$D$29</f>
        <v>0</v>
      </c>
      <c r="K596" s="45">
        <f>SATS!$D$31/SATS!$D$29</f>
        <v>0</v>
      </c>
      <c r="L596" s="45">
        <f>SATS!$D$31/SATS!$D$29</f>
        <v>0</v>
      </c>
      <c r="M596" s="45">
        <f t="shared" si="146"/>
        <v>0</v>
      </c>
      <c r="N596" s="46"/>
      <c r="O596" s="45">
        <f>SATS!$D$31/SATS!$D$30</f>
        <v>0</v>
      </c>
      <c r="P596" s="45">
        <f>SATS!$D$31/SATS!$D$30</f>
        <v>0</v>
      </c>
      <c r="Q596" s="45">
        <f>SATS!$D$31/SATS!$D$30</f>
        <v>0</v>
      </c>
      <c r="R596" s="45">
        <f>SATS!$D$31/SATS!$D$30</f>
        <v>0</v>
      </c>
      <c r="S596" s="45">
        <f t="shared" si="147"/>
        <v>0</v>
      </c>
      <c r="T596" s="46"/>
      <c r="U596" s="48" t="str">
        <f>D596</f>
        <v>US$ 22.3</v>
      </c>
      <c r="V596" s="44" t="str">
        <f t="shared" si="148"/>
        <v>EchoStar</v>
      </c>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39"/>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row>
    <row r="597" spans="1:113">
      <c r="A597" s="41"/>
      <c r="C597" s="51" t="str">
        <f>C537</f>
        <v>Agg. US Other</v>
      </c>
      <c r="D597" s="58"/>
      <c r="E597" s="58"/>
      <c r="F597" s="55"/>
      <c r="G597" s="58"/>
      <c r="H597" s="56"/>
      <c r="I597" s="55">
        <f>'US OTHER'!$D$31/'US OTHER'!$D$29</f>
        <v>0.122956651873093</v>
      </c>
      <c r="J597" s="55">
        <f>'US OTHER'!$E$31/'US OTHER'!$E$29</f>
        <v>0.11420338650121682</v>
      </c>
      <c r="K597" s="55">
        <f>'US OTHER'!$F$31/'US OTHER'!$F$29</f>
        <v>0.10996826737203369</v>
      </c>
      <c r="L597" s="55">
        <f>'US OTHER'!$G$31/'US OTHER'!$G$29</f>
        <v>9.9553686168744285E-2</v>
      </c>
      <c r="M597" s="55">
        <f t="shared" si="146"/>
        <v>-2.3402965704348716E-2</v>
      </c>
      <c r="N597" s="56"/>
      <c r="O597" s="55">
        <f>'US OTHER'!$D$31/'US OTHER'!$D$30</f>
        <v>0.23570971126168488</v>
      </c>
      <c r="P597" s="55">
        <f>'US OTHER'!$E$31/'US OTHER'!$E$30</f>
        <v>0.22283282006444646</v>
      </c>
      <c r="Q597" s="55">
        <f>'US OTHER'!$F$31/'US OTHER'!$F$30</f>
        <v>0.20371762475254798</v>
      </c>
      <c r="R597" s="55">
        <f>'US OTHER'!$G$31/'US OTHER'!$G$30</f>
        <v>0.17953649915466222</v>
      </c>
      <c r="S597" s="55">
        <f t="shared" si="147"/>
        <v>-5.6173212107022669E-2</v>
      </c>
      <c r="T597" s="56"/>
      <c r="U597" s="51"/>
      <c r="V597" s="58" t="str">
        <f t="shared" si="148"/>
        <v>Agg. US Other</v>
      </c>
      <c r="AF597" s="39"/>
      <c r="AG597" s="39"/>
      <c r="AH597" s="39"/>
      <c r="AI597" s="39"/>
      <c r="AJ597" s="39"/>
      <c r="AK597" s="39"/>
      <c r="AL597" s="39"/>
      <c r="AM597" s="39"/>
      <c r="AN597" s="39"/>
      <c r="AO597" s="39"/>
      <c r="AP597" s="39"/>
      <c r="AQ597" s="39"/>
      <c r="AR597" s="39"/>
      <c r="AS597" s="39"/>
      <c r="AT597" s="39"/>
      <c r="AU597" s="39"/>
      <c r="AV597" s="39"/>
      <c r="AW597" s="39"/>
      <c r="AX597" s="39"/>
      <c r="AY597" s="39"/>
      <c r="AZ597" s="39"/>
      <c r="BA597" s="39"/>
      <c r="BB597" s="39"/>
      <c r="BC597" s="39"/>
      <c r="BD597" s="39"/>
      <c r="BE597" s="39"/>
      <c r="BF597" s="39"/>
      <c r="BG597" s="39"/>
      <c r="BH597" s="39"/>
      <c r="BI597" s="39"/>
      <c r="BJ597" s="39"/>
      <c r="BK597" s="39"/>
      <c r="BL597" s="39"/>
      <c r="BM597" s="39"/>
      <c r="BN597" s="39"/>
      <c r="BO597" s="39"/>
      <c r="BP597" s="39"/>
      <c r="BQ597" s="39"/>
      <c r="BR597" s="39"/>
      <c r="BS597" s="39"/>
      <c r="BT597" s="39"/>
      <c r="BU597" s="39"/>
      <c r="BV597" s="39"/>
      <c r="BW597" s="39"/>
      <c r="BX597" s="39"/>
      <c r="BY597" s="39"/>
      <c r="BZ597" s="39"/>
      <c r="CA597" s="39"/>
      <c r="CB597" s="39"/>
      <c r="CC597" s="39"/>
      <c r="CD597" s="39"/>
      <c r="CE597" s="39"/>
      <c r="CF597" s="39"/>
      <c r="CG597" s="39"/>
      <c r="CH597" s="39"/>
      <c r="CI597" s="39"/>
      <c r="CJ597" s="39"/>
      <c r="CK597" s="39"/>
      <c r="CL597" s="39"/>
      <c r="CM597" s="39"/>
      <c r="CN597" s="39"/>
      <c r="CO597" s="39"/>
      <c r="CP597" s="39"/>
      <c r="CQ597" s="39"/>
      <c r="CR597" s="39"/>
      <c r="CS597" s="39"/>
      <c r="CT597" s="39"/>
      <c r="CU597" s="39"/>
      <c r="CV597" s="39"/>
      <c r="CW597" s="39"/>
      <c r="CX597" s="39"/>
      <c r="CY597" s="39"/>
      <c r="CZ597" s="39"/>
      <c r="DA597" s="39"/>
      <c r="DB597" s="39"/>
      <c r="DC597" s="39"/>
      <c r="DD597" s="39"/>
      <c r="DE597" s="39"/>
      <c r="DF597" s="39"/>
      <c r="DG597" s="39"/>
      <c r="DH597" s="39"/>
      <c r="DI597" s="39"/>
    </row>
    <row r="598" spans="1:113">
      <c r="A598" s="41"/>
      <c r="C598" s="48"/>
      <c r="D598" s="44"/>
      <c r="E598" s="44"/>
      <c r="F598" s="45"/>
      <c r="G598" s="44"/>
      <c r="H598" s="46"/>
      <c r="I598" s="45"/>
      <c r="J598" s="45"/>
      <c r="K598" s="45"/>
      <c r="L598" s="45"/>
      <c r="M598" s="45"/>
      <c r="N598" s="46"/>
      <c r="O598" s="45"/>
      <c r="P598" s="45"/>
      <c r="Q598" s="45"/>
      <c r="R598" s="45"/>
      <c r="S598" s="45"/>
      <c r="T598" s="46"/>
      <c r="U598" s="48"/>
      <c r="V598" s="44"/>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c r="BB598" s="39"/>
      <c r="BC598" s="39"/>
      <c r="BD598" s="39"/>
      <c r="BE598" s="39"/>
      <c r="BF598" s="39"/>
      <c r="BG598" s="39"/>
      <c r="BH598" s="39"/>
      <c r="BI598" s="39"/>
      <c r="BJ598" s="39"/>
      <c r="BK598" s="39"/>
      <c r="BL598" s="39"/>
      <c r="BM598" s="39"/>
      <c r="BN598" s="39"/>
      <c r="BO598" s="39"/>
      <c r="BP598" s="39"/>
      <c r="BQ598" s="39"/>
      <c r="BR598" s="39"/>
      <c r="BS598" s="39"/>
      <c r="BT598" s="39"/>
      <c r="BU598" s="39"/>
      <c r="BV598" s="39"/>
      <c r="BW598" s="39"/>
      <c r="BX598" s="39"/>
      <c r="BY598" s="39"/>
      <c r="BZ598" s="39"/>
      <c r="CA598" s="39"/>
      <c r="CB598" s="39"/>
      <c r="CC598" s="39"/>
      <c r="CD598" s="39"/>
      <c r="CE598" s="39"/>
      <c r="CF598" s="39"/>
      <c r="CG598" s="39"/>
      <c r="CH598" s="39"/>
      <c r="CI598" s="39"/>
      <c r="CJ598" s="39"/>
      <c r="CK598" s="39"/>
      <c r="CL598" s="39"/>
      <c r="CM598" s="39"/>
      <c r="CN598" s="39"/>
      <c r="CO598" s="39"/>
      <c r="CP598" s="39"/>
      <c r="CQ598" s="39"/>
      <c r="CR598" s="39"/>
      <c r="CS598" s="39"/>
      <c r="CT598" s="39"/>
      <c r="CU598" s="39"/>
      <c r="CV598" s="39"/>
      <c r="CW598" s="39"/>
      <c r="CX598" s="39"/>
      <c r="CY598" s="39"/>
      <c r="CZ598" s="39"/>
      <c r="DA598" s="39"/>
      <c r="DB598" s="39"/>
      <c r="DC598" s="39"/>
      <c r="DD598" s="39"/>
      <c r="DE598" s="39"/>
      <c r="DF598" s="39"/>
      <c r="DG598" s="39"/>
      <c r="DH598" s="39"/>
      <c r="DI598" s="39"/>
    </row>
    <row r="599" spans="1:113">
      <c r="C599" s="48"/>
      <c r="D599" s="44"/>
      <c r="E599" s="44"/>
      <c r="F599" s="45"/>
      <c r="G599" s="44"/>
      <c r="H599" s="46"/>
      <c r="I599" s="45"/>
      <c r="J599" s="45"/>
      <c r="K599" s="45"/>
      <c r="L599" s="45"/>
      <c r="M599" s="45"/>
      <c r="N599" s="46"/>
      <c r="O599" s="45"/>
      <c r="P599" s="45"/>
      <c r="Q599" s="45"/>
      <c r="R599" s="45"/>
      <c r="S599" s="45"/>
      <c r="T599" s="46"/>
      <c r="U599" s="48"/>
      <c r="V599" s="44"/>
      <c r="AF599" s="39"/>
      <c r="AG599" s="39"/>
      <c r="AH599" s="39"/>
      <c r="AI599" s="39"/>
      <c r="AJ599" s="39"/>
      <c r="AK599" s="39"/>
      <c r="AL599" s="39"/>
      <c r="AM599" s="39"/>
      <c r="AN599" s="39"/>
      <c r="AO599" s="39"/>
      <c r="AP599" s="39"/>
      <c r="AQ599" s="39"/>
      <c r="AR599" s="39"/>
      <c r="AS599" s="39"/>
      <c r="AT599" s="39"/>
      <c r="AU599" s="39"/>
      <c r="AV599" s="39"/>
      <c r="AW599" s="39"/>
      <c r="AX599" s="39"/>
      <c r="AY599" s="39"/>
      <c r="AZ599" s="39"/>
      <c r="BA599" s="39"/>
      <c r="BB599" s="39"/>
      <c r="BC599" s="39"/>
      <c r="BD599" s="39"/>
      <c r="BE599" s="39"/>
      <c r="BF599" s="39"/>
      <c r="BG599" s="39"/>
      <c r="BH599" s="39"/>
      <c r="BI599" s="39"/>
      <c r="BJ599" s="39"/>
      <c r="BK599" s="39"/>
      <c r="BL599" s="39"/>
      <c r="BM599" s="39"/>
      <c r="BN599" s="39"/>
      <c r="BO599" s="39"/>
      <c r="BP599" s="39"/>
      <c r="BQ599" s="39"/>
      <c r="BR599" s="39"/>
      <c r="BS599" s="39"/>
      <c r="BT599" s="39"/>
      <c r="BU599" s="39"/>
      <c r="BV599" s="39"/>
      <c r="BW599" s="39"/>
      <c r="BX599" s="39"/>
      <c r="BY599" s="39"/>
      <c r="BZ599" s="39"/>
      <c r="CA599" s="39"/>
      <c r="CB599" s="39"/>
      <c r="CC599" s="39"/>
      <c r="CD599" s="39"/>
      <c r="CE599" s="39"/>
      <c r="CF599" s="39"/>
      <c r="CG599" s="39"/>
      <c r="CH599" s="39"/>
      <c r="CI599" s="39"/>
      <c r="CJ599" s="39"/>
      <c r="CK599" s="39"/>
      <c r="CL599" s="39"/>
      <c r="CM599" s="39"/>
      <c r="CN599" s="39"/>
      <c r="CO599" s="39"/>
      <c r="CP599" s="39"/>
      <c r="CQ599" s="39"/>
      <c r="CR599" s="39"/>
      <c r="CS599" s="39"/>
      <c r="CT599" s="39"/>
      <c r="CU599" s="39"/>
      <c r="CV599" s="39"/>
      <c r="CW599" s="39"/>
      <c r="CX599" s="39"/>
      <c r="CY599" s="39"/>
      <c r="CZ599" s="39"/>
      <c r="DA599" s="39"/>
      <c r="DB599" s="39"/>
      <c r="DC599" s="39"/>
      <c r="DD599" s="39"/>
      <c r="DE599" s="39"/>
      <c r="DF599" s="39"/>
      <c r="DG599" s="39"/>
      <c r="DH599" s="39"/>
      <c r="DI599" s="39"/>
    </row>
    <row r="600" spans="1:113">
      <c r="C600" s="51" t="str">
        <f>C540</f>
        <v>Agg. W Europe</v>
      </c>
      <c r="D600" s="52"/>
      <c r="E600" s="52"/>
      <c r="F600" s="53"/>
      <c r="G600" s="52"/>
      <c r="H600" s="46"/>
      <c r="I600" s="55">
        <f>'W.EUR AGG'!$D$31/'W.EUR AGG'!$D$29</f>
        <v>0.84004586109502322</v>
      </c>
      <c r="J600" s="55">
        <f>'W.EUR AGG'!$E$31/'W.EUR AGG'!$E$29</f>
        <v>0.70317381129411016</v>
      </c>
      <c r="K600" s="55">
        <f>'W.EUR AGG'!$F$31/'W.EUR AGG'!$F$29</f>
        <v>0.63613533574738812</v>
      </c>
      <c r="L600" s="55">
        <f>'W.EUR AGG'!$G$31/'W.EUR AGG'!$G$29</f>
        <v>0.59777383040478504</v>
      </c>
      <c r="M600" s="55">
        <f>L600-I600</f>
        <v>-0.24227203069023817</v>
      </c>
      <c r="N600" s="56"/>
      <c r="O600" s="55">
        <f>'W.EUR AGG'!$D$31/'W.EUR AGG'!$D$30</f>
        <v>0.80427808979136539</v>
      </c>
      <c r="P600" s="55">
        <f>'W.EUR AGG'!$E$31/'W.EUR AGG'!$E$30</f>
        <v>0.68883249946750003</v>
      </c>
      <c r="Q600" s="55">
        <f>'W.EUR AGG'!$F$31/'W.EUR AGG'!$F$30</f>
        <v>0.60687452684378984</v>
      </c>
      <c r="R600" s="55">
        <f>'W.EUR AGG'!$G$31/'W.EUR AGG'!$G$30</f>
        <v>0.59857561258105652</v>
      </c>
      <c r="S600" s="55">
        <f>R600-O600</f>
        <v>-0.20570247721030888</v>
      </c>
      <c r="T600" s="46"/>
      <c r="U600" s="57"/>
      <c r="V600" s="58" t="str">
        <f>V540</f>
        <v>Agg. W Europe</v>
      </c>
      <c r="AC600" s="63"/>
    </row>
    <row r="601" spans="1:113">
      <c r="C601" s="41" t="s">
        <v>1608</v>
      </c>
      <c r="D601" s="44"/>
      <c r="E601" s="44"/>
      <c r="F601" s="45"/>
      <c r="G601" s="44"/>
      <c r="H601" s="46"/>
      <c r="I601" s="59">
        <f>'US AGG'!$D$31/'US AGG'!$D$29</f>
        <v>0.34042855312367443</v>
      </c>
      <c r="J601" s="59">
        <f>'US AGG'!$E$31/'US AGG'!$E$29</f>
        <v>0.40749940814543628</v>
      </c>
      <c r="K601" s="59">
        <f>'US AGG'!$F$31/'US AGG'!$F$29</f>
        <v>0.39852724802079237</v>
      </c>
      <c r="L601" s="59">
        <f>'US AGG'!$F$31/'US AGG'!$F$29</f>
        <v>0.39852724802079237</v>
      </c>
      <c r="M601" s="59">
        <f>L601-I601</f>
        <v>5.8098694897117942E-2</v>
      </c>
      <c r="N601" s="56"/>
      <c r="O601" s="59">
        <f>'US AGG'!$D$31/'US AGG'!$D$30</f>
        <v>0.43107231802779822</v>
      </c>
      <c r="P601" s="59">
        <f>'US AGG'!$E$31/'US AGG'!$E$30</f>
        <v>0.48879497395532578</v>
      </c>
      <c r="Q601" s="59">
        <f>'US AGG'!$F$31/'US AGG'!$F$30</f>
        <v>0.46572924509906288</v>
      </c>
      <c r="R601" s="59">
        <f>'US AGG'!$F$31/'US AGG'!$F$30</f>
        <v>0.46572924509906288</v>
      </c>
      <c r="S601" s="59">
        <f>R601-O601</f>
        <v>3.4656927071264665E-2</v>
      </c>
      <c r="T601" s="46"/>
      <c r="U601" s="48"/>
      <c r="V601" s="50" t="str">
        <f>V541</f>
        <v>Agg. US</v>
      </c>
      <c r="AC601" s="63"/>
    </row>
    <row r="602" spans="1:113">
      <c r="C602" s="67" t="str">
        <f>C542</f>
        <v xml:space="preserve">Agg. Developed Asia </v>
      </c>
      <c r="D602" s="52"/>
      <c r="E602" s="52"/>
      <c r="F602" s="53"/>
      <c r="G602" s="52"/>
      <c r="H602" s="46"/>
      <c r="I602" s="55">
        <f>'AGG DM ASIA'!$D$31/'AGG DM ASIA'!$D$29</f>
        <v>0.68389049881093267</v>
      </c>
      <c r="J602" s="55">
        <f>'AGG DM ASIA'!$E$31/'AGG DM ASIA'!$E$29</f>
        <v>0.62953259710200948</v>
      </c>
      <c r="K602" s="55">
        <f>'AGG DM ASIA'!$F$31/'AGG DM ASIA'!$F$29</f>
        <v>0.57204287676595666</v>
      </c>
      <c r="L602" s="55">
        <f>'AGG DM ASIA'!$G$31/'AGG DM ASIA'!$G$29</f>
        <v>0.57957522323335775</v>
      </c>
      <c r="M602" s="55">
        <f>L602-I602</f>
        <v>-0.10431527557757492</v>
      </c>
      <c r="N602" s="56"/>
      <c r="O602" s="55">
        <f>'AGG DM ASIA'!$D$31/'AGG DM ASIA'!$D$30</f>
        <v>0.66687405586123383</v>
      </c>
      <c r="P602" s="55">
        <f>'AGG DM ASIA'!$E$31/'AGG DM ASIA'!$E$30</f>
        <v>0.63050681833554223</v>
      </c>
      <c r="Q602" s="55">
        <f>'AGG DM ASIA'!$F$31/'AGG DM ASIA'!$F$30</f>
        <v>0.59561853809365761</v>
      </c>
      <c r="R602" s="55">
        <f>'AGG DM ASIA'!$G$31/'AGG DM ASIA'!$G$30</f>
        <v>0.59535547257098165</v>
      </c>
      <c r="S602" s="55">
        <f>R602-O602</f>
        <v>-7.151858329025218E-2</v>
      </c>
      <c r="T602" s="46"/>
      <c r="U602" s="57"/>
      <c r="V602" s="58" t="str">
        <f>V542</f>
        <v xml:space="preserve">Agg. Developed Asia </v>
      </c>
    </row>
    <row r="603" spans="1:113">
      <c r="C603" s="41"/>
      <c r="D603" s="44"/>
      <c r="E603" s="44"/>
      <c r="F603" s="45"/>
      <c r="G603" s="44"/>
      <c r="H603" s="46"/>
      <c r="I603" s="59"/>
      <c r="J603" s="59"/>
      <c r="K603" s="59"/>
      <c r="L603" s="59"/>
      <c r="M603" s="59"/>
      <c r="N603" s="56"/>
      <c r="O603" s="59"/>
      <c r="P603" s="59"/>
      <c r="Q603" s="59"/>
      <c r="R603" s="59"/>
      <c r="S603" s="59"/>
      <c r="T603" s="46"/>
      <c r="U603" s="48"/>
      <c r="V603" s="50"/>
    </row>
    <row r="604" spans="1:113">
      <c r="C604" s="67" t="str">
        <f>C544</f>
        <v>Agg. Global Developed</v>
      </c>
      <c r="D604" s="52"/>
      <c r="E604" s="52"/>
      <c r="F604" s="53"/>
      <c r="G604" s="52"/>
      <c r="H604" s="46"/>
      <c r="I604" s="55">
        <f>'AGG DM'!$D$31/'AGG DM'!$D$29</f>
        <v>0.47186757365831361</v>
      </c>
      <c r="J604" s="55">
        <f>'AGG DM'!$E$31/'AGG DM'!$E$29</f>
        <v>0.49732621098063601</v>
      </c>
      <c r="K604" s="55">
        <f>'AGG DM'!$F$31/'AGG DM'!$F$29</f>
        <v>0.47548344156280636</v>
      </c>
      <c r="L604" s="55">
        <f>'AGG DM'!$F$31/'AGG DM'!$F$29</f>
        <v>0.47548344156280636</v>
      </c>
      <c r="M604" s="55">
        <f>L604-I604</f>
        <v>3.6158679044927533E-3</v>
      </c>
      <c r="N604" s="56"/>
      <c r="O604" s="55">
        <f>'AGG DM'!$D$31/'AGG DM'!$D$30</f>
        <v>0.54548840409246102</v>
      </c>
      <c r="P604" s="55">
        <f>'AGG DM'!$E$31/'AGG DM'!$E$30</f>
        <v>0.5560754029938656</v>
      </c>
      <c r="Q604" s="55">
        <f>'AGG DM'!$F$31/'AGG DM'!$F$30</f>
        <v>0.52144036592986298</v>
      </c>
      <c r="R604" s="55">
        <f>'AGG DM'!$F$31/'AGG DM'!$F$30</f>
        <v>0.52144036592986298</v>
      </c>
      <c r="S604" s="55">
        <f>R604-O604</f>
        <v>-2.404803816259804E-2</v>
      </c>
      <c r="T604" s="46"/>
      <c r="U604" s="57"/>
      <c r="V604" s="58" t="str">
        <f>V544</f>
        <v xml:space="preserve">Agg. Global Developed </v>
      </c>
    </row>
    <row r="605" spans="1:113">
      <c r="C605" s="41"/>
      <c r="D605" s="44"/>
      <c r="E605" s="44"/>
      <c r="F605" s="68"/>
      <c r="G605" s="44"/>
      <c r="H605" s="46"/>
      <c r="I605" s="61"/>
      <c r="J605" s="61"/>
      <c r="K605" s="61"/>
      <c r="L605" s="61"/>
      <c r="M605" s="61"/>
      <c r="N605" s="56"/>
      <c r="O605" s="61"/>
      <c r="P605" s="61"/>
      <c r="Q605" s="61"/>
      <c r="R605" s="61"/>
      <c r="S605" s="61"/>
      <c r="T605" s="46"/>
      <c r="U605" s="48"/>
      <c r="V605" s="50"/>
    </row>
    <row r="606" spans="1:113">
      <c r="C606" s="41"/>
      <c r="D606" s="44"/>
      <c r="E606" s="44"/>
      <c r="F606" s="68"/>
      <c r="G606" s="44"/>
      <c r="H606" s="46"/>
      <c r="I606" s="61"/>
      <c r="J606" s="61"/>
      <c r="K606" s="61"/>
      <c r="L606" s="61"/>
      <c r="M606" s="61"/>
      <c r="N606" s="56"/>
      <c r="O606" s="61"/>
      <c r="P606" s="61"/>
      <c r="Q606" s="61"/>
      <c r="R606" s="61"/>
      <c r="S606" s="61"/>
      <c r="T606" s="46"/>
      <c r="U606" s="48"/>
      <c r="V606" s="50"/>
    </row>
    <row r="607" spans="1:113" s="41" customFormat="1">
      <c r="B607" s="147"/>
      <c r="C607" s="164"/>
      <c r="D607" s="165" t="s">
        <v>459</v>
      </c>
      <c r="E607" s="165" t="s">
        <v>56</v>
      </c>
      <c r="F607" s="165" t="s">
        <v>58</v>
      </c>
      <c r="G607" s="165" t="s">
        <v>55</v>
      </c>
      <c r="H607" s="49"/>
      <c r="I607" s="166" t="s">
        <v>621</v>
      </c>
      <c r="J607" s="166"/>
      <c r="K607" s="166"/>
      <c r="L607" s="166"/>
      <c r="M607" s="166"/>
      <c r="O607" s="166" t="s">
        <v>622</v>
      </c>
      <c r="P607" s="166"/>
      <c r="Q607" s="166"/>
      <c r="R607" s="166"/>
      <c r="S607" s="166"/>
      <c r="T607" s="49"/>
      <c r="U607" s="167" t="s">
        <v>459</v>
      </c>
      <c r="V607" s="165"/>
      <c r="Z607" s="49"/>
      <c r="AC607" s="135"/>
      <c r="AD607" s="136"/>
      <c r="AE607" s="136"/>
      <c r="AF607" s="136"/>
      <c r="AG607" s="136"/>
      <c r="AH607" s="136"/>
      <c r="AI607" s="136"/>
      <c r="AJ607" s="136"/>
      <c r="AK607" s="136"/>
      <c r="AL607" s="136"/>
      <c r="AM607" s="136"/>
      <c r="AN607" s="136"/>
      <c r="AO607" s="136"/>
      <c r="AP607" s="136"/>
      <c r="AQ607" s="136"/>
      <c r="AR607" s="136"/>
      <c r="AS607" s="136"/>
      <c r="AT607" s="136"/>
      <c r="AU607" s="136"/>
      <c r="AV607" s="136"/>
      <c r="AW607" s="136"/>
      <c r="BC607" s="137"/>
      <c r="BD607" s="137"/>
      <c r="BE607" s="137"/>
      <c r="BG607" s="137"/>
      <c r="BH607" s="137"/>
      <c r="BI607" s="137"/>
      <c r="BK607" s="137"/>
      <c r="BL607" s="137"/>
      <c r="BM607" s="137"/>
      <c r="BO607" s="137"/>
      <c r="BP607" s="137"/>
      <c r="BQ607" s="137"/>
    </row>
    <row r="608" spans="1:113">
      <c r="A608" s="41" t="s">
        <v>501</v>
      </c>
      <c r="C608" s="48" t="s">
        <v>182</v>
      </c>
      <c r="D608" s="44" t="str">
        <f t="shared" ref="D608:G618" si="149">D548</f>
        <v>GBP1.44</v>
      </c>
      <c r="E608" s="44" t="str">
        <f t="shared" si="149"/>
        <v>GBP2.30</v>
      </c>
      <c r="F608" s="45">
        <f t="shared" si="149"/>
        <v>0.59777700590482818</v>
      </c>
      <c r="G608" s="44" t="str">
        <f t="shared" si="149"/>
        <v>Buy</v>
      </c>
      <c r="H608" s="46"/>
      <c r="I608" s="45">
        <f>BT!$D$32/BT!$D$11</f>
        <v>0</v>
      </c>
      <c r="J608" s="45">
        <f>BT!$E$32/BT!$E$11</f>
        <v>0</v>
      </c>
      <c r="K608" s="45">
        <f>BT!$F$32/BT!$F$11</f>
        <v>0</v>
      </c>
      <c r="L608" s="45">
        <f>BT!$G$32/BT!$G$11</f>
        <v>0</v>
      </c>
      <c r="M608" s="45" t="str">
        <f>BT!$H$32</f>
        <v>nm</v>
      </c>
      <c r="N608" s="46"/>
      <c r="O608" s="45">
        <f>(BT!$D$31+BT!$D$32)/BT!$D$11</f>
        <v>5.5574852379298365E-2</v>
      </c>
      <c r="P608" s="45">
        <f>(BT!$E$31+BT!$E$32)/BT!$E$11</f>
        <v>5.779784647447031E-2</v>
      </c>
      <c r="Q608" s="45">
        <f>(BT!$F$31+BT!$F$32)/BT!$F$11</f>
        <v>6.0109760333449128E-2</v>
      </c>
      <c r="R608" s="45">
        <f>(BT!$G$31+BT!$G$32)/BT!$G$11</f>
        <v>7.2131712400138936E-2</v>
      </c>
      <c r="S608" s="45">
        <f>BT!$H$46</f>
        <v>8.7454021669845394E-2</v>
      </c>
      <c r="T608" s="46"/>
      <c r="U608" s="48" t="str">
        <f t="shared" ref="U608:V612" si="150">U548</f>
        <v>GBP1.44</v>
      </c>
      <c r="V608" s="69" t="str">
        <f t="shared" si="150"/>
        <v>British Telecom</v>
      </c>
      <c r="X608" s="43"/>
      <c r="Y608" s="76"/>
    </row>
    <row r="609" spans="1:113">
      <c r="A609" s="41"/>
      <c r="C609" s="48" t="s">
        <v>183</v>
      </c>
      <c r="D609" s="44" t="str">
        <f t="shared" si="149"/>
        <v>EUR 26.13</v>
      </c>
      <c r="E609" s="44" t="str">
        <f t="shared" si="149"/>
        <v>EUR 33.00</v>
      </c>
      <c r="F609" s="45">
        <f t="shared" si="149"/>
        <v>0.26291618828932273</v>
      </c>
      <c r="G609" s="44" t="str">
        <f t="shared" si="149"/>
        <v>Buy</v>
      </c>
      <c r="H609" s="46"/>
      <c r="I609" s="45">
        <f>DT!$D$32/DT!$D$11</f>
        <v>0</v>
      </c>
      <c r="J609" s="45">
        <f>DT!$E$32/DT!$E$11</f>
        <v>0</v>
      </c>
      <c r="K609" s="45">
        <f>DT!$F$32/DT!$F$11</f>
        <v>0</v>
      </c>
      <c r="L609" s="45">
        <f>DT!$G$32/DT!$G$11</f>
        <v>0</v>
      </c>
      <c r="M609" s="45" t="str">
        <f>DT!$H$32</f>
        <v>nm</v>
      </c>
      <c r="N609" s="46"/>
      <c r="O609" s="45">
        <f>(DT!$D$31+DT!$D$32)/DT!$D$11</f>
        <v>2.946804439341753E-2</v>
      </c>
      <c r="P609" s="45">
        <f>(DT!$E$31+DT!$E$32)/DT!$E$11</f>
        <v>3.3004209720627634E-2</v>
      </c>
      <c r="Q609" s="45">
        <f>(DT!$F$31+DT!$F$32)/DT!$F$11</f>
        <v>3.6964714887102956E-2</v>
      </c>
      <c r="R609" s="45">
        <f>(DT!$G$31+DT!$G$32)/DT!$G$11</f>
        <v>4.0661186375813257E-2</v>
      </c>
      <c r="S609" s="45">
        <f>DT!$H$46</f>
        <v>0.10580083205039381</v>
      </c>
      <c r="T609" s="46"/>
      <c r="U609" s="48" t="str">
        <f t="shared" si="150"/>
        <v>EUR 26.13</v>
      </c>
      <c r="V609" s="69" t="str">
        <f t="shared" si="150"/>
        <v>Deutsche Telekom</v>
      </c>
      <c r="X609" s="43"/>
      <c r="Y609" s="76"/>
    </row>
    <row r="610" spans="1:113">
      <c r="A610" s="41"/>
      <c r="C610" s="48" t="s">
        <v>453</v>
      </c>
      <c r="D610" s="44" t="str">
        <f t="shared" si="149"/>
        <v>EUR 3.75</v>
      </c>
      <c r="E610" s="44" t="str">
        <f t="shared" si="149"/>
        <v>EUR 3.80</v>
      </c>
      <c r="F610" s="45">
        <f t="shared" si="149"/>
        <v>1.4415376401494928E-2</v>
      </c>
      <c r="G610" s="44" t="str">
        <f t="shared" si="149"/>
        <v>Neutral</v>
      </c>
      <c r="H610" s="46"/>
      <c r="I610" s="45">
        <f>KPN!$D$32/KPN!$D$11</f>
        <v>0</v>
      </c>
      <c r="J610" s="45">
        <f>KPN!$E$32/KPN!$E$11</f>
        <v>0</v>
      </c>
      <c r="K610" s="45">
        <f>KPN!$F$32/KPN!$F$11</f>
        <v>0</v>
      </c>
      <c r="L610" s="45">
        <f>KPN!$G$32/KPN!$G$11</f>
        <v>0</v>
      </c>
      <c r="M610" s="45" t="str">
        <f>KPN!$H$32</f>
        <v>nm</v>
      </c>
      <c r="N610" s="46"/>
      <c r="O610" s="45">
        <f>(KPN!$D$31+KPN!$D$32)/KPN!$D$11</f>
        <v>3.8174052322477309E-2</v>
      </c>
      <c r="P610" s="45">
        <f>(KPN!$E$31+KPN!$E$32)/KPN!$E$11</f>
        <v>4.5381740523224773E-2</v>
      </c>
      <c r="Q610" s="45">
        <f>(KPN!$F$31+KPN!$F$32)/KPN!$F$11</f>
        <v>4.8558462359850514E-2</v>
      </c>
      <c r="R610" s="45">
        <f>(KPN!$G$31+KPN!$G$32)/KPN!$G$11</f>
        <v>5.1957554725040059E-2</v>
      </c>
      <c r="S610" s="45" t="str">
        <f>KPN!$H$46</f>
        <v>nm</v>
      </c>
      <c r="T610" s="46"/>
      <c r="U610" s="48" t="str">
        <f t="shared" si="150"/>
        <v>EUR 3.75</v>
      </c>
      <c r="V610" s="69" t="str">
        <f t="shared" si="150"/>
        <v>KPN</v>
      </c>
    </row>
    <row r="611" spans="1:113">
      <c r="A611" s="41"/>
      <c r="C611" s="48" t="s">
        <v>722</v>
      </c>
      <c r="D611" s="44" t="str">
        <f t="shared" si="149"/>
        <v>EUR 10.72</v>
      </c>
      <c r="E611" s="44" t="str">
        <f t="shared" si="149"/>
        <v>EUR 14.00</v>
      </c>
      <c r="F611" s="45">
        <f t="shared" si="149"/>
        <v>0.30597014925373123</v>
      </c>
      <c r="G611" s="44" t="str">
        <f t="shared" si="149"/>
        <v>Buy</v>
      </c>
      <c r="H611" s="46"/>
      <c r="I611" s="45">
        <f>ORA!$D$32/ORA!$D$11</f>
        <v>0</v>
      </c>
      <c r="J611" s="45">
        <f>ORA!$E$32/ORA!$E$11</f>
        <v>0</v>
      </c>
      <c r="K611" s="45">
        <f>ORA!$F$32/ORA!$F$11</f>
        <v>0</v>
      </c>
      <c r="L611" s="45">
        <f>ORA!$G$32/ORA!$G$11</f>
        <v>0</v>
      </c>
      <c r="M611" s="45" t="str">
        <f>ORA!$H$32</f>
        <v>nm</v>
      </c>
      <c r="N611" s="46"/>
      <c r="O611" s="45">
        <f>(ORA!$D$31+ORA!$D$32)/ORA!$D$11</f>
        <v>6.7164179104477625E-2</v>
      </c>
      <c r="P611" s="45">
        <f>(ORA!$E$31+ORA!$E$32)/ORA!$E$11</f>
        <v>6.9962686567164187E-2</v>
      </c>
      <c r="Q611" s="45">
        <f>(ORA!$F$31+ORA!$F$32)/ORA!$F$11</f>
        <v>7.2761194029850748E-2</v>
      </c>
      <c r="R611" s="45">
        <f>(ORA!$G$31+ORA!$G$32)/ORA!$G$11</f>
        <v>7.5671641791044769E-2</v>
      </c>
      <c r="S611" s="45">
        <f>ORA!$H$46</f>
        <v>4.0555259048362657E-2</v>
      </c>
      <c r="T611" s="46"/>
      <c r="U611" s="48" t="str">
        <f t="shared" si="150"/>
        <v>EUR 10.72</v>
      </c>
      <c r="V611" s="69" t="str">
        <f t="shared" si="150"/>
        <v>Orange</v>
      </c>
      <c r="X611" s="43"/>
      <c r="Y611" s="76"/>
    </row>
    <row r="612" spans="1:113">
      <c r="A612" s="41"/>
      <c r="C612" s="48" t="s">
        <v>454</v>
      </c>
      <c r="D612" s="44" t="str">
        <f t="shared" si="149"/>
        <v>EUR 15.08</v>
      </c>
      <c r="E612" s="44" t="str">
        <f t="shared" si="149"/>
        <v>EUR 18.50</v>
      </c>
      <c r="F612" s="45">
        <f t="shared" si="149"/>
        <v>0.22679045092838201</v>
      </c>
      <c r="G612" s="44" t="str">
        <f t="shared" si="149"/>
        <v>Buy</v>
      </c>
      <c r="H612" s="46"/>
      <c r="I612" s="45">
        <f>OTE!$D$32/OTE!$D$11</f>
        <v>0</v>
      </c>
      <c r="J612" s="45">
        <f>OTE!$E$32/OTE!$E$11</f>
        <v>0</v>
      </c>
      <c r="K612" s="45">
        <f>OTE!$F$32/OTE!$F$11</f>
        <v>0</v>
      </c>
      <c r="L612" s="45">
        <f>OTE!$G$32/OTE!$G$11</f>
        <v>0</v>
      </c>
      <c r="M612" s="45" t="str">
        <f>OTE!$H$32</f>
        <v>nm</v>
      </c>
      <c r="N612" s="46"/>
      <c r="O612" s="45">
        <f>(OTE!$D$31+OTE!$D$32)/OTE!$D$11</f>
        <v>4.7082228116710867E-2</v>
      </c>
      <c r="P612" s="45">
        <f>(OTE!$E$31+OTE!$E$32)/OTE!$E$11</f>
        <v>4.9436339522546419E-2</v>
      </c>
      <c r="Q612" s="45">
        <f>(OTE!$F$31+OTE!$F$32)/OTE!$F$11</f>
        <v>5.1908156498673745E-2</v>
      </c>
      <c r="R612" s="45">
        <f>(OTE!$G$31+OTE!$G$32)/OTE!$G$11</f>
        <v>5.450356432360743E-2</v>
      </c>
      <c r="S612" s="45">
        <f>OTE!$H$46</f>
        <v>1.1863743516651537E-2</v>
      </c>
      <c r="T612" s="46"/>
      <c r="U612" s="48" t="str">
        <f t="shared" si="150"/>
        <v>EUR 15.08</v>
      </c>
      <c r="V612" s="69" t="str">
        <f t="shared" si="150"/>
        <v>OTE</v>
      </c>
      <c r="X612" s="43"/>
    </row>
    <row r="613" spans="1:113">
      <c r="A613" s="41"/>
      <c r="C613" s="48" t="s">
        <v>809</v>
      </c>
      <c r="D613" s="44" t="str">
        <f t="shared" si="149"/>
        <v>EUR 6.8</v>
      </c>
      <c r="E613" s="44" t="str">
        <f t="shared" si="149"/>
        <v>EUR 9.5</v>
      </c>
      <c r="F613" s="45">
        <f t="shared" si="149"/>
        <v>0.39296187683284445</v>
      </c>
      <c r="G613" s="44" t="str">
        <f t="shared" si="149"/>
        <v>Neutral</v>
      </c>
      <c r="H613" s="46"/>
      <c r="I613" s="45">
        <f>PROX!$D$32/PROX!$D$11</f>
        <v>0</v>
      </c>
      <c r="J613" s="45">
        <f>PROX!$E$32/PROX!$E$11</f>
        <v>0</v>
      </c>
      <c r="K613" s="45">
        <f>PROX!$F$32/PROX!$F$11</f>
        <v>0</v>
      </c>
      <c r="L613" s="45">
        <f>PROX!$G$32/PROX!$G$11</f>
        <v>0</v>
      </c>
      <c r="M613" s="45" t="str">
        <f>PROX!$H$32</f>
        <v>nm</v>
      </c>
      <c r="N613" s="46"/>
      <c r="O613" s="45">
        <f>(PROX!$D$31+PROX!$D$32)/PROX!$D$11</f>
        <v>0.17595307917888564</v>
      </c>
      <c r="P613" s="45">
        <f>(PROX!$E$31+PROX!$E$32)/PROX!$E$11</f>
        <v>0.1466275659824047</v>
      </c>
      <c r="Q613" s="45">
        <f>(PROX!$F$31+PROX!$F$32)/PROX!$F$11</f>
        <v>8.797653958944282E-2</v>
      </c>
      <c r="R613" s="45">
        <f>(PROX!$G$31+PROX!$G$32)/PROX!$G$11</f>
        <v>8.797653958944282E-2</v>
      </c>
      <c r="S613" s="45">
        <f>PROX!$H$46</f>
        <v>-0.20629947401590021</v>
      </c>
      <c r="T613" s="46"/>
      <c r="U613" s="48" t="str">
        <f t="shared" ref="U613:U618" si="151">U553</f>
        <v>EUR 6.8</v>
      </c>
      <c r="V613" s="69" t="s">
        <v>809</v>
      </c>
      <c r="X613" s="43"/>
      <c r="Y613" s="76"/>
    </row>
    <row r="614" spans="1:113">
      <c r="C614" s="48" t="s">
        <v>458</v>
      </c>
      <c r="D614" s="44" t="str">
        <f t="shared" si="149"/>
        <v>CHF549</v>
      </c>
      <c r="E614" s="44" t="str">
        <f t="shared" si="149"/>
        <v>CHF600</v>
      </c>
      <c r="F614" s="45">
        <f t="shared" si="149"/>
        <v>9.2896174863388081E-2</v>
      </c>
      <c r="G614" s="44" t="str">
        <f t="shared" si="149"/>
        <v>Neutral</v>
      </c>
      <c r="H614" s="46"/>
      <c r="I614" s="45">
        <f>SWISS!$D$32/SWISS!$D$11</f>
        <v>0</v>
      </c>
      <c r="J614" s="45">
        <f>SWISS!$E$32/SWISS!$E$11</f>
        <v>0</v>
      </c>
      <c r="K614" s="45">
        <f>SWISS!$F$32/SWISS!$F$11</f>
        <v>0</v>
      </c>
      <c r="L614" s="45">
        <f>SWISS!$G$32/SWISS!$G$11</f>
        <v>0</v>
      </c>
      <c r="M614" s="45" t="str">
        <f>SWISS!$H$32</f>
        <v>nm</v>
      </c>
      <c r="N614" s="46"/>
      <c r="O614" s="45">
        <f>(SWISS!$D$31+SWISS!$D$32)/SWISS!$D$11</f>
        <v>4.0072859744990898E-2</v>
      </c>
      <c r="P614" s="45">
        <f>(SWISS!$E$31+SWISS!$E$32)/SWISS!$E$11</f>
        <v>4.0072859744990898E-2</v>
      </c>
      <c r="Q614" s="45">
        <f>(SWISS!$F$31+SWISS!$F$32)/SWISS!$F$11</f>
        <v>4.7358834244080147E-2</v>
      </c>
      <c r="R614" s="45">
        <f>(SWISS!$G$31+SWISS!$G$32)/SWISS!$G$11</f>
        <v>4.9180327868852465E-2</v>
      </c>
      <c r="S614" s="45">
        <f>SWISS!$H$46</f>
        <v>7.0648783255412351E-2</v>
      </c>
      <c r="T614" s="46"/>
      <c r="U614" s="48" t="str">
        <f t="shared" si="151"/>
        <v>CHF549</v>
      </c>
      <c r="V614" s="69" t="str">
        <f t="shared" ref="V614:V619" si="152">V554</f>
        <v>Swisscom</v>
      </c>
    </row>
    <row r="615" spans="1:113">
      <c r="A615" s="41"/>
      <c r="C615" s="48" t="s">
        <v>265</v>
      </c>
      <c r="D615" s="44" t="str">
        <f t="shared" si="149"/>
        <v>EUR 0.24</v>
      </c>
      <c r="E615" s="44" t="str">
        <f t="shared" si="149"/>
        <v>EUR 0.34</v>
      </c>
      <c r="F615" s="45">
        <f t="shared" si="149"/>
        <v>0.44006776789495983</v>
      </c>
      <c r="G615" s="44" t="str">
        <f t="shared" si="149"/>
        <v>Buy</v>
      </c>
      <c r="H615" s="46"/>
      <c r="I615" s="45">
        <f>TI!$D$32/TI!$D$11</f>
        <v>0</v>
      </c>
      <c r="J615" s="45">
        <f>TI!$E$32/TI!$E$11</f>
        <v>0</v>
      </c>
      <c r="K615" s="45">
        <f>TI!$F$32/TI!$F$11</f>
        <v>0</v>
      </c>
      <c r="L615" s="45">
        <f>TI!$G$32/TI!$G$11</f>
        <v>0</v>
      </c>
      <c r="M615" s="45" t="str">
        <f>TI!$H$32</f>
        <v>nm</v>
      </c>
      <c r="N615" s="46"/>
      <c r="O615" s="45">
        <f>(TI!$D$31+TI!$D$32)/TI!$D$11</f>
        <v>0</v>
      </c>
      <c r="P615" s="45">
        <f>(TI!$E$31+TI!$E$32)/TI!$E$11</f>
        <v>0</v>
      </c>
      <c r="Q615" s="45">
        <f>(TI!$F$31+TI!$F$32)/TI!$F$11</f>
        <v>0</v>
      </c>
      <c r="R615" s="45">
        <f>(TI!$G$31+TI!$G$32)/TI!$G$11</f>
        <v>0</v>
      </c>
      <c r="S615" s="45" t="str">
        <f>TI!$H$46</f>
        <v>nm</v>
      </c>
      <c r="T615" s="46"/>
      <c r="U615" s="48" t="str">
        <f t="shared" si="151"/>
        <v>EUR 0.24</v>
      </c>
      <c r="V615" s="69" t="str">
        <f t="shared" si="152"/>
        <v>Telecom Italia</v>
      </c>
      <c r="BF615" s="39"/>
      <c r="BG615" s="39"/>
      <c r="BH615" s="39"/>
      <c r="BI615" s="39"/>
      <c r="BJ615" s="39"/>
      <c r="BK615" s="39"/>
      <c r="BL615" s="39"/>
      <c r="BM615" s="39"/>
      <c r="BN615" s="39"/>
      <c r="BO615" s="39"/>
      <c r="BP615" s="39"/>
      <c r="BQ615" s="39"/>
      <c r="BR615" s="39"/>
      <c r="BS615" s="39"/>
      <c r="BT615" s="39"/>
      <c r="BU615" s="39"/>
      <c r="BV615" s="39"/>
      <c r="BW615" s="39"/>
      <c r="BX615" s="39"/>
      <c r="BY615" s="39"/>
      <c r="BZ615" s="39"/>
      <c r="CA615" s="39"/>
      <c r="CB615" s="39"/>
      <c r="CC615" s="39"/>
      <c r="CD615" s="39"/>
      <c r="CE615" s="39"/>
      <c r="CF615" s="39"/>
      <c r="CG615" s="39"/>
      <c r="CH615" s="39"/>
      <c r="CI615" s="39"/>
      <c r="CJ615" s="39"/>
      <c r="CK615" s="39"/>
      <c r="CL615" s="39"/>
      <c r="CM615" s="39"/>
      <c r="CN615" s="39"/>
      <c r="CO615" s="39"/>
      <c r="CP615" s="39"/>
      <c r="CQ615" s="39"/>
      <c r="CR615" s="39"/>
      <c r="CS615" s="39"/>
      <c r="CT615" s="39"/>
      <c r="CU615" s="39"/>
      <c r="CV615" s="39"/>
      <c r="CW615" s="39"/>
      <c r="CX615" s="39"/>
      <c r="CY615" s="39"/>
      <c r="CZ615" s="39"/>
      <c r="DA615" s="39"/>
      <c r="DB615" s="39"/>
      <c r="DC615" s="39"/>
      <c r="DD615" s="39"/>
      <c r="DE615" s="39"/>
      <c r="DF615" s="39"/>
      <c r="DG615" s="39"/>
      <c r="DH615" s="39"/>
      <c r="DI615" s="39"/>
    </row>
    <row r="616" spans="1:113">
      <c r="A616" s="41"/>
      <c r="C616" s="48" t="s">
        <v>456</v>
      </c>
      <c r="D616" s="44" t="str">
        <f t="shared" si="149"/>
        <v>EUR 4.21</v>
      </c>
      <c r="E616" s="44" t="str">
        <f t="shared" si="149"/>
        <v>EUR 4.30</v>
      </c>
      <c r="F616" s="45">
        <f t="shared" si="149"/>
        <v>2.065036790885344E-2</v>
      </c>
      <c r="G616" s="44" t="str">
        <f t="shared" si="149"/>
        <v>Neutral</v>
      </c>
      <c r="H616" s="46"/>
      <c r="I616" s="45">
        <f>TEF!$D$32/TEF!$D$11</f>
        <v>0</v>
      </c>
      <c r="J616" s="45">
        <f>TEF!$E$32/TEF!$E$11</f>
        <v>0</v>
      </c>
      <c r="K616" s="45">
        <f>TEF!$F$32/TEF!$F$11</f>
        <v>0</v>
      </c>
      <c r="L616" s="45">
        <f>TEF!$G$32/TEF!$G$11</f>
        <v>0</v>
      </c>
      <c r="M616" s="45" t="str">
        <f>TEF!$H$32</f>
        <v>nm</v>
      </c>
      <c r="N616" s="46"/>
      <c r="O616" s="45">
        <f>(TEF!$D$31+TEF!$D$32)/TEF!$D$11</f>
        <v>7.1208165202943277E-2</v>
      </c>
      <c r="P616" s="45">
        <f>(TEF!$E$31+TEF!$E$32)/TEF!$E$11</f>
        <v>7.1208165202943277E-2</v>
      </c>
      <c r="Q616" s="45">
        <f>(TEF!$F$31+TEF!$F$32)/TEF!$F$11</f>
        <v>7.1208165202943277E-2</v>
      </c>
      <c r="R616" s="45">
        <f>(TEF!$G$31+TEF!$G$32)/TEF!$G$11</f>
        <v>7.1208165202943277E-2</v>
      </c>
      <c r="S616" s="45">
        <f>TEF!$H$46</f>
        <v>0</v>
      </c>
      <c r="T616" s="46"/>
      <c r="U616" s="48" t="str">
        <f t="shared" si="151"/>
        <v>EUR 4.21</v>
      </c>
      <c r="V616" s="69" t="str">
        <f t="shared" si="152"/>
        <v>Telefonica</v>
      </c>
      <c r="X616" s="43"/>
      <c r="Y616" s="76"/>
      <c r="BF616" s="39"/>
      <c r="BG616" s="39"/>
      <c r="BH616" s="39"/>
      <c r="BI616" s="39"/>
      <c r="BJ616" s="39"/>
      <c r="BK616" s="39"/>
      <c r="BL616" s="39"/>
      <c r="BM616" s="39"/>
      <c r="BN616" s="39"/>
      <c r="BO616" s="39"/>
      <c r="BP616" s="39"/>
      <c r="BQ616" s="39"/>
      <c r="BR616" s="39"/>
      <c r="BS616" s="39"/>
      <c r="BT616" s="39"/>
      <c r="BU616" s="39"/>
      <c r="BV616" s="39"/>
      <c r="BW616" s="39"/>
      <c r="BX616" s="39"/>
      <c r="BY616" s="39"/>
      <c r="BZ616" s="39"/>
      <c r="CA616" s="39"/>
      <c r="CB616" s="39"/>
      <c r="CC616" s="39"/>
      <c r="CD616" s="39"/>
      <c r="CE616" s="39"/>
      <c r="CF616" s="39"/>
      <c r="CG616" s="39"/>
      <c r="CH616" s="39"/>
      <c r="CI616" s="39"/>
      <c r="CJ616" s="39"/>
      <c r="CK616" s="39"/>
      <c r="CL616" s="39"/>
      <c r="CM616" s="39"/>
      <c r="CN616" s="39"/>
      <c r="CO616" s="39"/>
      <c r="CP616" s="39"/>
      <c r="CQ616" s="39"/>
      <c r="CR616" s="39"/>
      <c r="CS616" s="39"/>
      <c r="CT616" s="39"/>
      <c r="CU616" s="39"/>
      <c r="CV616" s="39"/>
      <c r="CW616" s="39"/>
      <c r="CX616" s="39"/>
      <c r="CY616" s="39"/>
      <c r="CZ616" s="39"/>
      <c r="DA616" s="39"/>
      <c r="DB616" s="39"/>
      <c r="DC616" s="39"/>
      <c r="DD616" s="39"/>
      <c r="DE616" s="39"/>
      <c r="DF616" s="39"/>
      <c r="DG616" s="39"/>
      <c r="DH616" s="39"/>
      <c r="DI616" s="39"/>
    </row>
    <row r="617" spans="1:113">
      <c r="A617" s="41"/>
      <c r="C617" s="48" t="s">
        <v>457</v>
      </c>
      <c r="D617" s="44" t="str">
        <f t="shared" si="149"/>
        <v>NOK 135</v>
      </c>
      <c r="E617" s="44" t="str">
        <f t="shared" si="149"/>
        <v>NOK 138</v>
      </c>
      <c r="F617" s="45">
        <f t="shared" si="149"/>
        <v>2.3738872403560762E-2</v>
      </c>
      <c r="G617" s="44" t="str">
        <f t="shared" si="149"/>
        <v>Buy</v>
      </c>
      <c r="H617" s="46"/>
      <c r="I617" s="45">
        <f>TNOR!$D$32/TNOR!$D$11</f>
        <v>0</v>
      </c>
      <c r="J617" s="45">
        <f>TNOR!$E$32/TNOR!$E$11</f>
        <v>0</v>
      </c>
      <c r="K617" s="45">
        <f>TNOR!$F$32/TNOR!$F$11</f>
        <v>0</v>
      </c>
      <c r="L617" s="45">
        <f>TNOR!$G$32/TNOR!$G$11</f>
        <v>0</v>
      </c>
      <c r="M617" s="45" t="str">
        <f>TNOR!$H$32</f>
        <v>nm</v>
      </c>
      <c r="N617" s="46"/>
      <c r="O617" s="45">
        <f>(TNOR!$D$31+TNOR!$D$32)/TNOR!$D$11</f>
        <v>7.0778931750741819E-2</v>
      </c>
      <c r="P617" s="45">
        <f>(TNOR!$E$31+TNOR!$E$32)/TNOR!$E$11</f>
        <v>7.1840615727002954E-2</v>
      </c>
      <c r="Q617" s="45">
        <f>(TNOR!$F$31+TNOR!$F$32)/TNOR!$F$11</f>
        <v>7.3277428041543011E-2</v>
      </c>
      <c r="R617" s="45">
        <f>(TNOR!$G$31+TNOR!$G$32)/TNOR!$G$11</f>
        <v>7.584213802299701E-2</v>
      </c>
      <c r="S617" s="45">
        <f>TNOR!$H$46</f>
        <v>2.321153852374902E-2</v>
      </c>
      <c r="T617" s="46"/>
      <c r="U617" s="48" t="str">
        <f t="shared" si="151"/>
        <v>NOK 135</v>
      </c>
      <c r="V617" s="44" t="str">
        <f t="shared" si="152"/>
        <v>Telenor</v>
      </c>
      <c r="X617" s="43"/>
      <c r="Y617" s="76"/>
      <c r="BF617" s="39"/>
      <c r="BG617" s="39"/>
      <c r="BH617" s="39"/>
      <c r="BI617" s="39"/>
      <c r="BJ617" s="39"/>
      <c r="BK617" s="39"/>
      <c r="BL617" s="39"/>
      <c r="BM617" s="39"/>
      <c r="BN617" s="39"/>
      <c r="BO617" s="39"/>
      <c r="BP617" s="39"/>
      <c r="BQ617" s="39"/>
      <c r="BR617" s="39"/>
      <c r="BS617" s="39"/>
      <c r="BT617" s="39"/>
      <c r="BU617" s="39"/>
      <c r="BV617" s="39"/>
      <c r="BW617" s="39"/>
      <c r="BX617" s="39"/>
      <c r="BY617" s="39"/>
      <c r="BZ617" s="39"/>
      <c r="CA617" s="39"/>
      <c r="CB617" s="39"/>
      <c r="CC617" s="39"/>
      <c r="CD617" s="39"/>
      <c r="CE617" s="39"/>
      <c r="CF617" s="39"/>
      <c r="CG617" s="39"/>
      <c r="CH617" s="39"/>
      <c r="CI617" s="39"/>
      <c r="CJ617" s="39"/>
      <c r="CK617" s="39"/>
      <c r="CL617" s="39"/>
      <c r="CM617" s="39"/>
      <c r="CN617" s="39"/>
      <c r="CO617" s="39"/>
      <c r="CP617" s="39"/>
      <c r="CQ617" s="39"/>
      <c r="CR617" s="39"/>
      <c r="CS617" s="39"/>
      <c r="CT617" s="39"/>
      <c r="CU617" s="39"/>
      <c r="CV617" s="39"/>
      <c r="CW617" s="39"/>
      <c r="CX617" s="39"/>
      <c r="CY617" s="39"/>
      <c r="CZ617" s="39"/>
      <c r="DA617" s="39"/>
      <c r="DB617" s="39"/>
      <c r="DC617" s="39"/>
      <c r="DD617" s="39"/>
      <c r="DE617" s="39"/>
      <c r="DF617" s="39"/>
      <c r="DG617" s="39"/>
      <c r="DH617" s="39"/>
      <c r="DI617" s="39"/>
    </row>
    <row r="618" spans="1:113">
      <c r="A618" s="41"/>
      <c r="C618" s="48" t="s">
        <v>1030</v>
      </c>
      <c r="D618" s="44" t="str">
        <f t="shared" si="149"/>
        <v>SEK33.4</v>
      </c>
      <c r="E618" s="44" t="str">
        <f t="shared" si="149"/>
        <v>SEK33.0</v>
      </c>
      <c r="F618" s="45">
        <f t="shared" si="149"/>
        <v>-1.2567324955116699E-2</v>
      </c>
      <c r="G618" s="44" t="str">
        <f t="shared" si="149"/>
        <v>Buy</v>
      </c>
      <c r="H618" s="46"/>
      <c r="I618" s="45">
        <f>TELIA!$D$32/TELIA!$D$11</f>
        <v>0</v>
      </c>
      <c r="J618" s="45">
        <f>TELIA!$E$32/TELIA!$E$11</f>
        <v>0</v>
      </c>
      <c r="K618" s="45">
        <f>TELIA!$F$32/TELIA!$F$11</f>
        <v>0</v>
      </c>
      <c r="L618" s="45">
        <f>TELIA!$G$32/TELIA!$G$11</f>
        <v>0</v>
      </c>
      <c r="M618" s="45" t="str">
        <f>TELIA!$H$32</f>
        <v>nm</v>
      </c>
      <c r="N618" s="46"/>
      <c r="O618" s="45">
        <f>(TELIA!$D$31+TELIA!$D$32)/TELIA!$D$11</f>
        <v>5.9844404548174739E-2</v>
      </c>
      <c r="P618" s="45">
        <f>(TELIA!$E$31+TELIA!$E$32)/TELIA!$E$11</f>
        <v>5.9844404548174739E-2</v>
      </c>
      <c r="Q618" s="45">
        <f>(TELIA!$F$31+TELIA!$F$32)/TELIA!$F$11</f>
        <v>6.1340514661879099E-2</v>
      </c>
      <c r="R618" s="45">
        <f>(TELIA!$G$31+TELIA!$G$32)/TELIA!$G$11</f>
        <v>6.287402752842608E-2</v>
      </c>
      <c r="S618" s="45">
        <f>TELIA!$H$46</f>
        <v>1.6597982758808305E-2</v>
      </c>
      <c r="T618" s="46"/>
      <c r="U618" s="48" t="str">
        <f t="shared" si="151"/>
        <v>SEK33.4</v>
      </c>
      <c r="V618" s="44" t="str">
        <f t="shared" si="152"/>
        <v>Telia</v>
      </c>
      <c r="X618" s="43"/>
      <c r="Y618" s="76"/>
      <c r="BF618" s="39"/>
      <c r="BG618" s="39"/>
      <c r="BH618" s="39"/>
      <c r="BI618" s="39"/>
      <c r="BJ618" s="39"/>
      <c r="BK618" s="39"/>
      <c r="BL618" s="39"/>
      <c r="BM618" s="39"/>
      <c r="BN618" s="39"/>
      <c r="BO618" s="39"/>
      <c r="BP618" s="39"/>
      <c r="BQ618" s="39"/>
      <c r="BR618" s="39"/>
      <c r="BS618" s="39"/>
      <c r="BT618" s="39"/>
      <c r="BU618" s="39"/>
      <c r="BV618" s="39"/>
      <c r="BW618" s="39"/>
      <c r="BX618" s="39"/>
      <c r="BY618" s="39"/>
      <c r="BZ618" s="39"/>
      <c r="CA618" s="39"/>
      <c r="CB618" s="39"/>
      <c r="CC618" s="39"/>
      <c r="CD618" s="39"/>
      <c r="CE618" s="39"/>
      <c r="CF618" s="39"/>
      <c r="CG618" s="39"/>
      <c r="CH618" s="39"/>
      <c r="CI618" s="39"/>
      <c r="CJ618" s="39"/>
      <c r="CK618" s="39"/>
      <c r="CL618" s="39"/>
      <c r="CM618" s="39"/>
      <c r="CN618" s="39"/>
      <c r="CO618" s="39"/>
      <c r="CP618" s="39"/>
      <c r="CQ618" s="39"/>
      <c r="CR618" s="39"/>
      <c r="CS618" s="39"/>
      <c r="CT618" s="39"/>
      <c r="CU618" s="39"/>
      <c r="CV618" s="39"/>
      <c r="CW618" s="39"/>
      <c r="CX618" s="39"/>
      <c r="CY618" s="39"/>
      <c r="CZ618" s="39"/>
      <c r="DA618" s="39"/>
      <c r="DB618" s="39"/>
      <c r="DC618" s="39"/>
      <c r="DD618" s="39"/>
      <c r="DE618" s="39"/>
      <c r="DF618" s="39"/>
      <c r="DG618" s="39"/>
      <c r="DH618" s="39"/>
      <c r="DI618" s="39"/>
    </row>
    <row r="619" spans="1:113">
      <c r="A619" s="41"/>
      <c r="C619" s="51" t="str">
        <f>C559</f>
        <v>Agg. W.Europe Incumbent</v>
      </c>
      <c r="D619" s="52"/>
      <c r="E619" s="52"/>
      <c r="F619" s="53"/>
      <c r="G619" s="52"/>
      <c r="H619" s="46"/>
      <c r="I619" s="55">
        <f>'W.EUR INCUMB'!$D$32/'W.EUR INCUMB'!$D$11</f>
        <v>0</v>
      </c>
      <c r="J619" s="55">
        <f>'W.EUR INCUMB'!$E$32/'W.EUR INCUMB'!$E$11</f>
        <v>0</v>
      </c>
      <c r="K619" s="55">
        <f>'W.EUR INCUMB'!$F$32/'W.EUR INCUMB'!$F$11</f>
        <v>0</v>
      </c>
      <c r="L619" s="55">
        <f>'W.EUR INCUMB'!$G$32/'W.EUR INCUMB'!$G$11</f>
        <v>0</v>
      </c>
      <c r="M619" s="55" t="str">
        <f>'W.EUR INCUMB'!$H$32</f>
        <v>nm</v>
      </c>
      <c r="N619" s="56"/>
      <c r="O619" s="55">
        <f>('W.EUR INCUMB'!$D$31+'W.EUR INCUMB'!$D$32)/'W.EUR INCUMB'!$D$11</f>
        <v>4.4323091834910081E-2</v>
      </c>
      <c r="P619" s="55">
        <f>('W.EUR INCUMB'!$E$31+'W.EUR INCUMB'!$E$32)/'W.EUR INCUMB'!$E$11</f>
        <v>4.6725700027437436E-2</v>
      </c>
      <c r="Q619" s="55">
        <f>('W.EUR INCUMB'!$F$31+'W.EUR INCUMB'!$F$32)/'W.EUR INCUMB'!$F$11</f>
        <v>4.9616518166935478E-2</v>
      </c>
      <c r="R619" s="55">
        <f>('W.EUR INCUMB'!$G$31+'W.EUR INCUMB'!$G$32)/'W.EUR INCUMB'!$G$11</f>
        <v>5.291804089679604E-2</v>
      </c>
      <c r="S619" s="55">
        <f>'W.EUR INCUMB'!$H$46</f>
        <v>5.581998392399945E-2</v>
      </c>
      <c r="T619" s="46"/>
      <c r="U619" s="57"/>
      <c r="V619" s="58" t="str">
        <f t="shared" si="152"/>
        <v>Agg. W.Europe Incumbent</v>
      </c>
      <c r="X619" s="43"/>
      <c r="Y619" s="76"/>
      <c r="BF619" s="39"/>
      <c r="BG619" s="39"/>
      <c r="BH619" s="39"/>
      <c r="BI619" s="39"/>
      <c r="BJ619" s="39"/>
      <c r="BK619" s="39"/>
      <c r="BL619" s="39"/>
      <c r="BM619" s="39"/>
      <c r="BN619" s="39"/>
      <c r="BO619" s="39"/>
      <c r="BP619" s="39"/>
      <c r="BQ619" s="39"/>
      <c r="BR619" s="39"/>
      <c r="BS619" s="39"/>
      <c r="BT619" s="39"/>
      <c r="BU619" s="39"/>
      <c r="BV619" s="39"/>
      <c r="BW619" s="39"/>
      <c r="BX619" s="39"/>
      <c r="BY619" s="39"/>
      <c r="BZ619" s="39"/>
      <c r="CA619" s="39"/>
      <c r="CB619" s="39"/>
      <c r="CC619" s="39"/>
      <c r="CD619" s="39"/>
      <c r="CE619" s="39"/>
      <c r="CF619" s="39"/>
      <c r="CG619" s="39"/>
      <c r="CH619" s="39"/>
      <c r="CI619" s="39"/>
      <c r="CJ619" s="39"/>
      <c r="CK619" s="39"/>
      <c r="CL619" s="39"/>
      <c r="CM619" s="39"/>
      <c r="CN619" s="39"/>
      <c r="CO619" s="39"/>
      <c r="CP619" s="39"/>
      <c r="CQ619" s="39"/>
      <c r="CR619" s="39"/>
      <c r="CS619" s="39"/>
      <c r="CT619" s="39"/>
      <c r="CU619" s="39"/>
      <c r="CV619" s="39"/>
      <c r="CW619" s="39"/>
      <c r="CX619" s="39"/>
      <c r="CY619" s="39"/>
      <c r="CZ619" s="39"/>
      <c r="DA619" s="39"/>
      <c r="DB619" s="39"/>
      <c r="DC619" s="39"/>
      <c r="DD619" s="39"/>
      <c r="DE619" s="39"/>
      <c r="DF619" s="39"/>
      <c r="DG619" s="39"/>
      <c r="DH619" s="39"/>
      <c r="DI619" s="39"/>
    </row>
    <row r="620" spans="1:113">
      <c r="A620" s="41"/>
      <c r="C620" s="48"/>
      <c r="D620" s="44"/>
      <c r="E620" s="44"/>
      <c r="F620" s="45"/>
      <c r="G620" s="44"/>
      <c r="H620" s="46"/>
      <c r="I620" s="45"/>
      <c r="J620" s="45"/>
      <c r="K620" s="45"/>
      <c r="L620" s="45"/>
      <c r="M620" s="45"/>
      <c r="N620" s="46"/>
      <c r="O620" s="45"/>
      <c r="P620" s="45"/>
      <c r="Q620" s="45"/>
      <c r="R620" s="45"/>
      <c r="S620" s="45"/>
      <c r="T620" s="46"/>
      <c r="U620" s="48"/>
      <c r="V620" s="44"/>
      <c r="BF620" s="39"/>
      <c r="BG620" s="39"/>
      <c r="BH620" s="39"/>
      <c r="BI620" s="39"/>
      <c r="BJ620" s="39"/>
      <c r="BK620" s="39"/>
      <c r="BL620" s="39"/>
      <c r="BM620" s="39"/>
      <c r="BN620" s="39"/>
      <c r="BO620" s="39"/>
      <c r="BP620" s="39"/>
      <c r="BQ620" s="39"/>
      <c r="BR620" s="39"/>
      <c r="BS620" s="39"/>
      <c r="BT620" s="39"/>
      <c r="BU620" s="39"/>
      <c r="BV620" s="39"/>
      <c r="BW620" s="39"/>
      <c r="BX620" s="39"/>
      <c r="BY620" s="39"/>
      <c r="BZ620" s="39"/>
      <c r="CA620" s="39"/>
      <c r="CB620" s="39"/>
      <c r="CC620" s="39"/>
      <c r="CD620" s="39"/>
      <c r="CE620" s="39"/>
      <c r="CF620" s="39"/>
      <c r="CG620" s="39"/>
      <c r="CH620" s="39"/>
      <c r="CI620" s="39"/>
      <c r="CJ620" s="39"/>
      <c r="CK620" s="39"/>
      <c r="CL620" s="39"/>
      <c r="CM620" s="39"/>
      <c r="CN620" s="39"/>
      <c r="CO620" s="39"/>
      <c r="CP620" s="39"/>
      <c r="CQ620" s="39"/>
      <c r="CR620" s="39"/>
      <c r="CS620" s="39"/>
      <c r="CT620" s="39"/>
      <c r="CU620" s="39"/>
      <c r="CV620" s="39"/>
      <c r="CW620" s="39"/>
      <c r="CX620" s="39"/>
      <c r="CY620" s="39"/>
      <c r="CZ620" s="39"/>
      <c r="DA620" s="39"/>
      <c r="DB620" s="39"/>
      <c r="DC620" s="39"/>
      <c r="DD620" s="39"/>
      <c r="DE620" s="39"/>
      <c r="DF620" s="39"/>
      <c r="DG620" s="39"/>
      <c r="DH620" s="39"/>
      <c r="DI620" s="39"/>
    </row>
    <row r="621" spans="1:113">
      <c r="A621" s="41"/>
      <c r="B621" s="42" t="s">
        <v>514</v>
      </c>
      <c r="C621" s="48" t="s">
        <v>486</v>
      </c>
      <c r="D621" s="44" t="str">
        <f>B621&amp;TEXT(Prices!$C$40,"0.0")</f>
        <v>US$20.7</v>
      </c>
      <c r="E621" s="44" t="str">
        <f>B621&amp;TEXT(Prices!$E$40,"0.00")</f>
        <v>US$21.00</v>
      </c>
      <c r="F621" s="45">
        <f>Prices!$F$40</f>
        <v>1.6949152542373058E-2</v>
      </c>
      <c r="G621" s="44" t="str">
        <f>Prices!$D$40</f>
        <v>Neutral</v>
      </c>
      <c r="H621" s="46"/>
      <c r="I621" s="45">
        <f>ATT!$D$32/ATT!$D$11</f>
        <v>0</v>
      </c>
      <c r="J621" s="45">
        <f>ATT!$E$32/ATT!$E$11</f>
        <v>-3.132093888442121E-6</v>
      </c>
      <c r="K621" s="45">
        <f>ATT!$F$32/ATT!$F$11</f>
        <v>0</v>
      </c>
      <c r="L621" s="45">
        <f>ATT!$G$32/ATT!$G$11</f>
        <v>0</v>
      </c>
      <c r="M621" s="45" t="str">
        <f>ATT!$H$32</f>
        <v>nm</v>
      </c>
      <c r="N621" s="46"/>
      <c r="O621" s="45">
        <f>(ATT!$D$31+ATT!$D$32)/ATT!$D$11</f>
        <v>5.4824345284211783E-2</v>
      </c>
      <c r="P621" s="45">
        <f>(ATT!$E$31+ATT!$E$32)/ATT!$E$11</f>
        <v>5.4830677857547361E-2</v>
      </c>
      <c r="Q621" s="45">
        <f>(ATT!$F$31+ATT!$F$32)/ATT!$F$11</f>
        <v>5.4833809951435802E-2</v>
      </c>
      <c r="R621" s="45">
        <f>(ATT!$G$31+ATT!$G$32)/ATT!$G$11</f>
        <v>5.4833809951435802E-2</v>
      </c>
      <c r="S621" s="45">
        <f>ATT!$H$46</f>
        <v>2.6623524164381962E-4</v>
      </c>
      <c r="T621" s="46"/>
      <c r="U621" s="48" t="str">
        <f>D621</f>
        <v>US$20.7</v>
      </c>
      <c r="V621" s="44" t="str">
        <f>C621</f>
        <v xml:space="preserve">AT&amp;T </v>
      </c>
      <c r="X621" s="43"/>
      <c r="Y621" s="76"/>
      <c r="BF621" s="39"/>
      <c r="BG621" s="39"/>
      <c r="BH621" s="39"/>
      <c r="BI621" s="39"/>
      <c r="BJ621" s="39"/>
      <c r="BK621" s="39"/>
      <c r="BL621" s="39"/>
      <c r="BM621" s="39"/>
      <c r="BN621" s="39"/>
      <c r="BO621" s="39"/>
      <c r="BP621" s="39"/>
      <c r="BQ621" s="39"/>
      <c r="BR621" s="39"/>
      <c r="BS621" s="39"/>
      <c r="BT621" s="39"/>
      <c r="BU621" s="39"/>
      <c r="BV621" s="39"/>
      <c r="BW621" s="39"/>
      <c r="BX621" s="39"/>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row>
    <row r="622" spans="1:113">
      <c r="B622" s="42" t="s">
        <v>514</v>
      </c>
      <c r="C622" s="48" t="s">
        <v>687</v>
      </c>
      <c r="D622" s="44" t="str">
        <f>B622&amp;TEXT(Prices!$C$41,"0.0")</f>
        <v>US$197.2</v>
      </c>
      <c r="E622" s="44" t="str">
        <f>B622&amp;TEXT(Prices!$E$41,"0.0")</f>
        <v>US$205.0</v>
      </c>
      <c r="F622" s="45">
        <f>Prices!$F$41</f>
        <v>3.9659194644487306E-2</v>
      </c>
      <c r="G622" s="44" t="str">
        <f>Prices!$D$41</f>
        <v>Buy</v>
      </c>
      <c r="H622" s="46"/>
      <c r="I622" s="45">
        <f>TMUS!$D$32/TMUS!$D$11</f>
        <v>5.3428257289705253E-2</v>
      </c>
      <c r="J622" s="45">
        <f>TMUS!$E$32/TMUS!$E$11</f>
        <v>7.6313454908620668E-2</v>
      </c>
      <c r="K622" s="45">
        <f>TMUS!$F$32/TMUS!$F$11</f>
        <v>9.1386792600754455E-2</v>
      </c>
      <c r="L622" s="45">
        <f>TMUS!$G$32/TMUS!$G$11</f>
        <v>0.11279039728261696</v>
      </c>
      <c r="M622" s="45">
        <f>TMUS!$H$32</f>
        <v>0.17195801699036917</v>
      </c>
      <c r="N622" s="46"/>
      <c r="O622" s="45">
        <f>(TMUS!$D$31+TMUS!$D$32)/TMUS!$D$11</f>
        <v>5.6480950283082171E-2</v>
      </c>
      <c r="P622" s="45">
        <f>(TMUS!$E$31+TMUS!$E$32)/TMUS!$E$11</f>
        <v>8.9656385385553317E-2</v>
      </c>
      <c r="Q622" s="45">
        <f>(TMUS!$F$31+TMUS!$F$32)/TMUS!$F$11</f>
        <v>0.10617111392483315</v>
      </c>
      <c r="R622" s="45">
        <f>(TMUS!$G$31+TMUS!$G$32)/TMUS!$G$11</f>
        <v>0.12996071048123256</v>
      </c>
      <c r="S622" s="45">
        <f>IFERROR(TMUS!$H$46,"na")</f>
        <v>0.17195801699036917</v>
      </c>
      <c r="T622" s="46"/>
      <c r="U622" s="48" t="str">
        <f>D622</f>
        <v>US$197.2</v>
      </c>
      <c r="V622" s="44" t="str">
        <f>C622</f>
        <v>TMUS</v>
      </c>
      <c r="X622" s="43"/>
      <c r="Y622" s="76"/>
      <c r="BF622" s="39"/>
      <c r="BG622" s="39"/>
      <c r="BH622" s="39"/>
      <c r="BI622" s="39"/>
      <c r="BJ622" s="39"/>
      <c r="BK622" s="39"/>
      <c r="BL622" s="39"/>
      <c r="BM622" s="39"/>
      <c r="BN622" s="39"/>
      <c r="BO622" s="39"/>
      <c r="BP622" s="39"/>
      <c r="BQ622" s="39"/>
      <c r="BR622" s="39"/>
      <c r="BS622" s="39"/>
      <c r="BT622" s="39"/>
      <c r="BU622" s="39"/>
      <c r="BV622" s="39"/>
      <c r="BW622" s="39"/>
      <c r="BX622" s="39"/>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row>
    <row r="623" spans="1:113">
      <c r="A623" s="41"/>
      <c r="B623" s="42" t="s">
        <v>514</v>
      </c>
      <c r="C623" s="48" t="s">
        <v>33</v>
      </c>
      <c r="D623" s="44" t="str">
        <f>B623&amp;TEXT(Prices!$C$39,"0.0")</f>
        <v>US$41.3</v>
      </c>
      <c r="E623" s="44" t="str">
        <f>B623&amp;TEXT(Prices!$E$39,"0.00")</f>
        <v>US$45.00</v>
      </c>
      <c r="F623" s="45">
        <f>Prices!$F$39</f>
        <v>8.9324618736383421E-2</v>
      </c>
      <c r="G623" s="44" t="str">
        <f>Prices!$D$39</f>
        <v>Neutral</v>
      </c>
      <c r="H623" s="46"/>
      <c r="I623" s="45">
        <f>VZN!$D$32/VZN!$D$11</f>
        <v>0</v>
      </c>
      <c r="J623" s="45">
        <f>VZN!$E$32/VZN!$E$11</f>
        <v>0</v>
      </c>
      <c r="K623" s="45">
        <f>VZN!$F$32/VZN!$F$11</f>
        <v>0</v>
      </c>
      <c r="L623" s="45">
        <f>VZN!$G$32/VZN!$G$11</f>
        <v>0</v>
      </c>
      <c r="M623" s="45" t="str">
        <f>VZN!$H$32</f>
        <v>nm</v>
      </c>
      <c r="N623" s="46"/>
      <c r="O623" s="45">
        <f>(VZN!$D$31+VZN!$D$32)/VZN!$D$11</f>
        <v>5.5660275125332177E-2</v>
      </c>
      <c r="P623" s="45">
        <f>(VZN!$E$31+VZN!$E$32)/VZN!$E$11</f>
        <v>5.7007077329677816E-2</v>
      </c>
      <c r="Q623" s="45">
        <f>(VZN!$F$31+VZN!$F$32)/VZN!$F$11</f>
        <v>5.8068661637493031E-2</v>
      </c>
      <c r="R623" s="45">
        <f>(VZN!$G$31+VZN!$G$32)/VZN!$G$11</f>
        <v>5.913024594530826E-2</v>
      </c>
      <c r="S623" s="45">
        <f>VZN!$H$46</f>
        <v>2.0403539933700809E-2</v>
      </c>
      <c r="T623" s="46"/>
      <c r="U623" s="48" t="str">
        <f>D623</f>
        <v>US$41.3</v>
      </c>
      <c r="V623" s="44" t="str">
        <f>C623</f>
        <v>Verizon</v>
      </c>
      <c r="X623" s="43"/>
      <c r="Y623" s="76"/>
      <c r="BF623" s="39"/>
      <c r="BG623" s="39"/>
      <c r="BH623" s="39"/>
      <c r="BI623" s="39"/>
      <c r="BJ623" s="39"/>
      <c r="BK623" s="39"/>
      <c r="BL623" s="39"/>
      <c r="BM623" s="39"/>
      <c r="BN623" s="39"/>
      <c r="BO623" s="39"/>
      <c r="BP623" s="39"/>
      <c r="BQ623" s="39"/>
      <c r="BR623" s="39"/>
      <c r="BS623" s="39"/>
      <c r="BT623" s="39"/>
      <c r="BU623" s="39"/>
      <c r="BV623" s="39"/>
      <c r="BW623" s="39"/>
      <c r="BX623" s="39"/>
      <c r="BY623" s="39"/>
      <c r="BZ623" s="39"/>
      <c r="CA623" s="39"/>
      <c r="CB623" s="39"/>
      <c r="CC623" s="39"/>
      <c r="CD623" s="39"/>
      <c r="CE623" s="39"/>
      <c r="CF623" s="39"/>
      <c r="CG623" s="39"/>
      <c r="CH623" s="39"/>
      <c r="CI623" s="39"/>
      <c r="CJ623" s="39"/>
      <c r="CK623" s="39"/>
      <c r="CL623" s="39"/>
      <c r="CM623" s="39"/>
      <c r="CN623" s="39"/>
      <c r="CO623" s="39"/>
      <c r="CP623" s="39"/>
      <c r="CQ623" s="39"/>
      <c r="CR623" s="39"/>
      <c r="CS623" s="39"/>
      <c r="CT623" s="39"/>
      <c r="CU623" s="39"/>
      <c r="CV623" s="39"/>
      <c r="CW623" s="39"/>
      <c r="CX623" s="39"/>
      <c r="CY623" s="39"/>
      <c r="CZ623" s="39"/>
      <c r="DA623" s="39"/>
      <c r="DB623" s="39"/>
      <c r="DC623" s="39"/>
      <c r="DD623" s="39"/>
      <c r="DE623" s="39"/>
      <c r="DF623" s="39"/>
      <c r="DG623" s="39"/>
      <c r="DH623" s="39"/>
      <c r="DI623" s="39"/>
    </row>
    <row r="624" spans="1:113">
      <c r="A624" s="41"/>
      <c r="C624" s="51" t="s">
        <v>257</v>
      </c>
      <c r="D624" s="52"/>
      <c r="E624" s="52"/>
      <c r="F624" s="53"/>
      <c r="G624" s="52"/>
      <c r="H624" s="46"/>
      <c r="I624" s="55">
        <f>'US TELCO'!$D$32/'US TELCO'!$D$11</f>
        <v>2.2115098078316114E-2</v>
      </c>
      <c r="J624" s="55">
        <f>'US TELCO'!$E$32/'US TELCO'!$E$11</f>
        <v>3.0330352493673305E-2</v>
      </c>
      <c r="K624" s="55">
        <f>'US TELCO'!$F$32/'US TELCO'!$F$11</f>
        <v>3.4147893305736206E-2</v>
      </c>
      <c r="L624" s="55">
        <f>'US TELCO'!$G$32/'US TELCO'!$G$11</f>
        <v>3.9470519691485031E-2</v>
      </c>
      <c r="M624" s="55">
        <f>'US TELCO'!$H$32</f>
        <v>0.17195801699036917</v>
      </c>
      <c r="N624" s="46"/>
      <c r="O624" s="55">
        <f>('US TELCO'!$D$31+'US TELCO'!$D$32)/'US TELCO'!$D$11</f>
        <v>5.5790130397661161E-2</v>
      </c>
      <c r="P624" s="55">
        <f>('US TELCO'!$E$31+'US TELCO'!$E$32)/'US TELCO'!$E$11</f>
        <v>6.9421862290742001E-2</v>
      </c>
      <c r="Q624" s="55">
        <f>('US TELCO'!$F$31+'US TELCO'!$F$32)/'US TELCO'!$F$11</f>
        <v>7.517472335732614E-2</v>
      </c>
      <c r="R624" s="55">
        <f>('US TELCO'!$G$31+'US TELCO'!$G$32)/'US TELCO'!$G$11</f>
        <v>8.2720474238291056E-2</v>
      </c>
      <c r="S624" s="55">
        <f>'US TELCO'!$H$46</f>
        <v>0.10171503351667854</v>
      </c>
      <c r="T624" s="46"/>
      <c r="U624" s="57"/>
      <c r="V624" s="58" t="str">
        <f>C624</f>
        <v>Agg. US Telecoms</v>
      </c>
      <c r="BF624" s="39"/>
      <c r="BG624" s="39"/>
      <c r="BH624" s="39"/>
      <c r="BI624" s="39"/>
      <c r="BJ624" s="39"/>
      <c r="BK624" s="39"/>
      <c r="BL624" s="39"/>
      <c r="BM624" s="39"/>
      <c r="BN624" s="39"/>
      <c r="BO624" s="39"/>
      <c r="BP624" s="39"/>
      <c r="BQ624" s="39"/>
      <c r="BR624" s="39"/>
      <c r="BS624" s="39"/>
      <c r="BT624" s="39"/>
      <c r="BU624" s="39"/>
      <c r="BV624" s="39"/>
      <c r="BW624" s="39"/>
      <c r="BX624" s="39"/>
      <c r="BY624" s="39"/>
      <c r="BZ624" s="39"/>
      <c r="CA624" s="39"/>
      <c r="CB624" s="39"/>
      <c r="CC624" s="39"/>
      <c r="CD624" s="39"/>
      <c r="CE624" s="39"/>
      <c r="CF624" s="39"/>
      <c r="CG624" s="39"/>
      <c r="CH624" s="39"/>
      <c r="CI624" s="39"/>
      <c r="CJ624" s="39"/>
      <c r="CK624" s="39"/>
      <c r="CL624" s="39"/>
      <c r="CM624" s="39"/>
      <c r="CN624" s="39"/>
      <c r="CO624" s="39"/>
      <c r="CP624" s="39"/>
      <c r="CQ624" s="39"/>
      <c r="CR624" s="39"/>
      <c r="CS624" s="39"/>
      <c r="CT624" s="39"/>
      <c r="CU624" s="39"/>
      <c r="CV624" s="39"/>
      <c r="CW624" s="39"/>
      <c r="CX624" s="39"/>
      <c r="CY624" s="39"/>
      <c r="CZ624" s="39"/>
      <c r="DA624" s="39"/>
      <c r="DB624" s="39"/>
      <c r="DC624" s="39"/>
      <c r="DD624" s="39"/>
      <c r="DE624" s="39"/>
      <c r="DF624" s="39"/>
      <c r="DG624" s="39"/>
      <c r="DH624" s="39"/>
      <c r="DI624" s="39"/>
    </row>
    <row r="625" spans="1:113">
      <c r="A625" s="41"/>
      <c r="C625" s="48"/>
      <c r="D625" s="44"/>
      <c r="E625" s="44"/>
      <c r="F625" s="45"/>
      <c r="G625" s="44"/>
      <c r="H625" s="46"/>
      <c r="I625" s="45"/>
      <c r="J625" s="45"/>
      <c r="K625" s="45"/>
      <c r="L625" s="45"/>
      <c r="M625" s="45"/>
      <c r="N625" s="46"/>
      <c r="O625" s="45"/>
      <c r="P625" s="45"/>
      <c r="Q625" s="45"/>
      <c r="R625" s="45"/>
      <c r="S625" s="45"/>
      <c r="T625" s="46"/>
      <c r="U625" s="48"/>
      <c r="V625" s="44"/>
      <c r="BF625" s="39"/>
      <c r="BG625" s="39"/>
      <c r="BH625" s="39"/>
      <c r="BI625" s="39"/>
      <c r="BJ625" s="39"/>
      <c r="BK625" s="39"/>
      <c r="BL625" s="39"/>
      <c r="BM625" s="39"/>
      <c r="BN625" s="39"/>
      <c r="BO625" s="39"/>
      <c r="BP625" s="39"/>
      <c r="BQ625" s="39"/>
      <c r="BR625" s="39"/>
      <c r="BS625" s="39"/>
      <c r="BT625" s="39"/>
      <c r="BU625" s="39"/>
      <c r="BV625" s="39"/>
      <c r="BW625" s="39"/>
      <c r="BX625" s="39"/>
      <c r="BY625" s="39"/>
      <c r="BZ625" s="39"/>
      <c r="CA625" s="39"/>
      <c r="CB625" s="39"/>
      <c r="CC625" s="39"/>
      <c r="CD625" s="39"/>
      <c r="CE625" s="39"/>
      <c r="CF625" s="39"/>
      <c r="CG625" s="39"/>
      <c r="CH625" s="39"/>
      <c r="CI625" s="39"/>
      <c r="CJ625" s="39"/>
      <c r="CK625" s="39"/>
      <c r="CL625" s="39"/>
      <c r="CM625" s="39"/>
      <c r="CN625" s="39"/>
      <c r="CO625" s="39"/>
      <c r="CP625" s="39"/>
      <c r="CQ625" s="39"/>
      <c r="CR625" s="39"/>
      <c r="CS625" s="39"/>
      <c r="CT625" s="39"/>
      <c r="CU625" s="39"/>
      <c r="CV625" s="39"/>
      <c r="CW625" s="39"/>
      <c r="CX625" s="39"/>
      <c r="CY625" s="39"/>
      <c r="CZ625" s="39"/>
      <c r="DA625" s="39"/>
      <c r="DB625" s="39"/>
      <c r="DC625" s="39"/>
      <c r="DD625" s="39"/>
      <c r="DE625" s="39"/>
      <c r="DF625" s="39"/>
      <c r="DG625" s="39"/>
      <c r="DH625" s="39"/>
      <c r="DI625" s="39"/>
    </row>
    <row r="626" spans="1:113">
      <c r="A626" s="41"/>
      <c r="C626" s="48" t="str">
        <f t="shared" ref="C626:G629" si="153">C566</f>
        <v>NTT</v>
      </c>
      <c r="D626" s="44" t="str">
        <f t="shared" si="153"/>
        <v>JPY 156</v>
      </c>
      <c r="E626" s="44" t="str">
        <f t="shared" si="153"/>
        <v>JPY 240</v>
      </c>
      <c r="F626" s="45">
        <f t="shared" si="153"/>
        <v>0.54340836012861726</v>
      </c>
      <c r="G626" s="44" t="str">
        <f t="shared" si="153"/>
        <v>Buy</v>
      </c>
      <c r="H626" s="46"/>
      <c r="I626" s="45">
        <f>NTT!$D$32/NTT!$D$11</f>
        <v>0</v>
      </c>
      <c r="J626" s="45">
        <f>NTT!$E$32/NTT!$E$11</f>
        <v>0</v>
      </c>
      <c r="K626" s="45">
        <f>NTT!$F$32/NTT!$F$11</f>
        <v>0</v>
      </c>
      <c r="L626" s="45">
        <f>NTT!$G$32/NTT!$G$11</f>
        <v>0</v>
      </c>
      <c r="M626" s="45" t="str">
        <f>NTT!$H$32</f>
        <v>nm</v>
      </c>
      <c r="N626" s="46"/>
      <c r="O626" s="45">
        <f>(NTT!$D$31+NTT!$D$32)/NTT!$D$11</f>
        <v>3.2797427652733115E-2</v>
      </c>
      <c r="P626" s="45">
        <f>(NTT!$E$31+NTT!$E$32)/NTT!$E$11</f>
        <v>4.1157556270096464E-2</v>
      </c>
      <c r="Q626" s="45">
        <f>(NTT!$F$31+NTT!$F$32)/NTT!$F$11</f>
        <v>4.6302250803858518E-2</v>
      </c>
      <c r="R626" s="45">
        <f>(NTT!$G$31+NTT!$G$32)/NTT!$G$11</f>
        <v>5.1446945337620578E-2</v>
      </c>
      <c r="S626" s="45">
        <f>NTT!$H$46</f>
        <v>0.14031868726274976</v>
      </c>
      <c r="T626" s="46"/>
      <c r="U626" s="48" t="str">
        <f t="shared" ref="U626:V629" si="154">U566</f>
        <v>JPY 156</v>
      </c>
      <c r="V626" s="44" t="str">
        <f t="shared" si="154"/>
        <v>NTT</v>
      </c>
      <c r="X626" s="43"/>
      <c r="Y626" s="76"/>
      <c r="BF626" s="39"/>
      <c r="BG626" s="39"/>
      <c r="BH626" s="39"/>
      <c r="BI626" s="39"/>
      <c r="BJ626" s="39"/>
      <c r="BK626" s="39"/>
      <c r="BL626" s="39"/>
      <c r="BM626" s="39"/>
      <c r="BN626" s="39"/>
      <c r="BO626" s="39"/>
      <c r="BP626" s="39"/>
      <c r="BQ626" s="39"/>
      <c r="BR626" s="39"/>
      <c r="BS626" s="39"/>
      <c r="BT626" s="39"/>
      <c r="BU626" s="39"/>
      <c r="BV626" s="39"/>
      <c r="BW626" s="39"/>
      <c r="BX626" s="39"/>
      <c r="BY626" s="39"/>
      <c r="BZ626" s="39"/>
      <c r="CA626" s="39"/>
      <c r="CB626" s="39"/>
      <c r="CC626" s="39"/>
      <c r="CD626" s="39"/>
      <c r="CE626" s="39"/>
      <c r="CF626" s="39"/>
      <c r="CG626" s="39"/>
      <c r="CH626" s="39"/>
      <c r="CI626" s="39"/>
      <c r="CJ626" s="39"/>
      <c r="CK626" s="39"/>
      <c r="CL626" s="39"/>
      <c r="CM626" s="39"/>
      <c r="CN626" s="39"/>
      <c r="CO626" s="39"/>
      <c r="CP626" s="39"/>
      <c r="CQ626" s="39"/>
      <c r="CR626" s="39"/>
      <c r="CS626" s="39"/>
      <c r="CT626" s="39"/>
      <c r="CU626" s="39"/>
      <c r="CV626" s="39"/>
      <c r="CW626" s="39"/>
      <c r="CX626" s="39"/>
      <c r="CY626" s="39"/>
      <c r="CZ626" s="39"/>
      <c r="DA626" s="39"/>
      <c r="DB626" s="39"/>
      <c r="DC626" s="39"/>
      <c r="DD626" s="39"/>
      <c r="DE626" s="39"/>
      <c r="DF626" s="39"/>
      <c r="DG626" s="39"/>
      <c r="DH626" s="39"/>
      <c r="DI626" s="39"/>
    </row>
    <row r="627" spans="1:113">
      <c r="A627" s="41"/>
      <c r="C627" s="48" t="str">
        <f t="shared" si="153"/>
        <v>Spark NZ</v>
      </c>
      <c r="D627" s="44" t="str">
        <f t="shared" si="153"/>
        <v>NZD 3.52</v>
      </c>
      <c r="E627" s="44" t="str">
        <f t="shared" si="153"/>
        <v>NZD 5.00</v>
      </c>
      <c r="F627" s="45">
        <f t="shared" si="153"/>
        <v>0.42045454545454541</v>
      </c>
      <c r="G627" s="44" t="str">
        <f t="shared" si="153"/>
        <v>Neutral</v>
      </c>
      <c r="H627" s="46"/>
      <c r="I627" s="45">
        <f>SPK!$D$32/SPK!$D$11</f>
        <v>9.2595052991759931E-4</v>
      </c>
      <c r="J627" s="45">
        <f>SPK!$E$32/SPK!$E$11</f>
        <v>9.2448299829495139E-4</v>
      </c>
      <c r="K627" s="45">
        <f>SPK!$F$32/SPK!$F$11</f>
        <v>9.2295763778263928E-4</v>
      </c>
      <c r="L627" s="45">
        <f>SPK!$G$32/SPK!$G$11</f>
        <v>9.2137504333040718E-4</v>
      </c>
      <c r="M627" s="45">
        <f>SPK!$H$32</f>
        <v>0</v>
      </c>
      <c r="N627" s="46"/>
      <c r="O627" s="45">
        <f>(SPK!$D$31+SPK!$D$32)/SPK!$D$11</f>
        <v>7.1948677802644884E-2</v>
      </c>
      <c r="P627" s="45">
        <f>(SPK!$E$31+SPK!$E$32)/SPK!$E$11</f>
        <v>7.1947210271022216E-2</v>
      </c>
      <c r="Q627" s="45">
        <f>(SPK!$F$31+SPK!$F$32)/SPK!$F$11</f>
        <v>7.1945684910509913E-2</v>
      </c>
      <c r="R627" s="45">
        <f>(SPK!$G$31+SPK!$G$32)/SPK!$G$11</f>
        <v>7.4785011406966778E-2</v>
      </c>
      <c r="S627" s="45">
        <f>SPK!$H$46</f>
        <v>1.4645567015539651E-2</v>
      </c>
      <c r="T627" s="46"/>
      <c r="U627" s="48" t="str">
        <f t="shared" si="154"/>
        <v>NZD 3.52</v>
      </c>
      <c r="V627" s="44" t="str">
        <f t="shared" si="154"/>
        <v>Spark NZ</v>
      </c>
      <c r="X627" s="43"/>
      <c r="Y627" s="76"/>
      <c r="BF627" s="39"/>
      <c r="BG627" s="39"/>
      <c r="BH627" s="39"/>
      <c r="BI627" s="39"/>
      <c r="BJ627" s="39"/>
      <c r="BK627" s="39"/>
      <c r="BL627" s="39"/>
      <c r="BM627" s="39"/>
      <c r="BN627" s="39"/>
      <c r="BO627" s="39"/>
      <c r="BP627" s="39"/>
      <c r="BQ627" s="39"/>
      <c r="BR627" s="39"/>
      <c r="BS627" s="39"/>
      <c r="BT627" s="39"/>
      <c r="BU627" s="39"/>
      <c r="BV627" s="39"/>
      <c r="BW627" s="39"/>
      <c r="BX627" s="39"/>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row>
    <row r="628" spans="1:113">
      <c r="A628" s="41"/>
      <c r="C628" s="48" t="str">
        <f t="shared" si="153"/>
        <v>SingTel</v>
      </c>
      <c r="D628" s="44" t="str">
        <f t="shared" si="153"/>
        <v>SGD 3.13</v>
      </c>
      <c r="E628" s="44" t="str">
        <f t="shared" si="153"/>
        <v>SGD 4.60</v>
      </c>
      <c r="F628" s="45">
        <f t="shared" si="153"/>
        <v>0.46964856230031948</v>
      </c>
      <c r="G628" s="44" t="str">
        <f t="shared" si="153"/>
        <v>Buy</v>
      </c>
      <c r="H628" s="46"/>
      <c r="I628" s="45">
        <f>SINGTEL!$D$32/SINGTEL!$D$11</f>
        <v>0</v>
      </c>
      <c r="J628" s="45">
        <f>SINGTEL!$E$32/SINGTEL!$E$11</f>
        <v>0</v>
      </c>
      <c r="K628" s="45">
        <f>SINGTEL!$F$32/SINGTEL!$F$11</f>
        <v>0</v>
      </c>
      <c r="L628" s="45">
        <f>SINGTEL!$G$32/SINGTEL!$G$11</f>
        <v>0</v>
      </c>
      <c r="M628" s="45" t="str">
        <f>SINGTEL!$H$32</f>
        <v>nm</v>
      </c>
      <c r="N628" s="46"/>
      <c r="O628" s="45">
        <f>(SINGTEL!$D$31+SINGTEL!$D$32)/SINGTEL!$D$11</f>
        <v>4.7923322683706068E-2</v>
      </c>
      <c r="P628" s="45">
        <f>(SINGTEL!$E$31+SINGTEL!$E$32)/SINGTEL!$E$11</f>
        <v>5.8563693060202114E-2</v>
      </c>
      <c r="Q628" s="45">
        <f>(SINGTEL!$F$31+SINGTEL!$F$32)/SINGTEL!$F$11</f>
        <v>6.471055644680801E-2</v>
      </c>
      <c r="R628" s="45">
        <f>(SINGTEL!$G$31+SINGTEL!$G$32)/SINGTEL!$G$11</f>
        <v>7.047199983149198E-2</v>
      </c>
      <c r="S628" s="45">
        <f>SINGTEL!$H$46</f>
        <v>0.1371643203366042</v>
      </c>
      <c r="T628" s="46"/>
      <c r="U628" s="48" t="str">
        <f t="shared" si="154"/>
        <v>SGD 3.13</v>
      </c>
      <c r="V628" s="44" t="str">
        <f t="shared" si="154"/>
        <v>SingTel</v>
      </c>
      <c r="BF628" s="39"/>
      <c r="BG628" s="39"/>
      <c r="BH628" s="39"/>
      <c r="BI628" s="39"/>
      <c r="BJ628" s="39"/>
      <c r="BK628" s="39"/>
      <c r="BL628" s="39"/>
      <c r="BM628" s="39"/>
      <c r="BN628" s="39"/>
      <c r="BO628" s="39"/>
      <c r="BP628" s="39"/>
      <c r="BQ628" s="39"/>
      <c r="BR628" s="39"/>
      <c r="BS628" s="39"/>
      <c r="BT628" s="39"/>
      <c r="BU628" s="39"/>
      <c r="BV628" s="39"/>
      <c r="BW628" s="39"/>
      <c r="BX628" s="39"/>
      <c r="BY628" s="39"/>
      <c r="BZ628" s="39"/>
      <c r="CA628" s="39"/>
      <c r="CB628" s="39"/>
      <c r="CC628" s="39"/>
      <c r="CD628" s="39"/>
      <c r="CE628" s="39"/>
      <c r="CF628" s="39"/>
      <c r="CG628" s="39"/>
      <c r="CH628" s="39"/>
      <c r="CI628" s="39"/>
      <c r="CJ628" s="39"/>
      <c r="CK628" s="39"/>
      <c r="CL628" s="39"/>
      <c r="CM628" s="39"/>
      <c r="CN628" s="39"/>
      <c r="CO628" s="39"/>
      <c r="CP628" s="39"/>
      <c r="CQ628" s="39"/>
      <c r="CR628" s="39"/>
      <c r="CS628" s="39"/>
      <c r="CT628" s="39"/>
      <c r="CU628" s="39"/>
      <c r="CV628" s="39"/>
      <c r="CW628" s="39"/>
      <c r="CX628" s="39"/>
      <c r="CY628" s="39"/>
      <c r="CZ628" s="39"/>
      <c r="DA628" s="39"/>
      <c r="DB628" s="39"/>
      <c r="DC628" s="39"/>
      <c r="DD628" s="39"/>
      <c r="DE628" s="39"/>
      <c r="DF628" s="39"/>
      <c r="DG628" s="39"/>
      <c r="DH628" s="39"/>
      <c r="DI628" s="39"/>
    </row>
    <row r="629" spans="1:113">
      <c r="A629" s="41"/>
      <c r="C629" s="48" t="str">
        <f t="shared" si="153"/>
        <v xml:space="preserve">Telstra </v>
      </c>
      <c r="D629" s="44" t="str">
        <f t="shared" si="153"/>
        <v>AUD 3.93</v>
      </c>
      <c r="E629" s="44" t="str">
        <f t="shared" si="153"/>
        <v>AUD 3.50</v>
      </c>
      <c r="F629" s="45">
        <f t="shared" si="153"/>
        <v>-0.10941475826972014</v>
      </c>
      <c r="G629" s="44" t="str">
        <f t="shared" si="153"/>
        <v>Buy</v>
      </c>
      <c r="H629" s="46"/>
      <c r="I629" s="45">
        <f>TLS!$D$32/TLS!$D$11</f>
        <v>0</v>
      </c>
      <c r="J629" s="45">
        <f>TLS!$E$32/TLS!$E$11</f>
        <v>0</v>
      </c>
      <c r="K629" s="45">
        <f>TLS!$F$32/TLS!$F$11</f>
        <v>0</v>
      </c>
      <c r="L629" s="45">
        <f>TLS!$G$32/TLS!$G$11</f>
        <v>0</v>
      </c>
      <c r="M629" s="45" t="str">
        <f>TLS!$H$32</f>
        <v>nm</v>
      </c>
      <c r="N629" s="46"/>
      <c r="O629" s="45">
        <f>(TLS!$D$31+TLS!$D$32)/TLS!$D$11</f>
        <v>4.071246819338422E-2</v>
      </c>
      <c r="P629" s="45">
        <f>(TLS!$E$31+TLS!$E$32)/TLS!$E$11</f>
        <v>4.071246819338422E-2</v>
      </c>
      <c r="Q629" s="45">
        <f>(TLS!$F$31+TLS!$F$32)/TLS!$F$11</f>
        <v>4.071246819338422E-2</v>
      </c>
      <c r="R629" s="45">
        <f>(TLS!$G$31+TLS!$G$32)/TLS!$G$11</f>
        <v>4.3256997455470743E-2</v>
      </c>
      <c r="S629" s="45">
        <f>TLS!$H$46</f>
        <v>2.0413775479336982E-2</v>
      </c>
      <c r="T629" s="46"/>
      <c r="U629" s="48" t="str">
        <f t="shared" si="154"/>
        <v>AUD 3.93</v>
      </c>
      <c r="V629" s="44" t="str">
        <f t="shared" si="154"/>
        <v>Telstra</v>
      </c>
      <c r="BF629" s="39"/>
      <c r="BG629" s="39"/>
      <c r="BH629" s="39"/>
      <c r="BI629" s="39"/>
      <c r="BJ629" s="39"/>
      <c r="BK629" s="39"/>
      <c r="BL629" s="39"/>
      <c r="BM629" s="39"/>
      <c r="BN629" s="39"/>
      <c r="BO629" s="39"/>
      <c r="BP629" s="39"/>
      <c r="BQ629" s="39"/>
      <c r="BR629" s="39"/>
      <c r="BS629" s="39"/>
      <c r="BT629" s="39"/>
      <c r="BU629" s="39"/>
      <c r="BV629" s="39"/>
      <c r="BW629" s="39"/>
      <c r="BX629" s="39"/>
      <c r="BY629" s="39"/>
      <c r="BZ629" s="39"/>
      <c r="CA629" s="39"/>
      <c r="CB629" s="39"/>
      <c r="CC629" s="39"/>
      <c r="CD629" s="39"/>
      <c r="CE629" s="39"/>
      <c r="CF629" s="39"/>
      <c r="CG629" s="39"/>
      <c r="CH629" s="39"/>
      <c r="CI629" s="39"/>
      <c r="CJ629" s="39"/>
      <c r="CK629" s="39"/>
      <c r="CL629" s="39"/>
      <c r="CM629" s="39"/>
      <c r="CN629" s="39"/>
      <c r="CO629" s="39"/>
      <c r="CP629" s="39"/>
      <c r="CQ629" s="39"/>
      <c r="CR629" s="39"/>
      <c r="CS629" s="39"/>
      <c r="CT629" s="39"/>
      <c r="CU629" s="39"/>
      <c r="CV629" s="39"/>
      <c r="CW629" s="39"/>
      <c r="CX629" s="39"/>
      <c r="CY629" s="39"/>
      <c r="CZ629" s="39"/>
      <c r="DA629" s="39"/>
      <c r="DB629" s="39"/>
      <c r="DC629" s="39"/>
      <c r="DD629" s="39"/>
      <c r="DE629" s="39"/>
      <c r="DF629" s="39"/>
      <c r="DG629" s="39"/>
      <c r="DH629" s="39"/>
      <c r="DI629" s="39"/>
    </row>
    <row r="630" spans="1:113">
      <c r="A630" s="41"/>
      <c r="C630" s="51" t="str">
        <f>C570</f>
        <v>Agg. Developed Asia Incumbent</v>
      </c>
      <c r="D630" s="58"/>
      <c r="E630" s="58"/>
      <c r="F630" s="55"/>
      <c r="G630" s="58"/>
      <c r="H630" s="56"/>
      <c r="I630" s="55">
        <f>'DM ASIA INCUMB'!$D$32/'DM ASIA INCUMB'!$D$11</f>
        <v>5.5541879936764304E-5</v>
      </c>
      <c r="J630" s="55">
        <f>'DM ASIA INCUMB'!$E$32/'DM ASIA INCUMB'!$E$11</f>
        <v>5.6076805825576815E-5</v>
      </c>
      <c r="K630" s="55">
        <f>'DM ASIA INCUMB'!$F$32/'DM ASIA INCUMB'!$F$11</f>
        <v>5.6621900586808624E-5</v>
      </c>
      <c r="L630" s="55">
        <f>'DM ASIA INCUMB'!$G$32/'DM ASIA INCUMB'!$G$11</f>
        <v>5.7177456812909973E-5</v>
      </c>
      <c r="M630" s="55">
        <f>'DM ASIA INCUMB'!$H$32</f>
        <v>0</v>
      </c>
      <c r="N630" s="56"/>
      <c r="O630" s="55">
        <f>('DM ASIA INCUMB'!$D$31+'DM ASIA INCUMB'!$D$32)/'DM ASIA INCUMB'!$D$11</f>
        <v>4.0065351987557007E-2</v>
      </c>
      <c r="P630" s="55">
        <f>('DM ASIA INCUMB'!$E$31+'DM ASIA INCUMB'!$E$32)/'DM ASIA INCUMB'!$E$11</f>
        <v>4.698842418243776E-2</v>
      </c>
      <c r="Q630" s="55">
        <f>('DM ASIA INCUMB'!$F$31+'DM ASIA INCUMB'!$F$32)/'DM ASIA INCUMB'!$F$11</f>
        <v>5.1159478997340808E-2</v>
      </c>
      <c r="R630" s="55">
        <f>('DM ASIA INCUMB'!$G$31+'DM ASIA INCUMB'!$G$32)/'DM ASIA INCUMB'!$G$11</f>
        <v>5.5871316784822357E-2</v>
      </c>
      <c r="S630" s="55">
        <f>'DM ASIA INCUMB'!H949</f>
        <v>0</v>
      </c>
      <c r="T630" s="56"/>
      <c r="U630" s="51"/>
      <c r="V630" s="58" t="str">
        <f>V570</f>
        <v xml:space="preserve">Agg. Developed Asia Incumbent </v>
      </c>
      <c r="X630" s="43"/>
      <c r="Y630" s="76"/>
      <c r="BF630" s="39"/>
      <c r="BG630" s="39"/>
      <c r="BH630" s="39"/>
      <c r="BI630" s="39"/>
      <c r="BJ630" s="39"/>
      <c r="BK630" s="39"/>
      <c r="BL630" s="39"/>
      <c r="BM630" s="39"/>
      <c r="BN630" s="39"/>
      <c r="BO630" s="39"/>
      <c r="BP630" s="39"/>
      <c r="BQ630" s="39"/>
      <c r="BR630" s="39"/>
      <c r="BS630" s="39"/>
      <c r="BT630" s="39"/>
      <c r="BU630" s="39"/>
      <c r="BV630" s="39"/>
      <c r="BW630" s="39"/>
      <c r="BX630" s="39"/>
      <c r="BY630" s="39"/>
      <c r="BZ630" s="39"/>
      <c r="CA630" s="39"/>
      <c r="CB630" s="39"/>
      <c r="CC630" s="39"/>
      <c r="CD630" s="39"/>
      <c r="CE630" s="39"/>
      <c r="CF630" s="39"/>
      <c r="CG630" s="39"/>
      <c r="CH630" s="39"/>
      <c r="CI630" s="39"/>
      <c r="CJ630" s="39"/>
      <c r="CK630" s="39"/>
      <c r="CL630" s="39"/>
      <c r="CM630" s="39"/>
      <c r="CN630" s="39"/>
      <c r="CO630" s="39"/>
      <c r="CP630" s="39"/>
      <c r="CQ630" s="39"/>
      <c r="CR630" s="39"/>
      <c r="CS630" s="39"/>
      <c r="CT630" s="39"/>
      <c r="CU630" s="39"/>
      <c r="CV630" s="39"/>
      <c r="CW630" s="39"/>
      <c r="CX630" s="39"/>
      <c r="CY630" s="39"/>
      <c r="CZ630" s="39"/>
      <c r="DA630" s="39"/>
      <c r="DB630" s="39"/>
      <c r="DC630" s="39"/>
      <c r="DD630" s="39"/>
      <c r="DE630" s="39"/>
      <c r="DF630" s="39"/>
      <c r="DG630" s="39"/>
      <c r="DH630" s="39"/>
      <c r="DI630" s="39"/>
    </row>
    <row r="631" spans="1:113">
      <c r="A631" s="41"/>
      <c r="C631" s="43"/>
      <c r="D631" s="50"/>
      <c r="E631" s="50"/>
      <c r="F631" s="61"/>
      <c r="G631" s="50"/>
      <c r="H631" s="56"/>
      <c r="I631" s="61"/>
      <c r="J631" s="61"/>
      <c r="K631" s="61"/>
      <c r="L631" s="61"/>
      <c r="M631" s="61"/>
      <c r="N631" s="56"/>
      <c r="O631" s="61"/>
      <c r="P631" s="61"/>
      <c r="Q631" s="61"/>
      <c r="R631" s="61"/>
      <c r="S631" s="61"/>
      <c r="T631" s="56"/>
      <c r="U631" s="43"/>
      <c r="V631" s="50"/>
      <c r="X631" s="43"/>
      <c r="Y631" s="76"/>
      <c r="BF631" s="39"/>
      <c r="BG631" s="39"/>
      <c r="BH631" s="39"/>
      <c r="BI631" s="39"/>
      <c r="BJ631" s="39"/>
      <c r="BK631" s="39"/>
      <c r="BL631" s="39"/>
      <c r="BM631" s="39"/>
      <c r="BN631" s="39"/>
      <c r="BO631" s="39"/>
      <c r="BP631" s="39"/>
      <c r="BQ631" s="39"/>
      <c r="BR631" s="39"/>
      <c r="BS631" s="39"/>
      <c r="BT631" s="39"/>
      <c r="BU631" s="39"/>
      <c r="BV631" s="39"/>
      <c r="BW631" s="39"/>
      <c r="BX631" s="39"/>
      <c r="BY631" s="39"/>
      <c r="BZ631" s="39"/>
      <c r="CA631" s="39"/>
      <c r="CB631" s="39"/>
      <c r="CC631" s="39"/>
      <c r="CD631" s="39"/>
      <c r="CE631" s="39"/>
      <c r="CF631" s="39"/>
      <c r="CG631" s="39"/>
      <c r="CH631" s="39"/>
      <c r="CI631" s="39"/>
      <c r="CJ631" s="39"/>
      <c r="CK631" s="39"/>
      <c r="CL631" s="39"/>
      <c r="CM631" s="39"/>
      <c r="CN631" s="39"/>
      <c r="CO631" s="39"/>
      <c r="CP631" s="39"/>
      <c r="CQ631" s="39"/>
      <c r="CR631" s="39"/>
      <c r="CS631" s="39"/>
      <c r="CT631" s="39"/>
      <c r="CU631" s="39"/>
      <c r="CV631" s="39"/>
      <c r="CW631" s="39"/>
      <c r="CX631" s="39"/>
      <c r="CY631" s="39"/>
      <c r="CZ631" s="39"/>
      <c r="DA631" s="39"/>
      <c r="DB631" s="39"/>
      <c r="DC631" s="39"/>
      <c r="DD631" s="39"/>
      <c r="DE631" s="39"/>
      <c r="DF631" s="39"/>
      <c r="DG631" s="39"/>
      <c r="DH631" s="39"/>
      <c r="DI631" s="39"/>
    </row>
    <row r="632" spans="1:113">
      <c r="A632" s="41"/>
      <c r="C632" s="51" t="s">
        <v>857</v>
      </c>
      <c r="D632" s="58"/>
      <c r="E632" s="58"/>
      <c r="F632" s="55"/>
      <c r="G632" s="58"/>
      <c r="H632" s="56"/>
      <c r="I632" s="55">
        <f>'AGG DM INCUMB'!$D$32/'AGG DM INCUMB'!$D$11</f>
        <v>1.2091974772727292E-2</v>
      </c>
      <c r="J632" s="55">
        <f>'AGG DM INCUMB'!$E$32/'AGG DM INCUMB'!$E$11</f>
        <v>1.6453097145629432E-2</v>
      </c>
      <c r="K632" s="55">
        <f>'AGG DM INCUMB'!$F$32/'AGG DM INCUMB'!$F$11</f>
        <v>1.8233002834093934E-2</v>
      </c>
      <c r="L632" s="55">
        <f>'AGG DM INCUMB'!$G$32/'AGG DM INCUMB'!$G$11</f>
        <v>2.0752584691718024E-2</v>
      </c>
      <c r="M632" s="55">
        <f>'AGG DM INCUMB'!$H$32</f>
        <v>0.17184909451541697</v>
      </c>
      <c r="N632" s="56"/>
      <c r="O632" s="55">
        <f>('AGG DM INCUMB'!$D$31+'AGG DM INCUMB'!$D$32)/'AGG DM INCUMB'!$D$11</f>
        <v>4.9906046973571275E-2</v>
      </c>
      <c r="P632" s="55">
        <f>('AGG DM INCUMB'!$E$31+'AGG DM INCUMB'!$E$32)/'AGG DM INCUMB'!$E$11</f>
        <v>5.9073265943262697E-2</v>
      </c>
      <c r="Q632" s="55">
        <f>('AGG DM INCUMB'!$F$31+'AGG DM INCUMB'!$F$32)/'AGG DM INCUMB'!$F$11</f>
        <v>6.3509269442469429E-2</v>
      </c>
      <c r="R632" s="55">
        <f>('AGG DM INCUMB'!$G$31+'AGG DM INCUMB'!$G$32)/'AGG DM INCUMB'!$G$11</f>
        <v>6.9070531247274747E-2</v>
      </c>
      <c r="S632" s="55">
        <f>'AGG DM INCUMB'!H951</f>
        <v>0</v>
      </c>
      <c r="T632" s="56"/>
      <c r="U632" s="51"/>
      <c r="V632" s="58" t="str">
        <f>C632</f>
        <v>Agg. DM Incumbent total</v>
      </c>
      <c r="X632" s="43"/>
      <c r="Y632" s="76"/>
      <c r="BF632" s="39"/>
      <c r="BG632" s="39"/>
      <c r="BH632" s="39"/>
      <c r="BI632" s="39"/>
      <c r="BJ632" s="39"/>
      <c r="BK632" s="39"/>
      <c r="BL632" s="39"/>
      <c r="BM632" s="39"/>
      <c r="BN632" s="39"/>
      <c r="BO632" s="39"/>
      <c r="BP632" s="39"/>
      <c r="BQ632" s="39"/>
      <c r="BR632" s="39"/>
      <c r="BS632" s="39"/>
      <c r="BT632" s="39"/>
      <c r="BU632" s="39"/>
      <c r="BV632" s="39"/>
      <c r="BW632" s="39"/>
      <c r="BX632" s="39"/>
      <c r="BY632" s="39"/>
      <c r="BZ632" s="39"/>
      <c r="CA632" s="39"/>
      <c r="CB632" s="39"/>
      <c r="CC632" s="39"/>
      <c r="CD632" s="39"/>
      <c r="CE632" s="39"/>
      <c r="CF632" s="39"/>
      <c r="CG632" s="39"/>
      <c r="CH632" s="39"/>
      <c r="CI632" s="39"/>
      <c r="CJ632" s="39"/>
      <c r="CK632" s="39"/>
      <c r="CL632" s="39"/>
      <c r="CM632" s="39"/>
      <c r="CN632" s="39"/>
      <c r="CO632" s="39"/>
      <c r="CP632" s="39"/>
      <c r="CQ632" s="39"/>
      <c r="CR632" s="39"/>
      <c r="CS632" s="39"/>
      <c r="CT632" s="39"/>
      <c r="CU632" s="39"/>
      <c r="CV632" s="39"/>
      <c r="CW632" s="39"/>
      <c r="CX632" s="39"/>
      <c r="CY632" s="39"/>
      <c r="CZ632" s="39"/>
      <c r="DA632" s="39"/>
      <c r="DB632" s="39"/>
      <c r="DC632" s="39"/>
      <c r="DD632" s="39"/>
      <c r="DE632" s="39"/>
      <c r="DF632" s="39"/>
      <c r="DG632" s="39"/>
      <c r="DH632" s="39"/>
      <c r="DI632" s="39"/>
    </row>
    <row r="633" spans="1:113">
      <c r="A633" s="41"/>
      <c r="C633" s="41"/>
      <c r="D633" s="44"/>
      <c r="E633" s="44"/>
      <c r="F633" s="45"/>
      <c r="G633" s="44"/>
      <c r="H633" s="46"/>
      <c r="I633" s="45"/>
      <c r="J633" s="45"/>
      <c r="K633" s="45"/>
      <c r="L633" s="45"/>
      <c r="M633" s="45"/>
      <c r="N633" s="46"/>
      <c r="O633" s="45"/>
      <c r="P633" s="45"/>
      <c r="Q633" s="45"/>
      <c r="R633" s="45"/>
      <c r="S633" s="45"/>
      <c r="T633" s="46"/>
      <c r="U633" s="48"/>
      <c r="V633" s="50"/>
      <c r="X633" s="43"/>
      <c r="Y633" s="76"/>
      <c r="BF633" s="39"/>
      <c r="BG633" s="39"/>
      <c r="BH633" s="39"/>
      <c r="BI633" s="39"/>
      <c r="BJ633" s="39"/>
      <c r="BK633" s="39"/>
      <c r="BL633" s="39"/>
      <c r="BM633" s="39"/>
      <c r="BN633" s="39"/>
      <c r="BO633" s="39"/>
      <c r="BP633" s="39"/>
      <c r="BQ633" s="39"/>
      <c r="BR633" s="39"/>
      <c r="BS633" s="39"/>
      <c r="BT633" s="39"/>
      <c r="BU633" s="39"/>
      <c r="BV633" s="39"/>
      <c r="BW633" s="39"/>
      <c r="BX633" s="39"/>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row>
    <row r="634" spans="1:113">
      <c r="A634" s="41" t="s">
        <v>1374</v>
      </c>
      <c r="C634" s="48" t="str">
        <f t="shared" ref="C634:G641" si="155">C574</f>
        <v>1&amp;1</v>
      </c>
      <c r="D634" s="44" t="str">
        <f t="shared" si="155"/>
        <v>EUR 14.0</v>
      </c>
      <c r="E634" s="44" t="str">
        <f t="shared" si="155"/>
        <v>EUR 26.0</v>
      </c>
      <c r="F634" s="45">
        <f t="shared" si="155"/>
        <v>0.85449358059914404</v>
      </c>
      <c r="G634" s="44" t="str">
        <f t="shared" si="155"/>
        <v>Buy</v>
      </c>
      <c r="H634" s="46"/>
      <c r="I634" s="45">
        <f>DRI!$D$32/DRI!$D$11</f>
        <v>0</v>
      </c>
      <c r="J634" s="45">
        <f>DRI!$E$32/DRI!$E$11</f>
        <v>0</v>
      </c>
      <c r="K634" s="45">
        <f>DRI!$F$32/DRI!$F$11</f>
        <v>0</v>
      </c>
      <c r="L634" s="45">
        <f>DRI!$G$32/DRI!$G$11</f>
        <v>0</v>
      </c>
      <c r="M634" s="45" t="str">
        <f>DRI!$H$32</f>
        <v>nm</v>
      </c>
      <c r="N634" s="46"/>
      <c r="O634" s="45">
        <f>(DRI!$D$31+DRI!$D$32)/DRI!$D$11</f>
        <v>3.5663338088445084E-3</v>
      </c>
      <c r="P634" s="45">
        <f>(DRI!$E$31+DRI!$E$32)/DRI!$E$11</f>
        <v>3.5663338088445084E-3</v>
      </c>
      <c r="Q634" s="45">
        <f>(DRI!$F$31+DRI!$F$32)/DRI!$F$11</f>
        <v>7.1326676176890161E-2</v>
      </c>
      <c r="R634" s="45">
        <f>(DRI!$G$31+DRI!$G$32)/DRI!$G$11</f>
        <v>7.1326676176890161E-2</v>
      </c>
      <c r="S634" s="45">
        <f>DRI!$H$46</f>
        <v>1.7144176165949063</v>
      </c>
      <c r="T634" s="46"/>
      <c r="U634" s="48" t="str">
        <f t="shared" ref="U634:V640" si="156">U574</f>
        <v>EUR 14.0</v>
      </c>
      <c r="V634" s="44" t="str">
        <f t="shared" si="156"/>
        <v>1&amp;1</v>
      </c>
      <c r="AF634" s="39"/>
      <c r="AG634" s="39"/>
      <c r="AH634" s="39"/>
      <c r="AI634" s="39"/>
      <c r="AJ634" s="39"/>
      <c r="AK634" s="39"/>
      <c r="AL634" s="39"/>
      <c r="AM634" s="39"/>
      <c r="AN634" s="39"/>
      <c r="AO634" s="39"/>
      <c r="AP634" s="39"/>
      <c r="AQ634" s="39"/>
      <c r="AR634" s="39"/>
      <c r="AS634" s="39"/>
      <c r="AT634" s="39"/>
      <c r="AU634" s="39"/>
      <c r="AV634" s="39"/>
      <c r="AW634" s="39"/>
      <c r="AX634" s="39"/>
      <c r="AY634" s="39"/>
      <c r="AZ634" s="39"/>
      <c r="BA634" s="39"/>
      <c r="BB634" s="39"/>
      <c r="BC634" s="39"/>
      <c r="BD634" s="39"/>
      <c r="BE634" s="39"/>
      <c r="BF634" s="39"/>
      <c r="BG634" s="39"/>
      <c r="BH634" s="39"/>
      <c r="BI634" s="39"/>
      <c r="BJ634" s="39"/>
      <c r="BK634" s="39"/>
      <c r="BL634" s="39"/>
      <c r="BM634" s="39"/>
      <c r="BN634" s="39"/>
      <c r="BO634" s="39"/>
      <c r="BP634" s="39"/>
      <c r="BQ634" s="39"/>
      <c r="BR634" s="39"/>
      <c r="BS634" s="39"/>
      <c r="BT634" s="39"/>
      <c r="BU634" s="39"/>
      <c r="BV634" s="39"/>
      <c r="BW634" s="39"/>
      <c r="BX634" s="39"/>
      <c r="BY634" s="39"/>
      <c r="BZ634" s="39"/>
      <c r="CA634" s="39"/>
      <c r="CB634" s="39"/>
      <c r="CC634" s="39"/>
      <c r="CD634" s="39"/>
      <c r="CE634" s="39"/>
      <c r="CF634" s="39"/>
      <c r="CG634" s="39"/>
      <c r="CH634" s="39"/>
      <c r="CI634" s="39"/>
      <c r="CJ634" s="39"/>
      <c r="CK634" s="39"/>
      <c r="CL634" s="39"/>
      <c r="CM634" s="39"/>
      <c r="CN634" s="39"/>
      <c r="CO634" s="39"/>
      <c r="CP634" s="39"/>
      <c r="CQ634" s="39"/>
      <c r="CR634" s="39"/>
      <c r="CS634" s="39"/>
      <c r="CT634" s="39"/>
      <c r="CU634" s="39"/>
      <c r="CV634" s="39"/>
      <c r="CW634" s="39"/>
      <c r="CX634" s="39"/>
      <c r="CY634" s="39"/>
      <c r="CZ634" s="39"/>
      <c r="DA634" s="39"/>
      <c r="DB634" s="39"/>
      <c r="DC634" s="39"/>
      <c r="DD634" s="39"/>
      <c r="DE634" s="39"/>
      <c r="DF634" s="39"/>
      <c r="DG634" s="39"/>
      <c r="DH634" s="39"/>
      <c r="DI634" s="39"/>
    </row>
    <row r="635" spans="1:113">
      <c r="C635" s="48" t="str">
        <f t="shared" si="155"/>
        <v>Elisa</v>
      </c>
      <c r="D635" s="44" t="str">
        <f t="shared" si="155"/>
        <v>EUR 46.6</v>
      </c>
      <c r="E635" s="44" t="str">
        <f t="shared" si="155"/>
        <v>EUR 53.0</v>
      </c>
      <c r="F635" s="45">
        <f t="shared" si="155"/>
        <v>0.13831615120274909</v>
      </c>
      <c r="G635" s="44" t="str">
        <f t="shared" si="155"/>
        <v>Neutral</v>
      </c>
      <c r="H635" s="46"/>
      <c r="I635" s="45">
        <f>ELISA!$D$32/ELISA!$D$11</f>
        <v>0</v>
      </c>
      <c r="J635" s="45">
        <f>ELISA!$E$32/ELISA!$E$11</f>
        <v>0</v>
      </c>
      <c r="K635" s="45">
        <f>ELISA!$F$32/ELISA!$F$11</f>
        <v>0</v>
      </c>
      <c r="L635" s="45">
        <f>ELISA!$G$32/ELISA!$G$11</f>
        <v>0</v>
      </c>
      <c r="M635" s="45" t="str">
        <f>ELISA!$H$32</f>
        <v>nm</v>
      </c>
      <c r="N635" s="46"/>
      <c r="O635" s="45">
        <f>(ELISA!$D$31+ELISA!$D$32)/ELISA!$D$11</f>
        <v>4.8324742268041232E-2</v>
      </c>
      <c r="P635" s="45">
        <f>(ELISA!$E$31+ELISA!$E$32)/ELISA!$E$11</f>
        <v>5.0472508591065293E-2</v>
      </c>
      <c r="Q635" s="45">
        <f>(ELISA!$F$31+ELISA!$F$32)/ELISA!$F$11</f>
        <v>5.2996134020618563E-2</v>
      </c>
      <c r="R635" s="45">
        <f>(ELISA!$G$31+ELISA!$G$32)/ELISA!$G$11</f>
        <v>5.5645940721649495E-2</v>
      </c>
      <c r="S635" s="45">
        <f>ELISA!$H$46</f>
        <v>4.8144872461113764E-2</v>
      </c>
      <c r="T635" s="46"/>
      <c r="U635" s="48" t="str">
        <f t="shared" si="156"/>
        <v>EUR 46.6</v>
      </c>
      <c r="V635" s="44" t="str">
        <f t="shared" si="156"/>
        <v>Elisa</v>
      </c>
      <c r="X635" s="43"/>
      <c r="Y635" s="76"/>
      <c r="BF635" s="39"/>
      <c r="BG635" s="39"/>
      <c r="BH635" s="39"/>
      <c r="BI635" s="39"/>
      <c r="BJ635" s="39"/>
      <c r="BK635" s="39"/>
      <c r="BL635" s="39"/>
      <c r="BM635" s="39"/>
      <c r="BN635" s="39"/>
      <c r="BO635" s="39"/>
      <c r="BP635" s="39"/>
      <c r="BQ635" s="39"/>
      <c r="BR635" s="39"/>
      <c r="BS635" s="39"/>
      <c r="BT635" s="39"/>
      <c r="BU635" s="39"/>
      <c r="BV635" s="39"/>
      <c r="BW635" s="39"/>
      <c r="BX635" s="39"/>
      <c r="BY635" s="39"/>
      <c r="BZ635" s="39"/>
      <c r="CA635" s="39"/>
      <c r="CB635" s="39"/>
      <c r="CC635" s="39"/>
      <c r="CD635" s="39"/>
      <c r="CE635" s="39"/>
      <c r="CF635" s="39"/>
      <c r="CG635" s="39"/>
      <c r="CH635" s="39"/>
      <c r="CI635" s="39"/>
      <c r="CJ635" s="39"/>
      <c r="CK635" s="39"/>
      <c r="CL635" s="39"/>
      <c r="CM635" s="39"/>
      <c r="CN635" s="39"/>
      <c r="CO635" s="39"/>
      <c r="CP635" s="39"/>
      <c r="CQ635" s="39"/>
      <c r="CR635" s="39"/>
      <c r="CS635" s="39"/>
      <c r="CT635" s="39"/>
      <c r="CU635" s="39"/>
      <c r="CV635" s="39"/>
      <c r="CW635" s="39"/>
      <c r="CX635" s="39"/>
      <c r="CY635" s="39"/>
      <c r="CZ635" s="39"/>
      <c r="DA635" s="39"/>
      <c r="DB635" s="39"/>
      <c r="DC635" s="39"/>
      <c r="DD635" s="39"/>
      <c r="DE635" s="39"/>
      <c r="DF635" s="39"/>
      <c r="DG635" s="39"/>
      <c r="DH635" s="39"/>
      <c r="DI635" s="39"/>
    </row>
    <row r="636" spans="1:113">
      <c r="A636" s="41"/>
      <c r="C636" s="48" t="str">
        <f t="shared" si="155"/>
        <v>Liberty Global (prop.)</v>
      </c>
      <c r="D636" s="44" t="str">
        <f t="shared" si="155"/>
        <v>USD 20.3</v>
      </c>
      <c r="E636" s="44" t="str">
        <f t="shared" si="155"/>
        <v>USD 23.0</v>
      </c>
      <c r="F636" s="45">
        <f t="shared" si="155"/>
        <v>0.13356333169048806</v>
      </c>
      <c r="G636" s="44" t="str">
        <f t="shared" si="155"/>
        <v>Neutral</v>
      </c>
      <c r="H636" s="46"/>
      <c r="I636" s="45">
        <f>LBTY!$D$32/LBTY!$D$11</f>
        <v>0</v>
      </c>
      <c r="J636" s="45">
        <f>LBTY!$E$32/LBTY!$E$11</f>
        <v>0</v>
      </c>
      <c r="K636" s="45">
        <f>LBTY!$F$32/LBTY!$F$11</f>
        <v>0</v>
      </c>
      <c r="L636" s="45">
        <f>LBTY!$G$32/LBTY!$G$11</f>
        <v>0</v>
      </c>
      <c r="M636" s="45" t="str">
        <f>LBTY!$H$32</f>
        <v>nm</v>
      </c>
      <c r="N636" s="46"/>
      <c r="O636" s="45">
        <f>(LBTY!$D$31+LBTY!$D$32)/LBTY!$D$11</f>
        <v>0</v>
      </c>
      <c r="P636" s="45">
        <f>(LBTY!$E$31+LBTY!$E$32)/LBTY!$E$11</f>
        <v>0</v>
      </c>
      <c r="Q636" s="45">
        <f>(LBTY!$F$31+LBTY!$F$32)/LBTY!$F$11</f>
        <v>0</v>
      </c>
      <c r="R636" s="45">
        <f>(LBTY!$G$31+LBTY!$G$32)/LBTY!$G$11</f>
        <v>0</v>
      </c>
      <c r="S636" s="45" t="str">
        <f>IFERROR(LBTY!$H$46,"na")</f>
        <v>na</v>
      </c>
      <c r="T636" s="46"/>
      <c r="U636" s="48" t="str">
        <f t="shared" si="156"/>
        <v>USD 20.3</v>
      </c>
      <c r="V636" s="44" t="str">
        <f t="shared" si="156"/>
        <v>Liberty Global</v>
      </c>
      <c r="X636" s="43"/>
      <c r="Y636" s="76"/>
      <c r="AF636" s="39"/>
      <c r="AG636" s="39"/>
      <c r="AH636" s="39"/>
      <c r="AI636" s="39"/>
      <c r="AJ636" s="39"/>
      <c r="AK636" s="39"/>
      <c r="AL636" s="39"/>
      <c r="AM636" s="39"/>
      <c r="AN636" s="39"/>
      <c r="AO636" s="39"/>
      <c r="AP636" s="39"/>
      <c r="AQ636" s="39"/>
      <c r="AR636" s="39"/>
      <c r="AS636" s="39"/>
      <c r="AT636" s="39"/>
      <c r="AU636" s="39"/>
      <c r="AV636" s="39"/>
      <c r="AW636" s="39"/>
      <c r="AX636" s="39"/>
      <c r="AY636" s="39"/>
      <c r="AZ636" s="39"/>
      <c r="BA636" s="39"/>
      <c r="BB636" s="39"/>
      <c r="BC636" s="39"/>
      <c r="BD636" s="39"/>
      <c r="BE636" s="39"/>
      <c r="BF636" s="39"/>
      <c r="BG636" s="39"/>
      <c r="BH636" s="39"/>
      <c r="BI636" s="39"/>
      <c r="BJ636" s="39"/>
      <c r="BK636" s="39"/>
      <c r="BL636" s="39"/>
      <c r="BM636" s="39"/>
      <c r="BN636" s="39"/>
      <c r="BO636" s="39"/>
      <c r="BP636" s="39"/>
      <c r="BQ636" s="39"/>
      <c r="BR636" s="39"/>
      <c r="BS636" s="39"/>
      <c r="BT636" s="39"/>
      <c r="BU636" s="39"/>
      <c r="BV636" s="39"/>
      <c r="BW636" s="39"/>
      <c r="BX636" s="39"/>
      <c r="BY636" s="39"/>
      <c r="BZ636" s="39"/>
      <c r="CA636" s="39"/>
      <c r="CB636" s="39"/>
      <c r="CC636" s="39"/>
      <c r="CD636" s="39"/>
      <c r="CE636" s="39"/>
      <c r="CF636" s="39"/>
      <c r="CG636" s="39"/>
      <c r="CH636" s="39"/>
      <c r="CI636" s="39"/>
      <c r="CJ636" s="39"/>
      <c r="CK636" s="39"/>
      <c r="CL636" s="39"/>
      <c r="CM636" s="39"/>
      <c r="CN636" s="39"/>
      <c r="CO636" s="39"/>
      <c r="CP636" s="39"/>
      <c r="CQ636" s="39"/>
      <c r="CR636" s="39"/>
      <c r="CS636" s="39"/>
      <c r="CT636" s="39"/>
      <c r="CU636" s="39"/>
      <c r="CV636" s="39"/>
      <c r="CW636" s="39"/>
      <c r="CX636" s="39"/>
      <c r="CY636" s="39"/>
      <c r="CZ636" s="39"/>
      <c r="DA636" s="39"/>
      <c r="DB636" s="39"/>
      <c r="DC636" s="39"/>
      <c r="DD636" s="39"/>
      <c r="DE636" s="39"/>
      <c r="DF636" s="39"/>
      <c r="DG636" s="39"/>
      <c r="DH636" s="39"/>
      <c r="DI636" s="39"/>
    </row>
    <row r="637" spans="1:113">
      <c r="A637" s="41"/>
      <c r="C637" s="48" t="str">
        <f t="shared" si="155"/>
        <v>NOS</v>
      </c>
      <c r="D637" s="44" t="str">
        <f t="shared" si="155"/>
        <v>EUR 3.58</v>
      </c>
      <c r="E637" s="44" t="str">
        <f t="shared" si="155"/>
        <v>EUR 3.70</v>
      </c>
      <c r="F637" s="45">
        <f t="shared" si="155"/>
        <v>3.4965034965035002E-2</v>
      </c>
      <c r="G637" s="44" t="str">
        <f t="shared" si="155"/>
        <v>Neutral</v>
      </c>
      <c r="H637" s="46"/>
      <c r="I637" s="45">
        <f>NOS!$D$32/NOS!$D$11</f>
        <v>0</v>
      </c>
      <c r="J637" s="45">
        <f>NOS!$E$32/NOS!$E$11</f>
        <v>0</v>
      </c>
      <c r="K637" s="45">
        <f>NOS!$F$32/NOS!$F$11</f>
        <v>0</v>
      </c>
      <c r="L637" s="45">
        <f>NOS!$G$32/NOS!$G$11</f>
        <v>0</v>
      </c>
      <c r="M637" s="45" t="str">
        <f>NOS!$H$32</f>
        <v>nm</v>
      </c>
      <c r="N637" s="46"/>
      <c r="O637" s="45">
        <f>(NOS!$D$31+NOS!$D$32)/NOS!$D$11</f>
        <v>9.790209790209789E-2</v>
      </c>
      <c r="P637" s="45">
        <f>(NOS!$E$31+NOS!$E$32)/NOS!$E$11</f>
        <v>9.790209790209789E-2</v>
      </c>
      <c r="Q637" s="45">
        <f>(NOS!$F$31+NOS!$F$32)/NOS!$F$11</f>
        <v>9.790209790209789E-2</v>
      </c>
      <c r="R637" s="45">
        <f>(NOS!$G$31+NOS!$G$32)/NOS!$G$11</f>
        <v>9.790209790209789E-2</v>
      </c>
      <c r="S637" s="45">
        <f>NOS!$H$46</f>
        <v>0</v>
      </c>
      <c r="T637" s="46"/>
      <c r="U637" s="48" t="str">
        <f t="shared" si="156"/>
        <v>EUR 3.58</v>
      </c>
      <c r="V637" s="44" t="str">
        <f t="shared" si="156"/>
        <v>NOS</v>
      </c>
      <c r="X637" s="43"/>
      <c r="Y637" s="76"/>
      <c r="AF637" s="39"/>
      <c r="AG637" s="39"/>
      <c r="AH637" s="39"/>
      <c r="AI637" s="39"/>
      <c r="AJ637" s="39"/>
      <c r="AK637" s="39"/>
      <c r="AL637" s="39"/>
      <c r="AM637" s="39"/>
      <c r="AN637" s="39"/>
      <c r="AO637" s="39"/>
      <c r="AP637" s="39"/>
      <c r="AQ637" s="39"/>
      <c r="AR637" s="39"/>
      <c r="AS637" s="39"/>
      <c r="AT637" s="39"/>
      <c r="AU637" s="39"/>
      <c r="AV637" s="39"/>
      <c r="AW637" s="39"/>
      <c r="AX637" s="39"/>
      <c r="AY637" s="39"/>
      <c r="AZ637" s="39"/>
      <c r="BA637" s="39"/>
      <c r="BB637" s="39"/>
      <c r="BC637" s="39"/>
      <c r="BD637" s="39"/>
      <c r="BE637" s="39"/>
      <c r="BF637" s="39"/>
      <c r="BG637" s="39"/>
      <c r="BH637" s="39"/>
      <c r="BI637" s="39"/>
      <c r="BJ637" s="39"/>
      <c r="BK637" s="39"/>
      <c r="BL637" s="39"/>
      <c r="BM637" s="39"/>
      <c r="BN637" s="39"/>
      <c r="BO637" s="39"/>
      <c r="BP637" s="39"/>
      <c r="BQ637" s="39"/>
      <c r="BR637" s="39"/>
      <c r="BS637" s="39"/>
      <c r="BT637" s="39"/>
      <c r="BU637" s="39"/>
      <c r="BV637" s="39"/>
      <c r="BW637" s="39"/>
      <c r="BX637" s="39"/>
      <c r="BY637" s="39"/>
      <c r="BZ637" s="39"/>
      <c r="CA637" s="39"/>
      <c r="CB637" s="39"/>
      <c r="CC637" s="39"/>
      <c r="CD637" s="39"/>
      <c r="CE637" s="39"/>
      <c r="CF637" s="39"/>
      <c r="CG637" s="39"/>
      <c r="CH637" s="39"/>
      <c r="CI637" s="39"/>
      <c r="CJ637" s="39"/>
      <c r="CK637" s="39"/>
      <c r="CL637" s="39"/>
      <c r="CM637" s="39"/>
      <c r="CN637" s="39"/>
      <c r="CO637" s="39"/>
      <c r="CP637" s="39"/>
      <c r="CQ637" s="39"/>
      <c r="CR637" s="39"/>
      <c r="CS637" s="39"/>
      <c r="CT637" s="39"/>
      <c r="CU637" s="39"/>
      <c r="CV637" s="39"/>
      <c r="CW637" s="39"/>
      <c r="CX637" s="39"/>
      <c r="CY637" s="39"/>
      <c r="CZ637" s="39"/>
      <c r="DA637" s="39"/>
      <c r="DB637" s="39"/>
      <c r="DC637" s="39"/>
      <c r="DD637" s="39"/>
      <c r="DE637" s="39"/>
      <c r="DF637" s="39"/>
      <c r="DG637" s="39"/>
      <c r="DH637" s="39"/>
      <c r="DI637" s="39"/>
    </row>
    <row r="638" spans="1:113">
      <c r="C638" s="48" t="str">
        <f t="shared" si="155"/>
        <v>Orange Belgium</v>
      </c>
      <c r="D638" s="44" t="str">
        <f t="shared" si="155"/>
        <v>EUR 14.8</v>
      </c>
      <c r="E638" s="44" t="str">
        <f t="shared" si="155"/>
        <v>EUR 15.0</v>
      </c>
      <c r="F638" s="45">
        <f t="shared" si="155"/>
        <v>1.3513513513513375E-2</v>
      </c>
      <c r="G638" s="44" t="str">
        <f t="shared" si="155"/>
        <v>Neutral</v>
      </c>
      <c r="H638" s="46"/>
      <c r="I638" s="45">
        <f>OBEL!$D$32/OBEL!$D$11</f>
        <v>0</v>
      </c>
      <c r="J638" s="45">
        <f>OBEL!$E$32/OBEL!$E$11</f>
        <v>0</v>
      </c>
      <c r="K638" s="45">
        <f>OBEL!$F$32/OBEL!$F$11</f>
        <v>0</v>
      </c>
      <c r="L638" s="45">
        <f>OBEL!$G$32/OBEL!$G$11</f>
        <v>0</v>
      </c>
      <c r="M638" s="45" t="str">
        <f>OBEL!$H$32</f>
        <v>nm</v>
      </c>
      <c r="N638" s="46"/>
      <c r="O638" s="45">
        <f>(OBEL!$D$31+OBEL!$D$32)/OBEL!$D$11</f>
        <v>0</v>
      </c>
      <c r="P638" s="45">
        <f>(OBEL!$E$31+OBEL!$E$32)/OBEL!$E$11</f>
        <v>0</v>
      </c>
      <c r="Q638" s="45">
        <f>(OBEL!$F$31+OBEL!$F$32)/OBEL!$F$11</f>
        <v>0</v>
      </c>
      <c r="R638" s="45">
        <f>(OBEL!$G$31+OBEL!$G$32)/OBEL!$G$11</f>
        <v>0</v>
      </c>
      <c r="S638" s="45" t="str">
        <f>OBEL!$H$46</f>
        <v>nm</v>
      </c>
      <c r="T638" s="46"/>
      <c r="U638" s="48" t="str">
        <f t="shared" si="156"/>
        <v>EUR 14.8</v>
      </c>
      <c r="V638" s="44" t="str">
        <f t="shared" si="156"/>
        <v>Mobistar</v>
      </c>
      <c r="X638" s="43"/>
      <c r="Y638" s="76"/>
      <c r="BF638" s="39"/>
      <c r="BG638" s="39"/>
      <c r="BH638" s="39"/>
      <c r="BI638" s="39"/>
      <c r="BJ638" s="39"/>
      <c r="BK638" s="39"/>
      <c r="BL638" s="39"/>
      <c r="BM638" s="39"/>
      <c r="BN638" s="39"/>
      <c r="BO638" s="39"/>
      <c r="BP638" s="39"/>
      <c r="BQ638" s="39"/>
      <c r="BR638" s="39"/>
      <c r="BS638" s="39"/>
      <c r="BT638" s="39"/>
      <c r="BU638" s="39"/>
      <c r="BV638" s="39"/>
      <c r="BW638" s="39"/>
      <c r="BX638" s="39"/>
      <c r="BY638" s="39"/>
      <c r="BZ638" s="39"/>
      <c r="CA638" s="39"/>
      <c r="CB638" s="39"/>
      <c r="CC638" s="39"/>
      <c r="CD638" s="39"/>
      <c r="CE638" s="39"/>
      <c r="CF638" s="39"/>
      <c r="CG638" s="39"/>
      <c r="CH638" s="39"/>
      <c r="CI638" s="39"/>
      <c r="CJ638" s="39"/>
      <c r="CK638" s="39"/>
      <c r="CL638" s="39"/>
      <c r="CM638" s="39"/>
      <c r="CN638" s="39"/>
      <c r="CO638" s="39"/>
      <c r="CP638" s="39"/>
      <c r="CQ638" s="39"/>
      <c r="CR638" s="39"/>
      <c r="CS638" s="39"/>
      <c r="CT638" s="39"/>
      <c r="CU638" s="39"/>
      <c r="CV638" s="39"/>
      <c r="CW638" s="39"/>
      <c r="CX638" s="39"/>
      <c r="CY638" s="39"/>
      <c r="CZ638" s="39"/>
      <c r="DA638" s="39"/>
      <c r="DB638" s="39"/>
      <c r="DC638" s="39"/>
      <c r="DD638" s="39"/>
      <c r="DE638" s="39"/>
      <c r="DF638" s="39"/>
      <c r="DG638" s="39"/>
      <c r="DH638" s="39"/>
      <c r="DI638" s="39"/>
    </row>
    <row r="639" spans="1:113">
      <c r="C639" s="48" t="str">
        <f t="shared" si="155"/>
        <v>Tele2</v>
      </c>
      <c r="D639" s="44" t="str">
        <f t="shared" si="155"/>
        <v>SEK 117.7</v>
      </c>
      <c r="E639" s="44" t="str">
        <f t="shared" si="155"/>
        <v>SEK 109.0</v>
      </c>
      <c r="F639" s="45">
        <f t="shared" si="155"/>
        <v>-7.3523161920951985E-2</v>
      </c>
      <c r="G639" s="44" t="str">
        <f t="shared" si="155"/>
        <v>Neutral</v>
      </c>
      <c r="H639" s="46"/>
      <c r="I639" s="45">
        <f>TELE2!$D$32/TELE2!$D$11</f>
        <v>0</v>
      </c>
      <c r="J639" s="45">
        <f>TELE2!$E$32/TELE2!$E$11</f>
        <v>0</v>
      </c>
      <c r="K639" s="45">
        <f>TELE2!$F$32/TELE2!$F$11</f>
        <v>0</v>
      </c>
      <c r="L639" s="45">
        <f>TELE2!$G$32/TELE2!$G$11</f>
        <v>0</v>
      </c>
      <c r="M639" s="45" t="str">
        <f>TELE2!$H$32</f>
        <v>nm</v>
      </c>
      <c r="N639" s="46"/>
      <c r="O639" s="45">
        <f>(TELE2!$D$31+TELE2!$D$32)/TELE2!$D$11</f>
        <v>4.9682747519226085E-2</v>
      </c>
      <c r="P639" s="45">
        <f>(TELE2!$E$31+TELE2!$E$32)/TELE2!$E$11</f>
        <v>5.2166884895187386E-2</v>
      </c>
      <c r="Q639" s="45">
        <f>(TELE2!$F$31+TELE2!$F$32)/TELE2!$F$11</f>
        <v>5.4775229139946757E-2</v>
      </c>
      <c r="R639" s="45">
        <f>(TELE2!$G$31+TELE2!$G$32)/TELE2!$G$11</f>
        <v>5.4775229139946757E-2</v>
      </c>
      <c r="S639" s="45">
        <f>TELE2!$H$46</f>
        <v>3.3061554146506911E-2</v>
      </c>
      <c r="T639" s="46"/>
      <c r="U639" s="48" t="str">
        <f t="shared" si="156"/>
        <v>SEK 117.7</v>
      </c>
      <c r="V639" s="44" t="str">
        <f t="shared" si="156"/>
        <v>Tele2</v>
      </c>
      <c r="X639" s="43"/>
      <c r="Y639" s="76"/>
      <c r="BF639" s="39"/>
      <c r="BG639" s="39"/>
      <c r="BH639" s="39"/>
      <c r="BI639" s="39"/>
      <c r="BJ639" s="39"/>
      <c r="BK639" s="39"/>
      <c r="BL639" s="39"/>
      <c r="BM639" s="39"/>
      <c r="BN639" s="39"/>
      <c r="BO639" s="39"/>
      <c r="BP639" s="39"/>
      <c r="BQ639" s="39"/>
      <c r="BR639" s="39"/>
      <c r="BS639" s="39"/>
      <c r="BT639" s="39"/>
      <c r="BU639" s="39"/>
      <c r="BV639" s="39"/>
      <c r="BW639" s="39"/>
      <c r="BX639" s="39"/>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row>
    <row r="640" spans="1:113">
      <c r="A640" s="41"/>
      <c r="C640" s="48" t="str">
        <f t="shared" si="155"/>
        <v>United Internet</v>
      </c>
      <c r="D640" s="44" t="str">
        <f t="shared" si="155"/>
        <v>EUR 19.1</v>
      </c>
      <c r="E640" s="44" t="str">
        <f t="shared" si="155"/>
        <v>EUR 28.0</v>
      </c>
      <c r="F640" s="45">
        <f t="shared" si="155"/>
        <v>0.46904512067156356</v>
      </c>
      <c r="G640" s="44" t="str">
        <f t="shared" si="155"/>
        <v>Buy</v>
      </c>
      <c r="H640" s="46"/>
      <c r="I640" s="45">
        <f>UTDI!$D$32/UTDI!$D$11</f>
        <v>0</v>
      </c>
      <c r="J640" s="45">
        <f>UTDI!$E$32/UTDI!$E$11</f>
        <v>0</v>
      </c>
      <c r="K640" s="45">
        <f>UTDI!$F$32/UTDI!$F$11</f>
        <v>0</v>
      </c>
      <c r="L640" s="45">
        <f>UTDI!$G$32/UTDI!$G$11</f>
        <v>0</v>
      </c>
      <c r="M640" s="45" t="str">
        <f>UTDI!$H$32</f>
        <v>nm</v>
      </c>
      <c r="N640" s="46"/>
      <c r="O640" s="45">
        <f>(UTDI!$D$31+UTDI!$D$32)/UTDI!$D$11</f>
        <v>2.6232948583420779E-2</v>
      </c>
      <c r="P640" s="45">
        <f>(UTDI!$E$31+UTDI!$E$32)/UTDI!$E$11</f>
        <v>2.6232948583420779E-2</v>
      </c>
      <c r="Q640" s="45">
        <f>(UTDI!$F$31+UTDI!$F$32)/UTDI!$F$11</f>
        <v>2.6232948583420779E-2</v>
      </c>
      <c r="R640" s="45">
        <f>(UTDI!$G$31+UTDI!$G$32)/UTDI!$G$11</f>
        <v>2.6232948583420779E-2</v>
      </c>
      <c r="S640" s="45">
        <f>UTDI!$H$46</f>
        <v>0</v>
      </c>
      <c r="T640" s="46"/>
      <c r="U640" s="48" t="str">
        <f t="shared" si="156"/>
        <v>EUR 19.1</v>
      </c>
      <c r="V640" s="44" t="str">
        <f t="shared" si="156"/>
        <v>United Internet</v>
      </c>
      <c r="X640" s="43"/>
      <c r="Y640" s="76"/>
      <c r="AF640" s="39"/>
      <c r="AG640" s="39"/>
      <c r="AH640" s="39"/>
      <c r="AI640" s="39"/>
      <c r="AJ640" s="39"/>
      <c r="AK640" s="39"/>
      <c r="AL640" s="39"/>
      <c r="AM640" s="39"/>
      <c r="AN640" s="39"/>
      <c r="AO640" s="39"/>
      <c r="AP640" s="39"/>
      <c r="AQ640" s="39"/>
      <c r="AR640" s="39"/>
      <c r="AS640" s="39"/>
      <c r="AT640" s="39"/>
      <c r="AU640" s="39"/>
      <c r="AV640" s="39"/>
      <c r="AW640" s="39"/>
      <c r="AX640" s="39"/>
      <c r="AY640" s="39"/>
      <c r="AZ640" s="39"/>
      <c r="BA640" s="39"/>
      <c r="BB640" s="39"/>
      <c r="BC640" s="39"/>
      <c r="BD640" s="39"/>
      <c r="BE640" s="39"/>
      <c r="BF640" s="39"/>
      <c r="BG640" s="39"/>
      <c r="BH640" s="39"/>
      <c r="BI640" s="39"/>
      <c r="BJ640" s="39"/>
      <c r="BK640" s="39"/>
      <c r="BL640" s="39"/>
      <c r="BM640" s="39"/>
      <c r="BN640" s="39"/>
      <c r="BO640" s="39"/>
      <c r="BP640" s="39"/>
      <c r="BQ640" s="39"/>
      <c r="BR640" s="39"/>
      <c r="BS640" s="39"/>
      <c r="BT640" s="39"/>
      <c r="BU640" s="39"/>
      <c r="BV640" s="39"/>
      <c r="BW640" s="39"/>
      <c r="BX640" s="39"/>
      <c r="BY640" s="39"/>
      <c r="BZ640" s="39"/>
      <c r="CA640" s="39"/>
      <c r="CB640" s="39"/>
      <c r="CC640" s="39"/>
      <c r="CD640" s="39"/>
      <c r="CE640" s="39"/>
      <c r="CF640" s="39"/>
      <c r="CG640" s="39"/>
      <c r="CH640" s="39"/>
      <c r="CI640" s="39"/>
      <c r="CJ640" s="39"/>
      <c r="CK640" s="39"/>
      <c r="CL640" s="39"/>
      <c r="CM640" s="39"/>
      <c r="CN640" s="39"/>
      <c r="CO640" s="39"/>
      <c r="CP640" s="39"/>
      <c r="CQ640" s="39"/>
      <c r="CR640" s="39"/>
      <c r="CS640" s="39"/>
      <c r="CT640" s="39"/>
      <c r="CU640" s="39"/>
      <c r="CV640" s="39"/>
      <c r="CW640" s="39"/>
      <c r="CX640" s="39"/>
      <c r="CY640" s="39"/>
      <c r="CZ640" s="39"/>
      <c r="DA640" s="39"/>
      <c r="DB640" s="39"/>
      <c r="DC640" s="39"/>
      <c r="DD640" s="39"/>
      <c r="DE640" s="39"/>
      <c r="DF640" s="39"/>
      <c r="DG640" s="39"/>
      <c r="DH640" s="39"/>
      <c r="DI640" s="39"/>
    </row>
    <row r="641" spans="1:113">
      <c r="C641" s="48" t="str">
        <f t="shared" si="155"/>
        <v>Vodafone</v>
      </c>
      <c r="D641" s="44" t="str">
        <f t="shared" si="155"/>
        <v>GBP 0.77</v>
      </c>
      <c r="E641" s="44" t="str">
        <f t="shared" si="155"/>
        <v>GBP 1.40</v>
      </c>
      <c r="F641" s="45">
        <f t="shared" si="155"/>
        <v>0.80785123966942152</v>
      </c>
      <c r="G641" s="44" t="str">
        <f t="shared" si="155"/>
        <v>Buy</v>
      </c>
      <c r="H641" s="46"/>
      <c r="I641" s="45">
        <f>VOD!$D$32/VOD!$D$11</f>
        <v>0</v>
      </c>
      <c r="J641" s="45">
        <f>VOD!$E$32/VOD!$E$11</f>
        <v>0</v>
      </c>
      <c r="K641" s="45">
        <f>VOD!$F$32/VOD!$F$11</f>
        <v>0</v>
      </c>
      <c r="L641" s="45">
        <f>VOD!$G$32/VOD!$G$11</f>
        <v>0</v>
      </c>
      <c r="M641" s="45" t="str">
        <f>VOD!$H$32</f>
        <v>nm</v>
      </c>
      <c r="N641" s="46"/>
      <c r="O641" s="45">
        <f>(VOD!$D$31+VOD!$D$32)/VOD!$D$11</f>
        <v>0.10030546487603306</v>
      </c>
      <c r="P641" s="45">
        <f>(VOD!$E$31+VOD!$E$32)/VOD!$E$11</f>
        <v>4.9564680962680796E-2</v>
      </c>
      <c r="Q641" s="45">
        <f>(VOD!$F$31+VOD!$F$32)/VOD!$F$11</f>
        <v>4.9560849367252066E-2</v>
      </c>
      <c r="R641" s="45">
        <f>(VOD!$G$31+VOD!$G$32)/VOD!$G$11</f>
        <v>4.9560849367252066E-2</v>
      </c>
      <c r="S641" s="45">
        <f>VOD!$H$46</f>
        <v>-0.25621181116765468</v>
      </c>
      <c r="T641" s="46"/>
      <c r="U641" s="48" t="str">
        <f>U581</f>
        <v>GBP 0.77</v>
      </c>
      <c r="V641" s="44" t="s">
        <v>276</v>
      </c>
      <c r="BF641" s="39"/>
      <c r="BG641" s="39"/>
      <c r="BH641" s="39"/>
      <c r="BI641" s="39"/>
      <c r="BJ641" s="39"/>
      <c r="BK641" s="39"/>
      <c r="BL641" s="39"/>
      <c r="BM641" s="39"/>
      <c r="BN641" s="39"/>
      <c r="BO641" s="39"/>
      <c r="BP641" s="39"/>
      <c r="BQ641" s="39"/>
      <c r="BR641" s="39"/>
      <c r="BS641" s="39"/>
      <c r="BT641" s="39"/>
      <c r="BU641" s="39"/>
      <c r="BV641" s="39"/>
      <c r="BW641" s="39"/>
      <c r="BX641" s="39"/>
      <c r="BY641" s="39"/>
      <c r="BZ641" s="39"/>
      <c r="CA641" s="39"/>
      <c r="CB641" s="39"/>
      <c r="CC641" s="39"/>
      <c r="CD641" s="39"/>
      <c r="CE641" s="39"/>
      <c r="CF641" s="39"/>
      <c r="CG641" s="39"/>
      <c r="CH641" s="39"/>
      <c r="CI641" s="39"/>
      <c r="CJ641" s="39"/>
      <c r="CK641" s="39"/>
      <c r="CL641" s="39"/>
      <c r="CM641" s="39"/>
      <c r="CN641" s="39"/>
      <c r="CO641" s="39"/>
      <c r="CP641" s="39"/>
      <c r="CQ641" s="39"/>
      <c r="CR641" s="39"/>
      <c r="CS641" s="39"/>
      <c r="CT641" s="39"/>
      <c r="CU641" s="39"/>
      <c r="CV641" s="39"/>
      <c r="CW641" s="39"/>
      <c r="CX641" s="39"/>
      <c r="CY641" s="39"/>
      <c r="CZ641" s="39"/>
      <c r="DA641" s="39"/>
      <c r="DB641" s="39"/>
      <c r="DC641" s="39"/>
      <c r="DD641" s="39"/>
      <c r="DE641" s="39"/>
      <c r="DF641" s="39"/>
      <c r="DG641" s="39"/>
      <c r="DH641" s="39"/>
      <c r="DI641" s="39"/>
    </row>
    <row r="642" spans="1:113">
      <c r="C642" s="51" t="str">
        <f>C582</f>
        <v>Agg. W. Europe Other</v>
      </c>
      <c r="D642" s="52"/>
      <c r="E642" s="52"/>
      <c r="F642" s="53"/>
      <c r="G642" s="52"/>
      <c r="H642" s="46"/>
      <c r="I642" s="55">
        <f>'W.EUR OTHER'!$D$32/'W.EUR OTHER'!$D$11</f>
        <v>0</v>
      </c>
      <c r="J642" s="55">
        <f>'W.EUR OTHER'!$E$32/'W.EUR OTHER'!$E$11</f>
        <v>0</v>
      </c>
      <c r="K642" s="55">
        <f>'W.EUR OTHER'!$F$32/'W.EUR OTHER'!$F$11</f>
        <v>0</v>
      </c>
      <c r="L642" s="55">
        <f>'W.EUR OTHER'!$G$32/'W.EUR OTHER'!$G$11</f>
        <v>0</v>
      </c>
      <c r="M642" s="55" t="str">
        <f>'W.EUR OTHER'!$H$32</f>
        <v>nm</v>
      </c>
      <c r="N642" s="56"/>
      <c r="O642" s="55">
        <f>('W.EUR OTHER'!$D$31+'W.EUR OTHER'!$D$32)/'W.EUR OTHER'!$D$11</f>
        <v>6.6143118778113894E-2</v>
      </c>
      <c r="P642" s="55">
        <f>('W.EUR OTHER'!$E$31+'W.EUR OTHER'!$E$32)/'W.EUR OTHER'!$E$11</f>
        <v>4.3051326641435336E-2</v>
      </c>
      <c r="Q642" s="55">
        <f>('W.EUR OTHER'!$F$31+'W.EUR OTHER'!$F$32)/'W.EUR OTHER'!$F$11</f>
        <v>4.4102284782265591E-2</v>
      </c>
      <c r="R642" s="55">
        <f>('W.EUR OTHER'!$G$31+'W.EUR OTHER'!$G$32)/'W.EUR OTHER'!$G$11</f>
        <v>4.5021641876791196E-2</v>
      </c>
      <c r="S642" s="55">
        <f>'W.EUR OTHER'!$H$46</f>
        <v>-0.15462913486104612</v>
      </c>
      <c r="T642" s="46"/>
      <c r="U642" s="57"/>
      <c r="V642" s="58" t="str">
        <f>V582</f>
        <v>Agg. W. Europe Other</v>
      </c>
      <c r="BF642" s="39"/>
      <c r="BG642" s="39"/>
      <c r="BH642" s="39"/>
      <c r="BI642" s="39"/>
      <c r="BJ642" s="39"/>
      <c r="BK642" s="39"/>
      <c r="BL642" s="39"/>
      <c r="BM642" s="39"/>
      <c r="BN642" s="39"/>
      <c r="BO642" s="39"/>
      <c r="BP642" s="39"/>
      <c r="BQ642" s="39"/>
      <c r="BR642" s="39"/>
      <c r="BS642" s="39"/>
      <c r="BT642" s="39"/>
      <c r="BU642" s="39"/>
      <c r="BV642" s="39"/>
      <c r="BW642" s="39"/>
      <c r="BX642" s="39"/>
      <c r="BY642" s="39"/>
      <c r="BZ642" s="39"/>
      <c r="CA642" s="39"/>
      <c r="CB642" s="39"/>
      <c r="CC642" s="39"/>
      <c r="CD642" s="39"/>
      <c r="CE642" s="39"/>
      <c r="CF642" s="39"/>
      <c r="CG642" s="39"/>
      <c r="CH642" s="39"/>
      <c r="CI642" s="39"/>
      <c r="CJ642" s="39"/>
      <c r="CK642" s="39"/>
      <c r="CL642" s="39"/>
      <c r="CM642" s="39"/>
      <c r="CN642" s="39"/>
      <c r="CO642" s="39"/>
      <c r="CP642" s="39"/>
      <c r="CQ642" s="39"/>
      <c r="CR642" s="39"/>
      <c r="CS642" s="39"/>
      <c r="CT642" s="39"/>
      <c r="CU642" s="39"/>
      <c r="CV642" s="39"/>
      <c r="CW642" s="39"/>
      <c r="CX642" s="39"/>
      <c r="CY642" s="39"/>
      <c r="CZ642" s="39"/>
      <c r="DA642" s="39"/>
      <c r="DB642" s="39"/>
      <c r="DC642" s="39"/>
      <c r="DD642" s="39"/>
      <c r="DE642" s="39"/>
      <c r="DF642" s="39"/>
      <c r="DG642" s="39"/>
      <c r="DH642" s="39"/>
      <c r="DI642" s="39"/>
    </row>
    <row r="643" spans="1:113">
      <c r="C643" s="48"/>
      <c r="D643" s="44"/>
      <c r="E643" s="44"/>
      <c r="F643" s="45"/>
      <c r="G643" s="44"/>
      <c r="H643" s="46"/>
      <c r="I643" s="45"/>
      <c r="J643" s="45"/>
      <c r="K643" s="45"/>
      <c r="L643" s="45"/>
      <c r="M643" s="45"/>
      <c r="N643" s="46"/>
      <c r="O643" s="45"/>
      <c r="P643" s="45"/>
      <c r="Q643" s="45"/>
      <c r="R643" s="45"/>
      <c r="S643" s="45"/>
      <c r="T643" s="46"/>
      <c r="U643" s="48"/>
      <c r="V643" s="44"/>
      <c r="X643" s="43"/>
      <c r="Y643" s="76"/>
      <c r="BF643" s="39"/>
      <c r="BG643" s="39"/>
      <c r="BH643" s="39"/>
      <c r="BI643" s="39"/>
      <c r="BJ643" s="39"/>
      <c r="BK643" s="39"/>
      <c r="BL643" s="39"/>
      <c r="BM643" s="39"/>
      <c r="BN643" s="39"/>
      <c r="BO643" s="39"/>
      <c r="BP643" s="39"/>
      <c r="BQ643" s="39"/>
      <c r="BR643" s="39"/>
      <c r="BS643" s="39"/>
      <c r="BT643" s="39"/>
      <c r="BU643" s="39"/>
      <c r="BV643" s="39"/>
      <c r="BW643" s="39"/>
      <c r="BX643" s="39"/>
      <c r="BY643" s="39"/>
      <c r="BZ643" s="39"/>
      <c r="CA643" s="39"/>
      <c r="CB643" s="39"/>
      <c r="CC643" s="39"/>
      <c r="CD643" s="39"/>
      <c r="CE643" s="39"/>
      <c r="CF643" s="39"/>
      <c r="CG643" s="39"/>
      <c r="CH643" s="39"/>
      <c r="CI643" s="39"/>
      <c r="CJ643" s="39"/>
      <c r="CK643" s="39"/>
      <c r="CL643" s="39"/>
      <c r="CM643" s="39"/>
      <c r="CN643" s="39"/>
      <c r="CO643" s="39"/>
      <c r="CP643" s="39"/>
      <c r="CQ643" s="39"/>
      <c r="CR643" s="39"/>
      <c r="CS643" s="39"/>
      <c r="CT643" s="39"/>
      <c r="CU643" s="39"/>
      <c r="CV643" s="39"/>
      <c r="CW643" s="39"/>
      <c r="CX643" s="39"/>
      <c r="CY643" s="39"/>
      <c r="CZ643" s="39"/>
      <c r="DA643" s="39"/>
      <c r="DB643" s="39"/>
      <c r="DC643" s="39"/>
      <c r="DD643" s="39"/>
      <c r="DE643" s="39"/>
      <c r="DF643" s="39"/>
      <c r="DG643" s="39"/>
      <c r="DH643" s="39"/>
      <c r="DI643" s="39"/>
    </row>
    <row r="644" spans="1:113">
      <c r="A644" s="41"/>
      <c r="B644" s="42" t="s">
        <v>551</v>
      </c>
      <c r="C644" s="48" t="str">
        <f t="shared" ref="C644:G649" si="157">C584</f>
        <v>HKBN</v>
      </c>
      <c r="D644" s="44" t="str">
        <f t="shared" si="157"/>
        <v>HKD 3</v>
      </c>
      <c r="E644" s="44" t="str">
        <f t="shared" si="157"/>
        <v>HKD 16</v>
      </c>
      <c r="F644" s="45">
        <f t="shared" si="157"/>
        <v>4.9925093632958806</v>
      </c>
      <c r="G644" s="44" t="str">
        <f t="shared" si="157"/>
        <v>Buy</v>
      </c>
      <c r="H644" s="46"/>
      <c r="I644" s="45">
        <f>HKBN!$D$32/HKBN!$D$11</f>
        <v>0</v>
      </c>
      <c r="J644" s="45">
        <f>HKBN!$E$32/HKBN!$E$11</f>
        <v>0</v>
      </c>
      <c r="K644" s="45">
        <f>HKBN!$F$32/HKBN!$F$11</f>
        <v>0</v>
      </c>
      <c r="L644" s="45">
        <f>HKBN!$G$32/HKBN!$G$11</f>
        <v>0</v>
      </c>
      <c r="M644" s="45" t="str">
        <f>HKBN!$H$32</f>
        <v>nm</v>
      </c>
      <c r="N644" s="46"/>
      <c r="O644" s="45">
        <f>(HKBN!$D$31+HKBN!$D$32)/HKBN!$D$11</f>
        <v>0.37689275980445741</v>
      </c>
      <c r="P644" s="45">
        <f>(HKBN!$E$31+HKBN!$E$32)/HKBN!$E$11</f>
        <v>0.40543821668265395</v>
      </c>
      <c r="Q644" s="45">
        <f>(HKBN!$F$31+HKBN!$F$32)/HKBN!$F$11</f>
        <v>0.42322488607772663</v>
      </c>
      <c r="R644" s="45">
        <f>(HKBN!$G$31+HKBN!$G$32)/HKBN!$G$11</f>
        <v>0.45216090062754133</v>
      </c>
      <c r="S644" s="45">
        <f>HKBN!$H$46</f>
        <v>6.2572087987454283E-2</v>
      </c>
      <c r="T644" s="46"/>
      <c r="U644" s="48" t="str">
        <f t="shared" ref="U644:V649" si="158">U584</f>
        <v>HKD 3</v>
      </c>
      <c r="V644" s="69" t="str">
        <f t="shared" si="158"/>
        <v>HKBN</v>
      </c>
      <c r="X644" s="43"/>
      <c r="Y644" s="76"/>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c r="CR644" s="39"/>
      <c r="CS644" s="39"/>
      <c r="CT644" s="39"/>
      <c r="CU644" s="39"/>
      <c r="CV644" s="39"/>
      <c r="CW644" s="39"/>
      <c r="CX644" s="39"/>
      <c r="CY644" s="39"/>
      <c r="CZ644" s="39"/>
      <c r="DA644" s="39"/>
      <c r="DB644" s="39"/>
      <c r="DC644" s="39"/>
      <c r="DD644" s="39"/>
      <c r="DE644" s="39"/>
      <c r="DF644" s="39"/>
      <c r="DG644" s="39"/>
      <c r="DH644" s="39"/>
      <c r="DI644" s="39"/>
    </row>
    <row r="645" spans="1:113">
      <c r="C645" s="48" t="str">
        <f t="shared" si="157"/>
        <v>KDDI</v>
      </c>
      <c r="D645" s="44" t="str">
        <f t="shared" si="157"/>
        <v>JPY 4,851</v>
      </c>
      <c r="E645" s="44" t="str">
        <f t="shared" si="157"/>
        <v>JPY 6,600</v>
      </c>
      <c r="F645" s="45">
        <f t="shared" si="157"/>
        <v>0.36054421768707479</v>
      </c>
      <c r="G645" s="44" t="str">
        <f t="shared" si="157"/>
        <v>Buy</v>
      </c>
      <c r="H645" s="46"/>
      <c r="I645" s="45">
        <f>KDDI!$D$32/KDDI!$D$11</f>
        <v>1.7819991583210751E-2</v>
      </c>
      <c r="J645" s="45">
        <f>KDDI!$E$32/KDDI!$E$11</f>
        <v>-1.5341164687346229E-2</v>
      </c>
      <c r="K645" s="45">
        <f>KDDI!$F$32/KDDI!$F$11</f>
        <v>1.5865939375364881E-2</v>
      </c>
      <c r="L645" s="45">
        <f>KDDI!$G$32/KDDI!$G$11</f>
        <v>1.6331481389599885E-2</v>
      </c>
      <c r="M645" s="45">
        <f>KDDI!$H$32</f>
        <v>-5.8963971118971448E-2</v>
      </c>
      <c r="N645" s="46"/>
      <c r="O645" s="45">
        <f>(KDDI!$D$31+KDDI!$D$32)/KDDI!$D$11</f>
        <v>4.6680020443239607E-2</v>
      </c>
      <c r="P645" s="45">
        <f>(KDDI!$E$31+KDDI!$E$32)/KDDI!$E$11</f>
        <v>1.454957948911223E-2</v>
      </c>
      <c r="Q645" s="45">
        <f>(KDDI!$F$31+KDDI!$F$32)/KDDI!$F$11</f>
        <v>4.6787398868252943E-2</v>
      </c>
      <c r="R645" s="45">
        <f>(KDDI!$G$31+KDDI!$G$32)/KDDI!$G$11</f>
        <v>4.8283656198917557E-2</v>
      </c>
      <c r="S645" s="45">
        <f>KDDI!$H$46</f>
        <v>-2.0231979950025791E-2</v>
      </c>
      <c r="T645" s="46"/>
      <c r="U645" s="48" t="str">
        <f t="shared" si="158"/>
        <v>JPY 4,851</v>
      </c>
      <c r="V645" s="44" t="str">
        <f t="shared" si="158"/>
        <v>KDDI</v>
      </c>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row>
    <row r="646" spans="1:113">
      <c r="A646" s="41"/>
      <c r="C646" s="48" t="str">
        <f t="shared" si="157"/>
        <v>Macquarie Telecom</v>
      </c>
      <c r="D646" s="44" t="str">
        <f t="shared" si="157"/>
        <v>AUD 76.51</v>
      </c>
      <c r="E646" s="44" t="str">
        <f t="shared" si="157"/>
        <v>AUD 28.00</v>
      </c>
      <c r="F646" s="45">
        <f t="shared" si="157"/>
        <v>-0.63403476669716374</v>
      </c>
      <c r="G646" s="44" t="str">
        <f t="shared" si="157"/>
        <v>Neutral</v>
      </c>
      <c r="H646" s="46"/>
      <c r="I646" s="45">
        <f>MAQ!$D$32/MAQ!$D$11</f>
        <v>0</v>
      </c>
      <c r="J646" s="45">
        <f>MAQ!$E$32/MAQ!$E$11</f>
        <v>0</v>
      </c>
      <c r="K646" s="45">
        <f>MAQ!$F$32/MAQ!$F$11</f>
        <v>0</v>
      </c>
      <c r="L646" s="45">
        <f>MAQ!$G$32/MAQ!$G$11</f>
        <v>0</v>
      </c>
      <c r="M646" s="45" t="str">
        <f>MAQ!$H$32</f>
        <v>nm</v>
      </c>
      <c r="N646" s="46"/>
      <c r="O646" s="45">
        <f>(MAQ!$D$31+MAQ!$D$32)/MAQ!$D$11</f>
        <v>0</v>
      </c>
      <c r="P646" s="45">
        <f>(MAQ!$E$31+MAQ!$E$32)/MAQ!$E$11</f>
        <v>3.2675467259181807E-3</v>
      </c>
      <c r="Q646" s="45">
        <f>(MAQ!$F$31+MAQ!$F$32)/MAQ!$F$11</f>
        <v>6.5350934518363622E-3</v>
      </c>
      <c r="R646" s="45">
        <f>(MAQ!$G$31+MAQ!$G$32)/MAQ!$G$11</f>
        <v>7.1886027970199965E-3</v>
      </c>
      <c r="S646" s="45" t="e">
        <f>MAQ!$H$46</f>
        <v>#DIV/0!</v>
      </c>
      <c r="T646" s="46"/>
      <c r="U646" s="48" t="str">
        <f t="shared" si="158"/>
        <v>AUD 76.51</v>
      </c>
      <c r="V646" s="69" t="str">
        <f t="shared" si="158"/>
        <v>Macquarie Telecom</v>
      </c>
      <c r="X646" s="43"/>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c r="CR646" s="39"/>
      <c r="CS646" s="39"/>
      <c r="CT646" s="39"/>
      <c r="CU646" s="39"/>
      <c r="CV646" s="39"/>
      <c r="CW646" s="39"/>
      <c r="CX646" s="39"/>
      <c r="CY646" s="39"/>
      <c r="CZ646" s="39"/>
      <c r="DA646" s="39"/>
      <c r="DB646" s="39"/>
      <c r="DC646" s="39"/>
      <c r="DD646" s="39"/>
      <c r="DE646" s="39"/>
      <c r="DF646" s="39"/>
      <c r="DG646" s="39"/>
      <c r="DH646" s="39"/>
      <c r="DI646" s="39"/>
    </row>
    <row r="647" spans="1:113">
      <c r="C647" s="48" t="str">
        <f t="shared" si="157"/>
        <v>Rakuten</v>
      </c>
      <c r="D647" s="44" t="str">
        <f t="shared" si="157"/>
        <v>JPY 946</v>
      </c>
      <c r="E647" s="44" t="str">
        <f t="shared" si="157"/>
        <v>JPY 400</v>
      </c>
      <c r="F647" s="45">
        <f t="shared" si="157"/>
        <v>-0.57734573119188504</v>
      </c>
      <c r="G647" s="44" t="str">
        <f t="shared" si="157"/>
        <v>Reduce</v>
      </c>
      <c r="H647" s="46"/>
      <c r="I647" s="45">
        <f>RAK!$D$32/RAK!$D$11</f>
        <v>0</v>
      </c>
      <c r="J647" s="45">
        <f>RAK!$E$32/RAK!$E$11</f>
        <v>0</v>
      </c>
      <c r="K647" s="45">
        <f>RAK!$F$32/RAK!$F$11</f>
        <v>0</v>
      </c>
      <c r="L647" s="45">
        <f>RAK!$G$32/RAK!$G$11</f>
        <v>-0.27277824344728024</v>
      </c>
      <c r="M647" s="45" t="str">
        <f>RAK!$H$32</f>
        <v>nm</v>
      </c>
      <c r="N647" s="46"/>
      <c r="O647" s="45">
        <f>(RAK!$D$31+RAK!$D$32)/RAK!$D$11</f>
        <v>0</v>
      </c>
      <c r="P647" s="45">
        <f>(RAK!$E$31+RAK!$E$32)/RAK!$E$11</f>
        <v>0</v>
      </c>
      <c r="Q647" s="45">
        <f>(RAK!$F$31+RAK!$F$32)/RAK!$F$11</f>
        <v>0</v>
      </c>
      <c r="R647" s="45">
        <f>(RAK!$G$31+RAK!$G$32)/RAK!$G$11</f>
        <v>-0.27277824344728024</v>
      </c>
      <c r="S647" s="45" t="e">
        <f>RAK!$H$46</f>
        <v>#DIV/0!</v>
      </c>
      <c r="T647" s="46"/>
      <c r="U647" s="48" t="str">
        <f t="shared" si="158"/>
        <v>JPY 946</v>
      </c>
      <c r="V647" s="44" t="str">
        <f t="shared" si="158"/>
        <v>Rakuten</v>
      </c>
      <c r="X647" s="43"/>
      <c r="Y647" s="76"/>
      <c r="AC647" s="63"/>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c r="BZ647" s="39"/>
      <c r="CA647" s="39"/>
      <c r="CB647" s="39"/>
      <c r="CC647" s="39"/>
      <c r="CD647" s="39"/>
      <c r="CE647" s="39"/>
      <c r="CF647" s="39"/>
      <c r="CG647" s="39"/>
      <c r="CH647" s="39"/>
      <c r="CI647" s="39"/>
      <c r="CJ647" s="39"/>
      <c r="CK647" s="39"/>
      <c r="CL647" s="39"/>
      <c r="CM647" s="39"/>
      <c r="CN647" s="39"/>
      <c r="CO647" s="39"/>
      <c r="CP647" s="39"/>
      <c r="CQ647" s="39"/>
      <c r="CR647" s="39"/>
      <c r="CS647" s="39"/>
      <c r="CT647" s="39"/>
      <c r="CU647" s="39"/>
      <c r="CV647" s="39"/>
      <c r="CW647" s="39"/>
      <c r="CX647" s="39"/>
      <c r="CY647" s="39"/>
      <c r="CZ647" s="39"/>
      <c r="DA647" s="39"/>
      <c r="DB647" s="39"/>
      <c r="DC647" s="39"/>
      <c r="DD647" s="39"/>
      <c r="DE647" s="39"/>
      <c r="DF647" s="39"/>
      <c r="DG647" s="39"/>
      <c r="DH647" s="39"/>
      <c r="DI647" s="39"/>
    </row>
    <row r="648" spans="1:113">
      <c r="C648" s="48" t="str">
        <f t="shared" si="157"/>
        <v>SoftBank KK (Corp)</v>
      </c>
      <c r="D648" s="44" t="str">
        <f t="shared" si="157"/>
        <v>JPY 1,996</v>
      </c>
      <c r="E648" s="44" t="str">
        <f t="shared" si="157"/>
        <v>JPY 2,700</v>
      </c>
      <c r="F648" s="45">
        <f t="shared" si="157"/>
        <v>0.35270541082164319</v>
      </c>
      <c r="G648" s="44" t="str">
        <f t="shared" si="157"/>
        <v>Buy</v>
      </c>
      <c r="H648" s="46"/>
      <c r="I648" s="45">
        <f>SBKK!$D$32/SBKK!$D$11</f>
        <v>0</v>
      </c>
      <c r="J648" s="45">
        <f>SBKK!$E$32/SBKK!$E$11</f>
        <v>5.5827027709427601E-2</v>
      </c>
      <c r="K648" s="45">
        <f>SBKK!$F$32/SBKK!$F$11</f>
        <v>7.1017121114151701E-3</v>
      </c>
      <c r="L648" s="45">
        <f>SBKK!$G$32/SBKK!$G$11</f>
        <v>0</v>
      </c>
      <c r="M648" s="45" t="str">
        <f>SBKK!$H$32</f>
        <v>nm</v>
      </c>
      <c r="N648" s="46"/>
      <c r="O648" s="45">
        <f>(SBKK!$D$31+SBKK!$D$32)/SBKK!$D$11</f>
        <v>4.3086172344689394E-2</v>
      </c>
      <c r="P648" s="45">
        <f>(SBKK!$E$31+SBKK!$E$32)/SBKK!$E$11</f>
        <v>9.9915204062133015E-2</v>
      </c>
      <c r="Q648" s="45">
        <f>(SBKK!$F$31+SBKK!$F$32)/SBKK!$F$11</f>
        <v>5.813572181758906E-2</v>
      </c>
      <c r="R648" s="45">
        <f>(SBKK!$G$31+SBKK!$G$32)/SBKK!$G$11</f>
        <v>5.3999545637888668E-2</v>
      </c>
      <c r="S648" s="45">
        <f>SBKK!$H$46</f>
        <v>7.7755649786392045E-2</v>
      </c>
      <c r="T648" s="46"/>
      <c r="U648" s="48" t="str">
        <f t="shared" si="158"/>
        <v>JPY 1,996</v>
      </c>
      <c r="V648" s="44" t="str">
        <f t="shared" si="158"/>
        <v>SoftBank KK (Corp)</v>
      </c>
      <c r="X648" s="43"/>
      <c r="Y648" s="76"/>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c r="CR648" s="39"/>
      <c r="CS648" s="39"/>
      <c r="CT648" s="39"/>
      <c r="CU648" s="39"/>
      <c r="CV648" s="39"/>
      <c r="CW648" s="39"/>
      <c r="CX648" s="39"/>
      <c r="CY648" s="39"/>
      <c r="CZ648" s="39"/>
      <c r="DA648" s="39"/>
      <c r="DB648" s="39"/>
      <c r="DC648" s="39"/>
      <c r="DD648" s="39"/>
      <c r="DE648" s="39"/>
      <c r="DF648" s="39"/>
      <c r="DG648" s="39"/>
      <c r="DH648" s="39"/>
      <c r="DI648" s="39"/>
    </row>
    <row r="649" spans="1:113">
      <c r="A649" s="41"/>
      <c r="C649" s="48" t="str">
        <f t="shared" si="157"/>
        <v>TPG</v>
      </c>
      <c r="D649" s="44" t="str">
        <f t="shared" si="157"/>
        <v>AUD 4.99</v>
      </c>
      <c r="E649" s="44" t="str">
        <f t="shared" si="157"/>
        <v>AUD 7.50</v>
      </c>
      <c r="F649" s="45">
        <f t="shared" si="157"/>
        <v>0.50300601202404804</v>
      </c>
      <c r="G649" s="44" t="str">
        <f t="shared" si="157"/>
        <v>Neutral</v>
      </c>
      <c r="H649" s="46"/>
      <c r="I649" s="45">
        <f>TPG!$D$32/TPG!$D$11</f>
        <v>2.8469834625470879E-3</v>
      </c>
      <c r="J649" s="45">
        <f>TPG!$E$32/TPG!$E$11</f>
        <v>2.9323929664235118E-3</v>
      </c>
      <c r="K649" s="45">
        <f>TPG!$F$32/TPG!$F$11</f>
        <v>3.0203647554162111E-3</v>
      </c>
      <c r="L649" s="45">
        <f>TPG!$G$32/TPG!$G$11</f>
        <v>3.1109756980787166E-3</v>
      </c>
      <c r="M649" s="45">
        <f>TPG!$H$32</f>
        <v>3.2575000000002907E-2</v>
      </c>
      <c r="N649" s="46"/>
      <c r="O649" s="45">
        <f>(TPG!$D$31+TPG!$D$32)/TPG!$D$11</f>
        <v>2.4891071638899791E-2</v>
      </c>
      <c r="P649" s="45">
        <f>(TPG!$E$31+TPG!$E$32)/TPG!$E$11</f>
        <v>2.6980489158808279E-2</v>
      </c>
      <c r="Q649" s="45">
        <f>(TPG!$F$31+TPG!$F$32)/TPG!$F$11</f>
        <v>2.9072468963833045E-2</v>
      </c>
      <c r="R649" s="45">
        <f>(TPG!$G$31+TPG!$G$32)/TPG!$G$11</f>
        <v>3.1167087922527609E-2</v>
      </c>
      <c r="S649" s="45">
        <f>TPG!$H$46</f>
        <v>8.0526091874885797E-2</v>
      </c>
      <c r="T649" s="46"/>
      <c r="U649" s="48" t="str">
        <f t="shared" si="158"/>
        <v>AUD 4.99</v>
      </c>
      <c r="V649" s="44" t="str">
        <f t="shared" si="158"/>
        <v>TPG</v>
      </c>
      <c r="BF649" s="39"/>
      <c r="BG649" s="39"/>
      <c r="BH649" s="39"/>
      <c r="BI649" s="39"/>
      <c r="BJ649" s="39"/>
      <c r="BK649" s="39"/>
      <c r="BL649" s="39"/>
      <c r="BM649" s="39"/>
      <c r="BN649" s="39"/>
      <c r="BO649" s="39"/>
      <c r="BP649" s="39"/>
      <c r="BQ649" s="39"/>
      <c r="BR649" s="39"/>
      <c r="BS649" s="39"/>
      <c r="BT649" s="39"/>
      <c r="BU649" s="39"/>
      <c r="BV649" s="39"/>
      <c r="BW649" s="39"/>
      <c r="BX649" s="39"/>
      <c r="BY649" s="39"/>
      <c r="BZ649" s="39"/>
      <c r="CA649" s="39"/>
      <c r="CB649" s="39"/>
      <c r="CC649" s="39"/>
      <c r="CD649" s="39"/>
      <c r="CE649" s="39"/>
      <c r="CF649" s="39"/>
      <c r="CG649" s="39"/>
      <c r="CH649" s="39"/>
      <c r="CI649" s="39"/>
      <c r="CJ649" s="39"/>
      <c r="CK649" s="39"/>
      <c r="CL649" s="39"/>
      <c r="CM649" s="39"/>
      <c r="CN649" s="39"/>
      <c r="CO649" s="39"/>
      <c r="CP649" s="39"/>
      <c r="CQ649" s="39"/>
      <c r="CR649" s="39"/>
      <c r="CS649" s="39"/>
      <c r="CT649" s="39"/>
      <c r="CU649" s="39"/>
      <c r="CV649" s="39"/>
      <c r="CW649" s="39"/>
      <c r="CX649" s="39"/>
      <c r="CY649" s="39"/>
      <c r="CZ649" s="39"/>
      <c r="DA649" s="39"/>
      <c r="DB649" s="39"/>
      <c r="DC649" s="39"/>
      <c r="DD649" s="39"/>
      <c r="DE649" s="39"/>
      <c r="DF649" s="39"/>
      <c r="DG649" s="39"/>
      <c r="DH649" s="39"/>
      <c r="DI649" s="39"/>
    </row>
    <row r="650" spans="1:113">
      <c r="C650" s="51" t="str">
        <f>C590</f>
        <v>Agg. Developed Asia Other</v>
      </c>
      <c r="D650" s="52"/>
      <c r="E650" s="52"/>
      <c r="F650" s="53"/>
      <c r="G650" s="52"/>
      <c r="H650" s="46"/>
      <c r="I650" s="55">
        <f>'DM ASIA OTHER'!$D$32/'DM ASIA OTHER'!$D$11</f>
        <v>8.2056197836340994E-3</v>
      </c>
      <c r="J650" s="55">
        <f>'DM ASIA OTHER'!$E$32/'DM ASIA OTHER'!$E$11</f>
        <v>1.7307411958483711E-2</v>
      </c>
      <c r="K650" s="55">
        <f>'DM ASIA OTHER'!$F$32/'DM ASIA OTHER'!$F$11</f>
        <v>1.0171513099613701E-2</v>
      </c>
      <c r="L650" s="55">
        <f>'DM ASIA OTHER'!$G$32/'DM ASIA OTHER'!$G$11</f>
        <v>-1.8763583643178521E-2</v>
      </c>
      <c r="M650" s="55">
        <f>'DM ASIA OTHER'!$H$32</f>
        <v>-2.299040518342685</v>
      </c>
      <c r="N650" s="56"/>
      <c r="O650" s="55">
        <f>('DM ASIA OTHER'!$D$31+'DM ASIA OTHER'!$D$32)/'DM ASIA OTHER'!$D$11</f>
        <v>4.1750171981953008E-2</v>
      </c>
      <c r="P650" s="55">
        <f>('DM ASIA OTHER'!$E$31+'DM ASIA OTHER'!$E$32)/'DM ASIA OTHER'!$E$11</f>
        <v>5.1990072118846764E-2</v>
      </c>
      <c r="Q650" s="55">
        <f>('DM ASIA OTHER'!$F$31+'DM ASIA OTHER'!$F$32)/'DM ASIA OTHER'!$F$11</f>
        <v>4.8553615947090789E-2</v>
      </c>
      <c r="R650" s="55">
        <f>('DM ASIA OTHER'!$G$31+'DM ASIA OTHER'!$G$32)/'DM ASIA OTHER'!$G$11</f>
        <v>2.164855703554814E-2</v>
      </c>
      <c r="S650" s="55">
        <f>'DM ASIA OTHER'!H$46</f>
        <v>-0.20784264331366598</v>
      </c>
      <c r="T650" s="46"/>
      <c r="U650" s="57"/>
      <c r="V650" s="58" t="str">
        <f>V590</f>
        <v>Agg. Developed Asia Cellular</v>
      </c>
      <c r="X650" s="43"/>
      <c r="Y650" s="76"/>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c r="BZ650" s="39"/>
      <c r="CA650" s="39"/>
      <c r="CB650" s="39"/>
      <c r="CC650" s="39"/>
      <c r="CD650" s="39"/>
      <c r="CE650" s="39"/>
      <c r="CF650" s="39"/>
      <c r="CG650" s="39"/>
      <c r="CH650" s="39"/>
      <c r="CI650" s="39"/>
      <c r="CJ650" s="39"/>
      <c r="CK650" s="39"/>
      <c r="CL650" s="39"/>
      <c r="CM650" s="39"/>
      <c r="CN650" s="39"/>
      <c r="CO650" s="39"/>
      <c r="CP650" s="39"/>
      <c r="CQ650" s="39"/>
      <c r="CR650" s="39"/>
      <c r="CS650" s="39"/>
      <c r="CT650" s="39"/>
      <c r="CU650" s="39"/>
      <c r="CV650" s="39"/>
      <c r="CW650" s="39"/>
      <c r="CX650" s="39"/>
      <c r="CY650" s="39"/>
      <c r="CZ650" s="39"/>
      <c r="DA650" s="39"/>
      <c r="DB650" s="39"/>
      <c r="DC650" s="39"/>
      <c r="DD650" s="39"/>
      <c r="DE650" s="39"/>
      <c r="DF650" s="39"/>
      <c r="DG650" s="39"/>
      <c r="DH650" s="39"/>
      <c r="DI650" s="39"/>
    </row>
    <row r="651" spans="1:113">
      <c r="A651" s="41"/>
      <c r="C651" s="48"/>
      <c r="D651" s="44"/>
      <c r="E651" s="44"/>
      <c r="F651" s="45"/>
      <c r="G651" s="44"/>
      <c r="H651" s="46"/>
      <c r="I651" s="45"/>
      <c r="J651" s="45"/>
      <c r="K651" s="45"/>
      <c r="L651" s="45"/>
      <c r="M651" s="45"/>
      <c r="N651" s="46"/>
      <c r="O651" s="45"/>
      <c r="P651" s="45"/>
      <c r="Q651" s="45"/>
      <c r="R651" s="45"/>
      <c r="S651" s="45"/>
      <c r="T651" s="46"/>
      <c r="U651" s="48"/>
      <c r="V651" s="44"/>
      <c r="X651" s="43"/>
      <c r="Y651" s="76"/>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39"/>
      <c r="CJ651" s="39"/>
      <c r="CK651" s="39"/>
      <c r="CL651" s="39"/>
      <c r="CM651" s="39"/>
      <c r="CN651" s="39"/>
      <c r="CO651" s="39"/>
      <c r="CP651" s="39"/>
      <c r="CQ651" s="39"/>
      <c r="CR651" s="39"/>
      <c r="CS651" s="39"/>
      <c r="CT651" s="39"/>
      <c r="CU651" s="39"/>
      <c r="CV651" s="39"/>
      <c r="CW651" s="39"/>
      <c r="CX651" s="39"/>
      <c r="CY651" s="39"/>
      <c r="CZ651" s="39"/>
      <c r="DA651" s="39"/>
      <c r="DB651" s="39"/>
      <c r="DC651" s="39"/>
      <c r="DD651" s="39"/>
      <c r="DE651" s="39"/>
      <c r="DF651" s="39"/>
      <c r="DG651" s="39"/>
      <c r="DH651" s="39"/>
      <c r="DI651" s="39"/>
    </row>
    <row r="652" spans="1:113">
      <c r="A652" s="41"/>
      <c r="B652" s="42" t="s">
        <v>514</v>
      </c>
      <c r="C652" s="48" t="str">
        <f>C592</f>
        <v>Altice US</v>
      </c>
      <c r="D652" s="44" t="str">
        <f>D592</f>
        <v>US$2.1</v>
      </c>
      <c r="E652" s="44" t="str">
        <f>E592</f>
        <v>US$4.0</v>
      </c>
      <c r="F652" s="45">
        <f>F592</f>
        <v>0.86915887850467288</v>
      </c>
      <c r="G652" s="44" t="str">
        <f>G592</f>
        <v>Neutral</v>
      </c>
      <c r="H652" s="46"/>
      <c r="I652" s="45">
        <f>ATCUS!$D$32/ATCUS!$D$11</f>
        <v>0</v>
      </c>
      <c r="J652" s="45">
        <f>ATCUS!$E$32/ATCUS!$E$11</f>
        <v>0</v>
      </c>
      <c r="K652" s="45">
        <f>ATCUS!$F$32/ATCUS!$F$11</f>
        <v>0</v>
      </c>
      <c r="L652" s="45">
        <f>ATCUS!$G$32/ATCUS!$G$11</f>
        <v>0</v>
      </c>
      <c r="M652" s="45" t="str">
        <f>ATCUS!$H$32</f>
        <v>nm</v>
      </c>
      <c r="N652" s="46"/>
      <c r="O652" s="45">
        <f>(ATCUS!$D$31+ATCUS!$D$32)/ATCUS!$D$11</f>
        <v>0</v>
      </c>
      <c r="P652" s="45">
        <f>(ATCUS!$E$31+ATCUS!$E$32)/ATCUS!$E$11</f>
        <v>0</v>
      </c>
      <c r="Q652" s="45">
        <f>(ATCUS!$F$31+ATCUS!$F$32)/ATCUS!$F$11</f>
        <v>0</v>
      </c>
      <c r="R652" s="45">
        <f>(ATCUS!$G$31+ATCUS!$G$32)/ATCUS!$G$11</f>
        <v>0</v>
      </c>
      <c r="S652" s="45" t="e">
        <f>ATCUS!$H$46</f>
        <v>#DIV/0!</v>
      </c>
      <c r="T652" s="46"/>
      <c r="U652" s="48" t="str">
        <f>D652</f>
        <v>US$2.1</v>
      </c>
      <c r="V652" s="44" t="str">
        <f t="shared" ref="V652:V657" si="159">C652</f>
        <v>Altice US</v>
      </c>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c r="BB652" s="39"/>
      <c r="BC652" s="39"/>
      <c r="BD652" s="39"/>
      <c r="BE652" s="39"/>
      <c r="BF652" s="39"/>
      <c r="BG652" s="39"/>
      <c r="BH652" s="39"/>
      <c r="BI652" s="39"/>
      <c r="BJ652" s="39"/>
      <c r="BK652" s="39"/>
      <c r="BL652" s="39"/>
      <c r="BM652" s="39"/>
      <c r="BN652" s="39"/>
      <c r="BO652" s="39"/>
      <c r="BP652" s="39"/>
      <c r="BQ652" s="39"/>
      <c r="BR652" s="39"/>
      <c r="BS652" s="39"/>
      <c r="BT652" s="39"/>
      <c r="BU652" s="39"/>
      <c r="BV652" s="39"/>
      <c r="BW652" s="39"/>
      <c r="BX652" s="39"/>
      <c r="BY652" s="39"/>
      <c r="BZ652" s="39"/>
      <c r="CA652" s="39"/>
      <c r="CB652" s="39"/>
      <c r="CC652" s="39"/>
      <c r="CD652" s="39"/>
      <c r="CE652" s="39"/>
      <c r="CF652" s="39"/>
      <c r="CG652" s="39"/>
      <c r="CH652" s="39"/>
      <c r="CI652" s="39"/>
      <c r="CJ652" s="39"/>
      <c r="CK652" s="39"/>
      <c r="CL652" s="39"/>
      <c r="CM652" s="39"/>
      <c r="CN652" s="39"/>
      <c r="CO652" s="39"/>
      <c r="CP652" s="39"/>
      <c r="CQ652" s="39"/>
      <c r="CR652" s="39"/>
      <c r="CS652" s="39"/>
      <c r="CT652" s="39"/>
      <c r="CU652" s="39"/>
      <c r="CV652" s="39"/>
      <c r="CW652" s="39"/>
      <c r="CX652" s="39"/>
      <c r="CY652" s="39"/>
      <c r="CZ652" s="39"/>
      <c r="DA652" s="39"/>
      <c r="DB652" s="39"/>
      <c r="DC652" s="39"/>
      <c r="DD652" s="39"/>
      <c r="DE652" s="39"/>
      <c r="DF652" s="39"/>
      <c r="DG652" s="39"/>
      <c r="DH652" s="39"/>
      <c r="DI652" s="39"/>
    </row>
    <row r="653" spans="1:113">
      <c r="A653" s="41"/>
      <c r="B653" s="42" t="s">
        <v>514</v>
      </c>
      <c r="C653" s="48" t="s">
        <v>306</v>
      </c>
      <c r="D653" s="44" t="str">
        <f>B653&amp;TEXT(Prices!$C$45,"0.0")</f>
        <v>US$330.8</v>
      </c>
      <c r="E653" s="44" t="str">
        <f>B653&amp;TEXT(Prices!$E$45,"0.0")</f>
        <v>US$581.0</v>
      </c>
      <c r="F653" s="45">
        <f>Prices!$F$45</f>
        <v>0.75645444101819947</v>
      </c>
      <c r="G653" s="44" t="str">
        <f>Prices!$D$45</f>
        <v>Buy</v>
      </c>
      <c r="H653" s="46"/>
      <c r="I653" s="45">
        <f>CHTR!$D$32/CHTR!$D$11</f>
        <v>0.10401830407328612</v>
      </c>
      <c r="J653" s="45">
        <f>CHTR!$E$32/CHTR!$E$11</f>
        <v>0.20293609070754567</v>
      </c>
      <c r="K653" s="45">
        <f>CHTR!$F$32/CHTR!$F$11</f>
        <v>0.20190855729190368</v>
      </c>
      <c r="L653" s="45">
        <f>CHTR!$G$32/CHTR!$G$11</f>
        <v>0.33670717528321309</v>
      </c>
      <c r="M653" s="45">
        <f>CHTR!$H$32</f>
        <v>0.36134729872699389</v>
      </c>
      <c r="N653" s="46"/>
      <c r="O653" s="45">
        <f>(CHTR!$D$31+CHTR!$D$32)/CHTR!$D$11</f>
        <v>0.10401830407328612</v>
      </c>
      <c r="P653" s="45">
        <f>(CHTR!$E$31+CHTR!$E$32)/CHTR!$E$11</f>
        <v>0.20293609070754567</v>
      </c>
      <c r="Q653" s="45">
        <f>(CHTR!$F$31+CHTR!$F$32)/CHTR!$F$11</f>
        <v>0.20190855729190368</v>
      </c>
      <c r="R653" s="45">
        <f>(CHTR!$G$31+CHTR!$G$32)/CHTR!$G$11</f>
        <v>0.33670717528321309</v>
      </c>
      <c r="S653" s="45">
        <f>CHTR!$H$46</f>
        <v>0.36134729872699389</v>
      </c>
      <c r="T653" s="46"/>
      <c r="U653" s="48" t="str">
        <f>D653</f>
        <v>US$330.8</v>
      </c>
      <c r="V653" s="44" t="str">
        <f t="shared" si="159"/>
        <v>Charter</v>
      </c>
      <c r="AF653" s="39"/>
      <c r="AG653" s="39"/>
      <c r="AH653" s="39"/>
      <c r="AI653" s="39"/>
      <c r="AJ653" s="39"/>
      <c r="AK653" s="39"/>
      <c r="AL653" s="39"/>
      <c r="AM653" s="39"/>
      <c r="AN653" s="39"/>
      <c r="AO653" s="39"/>
      <c r="AP653" s="39"/>
      <c r="AQ653" s="39"/>
      <c r="AR653" s="39"/>
      <c r="AS653" s="39"/>
      <c r="AT653" s="39"/>
      <c r="AU653" s="39"/>
      <c r="AV653" s="39"/>
      <c r="AW653" s="39"/>
      <c r="AX653" s="39"/>
      <c r="AY653" s="39"/>
      <c r="AZ653" s="39"/>
      <c r="BA653" s="39"/>
      <c r="BB653" s="39"/>
      <c r="BC653" s="39"/>
      <c r="BD653" s="39"/>
      <c r="BE653" s="39"/>
      <c r="BF653" s="39"/>
      <c r="BG653" s="39"/>
      <c r="BH653" s="39"/>
      <c r="BI653" s="39"/>
      <c r="BJ653" s="39"/>
      <c r="BK653" s="39"/>
      <c r="BL653" s="39"/>
      <c r="BM653" s="39"/>
      <c r="BN653" s="39"/>
      <c r="BO653" s="39"/>
      <c r="BP653" s="39"/>
      <c r="BQ653" s="39"/>
      <c r="BR653" s="39"/>
      <c r="BS653" s="39"/>
      <c r="BT653" s="39"/>
      <c r="BU653" s="39"/>
      <c r="BV653" s="39"/>
      <c r="BW653" s="39"/>
      <c r="BX653" s="39"/>
      <c r="BY653" s="39"/>
      <c r="BZ653" s="39"/>
      <c r="CA653" s="39"/>
      <c r="CB653" s="39"/>
      <c r="CC653" s="39"/>
      <c r="CD653" s="39"/>
      <c r="CE653" s="39"/>
      <c r="CF653" s="39"/>
      <c r="CG653" s="39"/>
      <c r="CH653" s="39"/>
      <c r="CI653" s="39"/>
      <c r="CJ653" s="39"/>
      <c r="CK653" s="39"/>
      <c r="CL653" s="39"/>
      <c r="CM653" s="39"/>
      <c r="CN653" s="39"/>
      <c r="CO653" s="39"/>
      <c r="CP653" s="39"/>
      <c r="CQ653" s="39"/>
      <c r="CR653" s="39"/>
      <c r="CS653" s="39"/>
      <c r="CT653" s="39"/>
      <c r="CU653" s="39"/>
      <c r="CV653" s="39"/>
      <c r="CW653" s="39"/>
      <c r="CX653" s="39"/>
      <c r="CY653" s="39"/>
      <c r="CZ653" s="39"/>
      <c r="DA653" s="39"/>
      <c r="DB653" s="39"/>
      <c r="DC653" s="39"/>
      <c r="DD653" s="39"/>
      <c r="DE653" s="39"/>
      <c r="DF653" s="39"/>
      <c r="DG653" s="39"/>
      <c r="DH653" s="39"/>
      <c r="DI653" s="39"/>
    </row>
    <row r="654" spans="1:113">
      <c r="A654" s="41"/>
      <c r="B654" s="42" t="s">
        <v>514</v>
      </c>
      <c r="C654" s="48" t="s">
        <v>304</v>
      </c>
      <c r="D654" s="44" t="str">
        <f>B654&amp;TEXT(Prices!$C$46,"0.0")</f>
        <v>US$39.8</v>
      </c>
      <c r="E654" s="44" t="str">
        <f>B654&amp;TEXT(Prices!$E$46,"0.0")</f>
        <v>US$50.0</v>
      </c>
      <c r="F654" s="45">
        <f>Prices!$F$46</f>
        <v>0.25628140703517599</v>
      </c>
      <c r="G654" s="44" t="str">
        <f>Prices!$D$46</f>
        <v>Buy</v>
      </c>
      <c r="H654" s="46"/>
      <c r="I654" s="45">
        <f>CMCSA!$D$32/CMCSA!$D$11</f>
        <v>3.875570025837851E-2</v>
      </c>
      <c r="J654" s="45">
        <f>CMCSA!$E$32/CMCSA!$E$11</f>
        <v>7.8058629156196116E-2</v>
      </c>
      <c r="K654" s="45">
        <f>CMCSA!$F$32/CMCSA!$F$11</f>
        <v>9.3500353785756204E-2</v>
      </c>
      <c r="L654" s="45">
        <f>CMCSA!$G$32/CMCSA!$G$11</f>
        <v>0.14655448972068608</v>
      </c>
      <c r="M654" s="45">
        <f>CMCSA!$H$32</f>
        <v>0.46388715124320856</v>
      </c>
      <c r="N654" s="46"/>
      <c r="O654" s="45">
        <f>(CMCSA!$D$31+CMCSA!$D$32)/CMCSA!$D$11</f>
        <v>6.7763693887073345E-2</v>
      </c>
      <c r="P654" s="45">
        <f>(CMCSA!$E$31+CMCSA!$E$32)/CMCSA!$E$11</f>
        <v>0.110409640254721</v>
      </c>
      <c r="Q654" s="45">
        <f>(CMCSA!$F$31+CMCSA!$F$32)/CMCSA!$F$11</f>
        <v>0.12746697573014948</v>
      </c>
      <c r="R654" s="45">
        <f>(CMCSA!$G$31+CMCSA!$G$32)/CMCSA!$G$11</f>
        <v>0.18223057088637468</v>
      </c>
      <c r="S654" s="45">
        <f>CMCSA!$H$46</f>
        <v>0.30665561911893535</v>
      </c>
      <c r="T654" s="46"/>
      <c r="U654" s="48" t="str">
        <f>D654</f>
        <v>US$39.8</v>
      </c>
      <c r="V654" s="44" t="str">
        <f t="shared" si="159"/>
        <v>Comcast</v>
      </c>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c r="BB654" s="39"/>
      <c r="BC654" s="39"/>
      <c r="BD654" s="39"/>
      <c r="BE654" s="39"/>
      <c r="BF654" s="39"/>
      <c r="BG654" s="39"/>
      <c r="BH654" s="39"/>
      <c r="BI654" s="39"/>
      <c r="BJ654" s="39"/>
      <c r="BK654" s="39"/>
      <c r="BL654" s="39"/>
      <c r="BM654" s="39"/>
      <c r="BN654" s="39"/>
      <c r="BO654" s="39"/>
      <c r="BP654" s="39"/>
      <c r="BQ654" s="39"/>
      <c r="BR654" s="39"/>
      <c r="BS654" s="39"/>
      <c r="BT654" s="39"/>
      <c r="BU654" s="39"/>
      <c r="BV654" s="39"/>
      <c r="BW654" s="39"/>
      <c r="BX654" s="39"/>
      <c r="BY654" s="39"/>
      <c r="BZ654" s="39"/>
      <c r="CA654" s="39"/>
      <c r="CB654" s="39"/>
      <c r="CC654" s="39"/>
      <c r="CD654" s="39"/>
      <c r="CE654" s="39"/>
      <c r="CF654" s="39"/>
      <c r="CG654" s="39"/>
      <c r="CH654" s="39"/>
      <c r="CI654" s="39"/>
      <c r="CJ654" s="39"/>
      <c r="CK654" s="39"/>
      <c r="CL654" s="39"/>
      <c r="CM654" s="39"/>
      <c r="CN654" s="39"/>
      <c r="CO654" s="39"/>
      <c r="CP654" s="39"/>
      <c r="CQ654" s="39"/>
      <c r="CR654" s="39"/>
      <c r="CS654" s="39"/>
      <c r="CT654" s="39"/>
      <c r="CU654" s="39"/>
      <c r="CV654" s="39"/>
      <c r="CW654" s="39"/>
      <c r="CX654" s="39"/>
      <c r="CY654" s="39"/>
      <c r="CZ654" s="39"/>
      <c r="DA654" s="39"/>
      <c r="DB654" s="39"/>
      <c r="DC654" s="39"/>
      <c r="DD654" s="39"/>
      <c r="DE654" s="39"/>
      <c r="DF654" s="39"/>
      <c r="DG654" s="39"/>
      <c r="DH654" s="39"/>
      <c r="DI654" s="39"/>
    </row>
    <row r="655" spans="1:113">
      <c r="A655" s="41"/>
      <c r="B655" s="42" t="s">
        <v>522</v>
      </c>
      <c r="C655" s="48" t="s">
        <v>1602</v>
      </c>
      <c r="D655" s="44" t="str">
        <f>B655&amp;TEXT(Prices!C$47,"0.0")</f>
        <v>US$ 35.0</v>
      </c>
      <c r="E655" s="44" t="str">
        <f>B655&amp;TEXT(Prices!E$47,"0.0")</f>
        <v>US$ 54.0</v>
      </c>
      <c r="F655" s="45">
        <f>Prices!F$47</f>
        <v>0.54285714285714293</v>
      </c>
      <c r="G655" s="44" t="str">
        <f>Prices!D$47</f>
        <v>Buy</v>
      </c>
      <c r="H655" s="46"/>
      <c r="I655" s="45">
        <f>FYBR!D$32/FYBR!D$11</f>
        <v>0</v>
      </c>
      <c r="J655" s="45">
        <f>FYBR!E$32/FYBR!E$11</f>
        <v>0</v>
      </c>
      <c r="K655" s="45">
        <f>FYBR!F$32/FYBR!F$11</f>
        <v>0</v>
      </c>
      <c r="L655" s="45">
        <f>FYBR!G$32/FYBR!G$11</f>
        <v>0</v>
      </c>
      <c r="M655" s="45" t="str">
        <f>FYBR!H$32</f>
        <v>nm</v>
      </c>
      <c r="N655" s="46"/>
      <c r="O655" s="45">
        <f>(FYBR!D$31+FYBR!D$32)/FYBR!D$11</f>
        <v>0</v>
      </c>
      <c r="P655" s="45">
        <f>(FYBR!E$31+FYBR!E$32)/FYBR!E$11</f>
        <v>0</v>
      </c>
      <c r="Q655" s="45">
        <f>(FYBR!F$31+FYBR!F$32)/FYBR!F$11</f>
        <v>0</v>
      </c>
      <c r="R655" s="45">
        <f>(FYBR!G$31+FYBR!G$32)/FYBR!G$11</f>
        <v>0</v>
      </c>
      <c r="S655" s="45" t="e">
        <f>FYBR!H$46</f>
        <v>#DIV/0!</v>
      </c>
      <c r="T655" s="46"/>
      <c r="U655" s="48" t="str">
        <f>D655</f>
        <v>US$ 35.0</v>
      </c>
      <c r="V655" s="44" t="str">
        <f t="shared" si="159"/>
        <v>Frontier</v>
      </c>
    </row>
    <row r="656" spans="1:113">
      <c r="A656" s="41"/>
      <c r="B656" s="42" t="s">
        <v>522</v>
      </c>
      <c r="C656" s="48" t="s">
        <v>1603</v>
      </c>
      <c r="D656" s="44" t="str">
        <f>B656&amp;TEXT(Prices!C$48,"0.0")</f>
        <v>US$ 22.3</v>
      </c>
      <c r="E656" s="44" t="str">
        <f>B656&amp;TEXT(Prices!E$48,"0.0")</f>
        <v>US$ 100.0</v>
      </c>
      <c r="F656" s="45">
        <f>Prices!F$48</f>
        <v>3.4883303411131061</v>
      </c>
      <c r="G656" s="44" t="str">
        <f>Prices!D$48</f>
        <v>Buy</v>
      </c>
      <c r="H656" s="46"/>
      <c r="I656" s="45">
        <f>SATS!D$32/SATS!D$11</f>
        <v>0</v>
      </c>
      <c r="J656" s="45">
        <f>SATS!E$32/SATS!E$11</f>
        <v>0</v>
      </c>
      <c r="K656" s="45">
        <f>SATS!F$32/SATS!F$11</f>
        <v>0</v>
      </c>
      <c r="L656" s="45">
        <f>SATS!G$32/SATS!G$11</f>
        <v>0</v>
      </c>
      <c r="M656" s="45" t="str">
        <f>SATS!H$32</f>
        <v>nm</v>
      </c>
      <c r="N656" s="46"/>
      <c r="O656" s="45">
        <f>(SATS!D$31+SATS!D$32)/SATS!D$11</f>
        <v>0</v>
      </c>
      <c r="P656" s="45">
        <f>(SATS!E$31+SATS!E$32)/SATS!E$11</f>
        <v>0</v>
      </c>
      <c r="Q656" s="45">
        <f>(SATS!F$31+SATS!F$32)/SATS!F$11</f>
        <v>0</v>
      </c>
      <c r="R656" s="45">
        <f>(SATS!G$31+SATS!G$32)/SATS!G$11</f>
        <v>0</v>
      </c>
      <c r="S656" s="45" t="str">
        <f>SATS!H$46</f>
        <v>nm</v>
      </c>
      <c r="T656" s="46"/>
      <c r="U656" s="48" t="str">
        <f>D656</f>
        <v>US$ 22.3</v>
      </c>
      <c r="V656" s="44" t="str">
        <f t="shared" si="159"/>
        <v>EchoStar</v>
      </c>
    </row>
    <row r="657" spans="1:113">
      <c r="A657" s="41"/>
      <c r="C657" s="51" t="str">
        <f>C597</f>
        <v>Agg. US Other</v>
      </c>
      <c r="D657" s="58"/>
      <c r="E657" s="58"/>
      <c r="F657" s="55"/>
      <c r="G657" s="58"/>
      <c r="H657" s="56"/>
      <c r="I657" s="55">
        <f>'US OTHER'!D$32/'US OTHER'!D$11</f>
        <v>5.1364737234394657E-2</v>
      </c>
      <c r="J657" s="55">
        <f>'US OTHER'!E$32/'US OTHER'!E$11</f>
        <v>0.10104298741010175</v>
      </c>
      <c r="K657" s="55">
        <f>'US OTHER'!F$32/'US OTHER'!F$11</f>
        <v>0.11124697728243986</v>
      </c>
      <c r="L657" s="55">
        <f>'US OTHER'!G$32/'US OTHER'!G$11</f>
        <v>0.1764263780093952</v>
      </c>
      <c r="M657" s="55">
        <f>'US OTHER'!H$32</f>
        <v>0.41743695354137067</v>
      </c>
      <c r="N657" s="56"/>
      <c r="O657" s="55">
        <f>('US OTHER'!D$31+'US OTHER'!D$32)/'US OTHER'!D$11</f>
        <v>7.1702643846444009E-2</v>
      </c>
      <c r="P657" s="55">
        <f>('US OTHER'!E$31+'US OTHER'!E$32)/'US OTHER'!E$11</f>
        <v>0.12374018659128148</v>
      </c>
      <c r="Q657" s="55">
        <f>('US OTHER'!F$31+'US OTHER'!F$32)/'US OTHER'!F$11</f>
        <v>0.13496323475757685</v>
      </c>
      <c r="R657" s="55">
        <f>('US OTHER'!G$31+'US OTHER'!G$32)/'US OTHER'!G$11</f>
        <v>0.20145357159966482</v>
      </c>
      <c r="S657" s="55">
        <f>'US OTHER'!H$46</f>
        <v>0.3256153847966301</v>
      </c>
      <c r="T657" s="56"/>
      <c r="U657" s="51"/>
      <c r="V657" s="58" t="str">
        <f t="shared" si="159"/>
        <v>Agg. US Other</v>
      </c>
      <c r="AF657" s="39"/>
      <c r="AG657" s="39"/>
      <c r="AH657" s="39"/>
      <c r="AI657" s="39"/>
      <c r="AJ657" s="39"/>
      <c r="AK657" s="39"/>
      <c r="AL657" s="39"/>
      <c r="AM657" s="39"/>
      <c r="AN657" s="39"/>
      <c r="AO657" s="39"/>
      <c r="AP657" s="39"/>
      <c r="AQ657" s="39"/>
      <c r="AR657" s="39"/>
      <c r="AS657" s="39"/>
      <c r="AT657" s="39"/>
      <c r="AU657" s="39"/>
      <c r="AV657" s="39"/>
      <c r="AW657" s="39"/>
      <c r="AX657" s="39"/>
      <c r="AY657" s="39"/>
      <c r="AZ657" s="39"/>
      <c r="BA657" s="39"/>
      <c r="BB657" s="39"/>
      <c r="BC657" s="39"/>
      <c r="BD657" s="39"/>
      <c r="BE657" s="39"/>
      <c r="BF657" s="39"/>
      <c r="BG657" s="39"/>
      <c r="BH657" s="39"/>
      <c r="BI657" s="39"/>
      <c r="BJ657" s="39"/>
      <c r="BK657" s="39"/>
      <c r="BL657" s="39"/>
      <c r="BM657" s="39"/>
      <c r="BN657" s="39"/>
      <c r="BO657" s="39"/>
      <c r="BP657" s="39"/>
      <c r="BQ657" s="39"/>
      <c r="BR657" s="39"/>
      <c r="BS657" s="39"/>
      <c r="BT657" s="39"/>
      <c r="BU657" s="39"/>
      <c r="BV657" s="39"/>
      <c r="BW657" s="39"/>
      <c r="BX657" s="39"/>
      <c r="BY657" s="39"/>
      <c r="BZ657" s="39"/>
      <c r="CA657" s="39"/>
      <c r="CB657" s="39"/>
      <c r="CC657" s="39"/>
      <c r="CD657" s="39"/>
      <c r="CE657" s="39"/>
      <c r="CF657" s="39"/>
      <c r="CG657" s="39"/>
      <c r="CH657" s="39"/>
      <c r="CI657" s="39"/>
      <c r="CJ657" s="39"/>
      <c r="CK657" s="39"/>
      <c r="CL657" s="39"/>
      <c r="CM657" s="39"/>
      <c r="CN657" s="39"/>
      <c r="CO657" s="39"/>
      <c r="CP657" s="39"/>
      <c r="CQ657" s="39"/>
      <c r="CR657" s="39"/>
      <c r="CS657" s="39"/>
      <c r="CT657" s="39"/>
      <c r="CU657" s="39"/>
      <c r="CV657" s="39"/>
      <c r="CW657" s="39"/>
      <c r="CX657" s="39"/>
      <c r="CY657" s="39"/>
      <c r="CZ657" s="39"/>
      <c r="DA657" s="39"/>
      <c r="DB657" s="39"/>
      <c r="DC657" s="39"/>
      <c r="DD657" s="39"/>
      <c r="DE657" s="39"/>
      <c r="DF657" s="39"/>
      <c r="DG657" s="39"/>
      <c r="DH657" s="39"/>
      <c r="DI657" s="39"/>
    </row>
    <row r="658" spans="1:113">
      <c r="A658" s="41"/>
      <c r="C658" s="48"/>
      <c r="D658" s="44"/>
      <c r="E658" s="44"/>
      <c r="F658" s="45"/>
      <c r="G658" s="44"/>
      <c r="H658" s="46"/>
      <c r="I658" s="45"/>
      <c r="J658" s="45"/>
      <c r="K658" s="45"/>
      <c r="L658" s="45"/>
      <c r="M658" s="45"/>
      <c r="N658" s="46"/>
      <c r="O658" s="45"/>
      <c r="P658" s="45"/>
      <c r="Q658" s="45"/>
      <c r="R658" s="45"/>
      <c r="S658" s="45"/>
      <c r="T658" s="46"/>
      <c r="U658" s="48"/>
      <c r="V658" s="44"/>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c r="BB658" s="39"/>
      <c r="BC658" s="39"/>
      <c r="BD658" s="39"/>
      <c r="BE658" s="39"/>
      <c r="BF658" s="39"/>
      <c r="BG658" s="39"/>
      <c r="BH658" s="39"/>
      <c r="BI658" s="39"/>
      <c r="BJ658" s="39"/>
      <c r="BK658" s="39"/>
      <c r="BL658" s="39"/>
      <c r="BM658" s="39"/>
      <c r="BN658" s="39"/>
      <c r="BO658" s="39"/>
      <c r="BP658" s="39"/>
      <c r="BQ658" s="39"/>
      <c r="BR658" s="39"/>
      <c r="BS658" s="39"/>
      <c r="BT658" s="39"/>
      <c r="BU658" s="39"/>
      <c r="BV658" s="39"/>
      <c r="BW658" s="39"/>
      <c r="BX658" s="39"/>
      <c r="BY658" s="39"/>
      <c r="BZ658" s="39"/>
      <c r="CA658" s="39"/>
      <c r="CB658" s="39"/>
      <c r="CC658" s="39"/>
      <c r="CD658" s="39"/>
      <c r="CE658" s="39"/>
      <c r="CF658" s="39"/>
      <c r="CG658" s="39"/>
      <c r="CH658" s="39"/>
      <c r="CI658" s="39"/>
      <c r="CJ658" s="39"/>
      <c r="CK658" s="39"/>
      <c r="CL658" s="39"/>
      <c r="CM658" s="39"/>
      <c r="CN658" s="39"/>
      <c r="CO658" s="39"/>
      <c r="CP658" s="39"/>
      <c r="CQ658" s="39"/>
      <c r="CR658" s="39"/>
      <c r="CS658" s="39"/>
      <c r="CT658" s="39"/>
      <c r="CU658" s="39"/>
      <c r="CV658" s="39"/>
      <c r="CW658" s="39"/>
      <c r="CX658" s="39"/>
      <c r="CY658" s="39"/>
      <c r="CZ658" s="39"/>
      <c r="DA658" s="39"/>
      <c r="DB658" s="39"/>
      <c r="DC658" s="39"/>
      <c r="DD658" s="39"/>
      <c r="DE658" s="39"/>
      <c r="DF658" s="39"/>
      <c r="DG658" s="39"/>
      <c r="DH658" s="39"/>
      <c r="DI658" s="39"/>
    </row>
    <row r="659" spans="1:113">
      <c r="C659" s="48"/>
      <c r="D659" s="44"/>
      <c r="E659" s="44"/>
      <c r="F659" s="45"/>
      <c r="G659" s="44"/>
      <c r="H659" s="46"/>
      <c r="I659" s="45"/>
      <c r="J659" s="45"/>
      <c r="K659" s="45"/>
      <c r="L659" s="45"/>
      <c r="M659" s="45"/>
      <c r="N659" s="46"/>
      <c r="O659" s="45"/>
      <c r="P659" s="45"/>
      <c r="Q659" s="45"/>
      <c r="R659" s="45"/>
      <c r="S659" s="45"/>
      <c r="T659" s="46"/>
      <c r="U659" s="48"/>
      <c r="V659" s="44"/>
    </row>
    <row r="660" spans="1:113">
      <c r="C660" s="51" t="str">
        <f>C600</f>
        <v>Agg. W Europe</v>
      </c>
      <c r="D660" s="52"/>
      <c r="E660" s="52"/>
      <c r="F660" s="53"/>
      <c r="G660" s="52"/>
      <c r="H660" s="46"/>
      <c r="I660" s="55">
        <f>'W.EUR AGG'!$D$32/'W.EUR AGG'!$D$11</f>
        <v>0</v>
      </c>
      <c r="J660" s="55">
        <f>'W.EUR AGG'!$E$32/'W.EUR AGG'!$E$11</f>
        <v>0</v>
      </c>
      <c r="K660" s="55">
        <f>'W.EUR AGG'!$F$32/'W.EUR AGG'!$F$11</f>
        <v>0</v>
      </c>
      <c r="L660" s="55">
        <f>'W.EUR AGG'!$G$32/'W.EUR AGG'!$G$11</f>
        <v>0</v>
      </c>
      <c r="M660" s="55" t="str">
        <f>'W.EUR AGG'!$H$32</f>
        <v>nm</v>
      </c>
      <c r="N660" s="56"/>
      <c r="O660" s="55">
        <f>('W.EUR AGG'!$D$31+'W.EUR AGG'!$D$32)/'W.EUR AGG'!$D$11</f>
        <v>4.4486712049222873E-2</v>
      </c>
      <c r="P660" s="55">
        <f>('W.EUR AGG'!$E$31+'W.EUR AGG'!$E$32)/'W.EUR AGG'!$E$11</f>
        <v>4.3147250199898506E-2</v>
      </c>
      <c r="Q660" s="55">
        <f>('W.EUR AGG'!$F$31+'W.EUR AGG'!$F$32)/'W.EUR AGG'!$F$11</f>
        <v>4.5635014347915746E-2</v>
      </c>
      <c r="R660" s="55">
        <f>('W.EUR AGG'!$G$31+'W.EUR AGG'!$G$32)/'W.EUR AGG'!$G$11</f>
        <v>4.9641105415154506E-2</v>
      </c>
      <c r="S660" s="55">
        <f>'W.EUR AGG'!$H$46</f>
        <v>2.7549849186711883E-2</v>
      </c>
      <c r="T660" s="46"/>
      <c r="U660" s="57"/>
      <c r="V660" s="58" t="str">
        <f>V600</f>
        <v>Agg. W Europe</v>
      </c>
    </row>
    <row r="661" spans="1:113">
      <c r="C661" s="41" t="s">
        <v>1608</v>
      </c>
      <c r="D661" s="44"/>
      <c r="E661" s="44"/>
      <c r="F661" s="45"/>
      <c r="G661" s="44"/>
      <c r="H661" s="46"/>
      <c r="I661" s="59">
        <f>'US AGG'!$D$32/'US AGG'!$D$11</f>
        <v>2.4133963809441904E-2</v>
      </c>
      <c r="J661" s="59">
        <f>'US AGG'!$E$32/'US AGG'!$E$11</f>
        <v>4.8169055091419902E-2</v>
      </c>
      <c r="K661" s="59">
        <f>'US AGG'!$F$32/'US AGG'!$F$11</f>
        <v>5.1562116941880329E-2</v>
      </c>
      <c r="L661" s="59">
        <f>'US AGG'!$G$32/'US AGG'!$G$11</f>
        <v>6.9888504828981554E-2</v>
      </c>
      <c r="M661" s="59">
        <f>'US AGG'!H$32</f>
        <v>0.37381479061401857</v>
      </c>
      <c r="N661" s="56"/>
      <c r="O661" s="59">
        <f>('US AGG'!$D$31+'US AGG'!$D$32)/'US AGG'!$D$11</f>
        <v>5.4415902494917109E-2</v>
      </c>
      <c r="P661" s="59">
        <f>('US AGG'!$E$31+'US AGG'!$E$32)/'US AGG'!$E$11</f>
        <v>8.4915685502944746E-2</v>
      </c>
      <c r="Q661" s="59">
        <f>('US AGG'!$F$31+'US AGG'!$F$32)/'US AGG'!$F$11</f>
        <v>9.0436668196582012E-2</v>
      </c>
      <c r="R661" s="59">
        <f>('US AGG'!$F$31+'US AGG'!$F$32)/'US AGG'!$F$11</f>
        <v>9.0436668196582012E-2</v>
      </c>
      <c r="S661" s="59">
        <f>'W.EUR AGG'!$H$46</f>
        <v>2.7549849186711883E-2</v>
      </c>
      <c r="T661" s="46"/>
      <c r="U661" s="48"/>
      <c r="V661" s="50" t="str">
        <f>V601</f>
        <v>Agg. US</v>
      </c>
    </row>
    <row r="662" spans="1:113">
      <c r="C662" s="67" t="str">
        <f>C602</f>
        <v xml:space="preserve">Agg. Developed Asia </v>
      </c>
      <c r="D662" s="52"/>
      <c r="E662" s="52"/>
      <c r="F662" s="53"/>
      <c r="G662" s="52"/>
      <c r="H662" s="46"/>
      <c r="I662" s="55">
        <f>'AGG DM ASIA'!$D$32/'AGG DM ASIA'!$D$11</f>
        <v>3.9131215995896204E-3</v>
      </c>
      <c r="J662" s="55">
        <f>'AGG DM ASIA'!$E$32/'AGG DM ASIA'!$E$11</f>
        <v>8.1999461538365716E-3</v>
      </c>
      <c r="K662" s="55">
        <f>'AGG DM ASIA'!$F$32/'AGG DM ASIA'!$F$11</f>
        <v>4.8185043377875604E-3</v>
      </c>
      <c r="L662" s="55">
        <f>'AGG DM ASIA'!$G$32/'AGG DM ASIA'!$G$11</f>
        <v>-8.789128164246646E-3</v>
      </c>
      <c r="M662" s="55">
        <f>'AGG DM ASIA'!$H$32</f>
        <v>-2.294309623126932</v>
      </c>
      <c r="N662" s="56"/>
      <c r="O662" s="55">
        <f>('AGG DM ASIA'!$D$31+'AGG DM ASIA'!$D$32)/'AGG DM ASIA'!$D$11</f>
        <v>4.0862807854659712E-2</v>
      </c>
      <c r="P662" s="55">
        <f>('AGG DM ASIA'!$E$31+'AGG DM ASIA'!$E$32)/'AGG DM ASIA'!$E$11</f>
        <v>4.9349561274634794E-2</v>
      </c>
      <c r="Q662" s="55">
        <f>('AGG DM ASIA'!$F$31+'AGG DM ASIA'!$F$32)/'AGG DM ASIA'!$F$11</f>
        <v>4.993269234698814E-2</v>
      </c>
      <c r="R662" s="55">
        <f>('AGG DM ASIA'!$G$31+'AGG DM ASIA'!$G$32)/'AGG DM ASIA'!$G$11</f>
        <v>3.9785623420470963E-2</v>
      </c>
      <c r="S662" s="55">
        <f>'AGG DM ASIA'!$H$46</f>
        <v>-2.0442314780257931E-2</v>
      </c>
      <c r="T662" s="46"/>
      <c r="U662" s="57"/>
      <c r="V662" s="58" t="str">
        <f>V602</f>
        <v xml:space="preserve">Agg. Developed Asia </v>
      </c>
    </row>
    <row r="663" spans="1:113">
      <c r="C663" s="41"/>
      <c r="D663" s="44"/>
      <c r="E663" s="44"/>
      <c r="F663" s="45"/>
      <c r="G663" s="44"/>
      <c r="H663" s="46"/>
      <c r="I663" s="59"/>
      <c r="J663" s="59"/>
      <c r="K663" s="59"/>
      <c r="L663" s="59"/>
      <c r="M663" s="59"/>
      <c r="N663" s="56"/>
      <c r="O663" s="59"/>
      <c r="P663" s="59"/>
      <c r="Q663" s="59"/>
      <c r="R663" s="59"/>
      <c r="S663" s="59"/>
      <c r="T663" s="46"/>
      <c r="U663" s="48"/>
      <c r="V663" s="50"/>
    </row>
    <row r="664" spans="1:113">
      <c r="C664" s="67" t="str">
        <f>C604</f>
        <v>Agg. Global Developed</v>
      </c>
      <c r="D664" s="52"/>
      <c r="E664" s="52"/>
      <c r="F664" s="53"/>
      <c r="G664" s="52"/>
      <c r="H664" s="46"/>
      <c r="I664" s="55">
        <f>'AGG DM'!$D$32/'AGG DM'!$D$11</f>
        <v>1.4654977414575882E-2</v>
      </c>
      <c r="J664" s="55">
        <f>'AGG DM'!$E$32/'AGG DM'!$E$11</f>
        <v>2.9145753018821226E-2</v>
      </c>
      <c r="K664" s="55">
        <f>'AGG DM'!$F$32/'AGG DM'!$F$11</f>
        <v>3.0115891232506901E-2</v>
      </c>
      <c r="L664" s="55">
        <f>'AGG DM'!$G$32/'AGG DM'!$G$11</f>
        <v>3.7246963421475182E-2</v>
      </c>
      <c r="M664" s="55">
        <f>'AGG DM'!$H$32</f>
        <v>0.33046485219130961</v>
      </c>
      <c r="N664" s="56"/>
      <c r="O664" s="55">
        <f>('AGG DM'!$D$31+'AGG DM'!$D$32)/'AGG DM'!$D$11</f>
        <v>4.9537113673955142E-2</v>
      </c>
      <c r="P664" s="55">
        <f>('AGG DM'!$E$31+'AGG DM'!$E$32)/'AGG DM'!$E$11</f>
        <v>6.8248269218785032E-2</v>
      </c>
      <c r="Q664" s="55">
        <f>('AGG DM'!$F$31+'AGG DM'!$F$32)/'AGG DM'!$F$11</f>
        <v>7.1823615864644294E-2</v>
      </c>
      <c r="R664" s="55">
        <f>('AGG DM'!$F$31+'AGG DM'!$F$32)/'AGG DM'!$F$11</f>
        <v>7.1823615864644294E-2</v>
      </c>
      <c r="S664" s="55">
        <f>'W.EUR AGG'!$H$46</f>
        <v>2.7549849186711883E-2</v>
      </c>
      <c r="T664" s="46"/>
      <c r="U664" s="57"/>
      <c r="V664" s="58" t="str">
        <f>V604</f>
        <v xml:space="preserve">Agg. Global Developed </v>
      </c>
    </row>
    <row r="667" spans="1:113" s="41" customFormat="1">
      <c r="B667" s="147"/>
      <c r="C667" s="164"/>
      <c r="D667" s="165" t="s">
        <v>459</v>
      </c>
      <c r="E667" s="165" t="s">
        <v>56</v>
      </c>
      <c r="F667" s="165" t="s">
        <v>58</v>
      </c>
      <c r="G667" s="165" t="s">
        <v>55</v>
      </c>
      <c r="H667" s="49"/>
      <c r="I667" s="166" t="s">
        <v>17</v>
      </c>
      <c r="J667" s="166"/>
      <c r="K667" s="166"/>
      <c r="L667" s="166"/>
      <c r="M667" s="166"/>
      <c r="O667" s="166" t="s">
        <v>19</v>
      </c>
      <c r="P667" s="166"/>
      <c r="Q667" s="166"/>
      <c r="R667" s="166"/>
      <c r="S667" s="166"/>
      <c r="T667" s="49"/>
      <c r="U667" s="167" t="s">
        <v>459</v>
      </c>
      <c r="V667" s="165"/>
      <c r="Z667" s="49"/>
      <c r="AC667" s="135"/>
      <c r="AD667" s="136"/>
      <c r="AE667" s="136"/>
      <c r="AF667" s="136"/>
      <c r="AG667" s="136"/>
      <c r="AH667" s="136"/>
      <c r="AI667" s="136"/>
      <c r="AJ667" s="136"/>
      <c r="AK667" s="136"/>
      <c r="AL667" s="136"/>
      <c r="AM667" s="136"/>
      <c r="AN667" s="136"/>
      <c r="AO667" s="136"/>
      <c r="AP667" s="136"/>
      <c r="AQ667" s="136"/>
      <c r="AR667" s="136"/>
      <c r="AS667" s="136"/>
      <c r="AT667" s="136"/>
      <c r="AU667" s="136"/>
      <c r="AV667" s="136"/>
      <c r="AW667" s="136"/>
      <c r="BC667" s="137"/>
      <c r="BD667" s="137"/>
      <c r="BE667" s="137"/>
      <c r="BG667" s="137"/>
      <c r="BH667" s="137"/>
      <c r="BI667" s="137"/>
      <c r="BK667" s="137"/>
      <c r="BL667" s="137"/>
      <c r="BM667" s="137"/>
      <c r="BO667" s="137"/>
      <c r="BP667" s="137"/>
      <c r="BQ667" s="137"/>
    </row>
    <row r="668" spans="1:113">
      <c r="A668" s="41" t="s">
        <v>501</v>
      </c>
      <c r="C668" s="48" t="s">
        <v>182</v>
      </c>
      <c r="D668" s="44" t="str">
        <f t="shared" ref="D668:G678" si="160">D608</f>
        <v>GBP1.44</v>
      </c>
      <c r="E668" s="44" t="str">
        <f t="shared" si="160"/>
        <v>GBP2.30</v>
      </c>
      <c r="F668" s="45">
        <f t="shared" si="160"/>
        <v>0.59777700590482818</v>
      </c>
      <c r="G668" s="44" t="str">
        <f t="shared" si="160"/>
        <v>Buy</v>
      </c>
      <c r="H668" s="46"/>
      <c r="I668" s="47">
        <f>BT!D$11/1000/Prices!$F$153</f>
        <v>16.687868859942501</v>
      </c>
      <c r="J668" s="47">
        <f>BT!$E$11/1000/Prices!$F$153</f>
        <v>16.636677356014346</v>
      </c>
      <c r="K668" s="47">
        <f>BT!$F$11/1000/Prices!$F$153</f>
        <v>16.58548585208619</v>
      </c>
      <c r="L668" s="47">
        <f>BT!$G$11/1000/Prices!$F$153</f>
        <v>16.534294348158035</v>
      </c>
      <c r="M668" s="45">
        <f t="shared" ref="M668:M679" si="161">(L668/I668)^(1/3)-1</f>
        <v>-3.0770463631901723E-3</v>
      </c>
      <c r="N668" s="46"/>
      <c r="O668" s="47">
        <f>BT!D$12/1000/Prices!$F$153</f>
        <v>17.216751257439789</v>
      </c>
      <c r="P668" s="47">
        <f>BT!E$12/1000/Prices!$F$153</f>
        <v>18.030501175676864</v>
      </c>
      <c r="Q668" s="47">
        <f>BT!F$12/1000/Prices!$F$153</f>
        <v>18.51141796363142</v>
      </c>
      <c r="R668" s="47">
        <f>BT!G$12/1000/Prices!$F$153</f>
        <v>18.890729307358832</v>
      </c>
      <c r="S668" s="45">
        <f t="shared" ref="S668:S679" si="162">(R668/O668)^(1/3)-1</f>
        <v>3.141277595865466E-2</v>
      </c>
      <c r="T668" s="46"/>
      <c r="U668" s="48" t="str">
        <f t="shared" ref="U668:V672" si="163">U608</f>
        <v>GBP1.44</v>
      </c>
      <c r="V668" s="69" t="str">
        <f t="shared" si="163"/>
        <v>British Telecom</v>
      </c>
      <c r="Z668" s="49"/>
      <c r="BF668" s="39"/>
      <c r="BG668" s="39"/>
      <c r="BH668" s="39"/>
      <c r="BI668" s="39"/>
      <c r="BJ668" s="39"/>
      <c r="BK668" s="39"/>
      <c r="BL668" s="39"/>
      <c r="BM668" s="39"/>
      <c r="BN668" s="39"/>
      <c r="BO668" s="39"/>
      <c r="BP668" s="39"/>
      <c r="BQ668" s="39"/>
      <c r="BR668" s="39"/>
      <c r="BS668" s="39"/>
      <c r="BT668" s="39"/>
      <c r="BU668" s="39"/>
      <c r="BV668" s="39"/>
      <c r="BW668" s="39"/>
      <c r="BX668" s="39"/>
      <c r="BY668" s="39"/>
      <c r="BZ668" s="39"/>
      <c r="CA668" s="39"/>
      <c r="CB668" s="39"/>
      <c r="CC668" s="39"/>
      <c r="CD668" s="39"/>
      <c r="CE668" s="39"/>
      <c r="CF668" s="39"/>
      <c r="CG668" s="39"/>
      <c r="CH668" s="39"/>
      <c r="CI668" s="39"/>
      <c r="CJ668" s="39"/>
      <c r="CK668" s="39"/>
      <c r="CL668" s="39"/>
      <c r="CM668" s="39"/>
      <c r="CN668" s="39"/>
      <c r="CO668" s="39"/>
      <c r="CP668" s="39"/>
      <c r="CQ668" s="39"/>
      <c r="CR668" s="39"/>
      <c r="CS668" s="39"/>
      <c r="CT668" s="39"/>
      <c r="CU668" s="39"/>
      <c r="CV668" s="39"/>
      <c r="CW668" s="39"/>
      <c r="CX668" s="39"/>
      <c r="CY668" s="39"/>
      <c r="CZ668" s="39"/>
      <c r="DA668" s="39"/>
      <c r="DB668" s="39"/>
      <c r="DC668" s="39"/>
      <c r="DD668" s="39"/>
      <c r="DE668" s="39"/>
      <c r="DF668" s="39"/>
      <c r="DG668" s="39"/>
      <c r="DH668" s="39"/>
      <c r="DI668" s="39"/>
    </row>
    <row r="669" spans="1:113">
      <c r="A669" s="41"/>
      <c r="C669" s="48" t="s">
        <v>183</v>
      </c>
      <c r="D669" s="44" t="str">
        <f t="shared" si="160"/>
        <v>EUR 26.13</v>
      </c>
      <c r="E669" s="44" t="str">
        <f t="shared" si="160"/>
        <v>EUR 33.00</v>
      </c>
      <c r="F669" s="45">
        <f t="shared" si="160"/>
        <v>0.26291618828932273</v>
      </c>
      <c r="G669" s="44" t="str">
        <f t="shared" si="160"/>
        <v>Buy</v>
      </c>
      <c r="H669" s="46"/>
      <c r="I669" s="47">
        <f>DT!$D$11/1000</f>
        <v>130.29617367</v>
      </c>
      <c r="J669" s="47">
        <f>DT!$E$11/1000</f>
        <v>127.68317366999999</v>
      </c>
      <c r="K669" s="47">
        <f>DT!$F$11/1000</f>
        <v>127.68317366999999</v>
      </c>
      <c r="L669" s="47">
        <f>DT!$G$11/1000</f>
        <v>127.68317366999999</v>
      </c>
      <c r="M669" s="45">
        <f t="shared" si="161"/>
        <v>-6.729961133304263E-3</v>
      </c>
      <c r="N669" s="46"/>
      <c r="O669" s="47">
        <f>DT!$D$12/1000</f>
        <v>93.745999999999995</v>
      </c>
      <c r="P669" s="47">
        <f>DT!$E$12/1000</f>
        <v>101.89855132365713</v>
      </c>
      <c r="Q669" s="47">
        <f>DT!$F$12/1000</f>
        <v>105.20594967132926</v>
      </c>
      <c r="R669" s="47">
        <f>DT!$G$12/1000</f>
        <v>102.83311303293148</v>
      </c>
      <c r="S669" s="45">
        <f t="shared" si="162"/>
        <v>3.1319934560393392E-2</v>
      </c>
      <c r="T669" s="46"/>
      <c r="U669" s="48" t="str">
        <f t="shared" si="163"/>
        <v>EUR 26.13</v>
      </c>
      <c r="V669" s="69" t="str">
        <f t="shared" si="163"/>
        <v>Deutsche Telekom</v>
      </c>
      <c r="Z669" s="49"/>
      <c r="BF669" s="39"/>
      <c r="BG669" s="39"/>
      <c r="BH669" s="39"/>
      <c r="BI669" s="39"/>
      <c r="BJ669" s="39"/>
      <c r="BK669" s="39"/>
      <c r="BL669" s="39"/>
      <c r="BM669" s="39"/>
      <c r="BN669" s="39"/>
      <c r="BO669" s="39"/>
      <c r="BP669" s="39"/>
      <c r="BQ669" s="39"/>
      <c r="BR669" s="39"/>
      <c r="BS669" s="39"/>
      <c r="BT669" s="39"/>
      <c r="BU669" s="39"/>
      <c r="BV669" s="39"/>
      <c r="BW669" s="39"/>
      <c r="BX669" s="39"/>
      <c r="BY669" s="39"/>
      <c r="BZ669" s="39"/>
      <c r="CA669" s="39"/>
      <c r="CB669" s="39"/>
      <c r="CC669" s="39"/>
      <c r="CD669" s="39"/>
      <c r="CE669" s="39"/>
      <c r="CF669" s="39"/>
      <c r="CG669" s="39"/>
      <c r="CH669" s="39"/>
      <c r="CI669" s="39"/>
      <c r="CJ669" s="39"/>
      <c r="CK669" s="39"/>
      <c r="CL669" s="39"/>
      <c r="CM669" s="39"/>
      <c r="CN669" s="39"/>
      <c r="CO669" s="39"/>
      <c r="CP669" s="39"/>
      <c r="CQ669" s="39"/>
      <c r="CR669" s="39"/>
      <c r="CS669" s="39"/>
      <c r="CT669" s="39"/>
      <c r="CU669" s="39"/>
      <c r="CV669" s="39"/>
      <c r="CW669" s="39"/>
      <c r="CX669" s="39"/>
      <c r="CY669" s="39"/>
      <c r="CZ669" s="39"/>
      <c r="DA669" s="39"/>
      <c r="DB669" s="39"/>
      <c r="DC669" s="39"/>
      <c r="DD669" s="39"/>
      <c r="DE669" s="39"/>
      <c r="DF669" s="39"/>
      <c r="DG669" s="39"/>
      <c r="DH669" s="39"/>
      <c r="DI669" s="39"/>
    </row>
    <row r="670" spans="1:113">
      <c r="A670" s="41"/>
      <c r="C670" s="48" t="s">
        <v>453</v>
      </c>
      <c r="D670" s="44" t="str">
        <f t="shared" si="160"/>
        <v>EUR 3.75</v>
      </c>
      <c r="E670" s="44" t="str">
        <f t="shared" si="160"/>
        <v>EUR 3.80</v>
      </c>
      <c r="F670" s="45">
        <f t="shared" si="160"/>
        <v>1.4415376401494928E-2</v>
      </c>
      <c r="G670" s="44" t="str">
        <f t="shared" si="160"/>
        <v>Neutral</v>
      </c>
      <c r="H670" s="46"/>
      <c r="I670" s="47">
        <f>KPN!$D$11/1000</f>
        <v>14.772277593384</v>
      </c>
      <c r="J670" s="47">
        <f>KPN!$E$11/1000</f>
        <v>14.555593082480573</v>
      </c>
      <c r="K670" s="47">
        <f>KPN!$F$11/1000</f>
        <v>14.353084193785783</v>
      </c>
      <c r="L670" s="47">
        <f>KPN!$G$11/1000</f>
        <v>14.163823550145791</v>
      </c>
      <c r="M670" s="45">
        <f t="shared" si="161"/>
        <v>-1.3922575909678714E-2</v>
      </c>
      <c r="N670" s="46"/>
      <c r="O670" s="47">
        <f>KPN!$D$12/1000</f>
        <v>5.5819999999999999</v>
      </c>
      <c r="P670" s="47">
        <f>KPN!$E$12/1000</f>
        <v>5.8483174354217171</v>
      </c>
      <c r="Q670" s="47">
        <f>KPN!$F$12/1000</f>
        <v>6.3656975426254414</v>
      </c>
      <c r="R670" s="47">
        <f>KPN!$G$12/1000</f>
        <v>6.4734382215305848</v>
      </c>
      <c r="S670" s="45">
        <f t="shared" si="162"/>
        <v>5.0626599237205694E-2</v>
      </c>
      <c r="T670" s="46"/>
      <c r="U670" s="48" t="str">
        <f t="shared" si="163"/>
        <v>EUR 3.75</v>
      </c>
      <c r="V670" s="69" t="str">
        <f t="shared" si="163"/>
        <v>KPN</v>
      </c>
      <c r="Z670" s="49"/>
      <c r="BF670" s="39"/>
      <c r="BG670" s="39"/>
      <c r="BH670" s="39"/>
      <c r="BI670" s="39"/>
      <c r="BJ670" s="39"/>
      <c r="BK670" s="39"/>
      <c r="BL670" s="39"/>
      <c r="BM670" s="39"/>
      <c r="BN670" s="39"/>
      <c r="BO670" s="39"/>
      <c r="BP670" s="39"/>
      <c r="BQ670" s="39"/>
      <c r="BR670" s="39"/>
      <c r="BS670" s="39"/>
      <c r="BT670" s="39"/>
      <c r="BU670" s="39"/>
      <c r="BV670" s="39"/>
      <c r="BW670" s="39"/>
      <c r="BX670" s="39"/>
      <c r="BY670" s="39"/>
      <c r="BZ670" s="39"/>
      <c r="CA670" s="39"/>
      <c r="CB670" s="39"/>
      <c r="CC670" s="39"/>
      <c r="CD670" s="39"/>
      <c r="CE670" s="39"/>
      <c r="CF670" s="39"/>
      <c r="CG670" s="39"/>
      <c r="CH670" s="39"/>
      <c r="CI670" s="39"/>
      <c r="CJ670" s="39"/>
      <c r="CK670" s="39"/>
      <c r="CL670" s="39"/>
      <c r="CM670" s="39"/>
      <c r="CN670" s="39"/>
      <c r="CO670" s="39"/>
      <c r="CP670" s="39"/>
      <c r="CQ670" s="39"/>
      <c r="CR670" s="39"/>
      <c r="CS670" s="39"/>
      <c r="CT670" s="39"/>
      <c r="CU670" s="39"/>
      <c r="CV670" s="39"/>
      <c r="CW670" s="39"/>
      <c r="CX670" s="39"/>
      <c r="CY670" s="39"/>
      <c r="CZ670" s="39"/>
      <c r="DA670" s="39"/>
      <c r="DB670" s="39"/>
      <c r="DC670" s="39"/>
      <c r="DD670" s="39"/>
      <c r="DE670" s="39"/>
      <c r="DF670" s="39"/>
      <c r="DG670" s="39"/>
      <c r="DH670" s="39"/>
      <c r="DI670" s="39"/>
    </row>
    <row r="671" spans="1:113">
      <c r="A671" s="41"/>
      <c r="C671" s="48" t="s">
        <v>722</v>
      </c>
      <c r="D671" s="44" t="str">
        <f t="shared" si="160"/>
        <v>EUR 10.72</v>
      </c>
      <c r="E671" s="44" t="str">
        <f t="shared" si="160"/>
        <v>EUR 14.00</v>
      </c>
      <c r="F671" s="45">
        <f t="shared" si="160"/>
        <v>0.30597014925373123</v>
      </c>
      <c r="G671" s="44" t="str">
        <f t="shared" si="160"/>
        <v>Buy</v>
      </c>
      <c r="H671" s="46"/>
      <c r="I671" s="47">
        <f>ORA!$D$11/1000</f>
        <v>28.515806741280002</v>
      </c>
      <c r="J671" s="47">
        <f>ORA!$E$11/1000</f>
        <v>28.515806741280002</v>
      </c>
      <c r="K671" s="47">
        <f>ORA!$F$11/1000</f>
        <v>28.515806741280002</v>
      </c>
      <c r="L671" s="47">
        <f>ORA!$G$11/1000</f>
        <v>28.515806741280002</v>
      </c>
      <c r="M671" s="45">
        <f t="shared" si="161"/>
        <v>0</v>
      </c>
      <c r="N671" s="46"/>
      <c r="O671" s="47">
        <f>ORA!$D$12/1000</f>
        <v>27.001999999999999</v>
      </c>
      <c r="P671" s="47">
        <f>ORA!$E$12/1000</f>
        <v>22.716495750876092</v>
      </c>
      <c r="Q671" s="47">
        <f>ORA!$F$12/1000</f>
        <v>22.350913396264428</v>
      </c>
      <c r="R671" s="47">
        <f>ORA!$G$12/1000</f>
        <v>22.112900489488172</v>
      </c>
      <c r="S671" s="45">
        <f t="shared" si="162"/>
        <v>-6.4414980003878353E-2</v>
      </c>
      <c r="T671" s="46"/>
      <c r="U671" s="48" t="str">
        <f t="shared" si="163"/>
        <v>EUR 10.72</v>
      </c>
      <c r="V671" s="69" t="str">
        <f t="shared" si="163"/>
        <v>Orange</v>
      </c>
      <c r="Z671" s="49"/>
      <c r="BF671" s="39"/>
      <c r="BG671" s="39"/>
      <c r="BH671" s="39"/>
      <c r="BI671" s="39"/>
      <c r="BJ671" s="39"/>
      <c r="BK671" s="39"/>
      <c r="BL671" s="39"/>
      <c r="BM671" s="39"/>
      <c r="BN671" s="39"/>
      <c r="BO671" s="39"/>
      <c r="BP671" s="39"/>
      <c r="BQ671" s="39"/>
      <c r="BR671" s="39"/>
      <c r="BS671" s="39"/>
      <c r="BT671" s="39"/>
      <c r="BU671" s="39"/>
      <c r="BV671" s="39"/>
      <c r="BW671" s="39"/>
      <c r="BX671" s="39"/>
      <c r="BY671" s="39"/>
      <c r="BZ671" s="39"/>
      <c r="CA671" s="39"/>
      <c r="CB671" s="39"/>
      <c r="CC671" s="39"/>
      <c r="CD671" s="39"/>
      <c r="CE671" s="39"/>
      <c r="CF671" s="39"/>
      <c r="CG671" s="39"/>
      <c r="CH671" s="39"/>
      <c r="CI671" s="39"/>
      <c r="CJ671" s="39"/>
      <c r="CK671" s="39"/>
      <c r="CL671" s="39"/>
      <c r="CM671" s="39"/>
      <c r="CN671" s="39"/>
      <c r="CO671" s="39"/>
      <c r="CP671" s="39"/>
      <c r="CQ671" s="39"/>
      <c r="CR671" s="39"/>
      <c r="CS671" s="39"/>
      <c r="CT671" s="39"/>
      <c r="CU671" s="39"/>
      <c r="CV671" s="39"/>
      <c r="CW671" s="39"/>
      <c r="CX671" s="39"/>
      <c r="CY671" s="39"/>
      <c r="CZ671" s="39"/>
      <c r="DA671" s="39"/>
      <c r="DB671" s="39"/>
      <c r="DC671" s="39"/>
      <c r="DD671" s="39"/>
      <c r="DE671" s="39"/>
      <c r="DF671" s="39"/>
      <c r="DG671" s="39"/>
      <c r="DH671" s="39"/>
      <c r="DI671" s="39"/>
    </row>
    <row r="672" spans="1:113">
      <c r="A672" s="41"/>
      <c r="C672" s="48" t="s">
        <v>454</v>
      </c>
      <c r="D672" s="44" t="str">
        <f t="shared" si="160"/>
        <v>EUR 15.08</v>
      </c>
      <c r="E672" s="44" t="str">
        <f t="shared" si="160"/>
        <v>EUR 18.50</v>
      </c>
      <c r="F672" s="45">
        <f t="shared" si="160"/>
        <v>0.22679045092838201</v>
      </c>
      <c r="G672" s="44" t="str">
        <f t="shared" si="160"/>
        <v>Buy</v>
      </c>
      <c r="H672" s="46"/>
      <c r="I672" s="47">
        <f>OTE!$D$11/1000</f>
        <v>6.4007905686400006</v>
      </c>
      <c r="J672" s="47">
        <f>OTE!$D$11/1000</f>
        <v>6.4007905686400006</v>
      </c>
      <c r="K672" s="47">
        <f>OTE!$F$11/1000</f>
        <v>5.9573371578824315</v>
      </c>
      <c r="L672" s="47">
        <f>OTE!$G$11/1000</f>
        <v>5.7283800650644361</v>
      </c>
      <c r="M672" s="45">
        <f t="shared" si="161"/>
        <v>-3.6320244269855806E-2</v>
      </c>
      <c r="N672" s="46"/>
      <c r="O672" s="47">
        <f>OTE!$D$12/1000</f>
        <v>0.78320000000000001</v>
      </c>
      <c r="P672" s="47">
        <f>OTE!$E$12/1000</f>
        <v>0.78320000000000001</v>
      </c>
      <c r="Q672" s="47">
        <f>OTE!$F$12/1000</f>
        <v>0.78320000000000001</v>
      </c>
      <c r="R672" s="47">
        <f>OTE!$G$12/1000</f>
        <v>0.78320000000000001</v>
      </c>
      <c r="S672" s="45">
        <f t="shared" si="162"/>
        <v>0</v>
      </c>
      <c r="T672" s="46"/>
      <c r="U672" s="48" t="str">
        <f t="shared" si="163"/>
        <v>EUR 15.08</v>
      </c>
      <c r="V672" s="69" t="str">
        <f t="shared" si="163"/>
        <v>OTE</v>
      </c>
      <c r="Z672" s="49"/>
      <c r="BF672" s="39"/>
      <c r="BG672" s="39"/>
      <c r="BH672" s="39"/>
      <c r="BI672" s="39"/>
      <c r="BJ672" s="39"/>
      <c r="BK672" s="39"/>
      <c r="BL672" s="39"/>
      <c r="BM672" s="39"/>
      <c r="BN672" s="39"/>
      <c r="BO672" s="39"/>
      <c r="BP672" s="39"/>
      <c r="BQ672" s="39"/>
      <c r="BR672" s="39"/>
      <c r="BS672" s="39"/>
      <c r="BT672" s="39"/>
      <c r="BU672" s="39"/>
      <c r="BV672" s="39"/>
      <c r="BW672" s="39"/>
      <c r="BX672" s="39"/>
      <c r="BY672" s="39"/>
      <c r="BZ672" s="39"/>
      <c r="CA672" s="39"/>
      <c r="CB672" s="39"/>
      <c r="CC672" s="39"/>
      <c r="CD672" s="39"/>
      <c r="CE672" s="39"/>
      <c r="CF672" s="39"/>
      <c r="CG672" s="39"/>
      <c r="CH672" s="39"/>
      <c r="CI672" s="39"/>
      <c r="CJ672" s="39"/>
      <c r="CK672" s="39"/>
      <c r="CL672" s="39"/>
      <c r="CM672" s="39"/>
      <c r="CN672" s="39"/>
      <c r="CO672" s="39"/>
      <c r="CP672" s="39"/>
      <c r="CQ672" s="39"/>
      <c r="CR672" s="39"/>
      <c r="CS672" s="39"/>
      <c r="CT672" s="39"/>
      <c r="CU672" s="39"/>
      <c r="CV672" s="39"/>
      <c r="CW672" s="39"/>
      <c r="CX672" s="39"/>
      <c r="CY672" s="39"/>
      <c r="CZ672" s="39"/>
      <c r="DA672" s="39"/>
      <c r="DB672" s="39"/>
      <c r="DC672" s="39"/>
      <c r="DD672" s="39"/>
      <c r="DE672" s="39"/>
      <c r="DF672" s="39"/>
      <c r="DG672" s="39"/>
      <c r="DH672" s="39"/>
      <c r="DI672" s="39"/>
    </row>
    <row r="673" spans="1:113">
      <c r="A673" s="41"/>
      <c r="C673" s="48" t="s">
        <v>809</v>
      </c>
      <c r="D673" s="44" t="str">
        <f t="shared" si="160"/>
        <v>EUR 6.8</v>
      </c>
      <c r="E673" s="44" t="str">
        <f t="shared" si="160"/>
        <v>EUR 9.5</v>
      </c>
      <c r="F673" s="45">
        <f t="shared" si="160"/>
        <v>0.39296187683284445</v>
      </c>
      <c r="G673" s="44" t="str">
        <f t="shared" si="160"/>
        <v>Neutral</v>
      </c>
      <c r="H673" s="46"/>
      <c r="I673" s="47">
        <f>PROX!$D$11/1000</f>
        <v>2.2058276207</v>
      </c>
      <c r="J673" s="47">
        <f>PROX!$E$11/1000</f>
        <v>2.2058276207</v>
      </c>
      <c r="K673" s="47">
        <f>PROX!$F$11/1000</f>
        <v>2.2058276207</v>
      </c>
      <c r="L673" s="47">
        <f>PROX!$G$11/1000</f>
        <v>2.2058276207</v>
      </c>
      <c r="M673" s="45">
        <f t="shared" si="161"/>
        <v>0</v>
      </c>
      <c r="N673" s="46"/>
      <c r="O673" s="47">
        <f>PROX!$D$12/1000</f>
        <v>5.6509999999999998</v>
      </c>
      <c r="P673" s="47">
        <f>PROX!$E$12/1000</f>
        <v>4.1525488575867824</v>
      </c>
      <c r="Q673" s="47">
        <f>PROX!$F$12/1000</f>
        <v>4.0765845956658318</v>
      </c>
      <c r="R673" s="47">
        <f>PROX!$G$12/1000</f>
        <v>3.9736049379711402</v>
      </c>
      <c r="S673" s="45">
        <f t="shared" si="162"/>
        <v>-0.11075835555595648</v>
      </c>
      <c r="T673" s="46"/>
      <c r="U673" s="48" t="str">
        <f t="shared" ref="U673:U678" si="164">U613</f>
        <v>EUR 6.8</v>
      </c>
      <c r="V673" s="69" t="s">
        <v>809</v>
      </c>
      <c r="Z673" s="49"/>
      <c r="BF673" s="39"/>
      <c r="BG673" s="39"/>
      <c r="BH673" s="39"/>
      <c r="BI673" s="39"/>
      <c r="BJ673" s="39"/>
      <c r="BK673" s="39"/>
      <c r="BL673" s="39"/>
      <c r="BM673" s="39"/>
      <c r="BN673" s="39"/>
      <c r="BO673" s="39"/>
      <c r="BP673" s="39"/>
      <c r="BQ673" s="39"/>
      <c r="BR673" s="39"/>
      <c r="BS673" s="39"/>
      <c r="BT673" s="39"/>
      <c r="BU673" s="39"/>
      <c r="BV673" s="39"/>
      <c r="BW673" s="39"/>
      <c r="BX673" s="39"/>
      <c r="BY673" s="39"/>
      <c r="BZ673" s="39"/>
      <c r="CA673" s="39"/>
      <c r="CB673" s="39"/>
      <c r="CC673" s="39"/>
      <c r="CD673" s="39"/>
      <c r="CE673" s="39"/>
      <c r="CF673" s="39"/>
      <c r="CG673" s="39"/>
      <c r="CH673" s="39"/>
      <c r="CI673" s="39"/>
      <c r="CJ673" s="39"/>
      <c r="CK673" s="39"/>
      <c r="CL673" s="39"/>
      <c r="CM673" s="39"/>
      <c r="CN673" s="39"/>
      <c r="CO673" s="39"/>
      <c r="CP673" s="39"/>
      <c r="CQ673" s="39"/>
      <c r="CR673" s="39"/>
      <c r="CS673" s="39"/>
      <c r="CT673" s="39"/>
      <c r="CU673" s="39"/>
      <c r="CV673" s="39"/>
      <c r="CW673" s="39"/>
      <c r="CX673" s="39"/>
      <c r="CY673" s="39"/>
      <c r="CZ673" s="39"/>
      <c r="DA673" s="39"/>
      <c r="DB673" s="39"/>
      <c r="DC673" s="39"/>
      <c r="DD673" s="39"/>
      <c r="DE673" s="39"/>
      <c r="DF673" s="39"/>
      <c r="DG673" s="39"/>
      <c r="DH673" s="39"/>
      <c r="DI673" s="39"/>
    </row>
    <row r="674" spans="1:113">
      <c r="C674" s="48" t="s">
        <v>458</v>
      </c>
      <c r="D674" s="44" t="str">
        <f t="shared" si="160"/>
        <v>CHF549</v>
      </c>
      <c r="E674" s="44" t="str">
        <f t="shared" si="160"/>
        <v>CHF600</v>
      </c>
      <c r="F674" s="45">
        <f t="shared" si="160"/>
        <v>9.2896174863388081E-2</v>
      </c>
      <c r="G674" s="44" t="str">
        <f t="shared" si="160"/>
        <v>Neutral</v>
      </c>
      <c r="H674" s="46"/>
      <c r="I674" s="47">
        <f>SWISS!D$11/1000/Prices!$F$148</f>
        <v>30.395180980146147</v>
      </c>
      <c r="J674" s="47">
        <f>SWISS!E$11/1000/Prices!$F$148</f>
        <v>30.395180980146147</v>
      </c>
      <c r="K674" s="47">
        <f>SWISS!F$11/1000/Prices!$F$148</f>
        <v>30.395180980146147</v>
      </c>
      <c r="L674" s="47">
        <f>SWISS!G$11/1000/Prices!$F$148</f>
        <v>30.395180980146147</v>
      </c>
      <c r="M674" s="45">
        <f t="shared" si="161"/>
        <v>0</v>
      </c>
      <c r="N674" s="46"/>
      <c r="O674" s="47">
        <f>SWISS!D$12/1000/Prices!$F$148</f>
        <v>5.8345496481092676</v>
      </c>
      <c r="P674" s="47">
        <f>SWISS!E$12/1000/Prices!$F$148</f>
        <v>5.8345496481092676</v>
      </c>
      <c r="Q674" s="47">
        <f>SWISS!F$12/1000/Prices!$F$148</f>
        <v>5.0658995007841163</v>
      </c>
      <c r="R674" s="47">
        <f>SWISS!G$12/1000/Prices!$F$148</f>
        <v>13.204985278659372</v>
      </c>
      <c r="S674" s="45">
        <f t="shared" si="162"/>
        <v>0.31293591111288732</v>
      </c>
      <c r="T674" s="46"/>
      <c r="U674" s="48" t="str">
        <f t="shared" si="164"/>
        <v>CHF549</v>
      </c>
      <c r="V674" s="69" t="str">
        <f t="shared" ref="V674:V679" si="165">V614</f>
        <v>Swisscom</v>
      </c>
    </row>
    <row r="675" spans="1:113">
      <c r="A675" s="41"/>
      <c r="C675" s="48" t="s">
        <v>265</v>
      </c>
      <c r="D675" s="44" t="str">
        <f t="shared" si="160"/>
        <v>EUR 0.24</v>
      </c>
      <c r="E675" s="44" t="str">
        <f t="shared" si="160"/>
        <v>EUR 0.34</v>
      </c>
      <c r="F675" s="45">
        <f t="shared" si="160"/>
        <v>0.44006776789495983</v>
      </c>
      <c r="G675" s="44" t="str">
        <f t="shared" si="160"/>
        <v>Buy</v>
      </c>
      <c r="H675" s="46"/>
      <c r="I675" s="47">
        <f>TI!$D$11/1000</f>
        <v>5.1767771228589003</v>
      </c>
      <c r="J675" s="47">
        <f>TI!$E$11/1000</f>
        <v>5.1767771228589003</v>
      </c>
      <c r="K675" s="47">
        <f>TI!$F$11/1000</f>
        <v>5.1767771228589003</v>
      </c>
      <c r="L675" s="47">
        <f>TI!$G$11/1000</f>
        <v>5.1767771228589003</v>
      </c>
      <c r="M675" s="45">
        <f t="shared" si="161"/>
        <v>0</v>
      </c>
      <c r="N675" s="46"/>
      <c r="O675" s="47">
        <f>TI!$D$12/1000</f>
        <v>20.349</v>
      </c>
      <c r="P675" s="47">
        <f>TI!$E$12/1000</f>
        <v>20.409608851669525</v>
      </c>
      <c r="Q675" s="47">
        <f>TI!$F$12/1000</f>
        <v>20.330195768894054</v>
      </c>
      <c r="R675" s="47">
        <f>TI!$G$12/1000</f>
        <v>19.857410363959939</v>
      </c>
      <c r="S675" s="45">
        <f t="shared" si="162"/>
        <v>-8.1183716001473893E-3</v>
      </c>
      <c r="T675" s="46"/>
      <c r="U675" s="48" t="str">
        <f t="shared" si="164"/>
        <v>EUR 0.24</v>
      </c>
      <c r="V675" s="69" t="str">
        <f t="shared" si="165"/>
        <v>Telecom Italia</v>
      </c>
      <c r="BF675" s="39"/>
      <c r="BG675" s="39"/>
      <c r="BH675" s="39"/>
      <c r="BI675" s="39"/>
      <c r="BJ675" s="39"/>
      <c r="BK675" s="39"/>
      <c r="BL675" s="39"/>
      <c r="BM675" s="39"/>
      <c r="BN675" s="39"/>
      <c r="BO675" s="39"/>
      <c r="BP675" s="39"/>
      <c r="BQ675" s="39"/>
      <c r="BR675" s="39"/>
      <c r="BS675" s="39"/>
      <c r="BT675" s="39"/>
      <c r="BU675" s="39"/>
      <c r="BV675" s="39"/>
      <c r="BW675" s="39"/>
      <c r="BX675" s="39"/>
      <c r="BY675" s="39"/>
      <c r="BZ675" s="39"/>
      <c r="CA675" s="39"/>
      <c r="CB675" s="39"/>
      <c r="CC675" s="39"/>
      <c r="CD675" s="39"/>
      <c r="CE675" s="39"/>
      <c r="CF675" s="39"/>
      <c r="CG675" s="39"/>
      <c r="CH675" s="39"/>
      <c r="CI675" s="39"/>
      <c r="CJ675" s="39"/>
      <c r="CK675" s="39"/>
      <c r="CL675" s="39"/>
      <c r="CM675" s="39"/>
      <c r="CN675" s="39"/>
      <c r="CO675" s="39"/>
      <c r="CP675" s="39"/>
      <c r="CQ675" s="39"/>
      <c r="CR675" s="39"/>
      <c r="CS675" s="39"/>
      <c r="CT675" s="39"/>
      <c r="CU675" s="39"/>
      <c r="CV675" s="39"/>
      <c r="CW675" s="39"/>
      <c r="CX675" s="39"/>
      <c r="CY675" s="39"/>
      <c r="CZ675" s="39"/>
      <c r="DA675" s="39"/>
      <c r="DB675" s="39"/>
      <c r="DC675" s="39"/>
      <c r="DD675" s="39"/>
      <c r="DE675" s="39"/>
      <c r="DF675" s="39"/>
      <c r="DG675" s="39"/>
      <c r="DH675" s="39"/>
      <c r="DI675" s="39"/>
    </row>
    <row r="676" spans="1:113">
      <c r="A676" s="41"/>
      <c r="C676" s="48" t="s">
        <v>456</v>
      </c>
      <c r="D676" s="44" t="str">
        <f t="shared" si="160"/>
        <v>EUR 4.21</v>
      </c>
      <c r="E676" s="44" t="str">
        <f t="shared" si="160"/>
        <v>EUR 4.30</v>
      </c>
      <c r="F676" s="45">
        <f t="shared" si="160"/>
        <v>2.065036790885344E-2</v>
      </c>
      <c r="G676" s="44" t="str">
        <f t="shared" si="160"/>
        <v>Neutral</v>
      </c>
      <c r="H676" s="46"/>
      <c r="I676" s="47">
        <f>TEF!$D$11/1000</f>
        <v>23.758618055644998</v>
      </c>
      <c r="J676" s="47">
        <f>TEF!$E$11/1000</f>
        <v>23.758618055644998</v>
      </c>
      <c r="K676" s="47">
        <f>TEF!$F$11/1000</f>
        <v>23.758618055644998</v>
      </c>
      <c r="L676" s="47">
        <f>TEF!$G$11/1000</f>
        <v>23.758618055644998</v>
      </c>
      <c r="M676" s="45">
        <f t="shared" si="161"/>
        <v>0</v>
      </c>
      <c r="N676" s="46"/>
      <c r="O676" s="47">
        <f>TEF!$D$12/1000</f>
        <v>27.348720816887901</v>
      </c>
      <c r="P676" s="47">
        <f>TEF!$E$12/1000</f>
        <v>27.022592350195378</v>
      </c>
      <c r="Q676" s="47">
        <f>TEF!$F$12/1000</f>
        <v>26.015523960844707</v>
      </c>
      <c r="R676" s="47">
        <f>TEF!$G$12/1000</f>
        <v>24.954437889883664</v>
      </c>
      <c r="S676" s="45">
        <f t="shared" si="162"/>
        <v>-3.0077744563014597E-2</v>
      </c>
      <c r="T676" s="46"/>
      <c r="U676" s="48" t="str">
        <f t="shared" si="164"/>
        <v>EUR 4.21</v>
      </c>
      <c r="V676" s="69" t="str">
        <f t="shared" si="165"/>
        <v>Telefonica</v>
      </c>
      <c r="BF676" s="39"/>
      <c r="BG676" s="39"/>
      <c r="BH676" s="39"/>
      <c r="BI676" s="39"/>
      <c r="BJ676" s="39"/>
      <c r="BK676" s="39"/>
      <c r="BL676" s="39"/>
      <c r="BM676" s="39"/>
      <c r="BN676" s="39"/>
      <c r="BO676" s="39"/>
      <c r="BP676" s="39"/>
      <c r="BQ676" s="39"/>
      <c r="BR676" s="39"/>
      <c r="BS676" s="39"/>
      <c r="BT676" s="39"/>
      <c r="BU676" s="39"/>
      <c r="BV676" s="39"/>
      <c r="BW676" s="39"/>
      <c r="BX676" s="39"/>
      <c r="BY676" s="39"/>
      <c r="BZ676" s="39"/>
      <c r="CA676" s="39"/>
      <c r="CB676" s="39"/>
      <c r="CC676" s="39"/>
      <c r="CD676" s="39"/>
      <c r="CE676" s="39"/>
      <c r="CF676" s="39"/>
      <c r="CG676" s="39"/>
      <c r="CH676" s="39"/>
      <c r="CI676" s="39"/>
      <c r="CJ676" s="39"/>
      <c r="CK676" s="39"/>
      <c r="CL676" s="39"/>
      <c r="CM676" s="39"/>
      <c r="CN676" s="39"/>
      <c r="CO676" s="39"/>
      <c r="CP676" s="39"/>
      <c r="CQ676" s="39"/>
      <c r="CR676" s="39"/>
      <c r="CS676" s="39"/>
      <c r="CT676" s="39"/>
      <c r="CU676" s="39"/>
      <c r="CV676" s="39"/>
      <c r="CW676" s="39"/>
      <c r="CX676" s="39"/>
      <c r="CY676" s="39"/>
      <c r="CZ676" s="39"/>
      <c r="DA676" s="39"/>
      <c r="DB676" s="39"/>
      <c r="DC676" s="39"/>
      <c r="DD676" s="39"/>
      <c r="DE676" s="39"/>
      <c r="DF676" s="39"/>
      <c r="DG676" s="39"/>
      <c r="DH676" s="39"/>
      <c r="DI676" s="39"/>
    </row>
    <row r="677" spans="1:113">
      <c r="A677" s="41"/>
      <c r="C677" s="48" t="s">
        <v>457</v>
      </c>
      <c r="D677" s="44" t="str">
        <f t="shared" si="160"/>
        <v>NOK 135</v>
      </c>
      <c r="E677" s="44" t="str">
        <f t="shared" si="160"/>
        <v>NOK 138</v>
      </c>
      <c r="F677" s="45">
        <f t="shared" si="160"/>
        <v>2.3738872403560762E-2</v>
      </c>
      <c r="G677" s="44" t="str">
        <f t="shared" si="160"/>
        <v>Buy</v>
      </c>
      <c r="H677" s="46"/>
      <c r="I677" s="47">
        <f>TNOR!D$11/1000/Prices!$F$157</f>
        <v>15.859513273452098</v>
      </c>
      <c r="J677" s="47">
        <f>TNOR!E$11/1000/Prices!$F$157</f>
        <v>15.85548670295937</v>
      </c>
      <c r="K677" s="47">
        <f>TNOR!F$11/1000/Prices!$F$157</f>
        <v>15.85548670295937</v>
      </c>
      <c r="L677" s="47">
        <f>TNOR!G$11/1000/Prices!$F$157</f>
        <v>15.85548670295937</v>
      </c>
      <c r="M677" s="45">
        <f t="shared" si="161"/>
        <v>-8.4637135241094619E-5</v>
      </c>
      <c r="N677" s="46"/>
      <c r="O677" s="47">
        <f>TNOR!D$12/1000/Prices!$F$157</f>
        <v>6.7765343365213511</v>
      </c>
      <c r="P677" s="47">
        <f>TNOR!E$12/1000/Prices!$F$157</f>
        <v>6.6192549372800409</v>
      </c>
      <c r="Q677" s="47">
        <f>TNOR!F$12/1000/Prices!$F$157</f>
        <v>6.4695242161145128</v>
      </c>
      <c r="R677" s="47">
        <f>TNOR!G$12/1000/Prices!$F$157</f>
        <v>6.6056981354272404</v>
      </c>
      <c r="S677" s="45">
        <f t="shared" si="162"/>
        <v>-8.4749438121861642E-3</v>
      </c>
      <c r="T677" s="46"/>
      <c r="U677" s="48" t="str">
        <f t="shared" si="164"/>
        <v>NOK 135</v>
      </c>
      <c r="V677" s="44" t="str">
        <f t="shared" si="165"/>
        <v>Telenor</v>
      </c>
      <c r="BF677" s="39"/>
      <c r="BG677" s="39"/>
      <c r="BH677" s="39"/>
      <c r="BI677" s="39"/>
      <c r="BJ677" s="39"/>
      <c r="BK677" s="39"/>
      <c r="BL677" s="39"/>
      <c r="BM677" s="39"/>
      <c r="BN677" s="39"/>
      <c r="BO677" s="39"/>
      <c r="BP677" s="39"/>
      <c r="BQ677" s="39"/>
      <c r="BR677" s="39"/>
      <c r="BS677" s="39"/>
      <c r="BT677" s="39"/>
      <c r="BU677" s="39"/>
      <c r="BV677" s="39"/>
      <c r="BW677" s="39"/>
      <c r="BX677" s="39"/>
      <c r="BY677" s="39"/>
      <c r="BZ677" s="39"/>
      <c r="CA677" s="39"/>
      <c r="CB677" s="39"/>
      <c r="CC677" s="39"/>
      <c r="CD677" s="39"/>
      <c r="CE677" s="39"/>
      <c r="CF677" s="39"/>
      <c r="CG677" s="39"/>
      <c r="CH677" s="39"/>
      <c r="CI677" s="39"/>
      <c r="CJ677" s="39"/>
      <c r="CK677" s="39"/>
      <c r="CL677" s="39"/>
      <c r="CM677" s="39"/>
      <c r="CN677" s="39"/>
      <c r="CO677" s="39"/>
      <c r="CP677" s="39"/>
      <c r="CQ677" s="39"/>
      <c r="CR677" s="39"/>
      <c r="CS677" s="39"/>
      <c r="CT677" s="39"/>
      <c r="CU677" s="39"/>
      <c r="CV677" s="39"/>
      <c r="CW677" s="39"/>
      <c r="CX677" s="39"/>
      <c r="CY677" s="39"/>
      <c r="CZ677" s="39"/>
      <c r="DA677" s="39"/>
      <c r="DB677" s="39"/>
      <c r="DC677" s="39"/>
      <c r="DD677" s="39"/>
      <c r="DE677" s="39"/>
      <c r="DF677" s="39"/>
      <c r="DG677" s="39"/>
      <c r="DH677" s="39"/>
      <c r="DI677" s="39"/>
    </row>
    <row r="678" spans="1:113">
      <c r="A678" s="41"/>
      <c r="C678" s="48" t="s">
        <v>1030</v>
      </c>
      <c r="D678" s="44" t="str">
        <f t="shared" si="160"/>
        <v>SEK33.4</v>
      </c>
      <c r="E678" s="44" t="str">
        <f t="shared" si="160"/>
        <v>SEK33.0</v>
      </c>
      <c r="F678" s="45">
        <f t="shared" si="160"/>
        <v>-1.2567324955116699E-2</v>
      </c>
      <c r="G678" s="44" t="str">
        <f t="shared" si="160"/>
        <v>Buy</v>
      </c>
      <c r="H678" s="46"/>
      <c r="I678" s="47">
        <f>TELIA!D$11/1000/Prices!$F$158</f>
        <v>11.570278929266806</v>
      </c>
      <c r="J678" s="47">
        <f>TELIA!E$11/1000/Prices!$F$158</f>
        <v>11.570278929266806</v>
      </c>
      <c r="K678" s="47">
        <f>TELIA!F$11/1000/Prices!$F$158</f>
        <v>11.570278929266806</v>
      </c>
      <c r="L678" s="47">
        <f>TELIA!G$11/1000/Prices!$F$158</f>
        <v>11.570278929266806</v>
      </c>
      <c r="M678" s="45">
        <f t="shared" si="161"/>
        <v>0</v>
      </c>
      <c r="N678" s="46"/>
      <c r="O678" s="47">
        <f>TELIA!D$12/1000/Prices!$F$158</f>
        <v>4.8532958960423862</v>
      </c>
      <c r="P678" s="47">
        <f>TELIA!E$12/1000/Prices!$F$158</f>
        <v>4.0526607953532618</v>
      </c>
      <c r="Q678" s="47">
        <f>TELIA!F$12/1000/Prices!$F$158</f>
        <v>3.9847493753415915</v>
      </c>
      <c r="R678" s="47">
        <f>TELIA!G$12/1000/Prices!$F$158</f>
        <v>3.9311537900224365</v>
      </c>
      <c r="S678" s="45">
        <f t="shared" si="162"/>
        <v>-6.7831503841489504E-2</v>
      </c>
      <c r="T678" s="46"/>
      <c r="U678" s="48" t="str">
        <f t="shared" si="164"/>
        <v>SEK33.4</v>
      </c>
      <c r="V678" s="44" t="str">
        <f t="shared" si="165"/>
        <v>Telia</v>
      </c>
      <c r="BF678" s="39"/>
      <c r="BG678" s="39"/>
      <c r="BH678" s="39"/>
      <c r="BI678" s="39"/>
      <c r="BJ678" s="39"/>
      <c r="BK678" s="39"/>
      <c r="BL678" s="39"/>
      <c r="BM678" s="39"/>
      <c r="BN678" s="39"/>
      <c r="BO678" s="39"/>
      <c r="BP678" s="39"/>
      <c r="BQ678" s="39"/>
      <c r="BR678" s="39"/>
      <c r="BS678" s="39"/>
      <c r="BT678" s="39"/>
      <c r="BU678" s="39"/>
      <c r="BV678" s="39"/>
      <c r="BW678" s="39"/>
      <c r="BX678" s="39"/>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row>
    <row r="679" spans="1:113">
      <c r="A679" s="41"/>
      <c r="C679" s="51" t="str">
        <f>C619</f>
        <v>Agg. W.Europe Incumbent</v>
      </c>
      <c r="D679" s="52"/>
      <c r="E679" s="52"/>
      <c r="F679" s="53"/>
      <c r="G679" s="52"/>
      <c r="H679" s="46"/>
      <c r="I679" s="54">
        <f>'W.EUR INCUMB'!$D$11/1000</f>
        <v>285.63911341531542</v>
      </c>
      <c r="J679" s="54">
        <f>'W.EUR INCUMB'!$E$11/1000</f>
        <v>282.55532005599264</v>
      </c>
      <c r="K679" s="54">
        <f>'W.EUR INCUMB'!$F$11/1000</f>
        <v>282.05705702661061</v>
      </c>
      <c r="L679" s="54">
        <f>'W.EUR INCUMB'!$G$11/1000</f>
        <v>281.58764778622441</v>
      </c>
      <c r="M679" s="55">
        <f t="shared" si="161"/>
        <v>-4.7504852145310306E-3</v>
      </c>
      <c r="N679" s="56"/>
      <c r="O679" s="54">
        <f>'W.EUR INCUMB'!$D$12/1000</f>
        <v>215.14305195500071</v>
      </c>
      <c r="P679" s="54">
        <f>'W.EUR INCUMB'!$E$12/1000</f>
        <v>217.36828112582606</v>
      </c>
      <c r="Q679" s="54">
        <f>'W.EUR INCUMB'!$F$12/1000</f>
        <v>219.15965599149538</v>
      </c>
      <c r="R679" s="54">
        <f>'W.EUR INCUMB'!$G$12/1000</f>
        <v>223.62067144723289</v>
      </c>
      <c r="S679" s="55">
        <f t="shared" si="162"/>
        <v>1.2966012642578351E-2</v>
      </c>
      <c r="T679" s="46"/>
      <c r="U679" s="57"/>
      <c r="V679" s="58" t="str">
        <f t="shared" si="165"/>
        <v>Agg. W.Europe Incumbent</v>
      </c>
      <c r="BF679" s="39"/>
      <c r="BG679" s="39"/>
      <c r="BH679" s="39"/>
      <c r="BI679" s="39"/>
      <c r="BJ679" s="39"/>
      <c r="BK679" s="39"/>
      <c r="BL679" s="39"/>
      <c r="BM679" s="39"/>
      <c r="BN679" s="39"/>
      <c r="BO679" s="39"/>
      <c r="BP679" s="39"/>
      <c r="BQ679" s="39"/>
      <c r="BR679" s="39"/>
      <c r="BS679" s="39"/>
      <c r="BT679" s="39"/>
      <c r="BU679" s="39"/>
      <c r="BV679" s="39"/>
      <c r="BW679" s="39"/>
      <c r="BX679" s="39"/>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row>
    <row r="680" spans="1:113">
      <c r="A680" s="41"/>
      <c r="C680" s="48"/>
      <c r="D680" s="44"/>
      <c r="E680" s="44"/>
      <c r="F680" s="45"/>
      <c r="G680" s="44"/>
      <c r="H680" s="46"/>
      <c r="I680" s="47"/>
      <c r="J680" s="47"/>
      <c r="K680" s="47"/>
      <c r="L680" s="47"/>
      <c r="M680" s="45"/>
      <c r="N680" s="46"/>
      <c r="O680" s="47"/>
      <c r="P680" s="47"/>
      <c r="Q680" s="47"/>
      <c r="R680" s="47"/>
      <c r="S680" s="45"/>
      <c r="T680" s="46"/>
      <c r="U680" s="48"/>
      <c r="V680" s="44"/>
      <c r="BF680" s="39"/>
      <c r="BG680" s="39"/>
      <c r="BH680" s="39"/>
      <c r="BI680" s="39"/>
      <c r="BJ680" s="39"/>
      <c r="BK680" s="39"/>
      <c r="BL680" s="39"/>
      <c r="BM680" s="39"/>
      <c r="BN680" s="39"/>
      <c r="BO680" s="39"/>
      <c r="BP680" s="39"/>
      <c r="BQ680" s="39"/>
      <c r="BR680" s="39"/>
      <c r="BS680" s="39"/>
      <c r="BT680" s="39"/>
      <c r="BU680" s="39"/>
      <c r="BV680" s="39"/>
      <c r="BW680" s="39"/>
      <c r="BX680" s="39"/>
      <c r="BY680" s="39"/>
      <c r="BZ680" s="39"/>
      <c r="CA680" s="39"/>
      <c r="CB680" s="39"/>
      <c r="CC680" s="39"/>
      <c r="CD680" s="39"/>
      <c r="CE680" s="39"/>
      <c r="CF680" s="39"/>
      <c r="CG680" s="39"/>
      <c r="CH680" s="39"/>
      <c r="CI680" s="39"/>
      <c r="CJ680" s="39"/>
      <c r="CK680" s="39"/>
      <c r="CL680" s="39"/>
      <c r="CM680" s="39"/>
      <c r="CN680" s="39"/>
      <c r="CO680" s="39"/>
      <c r="CP680" s="39"/>
      <c r="CQ680" s="39"/>
      <c r="CR680" s="39"/>
      <c r="CS680" s="39"/>
      <c r="CT680" s="39"/>
      <c r="CU680" s="39"/>
      <c r="CV680" s="39"/>
      <c r="CW680" s="39"/>
      <c r="CX680" s="39"/>
      <c r="CY680" s="39"/>
      <c r="CZ680" s="39"/>
      <c r="DA680" s="39"/>
      <c r="DB680" s="39"/>
      <c r="DC680" s="39"/>
      <c r="DD680" s="39"/>
      <c r="DE680" s="39"/>
      <c r="DF680" s="39"/>
      <c r="DG680" s="39"/>
      <c r="DH680" s="39"/>
      <c r="DI680" s="39"/>
    </row>
    <row r="681" spans="1:113">
      <c r="A681" s="41"/>
      <c r="B681" s="42" t="s">
        <v>514</v>
      </c>
      <c r="C681" s="48" t="s">
        <v>486</v>
      </c>
      <c r="D681" s="44" t="str">
        <f>B681&amp;TEXT(Prices!$C$40,"0.0")</f>
        <v>US$20.7</v>
      </c>
      <c r="E681" s="44" t="str">
        <f>B681&amp;TEXT(Prices!$E$40,"0.00")</f>
        <v>US$21.00</v>
      </c>
      <c r="F681" s="45">
        <f>Prices!$F$40</f>
        <v>1.6949152542373058E-2</v>
      </c>
      <c r="G681" s="44" t="str">
        <f>Prices!$D$40</f>
        <v>Neutral</v>
      </c>
      <c r="H681" s="46"/>
      <c r="I681" s="47">
        <f>ATT!D$11/1000</f>
        <v>148.40122499999998</v>
      </c>
      <c r="J681" s="47">
        <f>ATT!E$11/1000</f>
        <v>148.49414999999999</v>
      </c>
      <c r="K681" s="47">
        <f>ATT!F$11/1000</f>
        <v>148.49414999999999</v>
      </c>
      <c r="L681" s="47">
        <f>ATT!G$11/1000</f>
        <v>148.49414999999999</v>
      </c>
      <c r="M681" s="45">
        <f>(L681/I681)^(1/3)-1</f>
        <v>2.0868114128314019E-4</v>
      </c>
      <c r="N681" s="46"/>
      <c r="O681" s="47">
        <f>ATT!D$12/1000</f>
        <v>130.60900000000001</v>
      </c>
      <c r="P681" s="47">
        <f>ATT!E$12/1000</f>
        <v>121.26260842952378</v>
      </c>
      <c r="Q681" s="47">
        <f>ATT!F$12/1000</f>
        <v>111.91458475733302</v>
      </c>
      <c r="R681" s="47">
        <f>ATT!G$12/1000</f>
        <v>102.01765874716072</v>
      </c>
      <c r="S681" s="45">
        <f>(R681/O681)^(1/3)-1</f>
        <v>-7.9054176454394387E-2</v>
      </c>
      <c r="T681" s="46"/>
      <c r="U681" s="48" t="str">
        <f>D681</f>
        <v>US$20.7</v>
      </c>
      <c r="V681" s="44" t="str">
        <f>C681</f>
        <v xml:space="preserve">AT&amp;T </v>
      </c>
      <c r="BF681" s="39"/>
      <c r="BG681" s="39"/>
      <c r="BH681" s="39"/>
      <c r="BI681" s="39"/>
      <c r="BJ681" s="39"/>
      <c r="BK681" s="39"/>
      <c r="BL681" s="39"/>
      <c r="BM681" s="39"/>
      <c r="BN681" s="39"/>
      <c r="BO681" s="39"/>
      <c r="BP681" s="39"/>
      <c r="BQ681" s="39"/>
      <c r="BR681" s="39"/>
      <c r="BS681" s="39"/>
      <c r="BT681" s="39"/>
      <c r="BU681" s="39"/>
      <c r="BV681" s="39"/>
      <c r="BW681" s="39"/>
      <c r="BX681" s="39"/>
      <c r="BY681" s="39"/>
      <c r="BZ681" s="39"/>
      <c r="CA681" s="39"/>
      <c r="CB681" s="39"/>
      <c r="CC681" s="39"/>
      <c r="CD681" s="39"/>
      <c r="CE681" s="39"/>
      <c r="CF681" s="39"/>
      <c r="CG681" s="39"/>
      <c r="CH681" s="39"/>
      <c r="CI681" s="39"/>
      <c r="CJ681" s="39"/>
      <c r="CK681" s="39"/>
      <c r="CL681" s="39"/>
      <c r="CM681" s="39"/>
      <c r="CN681" s="39"/>
      <c r="CO681" s="39"/>
      <c r="CP681" s="39"/>
      <c r="CQ681" s="39"/>
      <c r="CR681" s="39"/>
      <c r="CS681" s="39"/>
      <c r="CT681" s="39"/>
      <c r="CU681" s="39"/>
      <c r="CV681" s="39"/>
      <c r="CW681" s="39"/>
      <c r="CX681" s="39"/>
      <c r="CY681" s="39"/>
      <c r="CZ681" s="39"/>
      <c r="DA681" s="39"/>
      <c r="DB681" s="39"/>
      <c r="DC681" s="39"/>
      <c r="DD681" s="39"/>
      <c r="DE681" s="39"/>
      <c r="DF681" s="39"/>
      <c r="DG681" s="39"/>
      <c r="DH681" s="39"/>
      <c r="DI681" s="39"/>
    </row>
    <row r="682" spans="1:113">
      <c r="B682" s="42" t="s">
        <v>514</v>
      </c>
      <c r="C682" s="48" t="s">
        <v>687</v>
      </c>
      <c r="D682" s="44" t="str">
        <f>B682&amp;TEXT(Prices!$C$41,"0.0")</f>
        <v>US$197.2</v>
      </c>
      <c r="E682" s="44" t="str">
        <f>B682&amp;TEXT(Prices!$E$41,"0.0")</f>
        <v>US$205.0</v>
      </c>
      <c r="F682" s="45">
        <f>Prices!$F$41</f>
        <v>3.9659194644487306E-2</v>
      </c>
      <c r="G682" s="44" t="str">
        <f>Prices!$D$41</f>
        <v>Buy</v>
      </c>
      <c r="H682" s="46"/>
      <c r="I682" s="47">
        <f>TMUS!D$11/1000</f>
        <v>244.70197351016998</v>
      </c>
      <c r="J682" s="47">
        <f>TMUS!E$11/1000</f>
        <v>228.62294046077238</v>
      </c>
      <c r="K682" s="47">
        <f>TMUS!F$11/1000</f>
        <v>206.7731032753714</v>
      </c>
      <c r="L682" s="47">
        <f>TMUS!G$11/1000</f>
        <v>186.58319132349328</v>
      </c>
      <c r="M682" s="45">
        <f>(L682/I682)^(1/3)-1</f>
        <v>-8.6423299393016406E-2</v>
      </c>
      <c r="N682" s="46"/>
      <c r="O682" s="47">
        <f>TMUS!D$12/1000</f>
        <v>66.741</v>
      </c>
      <c r="P682" s="47">
        <f>TMUS!E$12/1000</f>
        <v>73.519440882862867</v>
      </c>
      <c r="Q682" s="47">
        <f>TMUS!F$12/1000</f>
        <v>78.378854461961197</v>
      </c>
      <c r="R682" s="47">
        <f>TMUS!G$12/1000</f>
        <v>83.108981461362163</v>
      </c>
      <c r="S682" s="45">
        <f>(R682/O682)^(1/3)-1</f>
        <v>7.5850064192702016E-2</v>
      </c>
      <c r="T682" s="46"/>
      <c r="U682" s="48" t="str">
        <f>D682</f>
        <v>US$197.2</v>
      </c>
      <c r="V682" s="44" t="str">
        <f>C682</f>
        <v>TMUS</v>
      </c>
      <c r="BF682" s="39"/>
      <c r="BG682" s="39"/>
      <c r="BH682" s="39"/>
      <c r="BI682" s="39"/>
      <c r="BJ682" s="39"/>
      <c r="BK682" s="39"/>
      <c r="BL682" s="39"/>
      <c r="BM682" s="39"/>
      <c r="BN682" s="39"/>
      <c r="BO682" s="39"/>
      <c r="BP682" s="39"/>
      <c r="BQ682" s="39"/>
      <c r="BR682" s="39"/>
      <c r="BS682" s="39"/>
      <c r="BT682" s="39"/>
      <c r="BU682" s="39"/>
      <c r="BV682" s="39"/>
      <c r="BW682" s="39"/>
      <c r="BX682" s="39"/>
      <c r="BY682" s="39"/>
      <c r="BZ682" s="39"/>
      <c r="CA682" s="39"/>
      <c r="CB682" s="39"/>
      <c r="CC682" s="39"/>
      <c r="CD682" s="39"/>
      <c r="CE682" s="39"/>
      <c r="CF682" s="39"/>
      <c r="CG682" s="39"/>
      <c r="CH682" s="39"/>
      <c r="CI682" s="39"/>
      <c r="CJ682" s="39"/>
      <c r="CK682" s="39"/>
      <c r="CL682" s="39"/>
      <c r="CM682" s="39"/>
      <c r="CN682" s="39"/>
      <c r="CO682" s="39"/>
      <c r="CP682" s="39"/>
      <c r="CQ682" s="39"/>
      <c r="CR682" s="39"/>
      <c r="CS682" s="39"/>
      <c r="CT682" s="39"/>
      <c r="CU682" s="39"/>
      <c r="CV682" s="39"/>
      <c r="CW682" s="39"/>
      <c r="CX682" s="39"/>
      <c r="CY682" s="39"/>
      <c r="CZ682" s="39"/>
      <c r="DA682" s="39"/>
      <c r="DB682" s="39"/>
      <c r="DC682" s="39"/>
      <c r="DD682" s="39"/>
      <c r="DE682" s="39"/>
      <c r="DF682" s="39"/>
      <c r="DG682" s="39"/>
      <c r="DH682" s="39"/>
      <c r="DI682" s="39"/>
    </row>
    <row r="683" spans="1:113">
      <c r="A683" s="41"/>
      <c r="B683" s="42" t="s">
        <v>514</v>
      </c>
      <c r="C683" s="48" t="s">
        <v>33</v>
      </c>
      <c r="D683" s="44" t="str">
        <f>B683&amp;TEXT(Prices!$C$39,"0.0")</f>
        <v>US$41.3</v>
      </c>
      <c r="E683" s="44" t="str">
        <f>B683&amp;TEXT(Prices!$E$39,"0.00")</f>
        <v>US$45.00</v>
      </c>
      <c r="F683" s="45">
        <f>Prices!$F$39</f>
        <v>8.9324618736383421E-2</v>
      </c>
      <c r="G683" s="44" t="str">
        <f>Prices!$D$39</f>
        <v>Neutral</v>
      </c>
      <c r="H683" s="46"/>
      <c r="I683" s="47">
        <f>VZN!D$11/1000</f>
        <v>198.07663499999998</v>
      </c>
      <c r="J683" s="47">
        <f>VZN!E$11/1000</f>
        <v>198.10013999999998</v>
      </c>
      <c r="K683" s="47">
        <f>VZN!F$11/1000</f>
        <v>198.10013999999998</v>
      </c>
      <c r="L683" s="47">
        <f>VZN!G$11/1000</f>
        <v>198.10013999999998</v>
      </c>
      <c r="M683" s="45">
        <f>(L683/I683)^(1/3)-1</f>
        <v>3.9553832807737166E-5</v>
      </c>
      <c r="N683" s="46"/>
      <c r="O683" s="47">
        <f>VZN!D$12/1000</f>
        <v>124.994</v>
      </c>
      <c r="P683" s="47">
        <f>VZN!E$12/1000</f>
        <v>118.06582954521515</v>
      </c>
      <c r="Q683" s="47">
        <f>VZN!F$12/1000</f>
        <v>110.12354006926986</v>
      </c>
      <c r="R683" s="47">
        <f>VZN!G$12/1000</f>
        <v>101.70740937903604</v>
      </c>
      <c r="S683" s="45">
        <f>(R683/O683)^(1/3)-1</f>
        <v>-6.6413688488832445E-2</v>
      </c>
      <c r="T683" s="46"/>
      <c r="U683" s="48" t="str">
        <f>D683</f>
        <v>US$41.3</v>
      </c>
      <c r="V683" s="44" t="str">
        <f>C683</f>
        <v>Verizon</v>
      </c>
      <c r="BF683" s="39"/>
      <c r="BG683" s="39"/>
      <c r="BH683" s="39"/>
      <c r="BI683" s="39"/>
      <c r="BJ683" s="39"/>
      <c r="BK683" s="39"/>
      <c r="BL683" s="39"/>
      <c r="BM683" s="39"/>
      <c r="BN683" s="39"/>
      <c r="BO683" s="39"/>
      <c r="BP683" s="39"/>
      <c r="BQ683" s="39"/>
      <c r="BR683" s="39"/>
      <c r="BS683" s="39"/>
      <c r="BT683" s="39"/>
      <c r="BU683" s="39"/>
      <c r="BV683" s="39"/>
      <c r="BW683" s="39"/>
      <c r="BX683" s="39"/>
      <c r="BY683" s="39"/>
      <c r="BZ683" s="39"/>
      <c r="CA683" s="39"/>
      <c r="CB683" s="39"/>
      <c r="CC683" s="39"/>
      <c r="CD683" s="39"/>
      <c r="CE683" s="39"/>
      <c r="CF683" s="39"/>
      <c r="CG683" s="39"/>
      <c r="CH683" s="39"/>
      <c r="CI683" s="39"/>
      <c r="CJ683" s="39"/>
      <c r="CK683" s="39"/>
      <c r="CL683" s="39"/>
      <c r="CM683" s="39"/>
      <c r="CN683" s="39"/>
      <c r="CO683" s="39"/>
      <c r="CP683" s="39"/>
      <c r="CQ683" s="39"/>
      <c r="CR683" s="39"/>
      <c r="CS683" s="39"/>
      <c r="CT683" s="39"/>
      <c r="CU683" s="39"/>
      <c r="CV683" s="39"/>
      <c r="CW683" s="39"/>
      <c r="CX683" s="39"/>
      <c r="CY683" s="39"/>
      <c r="CZ683" s="39"/>
      <c r="DA683" s="39"/>
      <c r="DB683" s="39"/>
      <c r="DC683" s="39"/>
      <c r="DD683" s="39"/>
      <c r="DE683" s="39"/>
      <c r="DF683" s="39"/>
      <c r="DG683" s="39"/>
      <c r="DH683" s="39"/>
      <c r="DI683" s="39"/>
    </row>
    <row r="684" spans="1:113">
      <c r="A684" s="41"/>
      <c r="C684" s="51" t="s">
        <v>257</v>
      </c>
      <c r="D684" s="52"/>
      <c r="E684" s="52"/>
      <c r="F684" s="53"/>
      <c r="G684" s="52"/>
      <c r="H684" s="46"/>
      <c r="I684" s="54">
        <f>'US TELCO'!D$11/1000</f>
        <v>591.17983351016994</v>
      </c>
      <c r="J684" s="54">
        <f>'US TELCO'!E$11/1000</f>
        <v>575.21723046077227</v>
      </c>
      <c r="K684" s="54">
        <f>'US TELCO'!F$11/1000</f>
        <v>553.36739327537146</v>
      </c>
      <c r="L684" s="54">
        <f>'US TELCO'!G$11/1000</f>
        <v>533.17748132349334</v>
      </c>
      <c r="M684" s="55">
        <f>(L684/I684)^(1/3)-1</f>
        <v>-3.3836271439161902E-2</v>
      </c>
      <c r="N684" s="46"/>
      <c r="O684" s="54">
        <f>'US TELCO'!D$12/1000</f>
        <v>322.34399999999999</v>
      </c>
      <c r="P684" s="54">
        <f>'US TELCO'!E$12/1000</f>
        <v>312.84787885760176</v>
      </c>
      <c r="Q684" s="54">
        <f>'US TELCO'!F$12/1000</f>
        <v>300.41697928856405</v>
      </c>
      <c r="R684" s="54">
        <f>'US TELCO'!G$12/1000</f>
        <v>286.83404958755892</v>
      </c>
      <c r="S684" s="55">
        <f>(R684/O684)^(1/3)-1</f>
        <v>-3.8158072226600392E-2</v>
      </c>
      <c r="T684" s="46"/>
      <c r="U684" s="57"/>
      <c r="V684" s="58" t="str">
        <f>C684</f>
        <v>Agg. US Telecoms</v>
      </c>
      <c r="BF684" s="39"/>
      <c r="BG684" s="39"/>
      <c r="BH684" s="39"/>
      <c r="BI684" s="39"/>
      <c r="BJ684" s="39"/>
      <c r="BK684" s="39"/>
      <c r="BL684" s="39"/>
      <c r="BM684" s="39"/>
      <c r="BN684" s="39"/>
      <c r="BO684" s="39"/>
      <c r="BP684" s="39"/>
      <c r="BQ684" s="39"/>
      <c r="BR684" s="39"/>
      <c r="BS684" s="39"/>
      <c r="BT684" s="39"/>
      <c r="BU684" s="39"/>
      <c r="BV684" s="39"/>
      <c r="BW684" s="39"/>
      <c r="BX684" s="39"/>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row>
    <row r="685" spans="1:113">
      <c r="A685" s="41"/>
      <c r="C685" s="48"/>
      <c r="D685" s="44"/>
      <c r="E685" s="44"/>
      <c r="F685" s="45"/>
      <c r="G685" s="44"/>
      <c r="H685" s="46"/>
      <c r="I685" s="47"/>
      <c r="J685" s="47"/>
      <c r="K685" s="47"/>
      <c r="L685" s="47"/>
      <c r="M685" s="45"/>
      <c r="N685" s="46"/>
      <c r="O685" s="47"/>
      <c r="P685" s="47"/>
      <c r="Q685" s="47"/>
      <c r="R685" s="47"/>
      <c r="S685" s="45"/>
      <c r="T685" s="46"/>
      <c r="U685" s="48"/>
      <c r="V685" s="44"/>
      <c r="BF685" s="39"/>
      <c r="BG685" s="39"/>
      <c r="BH685" s="39"/>
      <c r="BI685" s="39"/>
      <c r="BJ685" s="39"/>
      <c r="BK685" s="39"/>
      <c r="BL685" s="39"/>
      <c r="BM685" s="39"/>
      <c r="BN685" s="39"/>
      <c r="BO685" s="39"/>
      <c r="BP685" s="39"/>
      <c r="BQ685" s="39"/>
      <c r="BR685" s="39"/>
      <c r="BS685" s="39"/>
      <c r="BT685" s="39"/>
      <c r="BU685" s="39"/>
      <c r="BV685" s="39"/>
      <c r="BW685" s="39"/>
      <c r="BX685" s="39"/>
      <c r="BY685" s="39"/>
      <c r="BZ685" s="39"/>
      <c r="CA685" s="39"/>
      <c r="CB685" s="39"/>
      <c r="CC685" s="39"/>
      <c r="CD685" s="39"/>
      <c r="CE685" s="39"/>
      <c r="CF685" s="39"/>
      <c r="CG685" s="39"/>
      <c r="CH685" s="39"/>
      <c r="CI685" s="39"/>
      <c r="CJ685" s="39"/>
      <c r="CK685" s="39"/>
      <c r="CL685" s="39"/>
      <c r="CM685" s="39"/>
      <c r="CN685" s="39"/>
      <c r="CO685" s="39"/>
      <c r="CP685" s="39"/>
      <c r="CQ685" s="39"/>
      <c r="CR685" s="39"/>
      <c r="CS685" s="39"/>
      <c r="CT685" s="39"/>
      <c r="CU685" s="39"/>
      <c r="CV685" s="39"/>
      <c r="CW685" s="39"/>
      <c r="CX685" s="39"/>
      <c r="CY685" s="39"/>
      <c r="CZ685" s="39"/>
      <c r="DA685" s="39"/>
      <c r="DB685" s="39"/>
      <c r="DC685" s="39"/>
      <c r="DD685" s="39"/>
      <c r="DE685" s="39"/>
      <c r="DF685" s="39"/>
      <c r="DG685" s="39"/>
      <c r="DH685" s="39"/>
      <c r="DI685" s="39"/>
    </row>
    <row r="686" spans="1:113">
      <c r="A686" s="41"/>
      <c r="C686" s="48" t="str">
        <f t="shared" ref="C686:G689" si="166">C626</f>
        <v>NTT</v>
      </c>
      <c r="D686" s="44" t="str">
        <f t="shared" si="166"/>
        <v>JPY 156</v>
      </c>
      <c r="E686" s="44" t="str">
        <f t="shared" si="166"/>
        <v>JPY 240</v>
      </c>
      <c r="F686" s="45">
        <f t="shared" si="166"/>
        <v>0.54340836012861726</v>
      </c>
      <c r="G686" s="44" t="str">
        <f t="shared" si="166"/>
        <v>Buy</v>
      </c>
      <c r="H686" s="46"/>
      <c r="I686" s="47">
        <f>NTT!$D$11/Prices!$C$161</f>
        <v>91.581847624617041</v>
      </c>
      <c r="J686" s="47">
        <f>NTT!$E$11/Prices!$C$161</f>
        <v>89.911291354337465</v>
      </c>
      <c r="K686" s="47">
        <f>NTT!$F$11/Prices!$C$161</f>
        <v>88.240735084057889</v>
      </c>
      <c r="L686" s="47">
        <f>NTT!$G$11/Prices!$C$161</f>
        <v>86.570178813778313</v>
      </c>
      <c r="M686" s="45">
        <f t="shared" ref="M686:M690" si="167">(L686/I686)^(1/3)-1</f>
        <v>-1.8584367894405651E-2</v>
      </c>
      <c r="N686" s="46"/>
      <c r="O686" s="47">
        <f>NTT!$D$12/Prices!$C$161</f>
        <v>42.483107552006103</v>
      </c>
      <c r="P686" s="47">
        <f>NTT!$E$12/Prices!$C$161</f>
        <v>42.132881607240094</v>
      </c>
      <c r="Q686" s="47">
        <f>NTT!$F$12/Prices!$C$161</f>
        <v>41.782655662474092</v>
      </c>
      <c r="R686" s="47">
        <f>NTT!$G$12/Prices!$C$161</f>
        <v>41.432429717708082</v>
      </c>
      <c r="S686" s="45">
        <f t="shared" ref="S686:S690" si="168">(R686/O686)^(1/3)-1</f>
        <v>-8.3127982944555256E-3</v>
      </c>
      <c r="T686" s="46"/>
      <c r="U686" s="48" t="str">
        <f t="shared" ref="U686:V689" si="169">U626</f>
        <v>JPY 156</v>
      </c>
      <c r="V686" s="44" t="str">
        <f t="shared" si="169"/>
        <v>NTT</v>
      </c>
      <c r="BF686" s="39"/>
      <c r="BG686" s="39"/>
      <c r="BH686" s="39"/>
      <c r="BI686" s="39"/>
      <c r="BJ686" s="39"/>
      <c r="BK686" s="39"/>
      <c r="BL686" s="39"/>
      <c r="BM686" s="39"/>
      <c r="BN686" s="39"/>
      <c r="BO686" s="39"/>
      <c r="BP686" s="39"/>
      <c r="BQ686" s="39"/>
      <c r="BR686" s="39"/>
      <c r="BS686" s="39"/>
      <c r="BT686" s="39"/>
      <c r="BU686" s="39"/>
      <c r="BV686" s="39"/>
      <c r="BW686" s="39"/>
      <c r="BX686" s="39"/>
      <c r="BY686" s="39"/>
      <c r="BZ686" s="39"/>
      <c r="CA686" s="39"/>
      <c r="CB686" s="39"/>
      <c r="CC686" s="39"/>
      <c r="CD686" s="39"/>
      <c r="CE686" s="39"/>
      <c r="CF686" s="39"/>
      <c r="CG686" s="39"/>
      <c r="CH686" s="39"/>
      <c r="CI686" s="39"/>
      <c r="CJ686" s="39"/>
      <c r="CK686" s="39"/>
      <c r="CL686" s="39"/>
      <c r="CM686" s="39"/>
      <c r="CN686" s="39"/>
      <c r="CO686" s="39"/>
      <c r="CP686" s="39"/>
      <c r="CQ686" s="39"/>
      <c r="CR686" s="39"/>
      <c r="CS686" s="39"/>
      <c r="CT686" s="39"/>
      <c r="CU686" s="39"/>
      <c r="CV686" s="39"/>
      <c r="CW686" s="39"/>
      <c r="CX686" s="39"/>
      <c r="CY686" s="39"/>
      <c r="CZ686" s="39"/>
      <c r="DA686" s="39"/>
      <c r="DB686" s="39"/>
      <c r="DC686" s="39"/>
      <c r="DD686" s="39"/>
      <c r="DE686" s="39"/>
      <c r="DF686" s="39"/>
      <c r="DG686" s="39"/>
      <c r="DH686" s="39"/>
      <c r="DI686" s="39"/>
    </row>
    <row r="687" spans="1:113">
      <c r="A687" s="41"/>
      <c r="C687" s="48" t="str">
        <f t="shared" si="166"/>
        <v>Spark NZ</v>
      </c>
      <c r="D687" s="44" t="str">
        <f t="shared" si="166"/>
        <v>NZD 3.52</v>
      </c>
      <c r="E687" s="44" t="str">
        <f t="shared" si="166"/>
        <v>NZD 5.00</v>
      </c>
      <c r="F687" s="45">
        <f t="shared" si="166"/>
        <v>0.42045454545454541</v>
      </c>
      <c r="G687" s="44" t="str">
        <f t="shared" si="166"/>
        <v>Neutral</v>
      </c>
      <c r="H687" s="46"/>
      <c r="I687" s="47">
        <f>SPK!D$11/1000*Prices!$C$187</f>
        <v>4.0369832720249645</v>
      </c>
      <c r="J687" s="47">
        <f>SPK!E$11/1000*Prices!$C$187</f>
        <v>4.0433916111969381</v>
      </c>
      <c r="K687" s="47">
        <f>SPK!F$11/1000*Prices!$C$187</f>
        <v>4.0500740738009116</v>
      </c>
      <c r="L687" s="47">
        <f>SPK!G$11/1000*Prices!$C$187</f>
        <v>4.0570306598368848</v>
      </c>
      <c r="M687" s="45">
        <f t="shared" si="167"/>
        <v>1.6525784273671018E-3</v>
      </c>
      <c r="N687" s="46"/>
      <c r="O687" s="47">
        <f>SPK!D$12/1000*Prices!$C$167</f>
        <v>8.5733490522924924</v>
      </c>
      <c r="P687" s="47">
        <f>SPK!E$12/1000*Prices!$C$167</f>
        <v>8.1942590899916272</v>
      </c>
      <c r="Q687" s="47">
        <f>SPK!F$12/1000*Prices!$C$167</f>
        <v>7.8168439181372884</v>
      </c>
      <c r="R687" s="47">
        <f>SPK!G$12/1000*Prices!$C$167</f>
        <v>7.425477228249048</v>
      </c>
      <c r="S687" s="45">
        <f t="shared" si="168"/>
        <v>-4.6784077331404328E-2</v>
      </c>
      <c r="T687" s="46"/>
      <c r="U687" s="48" t="str">
        <f t="shared" si="169"/>
        <v>NZD 3.52</v>
      </c>
      <c r="V687" s="44" t="str">
        <f t="shared" si="169"/>
        <v>Spark NZ</v>
      </c>
      <c r="BF687" s="39"/>
      <c r="BG687" s="39"/>
      <c r="BH687" s="39"/>
      <c r="BI687" s="39"/>
      <c r="BJ687" s="39"/>
      <c r="BK687" s="39"/>
      <c r="BL687" s="39"/>
      <c r="BM687" s="39"/>
      <c r="BN687" s="39"/>
      <c r="BO687" s="39"/>
      <c r="BP687" s="39"/>
      <c r="BQ687" s="39"/>
      <c r="BR687" s="39"/>
      <c r="BS687" s="39"/>
      <c r="BT687" s="39"/>
      <c r="BU687" s="39"/>
      <c r="BV687" s="39"/>
      <c r="BW687" s="39"/>
      <c r="BX687" s="39"/>
      <c r="BY687" s="39"/>
      <c r="BZ687" s="39"/>
      <c r="CA687" s="39"/>
      <c r="CB687" s="39"/>
      <c r="CC687" s="39"/>
      <c r="CD687" s="39"/>
      <c r="CE687" s="39"/>
      <c r="CF687" s="39"/>
      <c r="CG687" s="39"/>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row>
    <row r="688" spans="1:113">
      <c r="A688" s="41"/>
      <c r="C688" s="48" t="str">
        <f t="shared" si="166"/>
        <v>SingTel</v>
      </c>
      <c r="D688" s="44" t="str">
        <f t="shared" si="166"/>
        <v>SGD 3.13</v>
      </c>
      <c r="E688" s="44" t="str">
        <f t="shared" si="166"/>
        <v>SGD 4.60</v>
      </c>
      <c r="F688" s="45">
        <f t="shared" si="166"/>
        <v>0.46964856230031948</v>
      </c>
      <c r="G688" s="44" t="str">
        <f t="shared" si="166"/>
        <v>Buy</v>
      </c>
      <c r="H688" s="46"/>
      <c r="I688" s="47">
        <f>SINGTEL!D$11/Prices!$C$176/1000</f>
        <v>39.90971834534156</v>
      </c>
      <c r="J688" s="47">
        <f>SINGTEL!E$11/Prices!$C$176/1000</f>
        <v>39.90971834534156</v>
      </c>
      <c r="K688" s="47">
        <f>SINGTEL!F$11/Prices!$C$176/1000</f>
        <v>39.90971834534156</v>
      </c>
      <c r="L688" s="47">
        <f>SINGTEL!G$11/Prices!$C$176/1000</f>
        <v>39.90971834534156</v>
      </c>
      <c r="M688" s="45">
        <f t="shared" si="167"/>
        <v>0</v>
      </c>
      <c r="N688" s="46"/>
      <c r="O688" s="47">
        <f>SINGTEL!D$12/Prices!$C$176/1000</f>
        <v>5.9935208053036888</v>
      </c>
      <c r="P688" s="47">
        <f>SINGTEL!E$12/Prices!$C$176/1000</f>
        <v>8.5833183773932635</v>
      </c>
      <c r="Q688" s="47">
        <f>SINGTEL!F$12/Prices!$C$176/1000</f>
        <v>8.9465927303718029</v>
      </c>
      <c r="R688" s="47">
        <f>SINGTEL!G$12/Prices!$C$176/1000</f>
        <v>9.3413185759201465</v>
      </c>
      <c r="S688" s="45">
        <f t="shared" si="168"/>
        <v>0.15942338444025195</v>
      </c>
      <c r="T688" s="46"/>
      <c r="U688" s="48" t="str">
        <f t="shared" si="169"/>
        <v>SGD 3.13</v>
      </c>
      <c r="V688" s="44" t="str">
        <f t="shared" si="169"/>
        <v>SingTel</v>
      </c>
      <c r="BF688" s="39"/>
      <c r="BG688" s="39"/>
      <c r="BH688" s="39"/>
      <c r="BI688" s="39"/>
      <c r="BJ688" s="39"/>
      <c r="BK688" s="39"/>
      <c r="BL688" s="39"/>
      <c r="BM688" s="39"/>
      <c r="BN688" s="39"/>
      <c r="BO688" s="39"/>
      <c r="BP688" s="39"/>
      <c r="BQ688" s="39"/>
      <c r="BR688" s="39"/>
      <c r="BS688" s="39"/>
      <c r="BT688" s="39"/>
      <c r="BU688" s="39"/>
      <c r="BV688" s="39"/>
      <c r="BW688" s="39"/>
      <c r="BX688" s="39"/>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row>
    <row r="689" spans="1:113">
      <c r="A689" s="41"/>
      <c r="C689" s="48" t="str">
        <f t="shared" si="166"/>
        <v xml:space="preserve">Telstra </v>
      </c>
      <c r="D689" s="44" t="str">
        <f t="shared" si="166"/>
        <v>AUD 3.93</v>
      </c>
      <c r="E689" s="44" t="str">
        <f t="shared" si="166"/>
        <v>AUD 3.50</v>
      </c>
      <c r="F689" s="45">
        <f t="shared" si="166"/>
        <v>-0.10941475826972014</v>
      </c>
      <c r="G689" s="44" t="str">
        <f t="shared" si="166"/>
        <v>Buy</v>
      </c>
      <c r="H689" s="46"/>
      <c r="I689" s="47">
        <f>TLS!$D$11/1000/Prices!$C$168</f>
        <v>31.502804458203904</v>
      </c>
      <c r="J689" s="47">
        <f>TLS!$E$11/1000/Prices!$C$168</f>
        <v>31.502804458203904</v>
      </c>
      <c r="K689" s="47">
        <f>TLS!$F$11/1000/Prices!$C$168</f>
        <v>31.502804458203904</v>
      </c>
      <c r="L689" s="47">
        <f>TLS!$G$11/1000/Prices!$C$168</f>
        <v>31.502804458203904</v>
      </c>
      <c r="M689" s="45">
        <f t="shared" si="167"/>
        <v>0</v>
      </c>
      <c r="N689" s="46"/>
      <c r="O689" s="47">
        <f>TLS!$D$12/1000/Prices!$C$168</f>
        <v>10.710891388115082</v>
      </c>
      <c r="P689" s="47">
        <f>TLS!$E$12/1000/Prices!$C$168</f>
        <v>9.4155587973899806</v>
      </c>
      <c r="Q689" s="47">
        <f>TLS!$F$12/1000/Prices!$C$168</f>
        <v>8.7775749832424665</v>
      </c>
      <c r="R689" s="47">
        <f>TLS!$G$12/1000/Prices!$C$168</f>
        <v>8.1255860555156829</v>
      </c>
      <c r="S689" s="45">
        <f t="shared" si="168"/>
        <v>-8.7968805498939262E-2</v>
      </c>
      <c r="T689" s="46"/>
      <c r="U689" s="48" t="str">
        <f t="shared" si="169"/>
        <v>AUD 3.93</v>
      </c>
      <c r="V689" s="44" t="str">
        <f t="shared" si="169"/>
        <v>Telstra</v>
      </c>
      <c r="BF689" s="39"/>
      <c r="BG689" s="39"/>
      <c r="BH689" s="39"/>
      <c r="BI689" s="39"/>
      <c r="BJ689" s="39"/>
      <c r="BK689" s="39"/>
      <c r="BL689" s="39"/>
      <c r="BM689" s="39"/>
      <c r="BN689" s="39"/>
      <c r="BO689" s="39"/>
      <c r="BP689" s="39"/>
      <c r="BQ689" s="39"/>
      <c r="BR689" s="39"/>
      <c r="BS689" s="39"/>
      <c r="BT689" s="39"/>
      <c r="BU689" s="39"/>
      <c r="BV689" s="39"/>
      <c r="BW689" s="39"/>
      <c r="BX689" s="39"/>
      <c r="BY689" s="39"/>
      <c r="BZ689" s="39"/>
      <c r="CA689" s="39"/>
      <c r="CB689" s="39"/>
      <c r="CC689" s="39"/>
      <c r="CD689" s="39"/>
      <c r="CE689" s="39"/>
      <c r="CF689" s="39"/>
      <c r="CG689" s="39"/>
      <c r="CH689" s="39"/>
      <c r="CI689" s="39"/>
      <c r="CJ689" s="39"/>
      <c r="CK689" s="39"/>
      <c r="CL689" s="39"/>
      <c r="CM689" s="39"/>
      <c r="CN689" s="39"/>
      <c r="CO689" s="39"/>
      <c r="CP689" s="39"/>
      <c r="CQ689" s="39"/>
      <c r="CR689" s="39"/>
      <c r="CS689" s="39"/>
      <c r="CT689" s="39"/>
      <c r="CU689" s="39"/>
      <c r="CV689" s="39"/>
      <c r="CW689" s="39"/>
      <c r="CX689" s="39"/>
      <c r="CY689" s="39"/>
      <c r="CZ689" s="39"/>
      <c r="DA689" s="39"/>
      <c r="DB689" s="39"/>
      <c r="DC689" s="39"/>
      <c r="DD689" s="39"/>
      <c r="DE689" s="39"/>
      <c r="DF689" s="39"/>
      <c r="DG689" s="39"/>
      <c r="DH689" s="39"/>
      <c r="DI689" s="39"/>
    </row>
    <row r="690" spans="1:113">
      <c r="A690" s="41"/>
      <c r="C690" s="51" t="str">
        <f>C630</f>
        <v>Agg. Developed Asia Incumbent</v>
      </c>
      <c r="D690" s="58"/>
      <c r="E690" s="58"/>
      <c r="F690" s="55"/>
      <c r="G690" s="58"/>
      <c r="H690" s="56"/>
      <c r="I690" s="54">
        <f>'DM ASIA INCUMB'!$D$11/1000</f>
        <v>173.39524793884536</v>
      </c>
      <c r="J690" s="54">
        <f>'DM ASIA INCUMB'!$E$11/1000</f>
        <v>171.74120210378021</v>
      </c>
      <c r="K690" s="54">
        <f>'DM ASIA INCUMB'!$F$11/1000</f>
        <v>170.08786251990489</v>
      </c>
      <c r="L690" s="54">
        <f>'DM ASIA INCUMB'!$G$11/1000</f>
        <v>168.43522918721933</v>
      </c>
      <c r="M690" s="55">
        <f t="shared" si="167"/>
        <v>-9.6274826377843459E-3</v>
      </c>
      <c r="N690" s="56"/>
      <c r="O690" s="54">
        <f>'DM ASIA INCUMB'!$D$12/1000</f>
        <v>60.953477209536203</v>
      </c>
      <c r="P690" s="54">
        <f>'DM ASIA INCUMB'!$E$12/1000</f>
        <v>61.819630454408284</v>
      </c>
      <c r="Q690" s="54">
        <f>'DM ASIA INCUMB'!$F$12/1000</f>
        <v>61.116954233799859</v>
      </c>
      <c r="R690" s="54">
        <f>'DM ASIA INCUMB'!$G$12/1000</f>
        <v>60.428850627535567</v>
      </c>
      <c r="S690" s="55">
        <f t="shared" si="168"/>
        <v>-2.8772707670641218E-3</v>
      </c>
      <c r="T690" s="56"/>
      <c r="U690" s="51"/>
      <c r="V690" s="58" t="str">
        <f>V630</f>
        <v xml:space="preserve">Agg. Developed Asia Incumbent </v>
      </c>
      <c r="BF690" s="39"/>
      <c r="BG690" s="39"/>
      <c r="BH690" s="39"/>
      <c r="BI690" s="39"/>
      <c r="BJ690" s="39"/>
      <c r="BK690" s="39"/>
      <c r="BL690" s="39"/>
      <c r="BM690" s="39"/>
      <c r="BN690" s="39"/>
      <c r="BO690" s="39"/>
      <c r="BP690" s="39"/>
      <c r="BQ690" s="39"/>
      <c r="BR690" s="39"/>
      <c r="BS690" s="39"/>
      <c r="BT690" s="39"/>
      <c r="BU690" s="39"/>
      <c r="BV690" s="39"/>
      <c r="BW690" s="39"/>
      <c r="BX690" s="39"/>
      <c r="BY690" s="39"/>
      <c r="BZ690" s="39"/>
      <c r="CA690" s="39"/>
      <c r="CB690" s="39"/>
      <c r="CC690" s="39"/>
      <c r="CD690" s="39"/>
      <c r="CE690" s="39"/>
      <c r="CF690" s="39"/>
      <c r="CG690" s="39"/>
      <c r="CH690" s="39"/>
      <c r="CI690" s="39"/>
      <c r="CJ690" s="39"/>
      <c r="CK690" s="39"/>
      <c r="CL690" s="39"/>
      <c r="CM690" s="39"/>
      <c r="CN690" s="39"/>
      <c r="CO690" s="39"/>
      <c r="CP690" s="39"/>
      <c r="CQ690" s="39"/>
      <c r="CR690" s="39"/>
      <c r="CS690" s="39"/>
      <c r="CT690" s="39"/>
      <c r="CU690" s="39"/>
      <c r="CV690" s="39"/>
      <c r="CW690" s="39"/>
      <c r="CX690" s="39"/>
      <c r="CY690" s="39"/>
      <c r="CZ690" s="39"/>
      <c r="DA690" s="39"/>
      <c r="DB690" s="39"/>
      <c r="DC690" s="39"/>
      <c r="DD690" s="39"/>
      <c r="DE690" s="39"/>
      <c r="DF690" s="39"/>
      <c r="DG690" s="39"/>
      <c r="DH690" s="39"/>
      <c r="DI690" s="39"/>
    </row>
    <row r="691" spans="1:113">
      <c r="A691" s="41"/>
      <c r="C691" s="43"/>
      <c r="D691" s="50"/>
      <c r="E691" s="50"/>
      <c r="F691" s="61"/>
      <c r="G691" s="50"/>
      <c r="H691" s="56"/>
      <c r="I691" s="62"/>
      <c r="J691" s="62"/>
      <c r="K691" s="62"/>
      <c r="L691" s="62"/>
      <c r="M691" s="61"/>
      <c r="N691" s="56"/>
      <c r="O691" s="62"/>
      <c r="P691" s="62"/>
      <c r="Q691" s="62"/>
      <c r="R691" s="62"/>
      <c r="S691" s="61"/>
      <c r="T691" s="56"/>
      <c r="U691" s="43"/>
      <c r="V691" s="50"/>
      <c r="BF691" s="39"/>
      <c r="BG691" s="39"/>
      <c r="BH691" s="39"/>
      <c r="BI691" s="39"/>
      <c r="BJ691" s="39"/>
      <c r="BK691" s="39"/>
      <c r="BL691" s="39"/>
      <c r="BM691" s="39"/>
      <c r="BN691" s="39"/>
      <c r="BO691" s="39"/>
      <c r="BP691" s="39"/>
      <c r="BQ691" s="39"/>
      <c r="BR691" s="39"/>
      <c r="BS691" s="39"/>
      <c r="BT691" s="39"/>
      <c r="BU691" s="39"/>
      <c r="BV691" s="39"/>
      <c r="BW691" s="39"/>
      <c r="BX691" s="39"/>
      <c r="BY691" s="39"/>
      <c r="BZ691" s="39"/>
      <c r="CA691" s="39"/>
      <c r="CB691" s="39"/>
      <c r="CC691" s="39"/>
      <c r="CD691" s="39"/>
      <c r="CE691" s="39"/>
      <c r="CF691" s="39"/>
      <c r="CG691" s="39"/>
      <c r="CH691" s="39"/>
      <c r="CI691" s="39"/>
      <c r="CJ691" s="39"/>
      <c r="CK691" s="39"/>
      <c r="CL691" s="39"/>
      <c r="CM691" s="39"/>
      <c r="CN691" s="39"/>
      <c r="CO691" s="39"/>
      <c r="CP691" s="39"/>
      <c r="CQ691" s="39"/>
      <c r="CR691" s="39"/>
      <c r="CS691" s="39"/>
      <c r="CT691" s="39"/>
      <c r="CU691" s="39"/>
      <c r="CV691" s="39"/>
      <c r="CW691" s="39"/>
      <c r="CX691" s="39"/>
      <c r="CY691" s="39"/>
      <c r="CZ691" s="39"/>
      <c r="DA691" s="39"/>
      <c r="DB691" s="39"/>
      <c r="DC691" s="39"/>
      <c r="DD691" s="39"/>
      <c r="DE691" s="39"/>
      <c r="DF691" s="39"/>
      <c r="DG691" s="39"/>
      <c r="DH691" s="39"/>
      <c r="DI691" s="39"/>
    </row>
    <row r="692" spans="1:113">
      <c r="A692" s="41"/>
      <c r="C692" s="51" t="s">
        <v>857</v>
      </c>
      <c r="D692" s="58"/>
      <c r="E692" s="58"/>
      <c r="F692" s="55"/>
      <c r="G692" s="58"/>
      <c r="H692" s="56"/>
      <c r="I692" s="54">
        <f>'AGG DM INCUMB'!$D$11/1000</f>
        <v>1082.0094272402844</v>
      </c>
      <c r="J692" s="54">
        <f>'AGG DM INCUMB'!$E$11/1000</f>
        <v>1060.9657199398098</v>
      </c>
      <c r="K692" s="54">
        <f>'AGG DM INCUMB'!$F$11/1000</f>
        <v>1036.908817187867</v>
      </c>
      <c r="L692" s="54">
        <f>'AGG DM INCUMB'!$G$11/1000</f>
        <v>1014.5446114999061</v>
      </c>
      <c r="M692" s="55">
        <f>(L692/I692)^(1/3)-1</f>
        <v>-2.1231385613183829E-2</v>
      </c>
      <c r="N692" s="56"/>
      <c r="O692" s="54">
        <f>'AGG DM INCUMB'!$D$12/1000</f>
        <v>622.38866164958313</v>
      </c>
      <c r="P692" s="54">
        <f>'AGG DM INCUMB'!$E$12/1000</f>
        <v>616.23161896748275</v>
      </c>
      <c r="Q692" s="54">
        <f>'AGG DM INCUMB'!$F$12/1000</f>
        <v>605.08882063737815</v>
      </c>
      <c r="R692" s="54">
        <f>'AGG DM INCUMB'!$G$12/1000</f>
        <v>595.77537001486462</v>
      </c>
      <c r="S692" s="55">
        <f>(R692/O692)^(1/3)-1</f>
        <v>-1.4461432790909612E-2</v>
      </c>
      <c r="T692" s="56"/>
      <c r="U692" s="51"/>
      <c r="V692" s="58" t="str">
        <f>C692</f>
        <v>Agg. DM Incumbent total</v>
      </c>
      <c r="BF692" s="39"/>
      <c r="BG692" s="39"/>
      <c r="BH692" s="39"/>
      <c r="BI692" s="39"/>
      <c r="BJ692" s="39"/>
      <c r="BK692" s="39"/>
      <c r="BL692" s="39"/>
      <c r="BM692" s="39"/>
      <c r="BN692" s="39"/>
      <c r="BO692" s="39"/>
      <c r="BP692" s="39"/>
      <c r="BQ692" s="39"/>
      <c r="BR692" s="39"/>
      <c r="BS692" s="39"/>
      <c r="BT692" s="39"/>
      <c r="BU692" s="39"/>
      <c r="BV692" s="39"/>
      <c r="BW692" s="39"/>
      <c r="BX692" s="39"/>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row>
    <row r="693" spans="1:113">
      <c r="A693" s="41"/>
      <c r="C693" s="41"/>
      <c r="D693" s="44"/>
      <c r="E693" s="44"/>
      <c r="F693" s="45"/>
      <c r="G693" s="44"/>
      <c r="H693" s="46"/>
      <c r="I693" s="47"/>
      <c r="J693" s="47"/>
      <c r="K693" s="47"/>
      <c r="L693" s="47"/>
      <c r="M693" s="45"/>
      <c r="N693" s="46"/>
      <c r="O693" s="47"/>
      <c r="P693" s="47"/>
      <c r="Q693" s="47"/>
      <c r="R693" s="47"/>
      <c r="S693" s="45"/>
      <c r="T693" s="46"/>
      <c r="U693" s="48"/>
      <c r="V693" s="50"/>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row>
    <row r="694" spans="1:113">
      <c r="A694" s="41" t="s">
        <v>1374</v>
      </c>
      <c r="C694" s="48" t="str">
        <f t="shared" ref="C694:G701" si="170">C634</f>
        <v>1&amp;1</v>
      </c>
      <c r="D694" s="44" t="str">
        <f t="shared" si="170"/>
        <v>EUR 14.0</v>
      </c>
      <c r="E694" s="44" t="str">
        <f t="shared" si="170"/>
        <v>EUR 26.0</v>
      </c>
      <c r="F694" s="45">
        <f t="shared" si="170"/>
        <v>0.85449358059914404</v>
      </c>
      <c r="G694" s="44" t="str">
        <f t="shared" si="170"/>
        <v>Buy</v>
      </c>
      <c r="H694" s="46"/>
      <c r="I694" s="47">
        <f>DRI!$D$11/1000</f>
        <v>2.4717210789799995</v>
      </c>
      <c r="J694" s="47">
        <f>DRI!$E$11/1000</f>
        <v>2.4717210789799995</v>
      </c>
      <c r="K694" s="47">
        <f>DRI!$F$11/1000</f>
        <v>2.4717210789799995</v>
      </c>
      <c r="L694" s="47">
        <f>DRI!$G$11/1000</f>
        <v>2.4717210789799995</v>
      </c>
      <c r="M694" s="45">
        <f>(L694/I694)^(1/3)-1</f>
        <v>0</v>
      </c>
      <c r="N694" s="46"/>
      <c r="O694" s="47">
        <f>DRI!$D$12/1000</f>
        <v>-0.2208979999999999</v>
      </c>
      <c r="P694" s="47">
        <f>DRI!$E$12/1000</f>
        <v>0.11707404297215879</v>
      </c>
      <c r="Q694" s="47">
        <f>DRI!$F$12/1000</f>
        <v>0.30090805521245251</v>
      </c>
      <c r="R694" s="47">
        <f>DRI!$G$12/1000</f>
        <v>0.47337591728044254</v>
      </c>
      <c r="S694" s="45">
        <f>(R694/O694)^(1/3)-1</f>
        <v>-2.2892529247118878</v>
      </c>
      <c r="T694" s="46"/>
      <c r="U694" s="48" t="str">
        <f t="shared" ref="U694:V700" si="171">U634</f>
        <v>EUR 14.0</v>
      </c>
      <c r="V694" s="44" t="str">
        <f t="shared" si="171"/>
        <v>1&amp;1</v>
      </c>
      <c r="BF694" s="39"/>
      <c r="BG694" s="39"/>
      <c r="BH694" s="39"/>
      <c r="BI694" s="39"/>
      <c r="BJ694" s="39"/>
      <c r="BK694" s="39"/>
      <c r="BL694" s="39"/>
      <c r="BM694" s="39"/>
      <c r="BN694" s="39"/>
      <c r="BO694" s="39"/>
      <c r="BP694" s="39"/>
      <c r="BQ694" s="39"/>
      <c r="BR694" s="39"/>
      <c r="BS694" s="39"/>
      <c r="BT694" s="39"/>
      <c r="BU694" s="39"/>
      <c r="BV694" s="39"/>
      <c r="BW694" s="39"/>
      <c r="BX694" s="39"/>
      <c r="BY694" s="39"/>
      <c r="BZ694" s="39"/>
      <c r="CA694" s="39"/>
      <c r="CB694" s="39"/>
      <c r="CC694" s="39"/>
      <c r="CD694" s="39"/>
      <c r="CE694" s="39"/>
      <c r="CF694" s="39"/>
      <c r="CG694" s="39"/>
      <c r="CH694" s="39"/>
      <c r="CI694" s="39"/>
      <c r="CJ694" s="39"/>
      <c r="CK694" s="39"/>
      <c r="CL694" s="39"/>
      <c r="CM694" s="39"/>
      <c r="CN694" s="39"/>
      <c r="CO694" s="39"/>
      <c r="CP694" s="39"/>
      <c r="CQ694" s="39"/>
      <c r="CR694" s="39"/>
      <c r="CS694" s="39"/>
      <c r="CT694" s="39"/>
      <c r="CU694" s="39"/>
      <c r="CV694" s="39"/>
      <c r="CW694" s="39"/>
      <c r="CX694" s="39"/>
      <c r="CY694" s="39"/>
      <c r="CZ694" s="39"/>
      <c r="DA694" s="39"/>
      <c r="DB694" s="39"/>
      <c r="DC694" s="39"/>
      <c r="DD694" s="39"/>
      <c r="DE694" s="39"/>
      <c r="DF694" s="39"/>
      <c r="DG694" s="39"/>
      <c r="DH694" s="39"/>
      <c r="DI694" s="39"/>
    </row>
    <row r="695" spans="1:113">
      <c r="C695" s="48" t="str">
        <f t="shared" si="170"/>
        <v>Elisa</v>
      </c>
      <c r="D695" s="44" t="str">
        <f t="shared" si="170"/>
        <v>EUR 46.6</v>
      </c>
      <c r="E695" s="44" t="str">
        <f t="shared" si="170"/>
        <v>EUR 53.0</v>
      </c>
      <c r="F695" s="45">
        <f t="shared" si="170"/>
        <v>0.13831615120274909</v>
      </c>
      <c r="G695" s="44" t="str">
        <f t="shared" si="170"/>
        <v>Neutral</v>
      </c>
      <c r="H695" s="46"/>
      <c r="I695" s="47">
        <f>ELISA!$D$11/1000</f>
        <v>7.4676847886399997</v>
      </c>
      <c r="J695" s="47">
        <f>ELISA!$E$11/1000</f>
        <v>7.4676847886399997</v>
      </c>
      <c r="K695" s="47">
        <f>ELISA!$F$11/1000</f>
        <v>7.4676847886399997</v>
      </c>
      <c r="L695" s="47">
        <f>ELISA!$G$11/1000</f>
        <v>7.4676847886399997</v>
      </c>
      <c r="M695" s="45">
        <f t="shared" ref="M695:M702" si="172">(L695/I695)^(1/3)-1</f>
        <v>0</v>
      </c>
      <c r="N695" s="46"/>
      <c r="O695" s="47">
        <f>ELISA!$D$12/1000</f>
        <v>1.304</v>
      </c>
      <c r="P695" s="47">
        <f>ELISA!$E$12/1000</f>
        <v>1.3172523896869441</v>
      </c>
      <c r="Q695" s="47">
        <f>ELISA!$F$12/1000</f>
        <v>1.2894970618236716</v>
      </c>
      <c r="R695" s="47">
        <f>ELISA!$G$12/1000</f>
        <v>1.2662811379858545</v>
      </c>
      <c r="S695" s="45">
        <f t="shared" ref="S695:S702" si="173">(R695/O695)^(1/3)-1</f>
        <v>-9.7363242481551815E-3</v>
      </c>
      <c r="T695" s="46"/>
      <c r="U695" s="48" t="str">
        <f t="shared" si="171"/>
        <v>EUR 46.6</v>
      </c>
      <c r="V695" s="44" t="str">
        <f t="shared" si="171"/>
        <v>Elisa</v>
      </c>
      <c r="BF695" s="39"/>
      <c r="BG695" s="39"/>
      <c r="BH695" s="39"/>
      <c r="BI695" s="39"/>
      <c r="BJ695" s="39"/>
      <c r="BK695" s="39"/>
      <c r="BL695" s="39"/>
      <c r="BM695" s="39"/>
      <c r="BN695" s="39"/>
      <c r="BO695" s="39"/>
      <c r="BP695" s="39"/>
      <c r="BQ695" s="39"/>
      <c r="BR695" s="39"/>
      <c r="BS695" s="39"/>
      <c r="BT695" s="39"/>
      <c r="BU695" s="39"/>
      <c r="BV695" s="39"/>
      <c r="BW695" s="39"/>
      <c r="BX695" s="39"/>
      <c r="BY695" s="39"/>
      <c r="BZ695" s="39"/>
      <c r="CA695" s="39"/>
      <c r="CB695" s="39"/>
      <c r="CC695" s="39"/>
      <c r="CD695" s="39"/>
      <c r="CE695" s="39"/>
      <c r="CF695" s="39"/>
      <c r="CG695" s="39"/>
      <c r="CH695" s="39"/>
      <c r="CI695" s="39"/>
      <c r="CJ695" s="39"/>
      <c r="CK695" s="39"/>
      <c r="CL695" s="39"/>
      <c r="CM695" s="39"/>
      <c r="CN695" s="39"/>
      <c r="CO695" s="39"/>
      <c r="CP695" s="39"/>
      <c r="CQ695" s="39"/>
      <c r="CR695" s="39"/>
      <c r="CS695" s="39"/>
      <c r="CT695" s="39"/>
      <c r="CU695" s="39"/>
      <c r="CV695" s="39"/>
      <c r="CW695" s="39"/>
      <c r="CX695" s="39"/>
      <c r="CY695" s="39"/>
      <c r="CZ695" s="39"/>
      <c r="DA695" s="39"/>
      <c r="DB695" s="39"/>
      <c r="DC695" s="39"/>
      <c r="DD695" s="39"/>
      <c r="DE695" s="39"/>
      <c r="DF695" s="39"/>
      <c r="DG695" s="39"/>
      <c r="DH695" s="39"/>
      <c r="DI695" s="39"/>
    </row>
    <row r="696" spans="1:113">
      <c r="A696" s="41"/>
      <c r="C696" s="48" t="str">
        <f t="shared" si="170"/>
        <v>Liberty Global (prop.)</v>
      </c>
      <c r="D696" s="44" t="str">
        <f t="shared" si="170"/>
        <v>USD 20.3</v>
      </c>
      <c r="E696" s="44" t="str">
        <f t="shared" si="170"/>
        <v>USD 23.0</v>
      </c>
      <c r="F696" s="45">
        <f t="shared" si="170"/>
        <v>0.13356333169048806</v>
      </c>
      <c r="G696" s="44" t="str">
        <f t="shared" si="170"/>
        <v>Neutral</v>
      </c>
      <c r="H696" s="46"/>
      <c r="I696" s="47">
        <f>LBTY!D$11/1000</f>
        <v>7.8324573849999997</v>
      </c>
      <c r="J696" s="47">
        <f>LBTY!E$11/1000</f>
        <v>7.1137182647981243</v>
      </c>
      <c r="K696" s="47">
        <f>LBTY!F$11/1000</f>
        <v>6.4668530566164373</v>
      </c>
      <c r="L696" s="47">
        <f>LBTY!G$11/1000</f>
        <v>5.8846743692529184</v>
      </c>
      <c r="M696" s="45">
        <f>(L696/I696)^(1/3)-1</f>
        <v>-9.0907380838078478E-2</v>
      </c>
      <c r="N696" s="46"/>
      <c r="O696" s="47">
        <f>LBTY!D$12/1000/Prices!$C$155</f>
        <v>10.391315638822055</v>
      </c>
      <c r="P696" s="47">
        <f>LBTY!E$12/1000/Prices!$C$155</f>
        <v>10.033439780444795</v>
      </c>
      <c r="Q696" s="47">
        <f>LBTY!F$12/1000/Prices!$C$155</f>
        <v>10.153314820428768</v>
      </c>
      <c r="R696" s="47">
        <f>LBTY!G$12/1000/Prices!$C$155</f>
        <v>10.611258796083618</v>
      </c>
      <c r="S696" s="45">
        <f>(R696/O696)^(1/3)-1</f>
        <v>7.0061508475867118E-3</v>
      </c>
      <c r="T696" s="46"/>
      <c r="U696" s="48" t="str">
        <f t="shared" si="171"/>
        <v>USD 20.3</v>
      </c>
      <c r="V696" s="44" t="str">
        <f t="shared" si="171"/>
        <v>Liberty Global</v>
      </c>
      <c r="BF696" s="39"/>
      <c r="BG696" s="39"/>
      <c r="BH696" s="39"/>
      <c r="BI696" s="39"/>
      <c r="BJ696" s="39"/>
      <c r="BK696" s="39"/>
      <c r="BL696" s="39"/>
      <c r="BM696" s="39"/>
      <c r="BN696" s="39"/>
      <c r="BO696" s="39"/>
      <c r="BP696" s="39"/>
      <c r="BQ696" s="39"/>
      <c r="BR696" s="39"/>
      <c r="BS696" s="39"/>
      <c r="BT696" s="39"/>
      <c r="BU696" s="39"/>
      <c r="BV696" s="39"/>
      <c r="BW696" s="39"/>
      <c r="BX696" s="39"/>
      <c r="BY696" s="39"/>
      <c r="BZ696" s="39"/>
      <c r="CA696" s="39"/>
      <c r="CB696" s="39"/>
      <c r="CC696" s="39"/>
      <c r="CD696" s="39"/>
      <c r="CE696" s="39"/>
      <c r="CF696" s="39"/>
      <c r="CG696" s="39"/>
      <c r="CH696" s="39"/>
      <c r="CI696" s="39"/>
      <c r="CJ696" s="39"/>
      <c r="CK696" s="39"/>
      <c r="CL696" s="39"/>
      <c r="CM696" s="39"/>
      <c r="CN696" s="39"/>
      <c r="CO696" s="39"/>
      <c r="CP696" s="39"/>
      <c r="CQ696" s="39"/>
      <c r="CR696" s="39"/>
      <c r="CS696" s="39"/>
      <c r="CT696" s="39"/>
      <c r="CU696" s="39"/>
      <c r="CV696" s="39"/>
      <c r="CW696" s="39"/>
      <c r="CX696" s="39"/>
      <c r="CY696" s="39"/>
      <c r="CZ696" s="39"/>
      <c r="DA696" s="39"/>
      <c r="DB696" s="39"/>
      <c r="DC696" s="39"/>
      <c r="DD696" s="39"/>
      <c r="DE696" s="39"/>
      <c r="DF696" s="39"/>
      <c r="DG696" s="39"/>
      <c r="DH696" s="39"/>
      <c r="DI696" s="39"/>
    </row>
    <row r="697" spans="1:113">
      <c r="A697" s="41"/>
      <c r="C697" s="48" t="str">
        <f t="shared" si="170"/>
        <v>NOS</v>
      </c>
      <c r="D697" s="44" t="str">
        <f t="shared" si="170"/>
        <v>EUR 3.58</v>
      </c>
      <c r="E697" s="44" t="str">
        <f t="shared" si="170"/>
        <v>EUR 3.70</v>
      </c>
      <c r="F697" s="45">
        <f t="shared" si="170"/>
        <v>3.4965034965035002E-2</v>
      </c>
      <c r="G697" s="44" t="str">
        <f t="shared" si="170"/>
        <v>Neutral</v>
      </c>
      <c r="H697" s="46"/>
      <c r="I697" s="47">
        <f>NOS!D$11/1000</f>
        <v>1.8345582326500001</v>
      </c>
      <c r="J697" s="47">
        <f>NOS!$E$11/1000</f>
        <v>1.8345582326500001</v>
      </c>
      <c r="K697" s="47">
        <f>NOS!$F$11/1000</f>
        <v>1.8345582326500001</v>
      </c>
      <c r="L697" s="47">
        <f>NOS!$G$11/1000</f>
        <v>1.8345582326500001</v>
      </c>
      <c r="M697" s="45">
        <f>(L697/I697)^(1/3)-1</f>
        <v>0</v>
      </c>
      <c r="N697" s="46"/>
      <c r="O697" s="47">
        <f>NOS!$D$12/1000</f>
        <v>1.0893484581995145</v>
      </c>
      <c r="P697" s="47">
        <f>NOS!$E$12/1000</f>
        <v>1.03420025832094</v>
      </c>
      <c r="Q697" s="47">
        <f>NOS!$F$12/1000</f>
        <v>1.1063632987019913</v>
      </c>
      <c r="R697" s="47">
        <f>NOS!$G$12/1000</f>
        <v>1.0957185131013492</v>
      </c>
      <c r="S697" s="45">
        <f>(R697/O697)^(1/3)-1</f>
        <v>1.9454070796671719E-3</v>
      </c>
      <c r="T697" s="46"/>
      <c r="U697" s="48" t="str">
        <f t="shared" si="171"/>
        <v>EUR 3.58</v>
      </c>
      <c r="V697" s="44" t="str">
        <f t="shared" si="171"/>
        <v>NOS</v>
      </c>
      <c r="BF697" s="39"/>
      <c r="BG697" s="39"/>
      <c r="BH697" s="39"/>
      <c r="BI697" s="39"/>
      <c r="BJ697" s="39"/>
      <c r="BK697" s="39"/>
      <c r="BL697" s="39"/>
      <c r="BM697" s="39"/>
      <c r="BN697" s="39"/>
      <c r="BO697" s="39"/>
      <c r="BP697" s="39"/>
      <c r="BQ697" s="39"/>
      <c r="BR697" s="39"/>
      <c r="BS697" s="39"/>
      <c r="BT697" s="39"/>
      <c r="BU697" s="39"/>
      <c r="BV697" s="39"/>
      <c r="BW697" s="39"/>
      <c r="BX697" s="39"/>
      <c r="BY697" s="39"/>
      <c r="BZ697" s="39"/>
      <c r="CA697" s="39"/>
      <c r="CB697" s="39"/>
      <c r="CC697" s="39"/>
      <c r="CD697" s="39"/>
      <c r="CE697" s="39"/>
      <c r="CF697" s="39"/>
      <c r="CG697" s="39"/>
      <c r="CH697" s="39"/>
      <c r="CI697" s="39"/>
      <c r="CJ697" s="39"/>
      <c r="CK697" s="39"/>
      <c r="CL697" s="39"/>
      <c r="CM697" s="39"/>
      <c r="CN697" s="39"/>
      <c r="CO697" s="39"/>
      <c r="CP697" s="39"/>
      <c r="CQ697" s="39"/>
      <c r="CR697" s="39"/>
      <c r="CS697" s="39"/>
      <c r="CT697" s="39"/>
      <c r="CU697" s="39"/>
      <c r="CV697" s="39"/>
      <c r="CW697" s="39"/>
      <c r="CX697" s="39"/>
      <c r="CY697" s="39"/>
      <c r="CZ697" s="39"/>
      <c r="DA697" s="39"/>
      <c r="DB697" s="39"/>
      <c r="DC697" s="39"/>
      <c r="DD697" s="39"/>
      <c r="DE697" s="39"/>
      <c r="DF697" s="39"/>
      <c r="DG697" s="39"/>
      <c r="DH697" s="39"/>
      <c r="DI697" s="39"/>
    </row>
    <row r="698" spans="1:113">
      <c r="C698" s="48" t="str">
        <f t="shared" si="170"/>
        <v>Orange Belgium</v>
      </c>
      <c r="D698" s="44" t="str">
        <f t="shared" si="170"/>
        <v>EUR 14.8</v>
      </c>
      <c r="E698" s="44" t="str">
        <f t="shared" si="170"/>
        <v>EUR 15.0</v>
      </c>
      <c r="F698" s="45">
        <f t="shared" si="170"/>
        <v>1.3513513513513375E-2</v>
      </c>
      <c r="G698" s="44" t="str">
        <f t="shared" si="170"/>
        <v>Neutral</v>
      </c>
      <c r="H698" s="46"/>
      <c r="I698" s="47">
        <f>OBEL!$D$11/1000</f>
        <v>0.88821332720000012</v>
      </c>
      <c r="J698" s="47">
        <f>OBEL!$E$11/1000</f>
        <v>0.88821332720000012</v>
      </c>
      <c r="K698" s="47">
        <f>OBEL!$F$11/1000</f>
        <v>0.88821332720000012</v>
      </c>
      <c r="L698" s="47">
        <f>OBEL!$G$11/1000</f>
        <v>0.88821332720000012</v>
      </c>
      <c r="M698" s="45">
        <f t="shared" si="172"/>
        <v>0</v>
      </c>
      <c r="N698" s="46"/>
      <c r="O698" s="47">
        <f>OBEL!$D$12/1000</f>
        <v>1.8029450918356797</v>
      </c>
      <c r="P698" s="47">
        <f>OBEL!$E$12/1000</f>
        <v>1.6979588044467318</v>
      </c>
      <c r="Q698" s="47">
        <f>OBEL!$F$12/1000</f>
        <v>1.6012820059042634</v>
      </c>
      <c r="R698" s="47">
        <f>OBEL!$G$12/1000</f>
        <v>1.4954508851102215</v>
      </c>
      <c r="S698" s="45">
        <f t="shared" si="173"/>
        <v>-6.042839259878674E-2</v>
      </c>
      <c r="T698" s="46"/>
      <c r="U698" s="48" t="str">
        <f t="shared" si="171"/>
        <v>EUR 14.8</v>
      </c>
      <c r="V698" s="44" t="str">
        <f t="shared" si="171"/>
        <v>Mobistar</v>
      </c>
      <c r="BF698" s="39"/>
      <c r="BG698" s="39"/>
      <c r="BH698" s="39"/>
      <c r="BI698" s="39"/>
      <c r="BJ698" s="39"/>
      <c r="BK698" s="39"/>
      <c r="BL698" s="39"/>
      <c r="BM698" s="39"/>
      <c r="BN698" s="39"/>
      <c r="BO698" s="39"/>
      <c r="BP698" s="39"/>
      <c r="BQ698" s="39"/>
      <c r="BR698" s="39"/>
      <c r="BS698" s="39"/>
      <c r="BT698" s="39"/>
      <c r="BU698" s="39"/>
      <c r="BV698" s="39"/>
      <c r="BW698" s="39"/>
      <c r="BX698" s="39"/>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row>
    <row r="699" spans="1:113">
      <c r="C699" s="48" t="str">
        <f t="shared" si="170"/>
        <v>Tele2</v>
      </c>
      <c r="D699" s="44" t="str">
        <f t="shared" si="170"/>
        <v>SEK 117.7</v>
      </c>
      <c r="E699" s="44" t="str">
        <f t="shared" si="170"/>
        <v>SEK 109.0</v>
      </c>
      <c r="F699" s="45">
        <f t="shared" si="170"/>
        <v>-7.3523161920951985E-2</v>
      </c>
      <c r="G699" s="44" t="str">
        <f t="shared" si="170"/>
        <v>Neutral</v>
      </c>
      <c r="H699" s="46"/>
      <c r="I699" s="47">
        <f>TELE2!D$11/1000/Prices!$F$158</f>
        <v>7.1722159054975529</v>
      </c>
      <c r="J699" s="47">
        <f>TELE2!E$11/1000/Prices!$F$158</f>
        <v>7.1722159054975529</v>
      </c>
      <c r="K699" s="47">
        <f>TELE2!F$11/1000/Prices!$F$158</f>
        <v>7.1722159054975529</v>
      </c>
      <c r="L699" s="47">
        <f>TELE2!G$11/1000/Prices!$F$158</f>
        <v>7.1722159054975529</v>
      </c>
      <c r="M699" s="45">
        <f t="shared" si="172"/>
        <v>0</v>
      </c>
      <c r="N699" s="46"/>
      <c r="O699" s="47">
        <f>TELE2!D$12/1000/Prices!$F$158</f>
        <v>2.2582361981527264</v>
      </c>
      <c r="P699" s="47">
        <f>TELE2!E$12/1000/Prices!$F$158</f>
        <v>2.2657708883529155</v>
      </c>
      <c r="Q699" s="47">
        <f>TELE2!F$12/1000/Prices!$F$158</f>
        <v>2.398871990603693</v>
      </c>
      <c r="R699" s="47">
        <f>TELE2!G$12/1000/Prices!$F$158</f>
        <v>2.4974918076353476</v>
      </c>
      <c r="S699" s="45">
        <f t="shared" si="173"/>
        <v>3.4137378701991405E-2</v>
      </c>
      <c r="T699" s="46"/>
      <c r="U699" s="48" t="str">
        <f t="shared" si="171"/>
        <v>SEK 117.7</v>
      </c>
      <c r="V699" s="44" t="str">
        <f t="shared" si="171"/>
        <v>Tele2</v>
      </c>
      <c r="BF699" s="39"/>
      <c r="BG699" s="39"/>
      <c r="BH699" s="39"/>
      <c r="BI699" s="39"/>
      <c r="BJ699" s="39"/>
      <c r="BK699" s="39"/>
      <c r="BL699" s="39"/>
      <c r="BM699" s="39"/>
      <c r="BN699" s="39"/>
      <c r="BO699" s="39"/>
      <c r="BP699" s="39"/>
      <c r="BQ699" s="39"/>
      <c r="BR699" s="39"/>
      <c r="BS699" s="39"/>
      <c r="BT699" s="39"/>
      <c r="BU699" s="39"/>
      <c r="BV699" s="39"/>
      <c r="BW699" s="39"/>
      <c r="BX699" s="39"/>
      <c r="BY699" s="39"/>
      <c r="BZ699" s="39"/>
      <c r="CA699" s="39"/>
      <c r="CB699" s="39"/>
      <c r="CC699" s="39"/>
      <c r="CD699" s="39"/>
      <c r="CE699" s="39"/>
      <c r="CF699" s="39"/>
      <c r="CG699" s="39"/>
      <c r="CH699" s="39"/>
      <c r="CI699" s="39"/>
      <c r="CJ699" s="39"/>
      <c r="CK699" s="39"/>
      <c r="CL699" s="39"/>
      <c r="CM699" s="39"/>
      <c r="CN699" s="39"/>
      <c r="CO699" s="39"/>
      <c r="CP699" s="39"/>
      <c r="CQ699" s="39"/>
      <c r="CR699" s="39"/>
      <c r="CS699" s="39"/>
      <c r="CT699" s="39"/>
      <c r="CU699" s="39"/>
      <c r="CV699" s="39"/>
      <c r="CW699" s="39"/>
      <c r="CX699" s="39"/>
      <c r="CY699" s="39"/>
      <c r="CZ699" s="39"/>
      <c r="DA699" s="39"/>
      <c r="DB699" s="39"/>
      <c r="DC699" s="39"/>
      <c r="DD699" s="39"/>
      <c r="DE699" s="39"/>
      <c r="DF699" s="39"/>
      <c r="DG699" s="39"/>
      <c r="DH699" s="39"/>
      <c r="DI699" s="39"/>
    </row>
    <row r="700" spans="1:113">
      <c r="A700" s="41"/>
      <c r="C700" s="48" t="str">
        <f t="shared" si="170"/>
        <v>United Internet</v>
      </c>
      <c r="D700" s="44" t="str">
        <f t="shared" si="170"/>
        <v>EUR 19.1</v>
      </c>
      <c r="E700" s="44" t="str">
        <f t="shared" si="170"/>
        <v>EUR 28.0</v>
      </c>
      <c r="F700" s="45">
        <f t="shared" si="170"/>
        <v>0.46904512067156356</v>
      </c>
      <c r="G700" s="44" t="str">
        <f t="shared" si="170"/>
        <v>Buy</v>
      </c>
      <c r="H700" s="46"/>
      <c r="I700" s="47">
        <f>UTDI!$D$11/1000</f>
        <v>3.2938785826999997</v>
      </c>
      <c r="J700" s="47">
        <f>UTDI!$E$11/1000</f>
        <v>3.2938785826999997</v>
      </c>
      <c r="K700" s="47">
        <f>UTDI!$F$11/1000</f>
        <v>3.2938785826999997</v>
      </c>
      <c r="L700" s="47">
        <f>UTDI!$G$11/1000</f>
        <v>3.2938785826999997</v>
      </c>
      <c r="M700" s="45">
        <f>(L700/I700)^(1/3)-1</f>
        <v>0</v>
      </c>
      <c r="N700" s="46"/>
      <c r="O700" s="47">
        <f>UTDI!$D$12/1000</f>
        <v>2.436572</v>
      </c>
      <c r="P700" s="47">
        <f>UTDI!$E$12/1000</f>
        <v>3.0562449258653164</v>
      </c>
      <c r="Q700" s="47">
        <f>UTDI!$F$12/1000</f>
        <v>3.3321223569392071</v>
      </c>
      <c r="R700" s="47">
        <f>UTDI!$G$12/1000</f>
        <v>3.4258482038938531</v>
      </c>
      <c r="S700" s="45">
        <f>(R700/O700)^(1/3)-1</f>
        <v>0.12028784056446673</v>
      </c>
      <c r="T700" s="46"/>
      <c r="U700" s="48" t="str">
        <f t="shared" si="171"/>
        <v>EUR 19.1</v>
      </c>
      <c r="V700" s="44" t="str">
        <f t="shared" si="171"/>
        <v>United Internet</v>
      </c>
      <c r="BF700" s="39"/>
      <c r="BG700" s="39"/>
      <c r="BH700" s="39"/>
      <c r="BI700" s="39"/>
      <c r="BJ700" s="39"/>
      <c r="BK700" s="39"/>
      <c r="BL700" s="39"/>
      <c r="BM700" s="39"/>
      <c r="BN700" s="39"/>
      <c r="BO700" s="39"/>
      <c r="BP700" s="39"/>
      <c r="BQ700" s="39"/>
      <c r="BR700" s="39"/>
      <c r="BS700" s="39"/>
      <c r="BT700" s="39"/>
      <c r="BU700" s="39"/>
      <c r="BV700" s="39"/>
      <c r="BW700" s="39"/>
      <c r="BX700" s="39"/>
      <c r="BY700" s="39"/>
      <c r="BZ700" s="39"/>
      <c r="CA700" s="39"/>
      <c r="CB700" s="39"/>
      <c r="CC700" s="39"/>
      <c r="CD700" s="39"/>
      <c r="CE700" s="39"/>
      <c r="CF700" s="39"/>
      <c r="CG700" s="39"/>
      <c r="CH700" s="39"/>
      <c r="CI700" s="39"/>
      <c r="CJ700" s="39"/>
      <c r="CK700" s="39"/>
      <c r="CL700" s="39"/>
      <c r="CM700" s="39"/>
      <c r="CN700" s="39"/>
      <c r="CO700" s="39"/>
      <c r="CP700" s="39"/>
      <c r="CQ700" s="39"/>
      <c r="CR700" s="39"/>
      <c r="CS700" s="39"/>
      <c r="CT700" s="39"/>
      <c r="CU700" s="39"/>
      <c r="CV700" s="39"/>
      <c r="CW700" s="39"/>
      <c r="CX700" s="39"/>
      <c r="CY700" s="39"/>
      <c r="CZ700" s="39"/>
      <c r="DA700" s="39"/>
      <c r="DB700" s="39"/>
      <c r="DC700" s="39"/>
      <c r="DD700" s="39"/>
      <c r="DE700" s="39"/>
      <c r="DF700" s="39"/>
      <c r="DG700" s="39"/>
      <c r="DH700" s="39"/>
      <c r="DI700" s="39"/>
    </row>
    <row r="701" spans="1:113">
      <c r="C701" s="48" t="str">
        <f t="shared" si="170"/>
        <v>Vodafone</v>
      </c>
      <c r="D701" s="44" t="str">
        <f t="shared" si="170"/>
        <v>GBP 0.77</v>
      </c>
      <c r="E701" s="44" t="str">
        <f t="shared" si="170"/>
        <v>GBP 1.40</v>
      </c>
      <c r="F701" s="45">
        <f t="shared" si="170"/>
        <v>0.80785123966942152</v>
      </c>
      <c r="G701" s="44" t="str">
        <f t="shared" si="170"/>
        <v>Buy</v>
      </c>
      <c r="H701" s="46"/>
      <c r="I701" s="47">
        <f>VOD!D$11/1000/Prices!$F$153</f>
        <v>24.8588436727111</v>
      </c>
      <c r="J701" s="47">
        <f>VOD!E$11/1000/Prices!$F$153</f>
        <v>22.690498754688949</v>
      </c>
      <c r="K701" s="47">
        <f>VOD!F$11/1000/Prices!$F$153</f>
        <v>20.702109931037121</v>
      </c>
      <c r="L701" s="47">
        <f>VOD!G$11/1000/Prices!$F$153</f>
        <v>20.702109931037121</v>
      </c>
      <c r="M701" s="45">
        <f>(L701/I701)^(1/3)-1</f>
        <v>-5.9169844307515707E-2</v>
      </c>
      <c r="N701" s="46"/>
      <c r="O701" s="47">
        <f>VOD!$D$12/Prices!$F$153/1000</f>
        <v>33.702510635452192</v>
      </c>
      <c r="P701" s="47">
        <f>VOD!$E$12/Prices!$F$153/1000</f>
        <v>21.606422383683569</v>
      </c>
      <c r="Q701" s="47">
        <f>VOD!$F$12/Prices!$F$153/1000</f>
        <v>22.070241050136033</v>
      </c>
      <c r="R701" s="47">
        <f>VOD!$G$12/Prices!$F$153/1000</f>
        <v>19.865139281113468</v>
      </c>
      <c r="S701" s="45">
        <f>(R701/O701)^(1/3)-1</f>
        <v>-0.16155138180921558</v>
      </c>
      <c r="T701" s="46"/>
      <c r="U701" s="48" t="str">
        <f>U641</f>
        <v>GBP 0.77</v>
      </c>
      <c r="V701" s="44" t="s">
        <v>276</v>
      </c>
      <c r="AC701" s="63"/>
      <c r="BF701" s="39"/>
      <c r="BG701" s="39"/>
      <c r="BH701" s="39"/>
      <c r="BI701" s="39"/>
      <c r="BJ701" s="39"/>
      <c r="BK701" s="39"/>
      <c r="BL701" s="39"/>
      <c r="BM701" s="39"/>
      <c r="BN701" s="39"/>
      <c r="BO701" s="39"/>
      <c r="BP701" s="39"/>
      <c r="BQ701" s="39"/>
      <c r="BR701" s="39"/>
      <c r="BS701" s="39"/>
      <c r="BT701" s="39"/>
      <c r="BU701" s="39"/>
      <c r="BV701" s="39"/>
      <c r="BW701" s="39"/>
      <c r="BX701" s="39"/>
      <c r="BY701" s="39"/>
      <c r="BZ701" s="39"/>
      <c r="CA701" s="39"/>
      <c r="CB701" s="39"/>
      <c r="CC701" s="39"/>
      <c r="CD701" s="39"/>
      <c r="CE701" s="39"/>
      <c r="CF701" s="39"/>
      <c r="CG701" s="39"/>
      <c r="CH701" s="39"/>
      <c r="CI701" s="39"/>
      <c r="CJ701" s="39"/>
      <c r="CK701" s="39"/>
      <c r="CL701" s="39"/>
      <c r="CM701" s="39"/>
      <c r="CN701" s="39"/>
      <c r="CO701" s="39"/>
      <c r="CP701" s="39"/>
      <c r="CQ701" s="39"/>
      <c r="CR701" s="39"/>
      <c r="CS701" s="39"/>
      <c r="CT701" s="39"/>
      <c r="CU701" s="39"/>
      <c r="CV701" s="39"/>
      <c r="CW701" s="39"/>
      <c r="CX701" s="39"/>
      <c r="CY701" s="39"/>
      <c r="CZ701" s="39"/>
      <c r="DA701" s="39"/>
      <c r="DB701" s="39"/>
      <c r="DC701" s="39"/>
      <c r="DD701" s="39"/>
      <c r="DE701" s="39"/>
      <c r="DF701" s="39"/>
      <c r="DG701" s="39"/>
      <c r="DH701" s="39"/>
      <c r="DI701" s="39"/>
    </row>
    <row r="702" spans="1:113">
      <c r="C702" s="51" t="str">
        <f>C642</f>
        <v>Agg. W. Europe Other</v>
      </c>
      <c r="D702" s="52"/>
      <c r="E702" s="52"/>
      <c r="F702" s="53"/>
      <c r="G702" s="52"/>
      <c r="H702" s="46"/>
      <c r="I702" s="54">
        <f>'W.EUR OTHER'!$D$11/1000</f>
        <v>52.563328083624306</v>
      </c>
      <c r="J702" s="54">
        <f>'W.EUR OTHER'!$E$11/1000</f>
        <v>49.748235238689531</v>
      </c>
      <c r="K702" s="54">
        <f>'W.EUR OTHER'!$F$11/1000</f>
        <v>47.177773280816346</v>
      </c>
      <c r="L702" s="54">
        <f>'W.EUR OTHER'!$G$11/1000</f>
        <v>46.653907460017123</v>
      </c>
      <c r="M702" s="55">
        <f t="shared" si="172"/>
        <v>-3.8974179778540008E-2</v>
      </c>
      <c r="N702" s="56"/>
      <c r="O702" s="54">
        <f>'W.EUR OTHER'!$D$12/1000</f>
        <v>52.984928022462178</v>
      </c>
      <c r="P702" s="54">
        <f>'W.EUR OTHER'!$E$12/1000</f>
        <v>41.011289430801213</v>
      </c>
      <c r="Q702" s="54">
        <f>'W.EUR OTHER'!$F$12/1000</f>
        <v>41.951692584537625</v>
      </c>
      <c r="R702" s="54">
        <f>'W.EUR OTHER'!$G$12/1000</f>
        <v>40.257188624923707</v>
      </c>
      <c r="S702" s="55">
        <f t="shared" si="173"/>
        <v>-8.7505270677122327E-2</v>
      </c>
      <c r="T702" s="46"/>
      <c r="U702" s="57"/>
      <c r="V702" s="58" t="str">
        <f>V642</f>
        <v>Agg. W. Europe Other</v>
      </c>
      <c r="BF702" s="39"/>
      <c r="BG702" s="39"/>
      <c r="BH702" s="39"/>
      <c r="BI702" s="39"/>
      <c r="BJ702" s="39"/>
      <c r="BK702" s="39"/>
      <c r="BL702" s="39"/>
      <c r="BM702" s="39"/>
      <c r="BN702" s="39"/>
      <c r="BO702" s="39"/>
      <c r="BP702" s="39"/>
      <c r="BQ702" s="39"/>
      <c r="BR702" s="39"/>
      <c r="BS702" s="39"/>
      <c r="BT702" s="39"/>
      <c r="BU702" s="39"/>
      <c r="BV702" s="39"/>
      <c r="BW702" s="39"/>
      <c r="BX702" s="39"/>
      <c r="BY702" s="39"/>
      <c r="BZ702" s="39"/>
      <c r="CA702" s="39"/>
      <c r="CB702" s="39"/>
      <c r="CC702" s="39"/>
      <c r="CD702" s="39"/>
      <c r="CE702" s="39"/>
      <c r="CF702" s="39"/>
      <c r="CG702" s="39"/>
      <c r="CH702" s="39"/>
      <c r="CI702" s="39"/>
      <c r="CJ702" s="39"/>
      <c r="CK702" s="39"/>
      <c r="CL702" s="39"/>
      <c r="CM702" s="39"/>
      <c r="CN702" s="39"/>
      <c r="CO702" s="39"/>
      <c r="CP702" s="39"/>
      <c r="CQ702" s="39"/>
      <c r="CR702" s="39"/>
      <c r="CS702" s="39"/>
      <c r="CT702" s="39"/>
      <c r="CU702" s="39"/>
      <c r="CV702" s="39"/>
      <c r="CW702" s="39"/>
      <c r="CX702" s="39"/>
      <c r="CY702" s="39"/>
      <c r="CZ702" s="39"/>
      <c r="DA702" s="39"/>
      <c r="DB702" s="39"/>
      <c r="DC702" s="39"/>
      <c r="DD702" s="39"/>
      <c r="DE702" s="39"/>
      <c r="DF702" s="39"/>
      <c r="DG702" s="39"/>
      <c r="DH702" s="39"/>
      <c r="DI702" s="39"/>
    </row>
    <row r="703" spans="1:113">
      <c r="C703" s="48"/>
      <c r="D703" s="44"/>
      <c r="E703" s="44"/>
      <c r="F703" s="45"/>
      <c r="G703" s="44"/>
      <c r="H703" s="46"/>
      <c r="I703" s="47"/>
      <c r="J703" s="47"/>
      <c r="K703" s="47"/>
      <c r="L703" s="47"/>
      <c r="M703" s="45"/>
      <c r="N703" s="46"/>
      <c r="O703" s="47"/>
      <c r="P703" s="47"/>
      <c r="Q703" s="47"/>
      <c r="R703" s="47"/>
      <c r="S703" s="45"/>
      <c r="T703" s="46"/>
      <c r="U703" s="48"/>
      <c r="V703" s="44"/>
      <c r="BF703" s="39"/>
      <c r="BG703" s="39"/>
      <c r="BH703" s="39"/>
      <c r="BI703" s="39"/>
      <c r="BJ703" s="39"/>
      <c r="BK703" s="39"/>
      <c r="BL703" s="39"/>
      <c r="BM703" s="39"/>
      <c r="BN703" s="39"/>
      <c r="BO703" s="39"/>
      <c r="BP703" s="39"/>
      <c r="BQ703" s="39"/>
      <c r="BR703" s="39"/>
      <c r="BS703" s="39"/>
      <c r="BT703" s="39"/>
      <c r="BU703" s="39"/>
      <c r="BV703" s="39"/>
      <c r="BW703" s="39"/>
      <c r="BX703" s="39"/>
      <c r="BY703" s="39"/>
      <c r="BZ703" s="39"/>
      <c r="CA703" s="39"/>
      <c r="CB703" s="39"/>
      <c r="CC703" s="39"/>
      <c r="CD703" s="39"/>
      <c r="CE703" s="39"/>
      <c r="CF703" s="39"/>
      <c r="CG703" s="39"/>
      <c r="CH703" s="39"/>
      <c r="CI703" s="39"/>
      <c r="CJ703" s="39"/>
      <c r="CK703" s="39"/>
      <c r="CL703" s="39"/>
      <c r="CM703" s="39"/>
      <c r="CN703" s="39"/>
      <c r="CO703" s="39"/>
      <c r="CP703" s="39"/>
      <c r="CQ703" s="39"/>
      <c r="CR703" s="39"/>
      <c r="CS703" s="39"/>
      <c r="CT703" s="39"/>
      <c r="CU703" s="39"/>
      <c r="CV703" s="39"/>
      <c r="CW703" s="39"/>
      <c r="CX703" s="39"/>
      <c r="CY703" s="39"/>
      <c r="CZ703" s="39"/>
      <c r="DA703" s="39"/>
      <c r="DB703" s="39"/>
      <c r="DC703" s="39"/>
      <c r="DD703" s="39"/>
      <c r="DE703" s="39"/>
      <c r="DF703" s="39"/>
      <c r="DG703" s="39"/>
      <c r="DH703" s="39"/>
      <c r="DI703" s="39"/>
    </row>
    <row r="704" spans="1:113">
      <c r="A704" s="41"/>
      <c r="B704" s="42" t="s">
        <v>551</v>
      </c>
      <c r="C704" s="48" t="str">
        <f t="shared" ref="C704:G709" si="174">C644</f>
        <v>HKBN</v>
      </c>
      <c r="D704" s="44" t="str">
        <f t="shared" si="174"/>
        <v>HKD 3</v>
      </c>
      <c r="E704" s="44" t="str">
        <f t="shared" si="174"/>
        <v>HKD 16</v>
      </c>
      <c r="F704" s="45">
        <f t="shared" si="174"/>
        <v>4.9925093632958806</v>
      </c>
      <c r="G704" s="44" t="str">
        <f t="shared" si="174"/>
        <v>Buy</v>
      </c>
      <c r="H704" s="46"/>
      <c r="I704" s="47">
        <f>HKBN!D$11/1000/Prices!$C$167</f>
        <v>0.52728945155574891</v>
      </c>
      <c r="J704" s="47">
        <f>HKBN!E$11/1000/Prices!$C$167</f>
        <v>0.52728945155574891</v>
      </c>
      <c r="K704" s="47">
        <f>HKBN!F$11/1000/Prices!$C$167</f>
        <v>0.52728945155574891</v>
      </c>
      <c r="L704" s="47">
        <f>HKBN!G$11/1000/Prices!$C$167</f>
        <v>0.52728945155574891</v>
      </c>
      <c r="M704" s="45">
        <f>(L704/I704)^(1/3)-1</f>
        <v>0</v>
      </c>
      <c r="N704" s="46"/>
      <c r="O704" s="47">
        <f>HKBN!D$12/1000/Prices!$C$167</f>
        <v>1.4223714765441968</v>
      </c>
      <c r="P704" s="47">
        <f>HKBN!E$12/1000/Prices!$C$167</f>
        <v>1.4121646391516978</v>
      </c>
      <c r="Q704" s="47">
        <f>HKBN!F$12/1000/Prices!$C$167</f>
        <v>1.4049399539172871</v>
      </c>
      <c r="R704" s="47">
        <f>HKBN!G$12/1000/Prices!$C$167</f>
        <v>1.3921013149067398</v>
      </c>
      <c r="S704" s="45">
        <f>(R704/O704)^(1/3)-1</f>
        <v>-7.1447505631023756E-3</v>
      </c>
      <c r="T704" s="46"/>
      <c r="U704" s="48" t="str">
        <f t="shared" ref="U704:V709" si="175">U644</f>
        <v>HKD 3</v>
      </c>
      <c r="V704" s="69" t="str">
        <f t="shared" si="175"/>
        <v>HKBN</v>
      </c>
      <c r="BF704" s="39"/>
      <c r="BG704" s="39"/>
      <c r="BH704" s="39"/>
      <c r="BI704" s="39"/>
      <c r="BJ704" s="39"/>
      <c r="BK704" s="39"/>
      <c r="BL704" s="39"/>
      <c r="BM704" s="39"/>
      <c r="BN704" s="39"/>
      <c r="BO704" s="39"/>
      <c r="BP704" s="39"/>
      <c r="BQ704" s="39"/>
      <c r="BR704" s="39"/>
      <c r="BS704" s="39"/>
      <c r="BT704" s="39"/>
      <c r="BU704" s="39"/>
      <c r="BV704" s="39"/>
      <c r="BW704" s="39"/>
      <c r="BX704" s="39"/>
      <c r="BY704" s="39"/>
      <c r="BZ704" s="39"/>
      <c r="CA704" s="39"/>
      <c r="CB704" s="39"/>
      <c r="CC704" s="39"/>
      <c r="CD704" s="39"/>
      <c r="CE704" s="39"/>
      <c r="CF704" s="39"/>
      <c r="CG704" s="39"/>
      <c r="CH704" s="39"/>
      <c r="CI704" s="39"/>
      <c r="CJ704" s="39"/>
      <c r="CK704" s="39"/>
      <c r="CL704" s="39"/>
      <c r="CM704" s="39"/>
      <c r="CN704" s="39"/>
      <c r="CO704" s="39"/>
      <c r="CP704" s="39"/>
      <c r="CQ704" s="39"/>
      <c r="CR704" s="39"/>
      <c r="CS704" s="39"/>
      <c r="CT704" s="39"/>
      <c r="CU704" s="39"/>
      <c r="CV704" s="39"/>
      <c r="CW704" s="39"/>
      <c r="CX704" s="39"/>
      <c r="CY704" s="39"/>
      <c r="CZ704" s="39"/>
      <c r="DA704" s="39"/>
      <c r="DB704" s="39"/>
      <c r="DC704" s="39"/>
      <c r="DD704" s="39"/>
      <c r="DE704" s="39"/>
      <c r="DF704" s="39"/>
      <c r="DG704" s="39"/>
      <c r="DH704" s="39"/>
      <c r="DI704" s="39"/>
    </row>
    <row r="705" spans="1:113">
      <c r="C705" s="48" t="str">
        <f t="shared" si="174"/>
        <v>KDDI</v>
      </c>
      <c r="D705" s="44" t="str">
        <f t="shared" si="174"/>
        <v>JPY 4,851</v>
      </c>
      <c r="E705" s="44" t="str">
        <f t="shared" si="174"/>
        <v>JPY 6,600</v>
      </c>
      <c r="F705" s="45">
        <f t="shared" si="174"/>
        <v>0.36054421768707479</v>
      </c>
      <c r="G705" s="44" t="str">
        <f t="shared" si="174"/>
        <v>Buy</v>
      </c>
      <c r="H705" s="46"/>
      <c r="I705" s="47">
        <f>KDDI!$D$11/Prices!$C$161</f>
        <v>70.75274953246938</v>
      </c>
      <c r="J705" s="47">
        <f>KDDI!$E$11/Prices!$C$161</f>
        <v>68.487488121722848</v>
      </c>
      <c r="K705" s="47">
        <f>KDDI!$F$11/Prices!$C$161</f>
        <v>66.222226710976315</v>
      </c>
      <c r="L705" s="47">
        <f>KDDI!$G$11/Prices!$C$161</f>
        <v>64.334508868687521</v>
      </c>
      <c r="M705" s="45">
        <f t="shared" ref="M705:M710" si="176">(L705/I705)^(1/3)-1</f>
        <v>-3.1201280606815929E-2</v>
      </c>
      <c r="N705" s="46"/>
      <c r="O705" s="47">
        <f>KDDI!$D$12/Prices!$C$161</f>
        <v>10.761206354993075</v>
      </c>
      <c r="P705" s="47">
        <f>KDDI!$E$12/Prices!$C$161</f>
        <v>9.2870205721739953</v>
      </c>
      <c r="Q705" s="47">
        <f>KDDI!$F$12/Prices!$C$161</f>
        <v>7.7285311377855042</v>
      </c>
      <c r="R705" s="47">
        <f>KDDI!$G$12/Prices!$C$161</f>
        <v>5.6132603166692538</v>
      </c>
      <c r="S705" s="45">
        <f t="shared" ref="S705:S710" si="177">(R705/O705)^(1/3)-1</f>
        <v>-0.19502064696356702</v>
      </c>
      <c r="T705" s="46"/>
      <c r="U705" s="48" t="str">
        <f t="shared" si="175"/>
        <v>JPY 4,851</v>
      </c>
      <c r="V705" s="44" t="str">
        <f t="shared" si="175"/>
        <v>KDDI</v>
      </c>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39"/>
      <c r="CJ705" s="39"/>
      <c r="CK705" s="39"/>
      <c r="CL705" s="39"/>
      <c r="CM705" s="39"/>
      <c r="CN705" s="39"/>
      <c r="CO705" s="39"/>
      <c r="CP705" s="39"/>
      <c r="CQ705" s="39"/>
      <c r="CR705" s="39"/>
      <c r="CS705" s="39"/>
      <c r="CT705" s="39"/>
      <c r="CU705" s="39"/>
      <c r="CV705" s="39"/>
      <c r="CW705" s="39"/>
      <c r="CX705" s="39"/>
      <c r="CY705" s="39"/>
      <c r="CZ705" s="39"/>
      <c r="DA705" s="39"/>
      <c r="DB705" s="39"/>
      <c r="DC705" s="39"/>
      <c r="DD705" s="39"/>
      <c r="DE705" s="39"/>
      <c r="DF705" s="39"/>
      <c r="DG705" s="39"/>
      <c r="DH705" s="39"/>
      <c r="DI705" s="39"/>
    </row>
    <row r="706" spans="1:113">
      <c r="A706" s="41"/>
      <c r="C706" s="48" t="str">
        <f t="shared" si="174"/>
        <v>Macquarie Telecom</v>
      </c>
      <c r="D706" s="44" t="str">
        <f t="shared" si="174"/>
        <v>AUD 76.51</v>
      </c>
      <c r="E706" s="44" t="str">
        <f t="shared" si="174"/>
        <v>AUD 28.00</v>
      </c>
      <c r="F706" s="45">
        <f t="shared" si="174"/>
        <v>-0.63403476669716374</v>
      </c>
      <c r="G706" s="44" t="str">
        <f t="shared" si="174"/>
        <v>Neutral</v>
      </c>
      <c r="H706" s="46"/>
      <c r="I706" s="47">
        <f>MAQ!$D$11/1000/Prices!$C$168</f>
        <v>1.1059656960943005</v>
      </c>
      <c r="J706" s="47">
        <f>MAQ!$E$11/1000/Prices!$C$168</f>
        <v>1.115041606009685</v>
      </c>
      <c r="K706" s="47">
        <f>MAQ!$F$11/1000/Prices!$C$168</f>
        <v>1.1241175159250694</v>
      </c>
      <c r="L706" s="47">
        <f>MAQ!$G$11/1000/Prices!$C$168</f>
        <v>1.1331934258404541</v>
      </c>
      <c r="M706" s="45">
        <f>(L706/I706)^(1/3)-1</f>
        <v>8.1398838739212831E-3</v>
      </c>
      <c r="N706" s="46"/>
      <c r="O706" s="47">
        <f>((MAQ!$D$12/Prices!$C$168)/1000)</f>
        <v>-1.0982497604383421E-2</v>
      </c>
      <c r="P706" s="47">
        <f>((MAQ!$E$12/Prices!$C$168)/1000)</f>
        <v>-1.9645688361135966E-2</v>
      </c>
      <c r="Q706" s="47">
        <f>((MAQ!$F$12/Prices!$C$168)/1000)</f>
        <v>-2.5243202496405763E-2</v>
      </c>
      <c r="R706" s="47">
        <f>((MAQ!$G$12/Prices!$C$168)/1000)</f>
        <v>-3.6508611469692857E-2</v>
      </c>
      <c r="S706" s="45">
        <f>(R706/O706)^(1/3)-1</f>
        <v>0.49244407500639098</v>
      </c>
      <c r="T706" s="46"/>
      <c r="U706" s="48" t="str">
        <f t="shared" si="175"/>
        <v>AUD 76.51</v>
      </c>
      <c r="V706" s="69" t="str">
        <f t="shared" si="175"/>
        <v>Macquarie Telecom</v>
      </c>
      <c r="BF706" s="39"/>
      <c r="BG706" s="39"/>
      <c r="BH706" s="39"/>
      <c r="BI706" s="39"/>
      <c r="BJ706" s="39"/>
      <c r="BK706" s="39"/>
      <c r="BL706" s="39"/>
      <c r="BM706" s="39"/>
      <c r="BN706" s="39"/>
      <c r="BO706" s="39"/>
      <c r="BP706" s="39"/>
      <c r="BQ706" s="39"/>
      <c r="BR706" s="39"/>
      <c r="BS706" s="39"/>
      <c r="BT706" s="39"/>
      <c r="BU706" s="39"/>
      <c r="BV706" s="39"/>
      <c r="BW706" s="39"/>
      <c r="BX706" s="39"/>
      <c r="BY706" s="39"/>
      <c r="BZ706" s="39"/>
      <c r="CA706" s="39"/>
      <c r="CB706" s="39"/>
      <c r="CC706" s="39"/>
      <c r="CD706" s="39"/>
      <c r="CE706" s="39"/>
      <c r="CF706" s="39"/>
      <c r="CG706" s="39"/>
      <c r="CH706" s="39"/>
      <c r="CI706" s="39"/>
      <c r="CJ706" s="39"/>
      <c r="CK706" s="39"/>
      <c r="CL706" s="39"/>
      <c r="CM706" s="39"/>
      <c r="CN706" s="39"/>
      <c r="CO706" s="39"/>
      <c r="CP706" s="39"/>
      <c r="CQ706" s="39"/>
      <c r="CR706" s="39"/>
      <c r="CS706" s="39"/>
      <c r="CT706" s="39"/>
      <c r="CU706" s="39"/>
      <c r="CV706" s="39"/>
      <c r="CW706" s="39"/>
      <c r="CX706" s="39"/>
      <c r="CY706" s="39"/>
      <c r="CZ706" s="39"/>
      <c r="DA706" s="39"/>
      <c r="DB706" s="39"/>
      <c r="DC706" s="39"/>
      <c r="DD706" s="39"/>
      <c r="DE706" s="39"/>
      <c r="DF706" s="39"/>
      <c r="DG706" s="39"/>
      <c r="DH706" s="39"/>
      <c r="DI706" s="39"/>
    </row>
    <row r="707" spans="1:113">
      <c r="C707" s="48" t="str">
        <f t="shared" si="174"/>
        <v>Rakuten</v>
      </c>
      <c r="D707" s="44" t="str">
        <f t="shared" si="174"/>
        <v>JPY 946</v>
      </c>
      <c r="E707" s="44" t="str">
        <f t="shared" si="174"/>
        <v>JPY 400</v>
      </c>
      <c r="F707" s="45">
        <f t="shared" si="174"/>
        <v>-0.57734573119188504</v>
      </c>
      <c r="G707" s="44" t="str">
        <f t="shared" si="174"/>
        <v>Reduce</v>
      </c>
      <c r="H707" s="46"/>
      <c r="I707" s="47">
        <f>(RAK!D$11/Prices!$C$161)</f>
        <v>14.199482253981333</v>
      </c>
      <c r="J707" s="47">
        <f>(RAK!E$11/Prices!$C$161)</f>
        <v>14.199482253981333</v>
      </c>
      <c r="K707" s="47">
        <f>(RAK!F$11/Prices!$C$161)</f>
        <v>14.199482253981333</v>
      </c>
      <c r="L707" s="47">
        <f>(RAK!G$11/Prices!$C$161)</f>
        <v>14.199482253981333</v>
      </c>
      <c r="M707" s="45">
        <f>(L707/I707)^(1/3)-1</f>
        <v>0</v>
      </c>
      <c r="N707" s="46"/>
      <c r="O707" s="47">
        <f>RAK!D$12/Prices!$C$161</f>
        <v>0.62340218168349126</v>
      </c>
      <c r="P707" s="47">
        <f>RAK!E$12/Prices!$C$161</f>
        <v>0.62340218168349126</v>
      </c>
      <c r="Q707" s="47">
        <f>RAK!F$12/Prices!$C$161</f>
        <v>0.62340218168349126</v>
      </c>
      <c r="R707" s="47">
        <f>RAK!G$12/Prices!$C$161</f>
        <v>0.62340218168349126</v>
      </c>
      <c r="S707" s="45">
        <f>(R707/O707)^(1/3)-1</f>
        <v>0</v>
      </c>
      <c r="T707" s="46"/>
      <c r="U707" s="48" t="str">
        <f t="shared" si="175"/>
        <v>JPY 946</v>
      </c>
      <c r="V707" s="44" t="str">
        <f t="shared" si="175"/>
        <v>Rakuten</v>
      </c>
      <c r="BF707" s="39"/>
      <c r="BG707" s="39"/>
      <c r="BH707" s="39"/>
      <c r="BI707" s="39"/>
      <c r="BJ707" s="39"/>
      <c r="BK707" s="39"/>
      <c r="BL707" s="39"/>
      <c r="BM707" s="39"/>
      <c r="BN707" s="39"/>
      <c r="BO707" s="39"/>
      <c r="BP707" s="39"/>
      <c r="BQ707" s="39"/>
      <c r="BR707" s="39"/>
      <c r="BS707" s="39"/>
      <c r="BT707" s="39"/>
      <c r="BU707" s="39"/>
      <c r="BV707" s="39"/>
      <c r="BW707" s="39"/>
      <c r="BX707" s="39"/>
      <c r="BY707" s="39"/>
      <c r="BZ707" s="39"/>
      <c r="CA707" s="39"/>
      <c r="CB707" s="39"/>
      <c r="CC707" s="39"/>
      <c r="CD707" s="39"/>
      <c r="CE707" s="39"/>
      <c r="CF707" s="39"/>
      <c r="CG707" s="39"/>
      <c r="CH707" s="39"/>
      <c r="CI707" s="39"/>
      <c r="CJ707" s="39"/>
      <c r="CK707" s="39"/>
      <c r="CL707" s="39"/>
      <c r="CM707" s="39"/>
      <c r="CN707" s="39"/>
      <c r="CO707" s="39"/>
      <c r="CP707" s="39"/>
      <c r="CQ707" s="39"/>
      <c r="CR707" s="39"/>
      <c r="CS707" s="39"/>
      <c r="CT707" s="39"/>
      <c r="CU707" s="39"/>
      <c r="CV707" s="39"/>
      <c r="CW707" s="39"/>
      <c r="CX707" s="39"/>
      <c r="CY707" s="39"/>
      <c r="CZ707" s="39"/>
      <c r="DA707" s="39"/>
      <c r="DB707" s="39"/>
      <c r="DC707" s="39"/>
      <c r="DD707" s="39"/>
      <c r="DE707" s="39"/>
      <c r="DF707" s="39"/>
      <c r="DG707" s="39"/>
      <c r="DH707" s="39"/>
      <c r="DI707" s="39"/>
    </row>
    <row r="708" spans="1:113">
      <c r="C708" s="48" t="str">
        <f t="shared" si="174"/>
        <v>SoftBank KK (Corp)</v>
      </c>
      <c r="D708" s="44" t="str">
        <f t="shared" si="174"/>
        <v>JPY 1,996</v>
      </c>
      <c r="E708" s="44" t="str">
        <f t="shared" si="174"/>
        <v>JPY 2,700</v>
      </c>
      <c r="F708" s="45">
        <f t="shared" si="174"/>
        <v>0.35270541082164319</v>
      </c>
      <c r="G708" s="44" t="str">
        <f t="shared" si="174"/>
        <v>Buy</v>
      </c>
      <c r="H708" s="46"/>
      <c r="I708" s="47">
        <f>SBKK!D$11/Prices!$C$161</f>
        <v>66.107835571188375</v>
      </c>
      <c r="J708" s="47">
        <f>SBKK!E$11/Prices!$C$161</f>
        <v>66.099930857016716</v>
      </c>
      <c r="K708" s="47">
        <f>SBKK!F$11/Prices!$C$161</f>
        <v>66.083045697121293</v>
      </c>
      <c r="L708" s="47">
        <f>SBKK!G$11/Prices!$C$161</f>
        <v>66.033097754623611</v>
      </c>
      <c r="M708" s="45">
        <f t="shared" si="176"/>
        <v>-3.7699010219915952E-4</v>
      </c>
      <c r="N708" s="46"/>
      <c r="O708" s="47">
        <f>SBKK!D$12/Prices!$C$161</f>
        <v>32.253093458616462</v>
      </c>
      <c r="P708" s="47">
        <f>SBKK!E$12/Prices!$C$161</f>
        <v>29.621555993546718</v>
      </c>
      <c r="Q708" s="47">
        <f>SBKK!F$12/Prices!$C$161</f>
        <v>27.077657220159907</v>
      </c>
      <c r="R708" s="47">
        <f>SBKK!G$12/Prices!$C$161</f>
        <v>24.056660335649696</v>
      </c>
      <c r="S708" s="45">
        <f t="shared" si="177"/>
        <v>-9.3109915085966555E-2</v>
      </c>
      <c r="T708" s="46"/>
      <c r="U708" s="48" t="str">
        <f t="shared" si="175"/>
        <v>JPY 1,996</v>
      </c>
      <c r="V708" s="44" t="str">
        <f t="shared" si="175"/>
        <v>SoftBank KK (Corp)</v>
      </c>
      <c r="BF708" s="39"/>
      <c r="BG708" s="39"/>
      <c r="BH708" s="39"/>
      <c r="BI708" s="39"/>
      <c r="BJ708" s="39"/>
      <c r="BK708" s="39"/>
      <c r="BL708" s="39"/>
      <c r="BM708" s="39"/>
      <c r="BN708" s="39"/>
      <c r="BO708" s="39"/>
      <c r="BP708" s="39"/>
      <c r="BQ708" s="39"/>
      <c r="BR708" s="39"/>
      <c r="BS708" s="39"/>
      <c r="BT708" s="39"/>
      <c r="BU708" s="39"/>
      <c r="BV708" s="39"/>
      <c r="BW708" s="39"/>
      <c r="BX708" s="39"/>
      <c r="BY708" s="39"/>
      <c r="BZ708" s="39"/>
      <c r="CA708" s="39"/>
      <c r="CB708" s="39"/>
      <c r="CC708" s="39"/>
      <c r="CD708" s="39"/>
      <c r="CE708" s="39"/>
      <c r="CF708" s="39"/>
      <c r="CG708" s="39"/>
      <c r="CH708" s="39"/>
      <c r="CI708" s="39"/>
      <c r="CJ708" s="39"/>
      <c r="CK708" s="39"/>
      <c r="CL708" s="39"/>
      <c r="CM708" s="39"/>
      <c r="CN708" s="39"/>
      <c r="CO708" s="39"/>
      <c r="CP708" s="39"/>
      <c r="CQ708" s="39"/>
      <c r="CR708" s="39"/>
      <c r="CS708" s="39"/>
      <c r="CT708" s="39"/>
      <c r="CU708" s="39"/>
      <c r="CV708" s="39"/>
      <c r="CW708" s="39"/>
      <c r="CX708" s="39"/>
      <c r="CY708" s="39"/>
      <c r="CZ708" s="39"/>
      <c r="DA708" s="39"/>
      <c r="DB708" s="39"/>
      <c r="DC708" s="39"/>
      <c r="DD708" s="39"/>
      <c r="DE708" s="39"/>
      <c r="DF708" s="39"/>
      <c r="DG708" s="39"/>
      <c r="DH708" s="39"/>
      <c r="DI708" s="39"/>
    </row>
    <row r="709" spans="1:113">
      <c r="A709" s="41"/>
      <c r="C709" s="48" t="str">
        <f t="shared" si="174"/>
        <v>TPG</v>
      </c>
      <c r="D709" s="44" t="str">
        <f t="shared" si="174"/>
        <v>AUD 4.99</v>
      </c>
      <c r="E709" s="44" t="str">
        <f t="shared" si="174"/>
        <v>AUD 7.50</v>
      </c>
      <c r="F709" s="45">
        <f t="shared" si="174"/>
        <v>0.50300601202404804</v>
      </c>
      <c r="G709" s="44" t="str">
        <f t="shared" si="174"/>
        <v>Neutral</v>
      </c>
      <c r="H709" s="46"/>
      <c r="I709" s="47">
        <f>TPG!$D$11/1000/Prices!$C$168</f>
        <v>3.1334159705395472</v>
      </c>
      <c r="J709" s="47">
        <f>TPG!$E$11/1000/Prices!$C$168</f>
        <v>3.141249510465896</v>
      </c>
      <c r="K709" s="47">
        <f>TPG!$F$11/1000/Prices!$C$168</f>
        <v>3.1491026342420612</v>
      </c>
      <c r="L709" s="47">
        <f>TPG!$G$11/1000/Prices!$C$168</f>
        <v>3.1569753908276663</v>
      </c>
      <c r="M709" s="45">
        <f>(L709/I709)^(1/3)-1</f>
        <v>2.5000000000001688E-3</v>
      </c>
      <c r="N709" s="46"/>
      <c r="O709" s="47">
        <f>((TPG!$D$12/Prices!$C$168)/1000)</f>
        <v>1.3569913311221133</v>
      </c>
      <c r="P709" s="47">
        <f>((TPG!$E$12/Prices!$C$168)/1000)</f>
        <v>1.2829358816821881</v>
      </c>
      <c r="Q709" s="47">
        <f>((TPG!$F$12/Prices!$C$168)/1000)</f>
        <v>1.2277418879986051</v>
      </c>
      <c r="R709" s="47">
        <f>((TPG!$G$12/Prices!$C$168)/1000)</f>
        <v>1.1661554287697058</v>
      </c>
      <c r="S709" s="45">
        <f>(R709/O709)^(1/3)-1</f>
        <v>-4.9264329649302496E-2</v>
      </c>
      <c r="T709" s="46"/>
      <c r="U709" s="48" t="str">
        <f t="shared" si="175"/>
        <v>AUD 4.99</v>
      </c>
      <c r="V709" s="44" t="str">
        <f t="shared" si="175"/>
        <v>TPG</v>
      </c>
      <c r="BF709" s="39"/>
      <c r="BG709" s="39"/>
      <c r="BH709" s="39"/>
      <c r="BI709" s="39"/>
      <c r="BJ709" s="39"/>
      <c r="BK709" s="39"/>
      <c r="BL709" s="39"/>
      <c r="BM709" s="39"/>
      <c r="BN709" s="39"/>
      <c r="BO709" s="39"/>
      <c r="BP709" s="39"/>
      <c r="BQ709" s="39"/>
      <c r="BR709" s="39"/>
      <c r="BS709" s="39"/>
      <c r="BT709" s="39"/>
      <c r="BU709" s="39"/>
      <c r="BV709" s="39"/>
      <c r="BW709" s="39"/>
      <c r="BX709" s="39"/>
      <c r="BY709" s="39"/>
      <c r="BZ709" s="39"/>
      <c r="CA709" s="39"/>
      <c r="CB709" s="39"/>
      <c r="CC709" s="39"/>
      <c r="CD709" s="39"/>
      <c r="CE709" s="39"/>
      <c r="CF709" s="39"/>
      <c r="CG709" s="39"/>
      <c r="CH709" s="39"/>
      <c r="CI709" s="39"/>
      <c r="CJ709" s="39"/>
      <c r="CK709" s="39"/>
      <c r="CL709" s="39"/>
      <c r="CM709" s="39"/>
      <c r="CN709" s="39"/>
      <c r="CO709" s="39"/>
      <c r="CP709" s="39"/>
      <c r="CQ709" s="39"/>
      <c r="CR709" s="39"/>
      <c r="CS709" s="39"/>
      <c r="CT709" s="39"/>
      <c r="CU709" s="39"/>
      <c r="CV709" s="39"/>
      <c r="CW709" s="39"/>
      <c r="CX709" s="39"/>
      <c r="CY709" s="39"/>
      <c r="CZ709" s="39"/>
      <c r="DA709" s="39"/>
      <c r="DB709" s="39"/>
      <c r="DC709" s="39"/>
      <c r="DD709" s="39"/>
      <c r="DE709" s="39"/>
      <c r="DF709" s="39"/>
      <c r="DG709" s="39"/>
      <c r="DH709" s="39"/>
      <c r="DI709" s="39"/>
    </row>
    <row r="710" spans="1:113">
      <c r="C710" s="51" t="str">
        <f>C650</f>
        <v>Agg. Developed Asia Other</v>
      </c>
      <c r="D710" s="52"/>
      <c r="E710" s="52"/>
      <c r="F710" s="53"/>
      <c r="G710" s="52"/>
      <c r="H710" s="46"/>
      <c r="I710" s="54">
        <f>'DM ASIA OTHER'!$D$11/1000</f>
        <v>155.82673847582871</v>
      </c>
      <c r="J710" s="54">
        <f>'DM ASIA OTHER'!$E$11/1000</f>
        <v>153.57048180075225</v>
      </c>
      <c r="K710" s="54">
        <f>'DM ASIA OTHER'!$F$11/1000</f>
        <v>151.30526426380186</v>
      </c>
      <c r="L710" s="54">
        <f>'DM ASIA OTHER'!$G$11/1000</f>
        <v>149.38454714551634</v>
      </c>
      <c r="M710" s="55">
        <f t="shared" si="176"/>
        <v>-1.397506423676198E-2</v>
      </c>
      <c r="N710" s="56"/>
      <c r="O710" s="54">
        <f>'DM ASIA OTHER'!$D$12/1000</f>
        <v>46.406082305354964</v>
      </c>
      <c r="P710" s="54">
        <f>'DM ASIA OTHER'!$E$12/1000</f>
        <v>42.207433579876955</v>
      </c>
      <c r="Q710" s="54">
        <f>'DM ASIA OTHER'!$F$12/1000</f>
        <v>38.037029179048396</v>
      </c>
      <c r="R710" s="54">
        <f>'DM ASIA OTHER'!$G$12/1000</f>
        <v>32.815070966209198</v>
      </c>
      <c r="S710" s="55">
        <f t="shared" si="177"/>
        <v>-0.10909209189213909</v>
      </c>
      <c r="T710" s="46"/>
      <c r="U710" s="57"/>
      <c r="V710" s="58" t="str">
        <f>V650</f>
        <v>Agg. Developed Asia Cellular</v>
      </c>
      <c r="BF710" s="39"/>
      <c r="BG710" s="39"/>
      <c r="BH710" s="39"/>
      <c r="BI710" s="39"/>
      <c r="BJ710" s="39"/>
      <c r="BK710" s="39"/>
      <c r="BL710" s="39"/>
      <c r="BM710" s="39"/>
      <c r="BN710" s="39"/>
      <c r="BO710" s="39"/>
      <c r="BP710" s="39"/>
      <c r="BQ710" s="39"/>
      <c r="BR710" s="39"/>
      <c r="BS710" s="39"/>
      <c r="BT710" s="39"/>
      <c r="BU710" s="39"/>
      <c r="BV710" s="39"/>
      <c r="BW710" s="39"/>
      <c r="BX710" s="39"/>
      <c r="BY710" s="39"/>
      <c r="BZ710" s="39"/>
      <c r="CA710" s="39"/>
      <c r="CB710" s="39"/>
      <c r="CC710" s="39"/>
      <c r="CD710" s="39"/>
      <c r="CE710" s="39"/>
      <c r="CF710" s="39"/>
      <c r="CG710" s="39"/>
      <c r="CH710" s="39"/>
      <c r="CI710" s="39"/>
      <c r="CJ710" s="39"/>
      <c r="CK710" s="39"/>
      <c r="CL710" s="39"/>
      <c r="CM710" s="39"/>
      <c r="CN710" s="39"/>
      <c r="CO710" s="39"/>
      <c r="CP710" s="39"/>
      <c r="CQ710" s="39"/>
      <c r="CR710" s="39"/>
      <c r="CS710" s="39"/>
      <c r="CT710" s="39"/>
      <c r="CU710" s="39"/>
      <c r="CV710" s="39"/>
      <c r="CW710" s="39"/>
      <c r="CX710" s="39"/>
      <c r="CY710" s="39"/>
      <c r="CZ710" s="39"/>
      <c r="DA710" s="39"/>
      <c r="DB710" s="39"/>
      <c r="DC710" s="39"/>
      <c r="DD710" s="39"/>
      <c r="DE710" s="39"/>
      <c r="DF710" s="39"/>
      <c r="DG710" s="39"/>
      <c r="DH710" s="39"/>
      <c r="DI710" s="39"/>
    </row>
    <row r="711" spans="1:113">
      <c r="A711" s="41"/>
      <c r="C711" s="48"/>
      <c r="D711" s="44"/>
      <c r="E711" s="44"/>
      <c r="F711" s="45"/>
      <c r="G711" s="44"/>
      <c r="H711" s="46"/>
      <c r="I711" s="47"/>
      <c r="J711" s="47"/>
      <c r="K711" s="47"/>
      <c r="L711" s="47"/>
      <c r="M711" s="45"/>
      <c r="N711" s="46"/>
      <c r="O711" s="47"/>
      <c r="P711" s="47"/>
      <c r="Q711" s="47"/>
      <c r="R711" s="47"/>
      <c r="S711" s="45"/>
      <c r="T711" s="46"/>
      <c r="U711" s="48"/>
      <c r="V711" s="44"/>
      <c r="BF711" s="39"/>
      <c r="BG711" s="39"/>
      <c r="BH711" s="39"/>
      <c r="BI711" s="39"/>
      <c r="BJ711" s="39"/>
      <c r="BK711" s="39"/>
      <c r="BL711" s="39"/>
      <c r="BM711" s="39"/>
      <c r="BN711" s="39"/>
      <c r="BO711" s="39"/>
      <c r="BP711" s="39"/>
      <c r="BQ711" s="39"/>
      <c r="BR711" s="39"/>
      <c r="BS711" s="39"/>
      <c r="BT711" s="39"/>
      <c r="BU711" s="39"/>
      <c r="BV711" s="39"/>
      <c r="BW711" s="39"/>
      <c r="BX711" s="39"/>
      <c r="BY711" s="39"/>
      <c r="BZ711" s="39"/>
      <c r="CA711" s="39"/>
      <c r="CB711" s="39"/>
      <c r="CC711" s="39"/>
      <c r="CD711" s="39"/>
      <c r="CE711" s="39"/>
      <c r="CF711" s="39"/>
      <c r="CG711" s="39"/>
      <c r="CH711" s="39"/>
      <c r="CI711" s="39"/>
      <c r="CJ711" s="39"/>
      <c r="CK711" s="39"/>
      <c r="CL711" s="39"/>
      <c r="CM711" s="39"/>
      <c r="CN711" s="39"/>
      <c r="CO711" s="39"/>
      <c r="CP711" s="39"/>
      <c r="CQ711" s="39"/>
      <c r="CR711" s="39"/>
      <c r="CS711" s="39"/>
      <c r="CT711" s="39"/>
      <c r="CU711" s="39"/>
      <c r="CV711" s="39"/>
      <c r="CW711" s="39"/>
      <c r="CX711" s="39"/>
      <c r="CY711" s="39"/>
      <c r="CZ711" s="39"/>
      <c r="DA711" s="39"/>
      <c r="DB711" s="39"/>
      <c r="DC711" s="39"/>
      <c r="DD711" s="39"/>
      <c r="DE711" s="39"/>
      <c r="DF711" s="39"/>
      <c r="DG711" s="39"/>
      <c r="DH711" s="39"/>
      <c r="DI711" s="39"/>
    </row>
    <row r="712" spans="1:113">
      <c r="A712" s="41"/>
      <c r="B712" s="42" t="s">
        <v>514</v>
      </c>
      <c r="C712" s="48" t="str">
        <f>C652</f>
        <v>Altice US</v>
      </c>
      <c r="D712" s="44" t="str">
        <f>D652</f>
        <v>US$2.1</v>
      </c>
      <c r="E712" s="44" t="str">
        <f>E652</f>
        <v>US$4.0</v>
      </c>
      <c r="F712" s="45">
        <f>F652</f>
        <v>0.86915887850467288</v>
      </c>
      <c r="G712" s="44" t="str">
        <f>G652</f>
        <v>Neutral</v>
      </c>
      <c r="H712" s="46"/>
      <c r="I712" s="47">
        <f>ATCUS!D$11/1000</f>
        <v>0.97377650500000001</v>
      </c>
      <c r="J712" s="47">
        <f>ATCUS!E$11/1000</f>
        <v>0.97403739666310096</v>
      </c>
      <c r="K712" s="47">
        <f>ATCUS!F$11/1000</f>
        <v>0.97450195120113614</v>
      </c>
      <c r="L712" s="47">
        <f>ATCUS!G$11/1000</f>
        <v>0.97496650573917165</v>
      </c>
      <c r="M712" s="45">
        <f t="shared" ref="M712:M717" si="178">(L712/I712)^(1/3)-1</f>
        <v>4.0718320759514093E-4</v>
      </c>
      <c r="N712" s="46"/>
      <c r="O712" s="47">
        <f>(ATCUS!D$12/1000)</f>
        <v>24.422000000000001</v>
      </c>
      <c r="P712" s="47">
        <f>(ATCUS!E$12/1000)</f>
        <v>24.411807639729229</v>
      </c>
      <c r="Q712" s="47">
        <f>(ATCUS!F$12/1000)</f>
        <v>24.404817845797144</v>
      </c>
      <c r="R712" s="47">
        <f>(ATCUS!G$12/1000)</f>
        <v>24.280934226984005</v>
      </c>
      <c r="S712" s="45">
        <f t="shared" ref="S712:S717" si="179">(R712/O712)^(1/3)-1</f>
        <v>-1.9291111141002126E-3</v>
      </c>
      <c r="T712" s="46"/>
      <c r="U712" s="48" t="str">
        <f>D712</f>
        <v>US$2.1</v>
      </c>
      <c r="V712" s="44" t="str">
        <f t="shared" ref="V712:V717" si="180">C712</f>
        <v>Altice US</v>
      </c>
      <c r="BF712" s="39"/>
      <c r="BG712" s="39"/>
      <c r="BH712" s="39"/>
      <c r="BI712" s="39"/>
      <c r="BJ712" s="39"/>
      <c r="BK712" s="39"/>
      <c r="BL712" s="39"/>
      <c r="BM712" s="39"/>
      <c r="BN712" s="39"/>
      <c r="BO712" s="39"/>
      <c r="BP712" s="39"/>
      <c r="BQ712" s="39"/>
      <c r="BR712" s="39"/>
      <c r="BS712" s="39"/>
      <c r="BT712" s="39"/>
      <c r="BU712" s="39"/>
      <c r="BV712" s="39"/>
      <c r="BW712" s="39"/>
      <c r="BX712" s="39"/>
      <c r="BY712" s="39"/>
      <c r="BZ712" s="39"/>
      <c r="CA712" s="39"/>
      <c r="CB712" s="39"/>
      <c r="CC712" s="39"/>
      <c r="CD712" s="39"/>
      <c r="CE712" s="39"/>
      <c r="CF712" s="39"/>
      <c r="CG712" s="39"/>
      <c r="CH712" s="39"/>
      <c r="CI712" s="39"/>
      <c r="CJ712" s="39"/>
      <c r="CK712" s="39"/>
      <c r="CL712" s="39"/>
      <c r="CM712" s="39"/>
      <c r="CN712" s="39"/>
      <c r="CO712" s="39"/>
      <c r="CP712" s="39"/>
      <c r="CQ712" s="39"/>
      <c r="CR712" s="39"/>
      <c r="CS712" s="39"/>
      <c r="CT712" s="39"/>
      <c r="CU712" s="39"/>
      <c r="CV712" s="39"/>
      <c r="CW712" s="39"/>
      <c r="CX712" s="39"/>
      <c r="CY712" s="39"/>
      <c r="CZ712" s="39"/>
      <c r="DA712" s="39"/>
      <c r="DB712" s="39"/>
      <c r="DC712" s="39"/>
      <c r="DD712" s="39"/>
      <c r="DE712" s="39"/>
      <c r="DF712" s="39"/>
      <c r="DG712" s="39"/>
      <c r="DH712" s="39"/>
      <c r="DI712" s="39"/>
    </row>
    <row r="713" spans="1:113">
      <c r="A713" s="41"/>
      <c r="B713" s="42" t="s">
        <v>514</v>
      </c>
      <c r="C713" s="48" t="s">
        <v>306</v>
      </c>
      <c r="D713" s="44" t="str">
        <f>B713&amp;TEXT(Prices!$C$45,"0.0")</f>
        <v>US$330.8</v>
      </c>
      <c r="E713" s="44" t="str">
        <f>B713&amp;TEXT(Prices!$E$45,"0.0")</f>
        <v>US$581.0</v>
      </c>
      <c r="F713" s="45">
        <f>Prices!$F$45</f>
        <v>0.75645444101819947</v>
      </c>
      <c r="G713" s="44" t="str">
        <f>Prices!$D$45</f>
        <v>Buy</v>
      </c>
      <c r="H713" s="46"/>
      <c r="I713" s="47">
        <f>CHTR!D$11/1000</f>
        <v>54.780780448379993</v>
      </c>
      <c r="J713" s="47">
        <f>CHTR!E$11/1000</f>
        <v>50.531663514380789</v>
      </c>
      <c r="K713" s="47">
        <f>CHTR!F$11/1000</f>
        <v>47.881179141516938</v>
      </c>
      <c r="L713" s="47">
        <f>CHTR!G$11/1000</f>
        <v>42.696513638343831</v>
      </c>
      <c r="M713" s="45">
        <f t="shared" si="178"/>
        <v>-7.9716999683671186E-2</v>
      </c>
      <c r="N713" s="46"/>
      <c r="O713" s="47">
        <f>(CHTR!D$12/1000)</f>
        <v>97.067999999999998</v>
      </c>
      <c r="P713" s="47">
        <f>(CHTR!E$12/1000)</f>
        <v>99.85068047110407</v>
      </c>
      <c r="Q713" s="47">
        <f>(CHTR!F$12/1000)</f>
        <v>101.06326924865618</v>
      </c>
      <c r="R713" s="47">
        <f>(CHTR!G$12/1000)</f>
        <v>105.15781058783271</v>
      </c>
      <c r="S713" s="45">
        <f t="shared" si="179"/>
        <v>2.7042663548888513E-2</v>
      </c>
      <c r="T713" s="46"/>
      <c r="U713" s="48" t="str">
        <f>D713</f>
        <v>US$330.8</v>
      </c>
      <c r="V713" s="44" t="str">
        <f t="shared" si="180"/>
        <v>Charter</v>
      </c>
      <c r="BF713" s="39"/>
      <c r="BG713" s="39"/>
      <c r="BH713" s="39"/>
      <c r="BI713" s="39"/>
      <c r="BJ713" s="39"/>
      <c r="BK713" s="39"/>
      <c r="BL713" s="39"/>
      <c r="BM713" s="39"/>
      <c r="BN713" s="39"/>
      <c r="BO713" s="39"/>
      <c r="BP713" s="39"/>
      <c r="BQ713" s="39"/>
      <c r="BR713" s="39"/>
      <c r="BS713" s="39"/>
      <c r="BT713" s="39"/>
      <c r="BU713" s="39"/>
      <c r="BV713" s="39"/>
      <c r="BW713" s="39"/>
      <c r="BX713" s="39"/>
      <c r="BY713" s="39"/>
      <c r="BZ713" s="39"/>
      <c r="CA713" s="39"/>
      <c r="CB713" s="39"/>
      <c r="CC713" s="39"/>
      <c r="CD713" s="39"/>
      <c r="CE713" s="39"/>
      <c r="CF713" s="39"/>
      <c r="CG713" s="39"/>
      <c r="CH713" s="39"/>
      <c r="CI713" s="39"/>
      <c r="CJ713" s="39"/>
      <c r="CK713" s="39"/>
      <c r="CL713" s="39"/>
      <c r="CM713" s="39"/>
      <c r="CN713" s="39"/>
      <c r="CO713" s="39"/>
      <c r="CP713" s="39"/>
      <c r="CQ713" s="39"/>
      <c r="CR713" s="39"/>
      <c r="CS713" s="39"/>
      <c r="CT713" s="39"/>
      <c r="CU713" s="39"/>
      <c r="CV713" s="39"/>
      <c r="CW713" s="39"/>
      <c r="CX713" s="39"/>
      <c r="CY713" s="39"/>
      <c r="CZ713" s="39"/>
      <c r="DA713" s="39"/>
      <c r="DB713" s="39"/>
      <c r="DC713" s="39"/>
      <c r="DD713" s="39"/>
      <c r="DE713" s="39"/>
      <c r="DF713" s="39"/>
      <c r="DG713" s="39"/>
      <c r="DH713" s="39"/>
      <c r="DI713" s="39"/>
    </row>
    <row r="714" spans="1:113">
      <c r="A714" s="41"/>
      <c r="B714" s="42" t="s">
        <v>514</v>
      </c>
      <c r="C714" s="48" t="s">
        <v>304</v>
      </c>
      <c r="D714" s="44" t="str">
        <f>B714&amp;TEXT(Prices!$C$46,"0.0")</f>
        <v>US$39.8</v>
      </c>
      <c r="E714" s="44" t="str">
        <f>B714&amp;TEXT(Prices!$E$46,"0.0")</f>
        <v>US$50.0</v>
      </c>
      <c r="F714" s="45">
        <f>Prices!$F$46</f>
        <v>0.25628140703517599</v>
      </c>
      <c r="G714" s="44" t="str">
        <f>Prices!$D$46</f>
        <v>Buy</v>
      </c>
      <c r="H714" s="46"/>
      <c r="I714" s="47">
        <f>CMCSA!D$11/1000</f>
        <v>165.13699810175402</v>
      </c>
      <c r="J714" s="47">
        <f>CMCSA!E$11/1000</f>
        <v>155.46602012280664</v>
      </c>
      <c r="K714" s="47">
        <f>CMCSA!F$11/1000</f>
        <v>146.86071260705361</v>
      </c>
      <c r="L714" s="47">
        <f>CMCSA!G$11/1000</f>
        <v>136.99466134860117</v>
      </c>
      <c r="M714" s="45">
        <f t="shared" si="178"/>
        <v>-6.0378196492654856E-2</v>
      </c>
      <c r="N714" s="46"/>
      <c r="O714" s="47">
        <f>(CMCSA!D$12/1000)</f>
        <v>87.610320071999993</v>
      </c>
      <c r="P714" s="47">
        <f>(CMCSA!E$12/1000)</f>
        <v>93.837521219944065</v>
      </c>
      <c r="Q714" s="47">
        <f>(CMCSA!F$12/1000)</f>
        <v>96.731924716820117</v>
      </c>
      <c r="R714" s="47">
        <f>(CMCSA!G$12/1000)</f>
        <v>101.16242574620256</v>
      </c>
      <c r="S714" s="45">
        <f t="shared" si="179"/>
        <v>4.9110714689955426E-2</v>
      </c>
      <c r="T714" s="46"/>
      <c r="U714" s="48" t="str">
        <f>D714</f>
        <v>US$39.8</v>
      </c>
      <c r="V714" s="44" t="str">
        <f t="shared" si="180"/>
        <v>Comcast</v>
      </c>
      <c r="BF714" s="39"/>
      <c r="BG714" s="39"/>
      <c r="BH714" s="39"/>
      <c r="BI714" s="39"/>
      <c r="BJ714" s="39"/>
      <c r="BK714" s="39"/>
      <c r="BL714" s="39"/>
      <c r="BM714" s="39"/>
      <c r="BN714" s="39"/>
      <c r="BO714" s="39"/>
      <c r="BP714" s="39"/>
      <c r="BQ714" s="39"/>
      <c r="BR714" s="39"/>
      <c r="BS714" s="39"/>
      <c r="BT714" s="39"/>
      <c r="BU714" s="39"/>
      <c r="BV714" s="39"/>
      <c r="BW714" s="39"/>
      <c r="BX714" s="39"/>
      <c r="BY714" s="39"/>
      <c r="BZ714" s="39"/>
      <c r="CA714" s="39"/>
      <c r="CB714" s="39"/>
      <c r="CC714" s="39"/>
      <c r="CD714" s="39"/>
      <c r="CE714" s="39"/>
      <c r="CF714" s="39"/>
      <c r="CG714" s="39"/>
      <c r="CH714" s="39"/>
      <c r="CI714" s="39"/>
      <c r="CJ714" s="39"/>
      <c r="CK714" s="39"/>
      <c r="CL714" s="39"/>
      <c r="CM714" s="39"/>
      <c r="CN714" s="39"/>
      <c r="CO714" s="39"/>
      <c r="CP714" s="39"/>
      <c r="CQ714" s="39"/>
      <c r="CR714" s="39"/>
      <c r="CS714" s="39"/>
      <c r="CT714" s="39"/>
      <c r="CU714" s="39"/>
      <c r="CV714" s="39"/>
      <c r="CW714" s="39"/>
      <c r="CX714" s="39"/>
      <c r="CY714" s="39"/>
      <c r="CZ714" s="39"/>
      <c r="DA714" s="39"/>
      <c r="DB714" s="39"/>
      <c r="DC714" s="39"/>
      <c r="DD714" s="39"/>
      <c r="DE714" s="39"/>
      <c r="DF714" s="39"/>
      <c r="DG714" s="39"/>
      <c r="DH714" s="39"/>
      <c r="DI714" s="39"/>
    </row>
    <row r="715" spans="1:113">
      <c r="A715" s="41"/>
      <c r="B715" s="42" t="s">
        <v>522</v>
      </c>
      <c r="C715" s="48" t="s">
        <v>1602</v>
      </c>
      <c r="D715" s="44" t="str">
        <f>B715&amp;TEXT(Prices!C$47,"0.0")</f>
        <v>US$ 35.0</v>
      </c>
      <c r="E715" s="44" t="str">
        <f>B715&amp;TEXT(Prices!E$47,"0.0")</f>
        <v>US$ 54.0</v>
      </c>
      <c r="F715" s="45">
        <f>Prices!F$47</f>
        <v>0.54285714285714293</v>
      </c>
      <c r="G715" s="44" t="str">
        <f>Prices!D$47</f>
        <v>Buy</v>
      </c>
      <c r="H715" s="46"/>
      <c r="I715" s="47">
        <f>(FYBR!D$11/1000)</f>
        <v>8.6006393182741725</v>
      </c>
      <c r="J715" s="47">
        <f>(FYBR!E$11/1000)</f>
        <v>8.5757349999999981</v>
      </c>
      <c r="K715" s="47">
        <f>(FYBR!F$11/1000)</f>
        <v>8.5757349999999981</v>
      </c>
      <c r="L715" s="47">
        <f>(FYBR!G$11/1000)</f>
        <v>8.5757349999999981</v>
      </c>
      <c r="M715" s="45">
        <f t="shared" si="178"/>
        <v>-9.6614503644754102E-4</v>
      </c>
      <c r="N715" s="46"/>
      <c r="O715" s="47">
        <f>(FYBR!D$12/1000)</f>
        <v>9.0609999999999999</v>
      </c>
      <c r="P715" s="47">
        <f>(FYBR!E$12/1000)</f>
        <v>9.7453625848544991</v>
      </c>
      <c r="Q715" s="47">
        <f>(FYBR!F$12/1000)</f>
        <v>10.484948429845428</v>
      </c>
      <c r="R715" s="47">
        <f>(FYBR!G$12/1000)</f>
        <v>10.750025487732428</v>
      </c>
      <c r="S715" s="45">
        <f t="shared" si="179"/>
        <v>5.8630627490400711E-2</v>
      </c>
      <c r="T715" s="46"/>
      <c r="U715" s="48" t="str">
        <f>D715</f>
        <v>US$ 35.0</v>
      </c>
      <c r="V715" s="44" t="str">
        <f t="shared" si="180"/>
        <v>Frontier</v>
      </c>
      <c r="BF715" s="39"/>
      <c r="BG715" s="39"/>
      <c r="BH715" s="39"/>
      <c r="BI715" s="39"/>
      <c r="BJ715" s="39"/>
      <c r="BK715" s="39"/>
      <c r="BL715" s="39"/>
      <c r="BM715" s="39"/>
      <c r="BN715" s="39"/>
      <c r="BO715" s="39"/>
      <c r="BP715" s="39"/>
      <c r="BQ715" s="39"/>
      <c r="BR715" s="39"/>
      <c r="BS715" s="39"/>
      <c r="BT715" s="39"/>
      <c r="BU715" s="39"/>
      <c r="BV715" s="39"/>
      <c r="BW715" s="39"/>
      <c r="BX715" s="39"/>
      <c r="BY715" s="39"/>
      <c r="BZ715" s="39"/>
      <c r="CA715" s="39"/>
      <c r="CB715" s="39"/>
      <c r="CC715" s="39"/>
      <c r="CD715" s="39"/>
      <c r="CE715" s="39"/>
      <c r="CF715" s="39"/>
      <c r="CG715" s="39"/>
      <c r="CH715" s="39"/>
      <c r="CI715" s="39"/>
      <c r="CJ715" s="39"/>
      <c r="CK715" s="39"/>
      <c r="CL715" s="39"/>
      <c r="CM715" s="39"/>
      <c r="CN715" s="39"/>
      <c r="CO715" s="39"/>
      <c r="CP715" s="39"/>
      <c r="CQ715" s="39"/>
      <c r="CR715" s="39"/>
      <c r="CS715" s="39"/>
      <c r="CT715" s="39"/>
      <c r="CU715" s="39"/>
      <c r="CV715" s="39"/>
      <c r="CW715" s="39"/>
      <c r="CX715" s="39"/>
      <c r="CY715" s="39"/>
      <c r="CZ715" s="39"/>
      <c r="DA715" s="39"/>
      <c r="DB715" s="39"/>
      <c r="DC715" s="39"/>
      <c r="DD715" s="39"/>
      <c r="DE715" s="39"/>
      <c r="DF715" s="39"/>
      <c r="DG715" s="39"/>
      <c r="DH715" s="39"/>
      <c r="DI715" s="39"/>
    </row>
    <row r="716" spans="1:113">
      <c r="A716" s="41"/>
      <c r="B716" s="42" t="s">
        <v>522</v>
      </c>
      <c r="C716" s="48" t="s">
        <v>1603</v>
      </c>
      <c r="D716" s="44" t="str">
        <f>B716&amp;TEXT(Prices!C$48,"0.0")</f>
        <v>US$ 22.3</v>
      </c>
      <c r="E716" s="44" t="str">
        <f>B716&amp;TEXT(Prices!E$48,"0.0")</f>
        <v>US$ 100.0</v>
      </c>
      <c r="F716" s="45">
        <f>Prices!F$48</f>
        <v>3.4883303411131061</v>
      </c>
      <c r="G716" s="44" t="str">
        <f>Prices!D$48</f>
        <v>Buy</v>
      </c>
      <c r="H716" s="46"/>
      <c r="I716" s="47">
        <f>(SATS!D$11/1000)</f>
        <v>6.043009921385039</v>
      </c>
      <c r="J716" s="47">
        <f>(SATS!E$11/1000)</f>
        <v>6.043009921385039</v>
      </c>
      <c r="K716" s="47">
        <f>(SATS!F$11/1000)</f>
        <v>6.043009921385039</v>
      </c>
      <c r="L716" s="47">
        <f>(SATS!G$11/1000)</f>
        <v>6.043009921385039</v>
      </c>
      <c r="M716" s="45">
        <f t="shared" si="178"/>
        <v>0</v>
      </c>
      <c r="N716" s="46"/>
      <c r="O716" s="47">
        <f>(SATS!D$12/1000)</f>
        <v>20.254722332354586</v>
      </c>
      <c r="P716" s="47">
        <f>(SATS!E$12/1000)</f>
        <v>19.733047830269737</v>
      </c>
      <c r="Q716" s="47">
        <f>(SATS!F$12/1000)</f>
        <v>18.811713063872315</v>
      </c>
      <c r="R716" s="47">
        <f>(SATS!G$12/1000)</f>
        <v>14.576255951042933</v>
      </c>
      <c r="S716" s="45">
        <f t="shared" si="179"/>
        <v>-0.10386543154841965</v>
      </c>
      <c r="T716" s="46"/>
      <c r="U716" s="48" t="str">
        <f>D716</f>
        <v>US$ 22.3</v>
      </c>
      <c r="V716" s="44" t="str">
        <f t="shared" si="180"/>
        <v>EchoStar</v>
      </c>
      <c r="BF716" s="39"/>
      <c r="BG716" s="39"/>
      <c r="BH716" s="39"/>
      <c r="BI716" s="39"/>
      <c r="BJ716" s="39"/>
      <c r="BK716" s="39"/>
      <c r="BL716" s="39"/>
      <c r="BM716" s="39"/>
      <c r="BN716" s="39"/>
      <c r="BO716" s="39"/>
      <c r="BP716" s="39"/>
      <c r="BQ716" s="39"/>
      <c r="BR716" s="39"/>
      <c r="BS716" s="39"/>
      <c r="BT716" s="39"/>
      <c r="BU716" s="39"/>
      <c r="BV716" s="39"/>
      <c r="BW716" s="39"/>
      <c r="BX716" s="39"/>
      <c r="BY716" s="39"/>
      <c r="BZ716" s="39"/>
      <c r="CA716" s="39"/>
      <c r="CB716" s="39"/>
      <c r="CC716" s="39"/>
      <c r="CD716" s="39"/>
      <c r="CE716" s="39"/>
      <c r="CF716" s="39"/>
      <c r="CG716" s="39"/>
      <c r="CH716" s="39"/>
      <c r="CI716" s="39"/>
      <c r="CJ716" s="39"/>
      <c r="CK716" s="39"/>
      <c r="CL716" s="39"/>
      <c r="CM716" s="39"/>
      <c r="CN716" s="39"/>
      <c r="CO716" s="39"/>
      <c r="CP716" s="39"/>
      <c r="CQ716" s="39"/>
      <c r="CR716" s="39"/>
      <c r="CS716" s="39"/>
      <c r="CT716" s="39"/>
      <c r="CU716" s="39"/>
      <c r="CV716" s="39"/>
      <c r="CW716" s="39"/>
      <c r="CX716" s="39"/>
      <c r="CY716" s="39"/>
      <c r="CZ716" s="39"/>
      <c r="DA716" s="39"/>
      <c r="DB716" s="39"/>
      <c r="DC716" s="39"/>
      <c r="DD716" s="39"/>
      <c r="DE716" s="39"/>
      <c r="DF716" s="39"/>
      <c r="DG716" s="39"/>
      <c r="DH716" s="39"/>
      <c r="DI716" s="39"/>
    </row>
    <row r="717" spans="1:113">
      <c r="A717" s="41"/>
      <c r="C717" s="51" t="str">
        <f>C657</f>
        <v>Agg. US Other</v>
      </c>
      <c r="D717" s="58"/>
      <c r="E717" s="58"/>
      <c r="F717" s="55"/>
      <c r="G717" s="58"/>
      <c r="H717" s="56"/>
      <c r="I717" s="54">
        <f>('US OTHER'!D$11/1000)</f>
        <v>235.53520429479323</v>
      </c>
      <c r="J717" s="54">
        <f>('US OTHER'!E$11/1000)</f>
        <v>221.59046595523552</v>
      </c>
      <c r="K717" s="54">
        <f>('US OTHER'!F$11/1000)</f>
        <v>210.33513862115669</v>
      </c>
      <c r="L717" s="54">
        <f>('US OTHER'!G$11/1000)</f>
        <v>195.28488641406918</v>
      </c>
      <c r="M717" s="55">
        <f t="shared" si="178"/>
        <v>-6.0555917681012872E-2</v>
      </c>
      <c r="N717" s="56"/>
      <c r="O717" s="66">
        <f>('US OTHER'!D$12/1000)</f>
        <v>238.41604240435456</v>
      </c>
      <c r="P717" s="66">
        <f>('US OTHER'!E$12/1000)</f>
        <v>247.57841974590164</v>
      </c>
      <c r="Q717" s="66">
        <f>('US OTHER'!F$12/1000)</f>
        <v>251.49667330499119</v>
      </c>
      <c r="R717" s="66">
        <f>('US OTHER'!G$12/1000)</f>
        <v>255.92745199979464</v>
      </c>
      <c r="S717" s="55">
        <f t="shared" si="179"/>
        <v>2.3906891553946208E-2</v>
      </c>
      <c r="T717" s="56"/>
      <c r="U717" s="51"/>
      <c r="V717" s="58" t="str">
        <f t="shared" si="180"/>
        <v>Agg. US Other</v>
      </c>
      <c r="BF717" s="39"/>
      <c r="BG717" s="39"/>
      <c r="BH717" s="39"/>
      <c r="BI717" s="39"/>
      <c r="BJ717" s="39"/>
      <c r="BK717" s="39"/>
      <c r="BL717" s="39"/>
      <c r="BM717" s="39"/>
      <c r="BN717" s="39"/>
      <c r="BO717" s="39"/>
      <c r="BP717" s="39"/>
      <c r="BQ717" s="39"/>
      <c r="BR717" s="39"/>
      <c r="BS717" s="39"/>
      <c r="BT717" s="39"/>
      <c r="BU717" s="39"/>
      <c r="BV717" s="39"/>
      <c r="BW717" s="39"/>
      <c r="BX717" s="39"/>
      <c r="BY717" s="39"/>
      <c r="BZ717" s="39"/>
      <c r="CA717" s="39"/>
      <c r="CB717" s="39"/>
      <c r="CC717" s="39"/>
      <c r="CD717" s="39"/>
      <c r="CE717" s="39"/>
      <c r="CF717" s="39"/>
      <c r="CG717" s="39"/>
      <c r="CH717" s="39"/>
      <c r="CI717" s="39"/>
      <c r="CJ717" s="39"/>
      <c r="CK717" s="39"/>
      <c r="CL717" s="39"/>
      <c r="CM717" s="39"/>
      <c r="CN717" s="39"/>
      <c r="CO717" s="39"/>
      <c r="CP717" s="39"/>
      <c r="CQ717" s="39"/>
      <c r="CR717" s="39"/>
      <c r="CS717" s="39"/>
      <c r="CT717" s="39"/>
      <c r="CU717" s="39"/>
      <c r="CV717" s="39"/>
      <c r="CW717" s="39"/>
      <c r="CX717" s="39"/>
      <c r="CY717" s="39"/>
      <c r="CZ717" s="39"/>
      <c r="DA717" s="39"/>
      <c r="DB717" s="39"/>
      <c r="DC717" s="39"/>
      <c r="DD717" s="39"/>
      <c r="DE717" s="39"/>
      <c r="DF717" s="39"/>
      <c r="DG717" s="39"/>
      <c r="DH717" s="39"/>
      <c r="DI717" s="39"/>
    </row>
    <row r="718" spans="1:113">
      <c r="A718" s="41"/>
      <c r="C718" s="48"/>
      <c r="D718" s="44"/>
      <c r="E718" s="44"/>
      <c r="F718" s="45"/>
      <c r="G718" s="44"/>
      <c r="H718" s="46"/>
      <c r="I718" s="47"/>
      <c r="J718" s="47"/>
      <c r="K718" s="47"/>
      <c r="L718" s="47"/>
      <c r="M718" s="45"/>
      <c r="N718" s="46"/>
      <c r="O718" s="47"/>
      <c r="P718" s="47"/>
      <c r="Q718" s="47"/>
      <c r="R718" s="47"/>
      <c r="S718" s="45"/>
      <c r="T718" s="46"/>
      <c r="U718" s="48"/>
      <c r="V718" s="44"/>
      <c r="BF718" s="39"/>
      <c r="BG718" s="39"/>
      <c r="BH718" s="39"/>
      <c r="BI718" s="39"/>
      <c r="BJ718" s="39"/>
      <c r="BK718" s="39"/>
      <c r="BL718" s="39"/>
      <c r="BM718" s="39"/>
      <c r="BN718" s="39"/>
      <c r="BO718" s="39"/>
      <c r="BP718" s="39"/>
      <c r="BQ718" s="39"/>
      <c r="BR718" s="39"/>
      <c r="BS718" s="39"/>
      <c r="BT718" s="39"/>
      <c r="BU718" s="39"/>
      <c r="BV718" s="39"/>
      <c r="BW718" s="39"/>
      <c r="BX718" s="39"/>
      <c r="BY718" s="39"/>
      <c r="BZ718" s="39"/>
      <c r="CA718" s="39"/>
      <c r="CB718" s="39"/>
      <c r="CC718" s="39"/>
      <c r="CD718" s="39"/>
      <c r="CE718" s="39"/>
      <c r="CF718" s="39"/>
      <c r="CG718" s="39"/>
      <c r="CH718" s="39"/>
      <c r="CI718" s="39"/>
      <c r="CJ718" s="39"/>
      <c r="CK718" s="39"/>
      <c r="CL718" s="39"/>
      <c r="CM718" s="39"/>
      <c r="CN718" s="39"/>
      <c r="CO718" s="39"/>
      <c r="CP718" s="39"/>
      <c r="CQ718" s="39"/>
      <c r="CR718" s="39"/>
      <c r="CS718" s="39"/>
      <c r="CT718" s="39"/>
      <c r="CU718" s="39"/>
      <c r="CV718" s="39"/>
      <c r="CW718" s="39"/>
      <c r="CX718" s="39"/>
      <c r="CY718" s="39"/>
      <c r="CZ718" s="39"/>
      <c r="DA718" s="39"/>
      <c r="DB718" s="39"/>
      <c r="DC718" s="39"/>
      <c r="DD718" s="39"/>
      <c r="DE718" s="39"/>
      <c r="DF718" s="39"/>
      <c r="DG718" s="39"/>
      <c r="DH718" s="39"/>
      <c r="DI718" s="39"/>
    </row>
    <row r="719" spans="1:113">
      <c r="C719" s="48"/>
      <c r="D719" s="44"/>
      <c r="E719" s="44"/>
      <c r="F719" s="45"/>
      <c r="G719" s="44"/>
      <c r="H719" s="46"/>
      <c r="I719" s="47"/>
      <c r="J719" s="47"/>
      <c r="K719" s="47"/>
      <c r="L719" s="47"/>
      <c r="M719" s="45"/>
      <c r="N719" s="46"/>
      <c r="O719" s="47"/>
      <c r="P719" s="47"/>
      <c r="Q719" s="47"/>
      <c r="R719" s="47"/>
      <c r="S719" s="45"/>
      <c r="T719" s="46"/>
      <c r="U719" s="48"/>
      <c r="V719" s="44"/>
      <c r="BF719" s="39"/>
      <c r="BG719" s="39"/>
      <c r="BH719" s="39"/>
      <c r="BI719" s="39"/>
      <c r="BJ719" s="39"/>
      <c r="BK719" s="39"/>
      <c r="BL719" s="39"/>
      <c r="BM719" s="39"/>
      <c r="BN719" s="39"/>
      <c r="BO719" s="39"/>
      <c r="BP719" s="39"/>
      <c r="BQ719" s="39"/>
      <c r="BR719" s="39"/>
      <c r="BS719" s="39"/>
      <c r="BT719" s="39"/>
      <c r="BU719" s="39"/>
      <c r="BV719" s="39"/>
      <c r="BW719" s="39"/>
      <c r="BX719" s="39"/>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row>
    <row r="720" spans="1:113">
      <c r="C720" s="51" t="str">
        <f>C660</f>
        <v>Agg. W Europe</v>
      </c>
      <c r="D720" s="52"/>
      <c r="E720" s="52"/>
      <c r="F720" s="53"/>
      <c r="G720" s="52"/>
      <c r="H720" s="46"/>
      <c r="I720" s="54">
        <f>'W.EUR AGG'!$D$11/1000</f>
        <v>373.86950695323969</v>
      </c>
      <c r="J720" s="54">
        <f>'W.EUR AGG'!$E$11/1000</f>
        <v>367.78948228098216</v>
      </c>
      <c r="K720" s="54">
        <f>'W.EUR AGG'!$F$11/1000</f>
        <v>364.50431893756252</v>
      </c>
      <c r="L720" s="54">
        <f>'W.EUR AGG'!$G$11/1000</f>
        <v>363.51104387637719</v>
      </c>
      <c r="M720" s="55">
        <f>(L720/I720)^(1/3)-1</f>
        <v>-9.3219936479171928E-3</v>
      </c>
      <c r="N720" s="56"/>
      <c r="O720" s="54">
        <f>'W.EUR AGG'!$D$12/1000</f>
        <v>288.64066397746291</v>
      </c>
      <c r="P720" s="54">
        <f>'W.EUR AGG'!$E$12/1000</f>
        <v>279.16703404866001</v>
      </c>
      <c r="Q720" s="54">
        <f>'W.EUR AGG'!$F$12/1000</f>
        <v>282.26248283066201</v>
      </c>
      <c r="R720" s="54">
        <f>'W.EUR AGG'!$G$12/1000</f>
        <v>285.28388473927765</v>
      </c>
      <c r="S720" s="55">
        <f>(R720/O720)^(1/3)-1</f>
        <v>-3.8916630849380462E-3</v>
      </c>
      <c r="T720" s="46"/>
      <c r="U720" s="57"/>
      <c r="V720" s="58" t="str">
        <f>V660</f>
        <v>Agg. W Europe</v>
      </c>
      <c r="BF720" s="39"/>
      <c r="BG720" s="39"/>
      <c r="BH720" s="39"/>
      <c r="BI720" s="39"/>
      <c r="BJ720" s="39"/>
      <c r="BK720" s="39"/>
      <c r="BL720" s="39"/>
      <c r="BM720" s="39"/>
      <c r="BN720" s="39"/>
      <c r="BO720" s="39"/>
      <c r="BP720" s="39"/>
      <c r="BQ720" s="39"/>
      <c r="BR720" s="39"/>
      <c r="BS720" s="39"/>
      <c r="BT720" s="39"/>
      <c r="BU720" s="39"/>
      <c r="BV720" s="39"/>
      <c r="BW720" s="39"/>
      <c r="BX720" s="39"/>
      <c r="BY720" s="39"/>
      <c r="BZ720" s="39"/>
      <c r="CA720" s="39"/>
      <c r="CB720" s="39"/>
      <c r="CC720" s="39"/>
      <c r="CD720" s="39"/>
      <c r="CE720" s="39"/>
      <c r="CF720" s="39"/>
      <c r="CG720" s="39"/>
      <c r="CH720" s="39"/>
      <c r="CI720" s="39"/>
      <c r="CJ720" s="39"/>
      <c r="CK720" s="39"/>
      <c r="CL720" s="39"/>
      <c r="CM720" s="39"/>
      <c r="CN720" s="39"/>
      <c r="CO720" s="39"/>
      <c r="CP720" s="39"/>
      <c r="CQ720" s="39"/>
      <c r="CR720" s="39"/>
      <c r="CS720" s="39"/>
      <c r="CT720" s="39"/>
      <c r="CU720" s="39"/>
      <c r="CV720" s="39"/>
      <c r="CW720" s="39"/>
      <c r="CX720" s="39"/>
      <c r="CY720" s="39"/>
      <c r="CZ720" s="39"/>
      <c r="DA720" s="39"/>
      <c r="DB720" s="39"/>
      <c r="DC720" s="39"/>
      <c r="DD720" s="39"/>
      <c r="DE720" s="39"/>
      <c r="DF720" s="39"/>
      <c r="DG720" s="39"/>
      <c r="DH720" s="39"/>
      <c r="DI720" s="39"/>
    </row>
    <row r="721" spans="1:113">
      <c r="C721" s="41" t="s">
        <v>1608</v>
      </c>
      <c r="D721" s="44"/>
      <c r="E721" s="44"/>
      <c r="F721" s="45"/>
      <c r="G721" s="44"/>
      <c r="H721" s="46"/>
      <c r="I721" s="60">
        <f>'US AGG'!D$11/1000</f>
        <v>1015.445227835692</v>
      </c>
      <c r="J721" s="60">
        <f>'US AGG'!E$11/1000</f>
        <v>984.40494804954096</v>
      </c>
      <c r="K721" s="60">
        <f>'US AGG'!F$11/1000</f>
        <v>947.93829168410787</v>
      </c>
      <c r="L721" s="60">
        <f>'US AGG'!G$11/1000</f>
        <v>909.20951873527679</v>
      </c>
      <c r="M721" s="59">
        <f>(L721/I721)^(1/3)-1</f>
        <v>-3.6165449659225524E-2</v>
      </c>
      <c r="N721" s="56"/>
      <c r="O721" s="60">
        <f>'US AGG'!D$12/1000</f>
        <v>627.37880730428094</v>
      </c>
      <c r="P721" s="60">
        <f>'US AGG'!E$12/1000</f>
        <v>628.02301761307558</v>
      </c>
      <c r="Q721" s="60">
        <f>'US AGG'!F$12/1000</f>
        <v>621.06527672328082</v>
      </c>
      <c r="R721" s="60">
        <f>'US AGG'!G$12/1000</f>
        <v>613.47664695300523</v>
      </c>
      <c r="S721" s="59">
        <f>(R721/O721)^(1/3)-1</f>
        <v>-7.4416125414432654E-3</v>
      </c>
      <c r="T721" s="46"/>
      <c r="U721" s="48"/>
      <c r="V721" s="50" t="str">
        <f>V661</f>
        <v>Agg. US</v>
      </c>
      <c r="BF721" s="39"/>
      <c r="BG721" s="39"/>
      <c r="BH721" s="39"/>
      <c r="BI721" s="39"/>
      <c r="BJ721" s="39"/>
      <c r="BK721" s="39"/>
      <c r="BL721" s="39"/>
      <c r="BM721" s="39"/>
      <c r="BN721" s="39"/>
      <c r="BO721" s="39"/>
      <c r="BP721" s="39"/>
      <c r="BQ721" s="39"/>
      <c r="BR721" s="39"/>
      <c r="BS721" s="39"/>
      <c r="BT721" s="39"/>
      <c r="BU721" s="39"/>
      <c r="BV721" s="39"/>
      <c r="BW721" s="39"/>
      <c r="BX721" s="39"/>
      <c r="BY721" s="39"/>
      <c r="BZ721" s="39"/>
      <c r="CA721" s="39"/>
      <c r="CB721" s="39"/>
      <c r="CC721" s="39"/>
      <c r="CD721" s="39"/>
      <c r="CE721" s="39"/>
      <c r="CF721" s="39"/>
      <c r="CG721" s="39"/>
      <c r="CH721" s="39"/>
      <c r="CI721" s="39"/>
      <c r="CJ721" s="39"/>
      <c r="CK721" s="39"/>
      <c r="CL721" s="39"/>
      <c r="CM721" s="39"/>
      <c r="CN721" s="39"/>
      <c r="CO721" s="39"/>
      <c r="CP721" s="39"/>
      <c r="CQ721" s="39"/>
      <c r="CR721" s="39"/>
      <c r="CS721" s="39"/>
      <c r="CT721" s="39"/>
      <c r="CU721" s="39"/>
      <c r="CV721" s="39"/>
      <c r="CW721" s="39"/>
      <c r="CX721" s="39"/>
      <c r="CY721" s="39"/>
      <c r="CZ721" s="39"/>
      <c r="DA721" s="39"/>
      <c r="DB721" s="39"/>
      <c r="DC721" s="39"/>
      <c r="DD721" s="39"/>
      <c r="DE721" s="39"/>
      <c r="DF721" s="39"/>
      <c r="DG721" s="39"/>
      <c r="DH721" s="39"/>
      <c r="DI721" s="39"/>
    </row>
    <row r="722" spans="1:113">
      <c r="C722" s="67" t="str">
        <f>C662</f>
        <v xml:space="preserve">Agg. Developed Asia </v>
      </c>
      <c r="D722" s="52"/>
      <c r="E722" s="52"/>
      <c r="F722" s="53"/>
      <c r="G722" s="52"/>
      <c r="H722" s="46"/>
      <c r="I722" s="54">
        <f>'AGG DM ASIA'!$D$11/1000</f>
        <v>329.22198641467406</v>
      </c>
      <c r="J722" s="54">
        <f>'AGG DM ASIA'!$E$11/1000</f>
        <v>325.31168390453246</v>
      </c>
      <c r="K722" s="54">
        <f>'AGG DM ASIA'!$F$11/1000</f>
        <v>321.39312678370669</v>
      </c>
      <c r="L722" s="54">
        <f>'AGG DM ASIA'!$G$11/1000</f>
        <v>317.81977633273567</v>
      </c>
      <c r="M722" s="55">
        <f>(L722/I722)^(1/3)-1</f>
        <v>-1.1680504651631507E-2</v>
      </c>
      <c r="N722" s="56"/>
      <c r="O722" s="54">
        <f>'AGG DM ASIA'!$D$12/1000</f>
        <v>107.35955951489117</v>
      </c>
      <c r="P722" s="54">
        <f>'AGG DM ASIA'!$E$12/1000</f>
        <v>104.02706403428523</v>
      </c>
      <c r="Q722" s="54">
        <f>'AGG DM ASIA'!$F$12/1000</f>
        <v>99.153983412848262</v>
      </c>
      <c r="R722" s="54">
        <f>'AGG DM ASIA'!$G$12/1000</f>
        <v>93.243921593744773</v>
      </c>
      <c r="S722" s="55">
        <f>(R722/O722)^(1/3)-1</f>
        <v>-4.5901375252963783E-2</v>
      </c>
      <c r="T722" s="46"/>
      <c r="U722" s="57"/>
      <c r="V722" s="58" t="str">
        <f>V662</f>
        <v xml:space="preserve">Agg. Developed Asia </v>
      </c>
      <c r="BF722" s="39"/>
      <c r="BG722" s="39"/>
      <c r="BH722" s="39"/>
      <c r="BI722" s="39"/>
      <c r="BJ722" s="39"/>
      <c r="BK722" s="39"/>
      <c r="BL722" s="39"/>
      <c r="BM722" s="39"/>
      <c r="BN722" s="39"/>
      <c r="BO722" s="39"/>
      <c r="BP722" s="39"/>
      <c r="BQ722" s="39"/>
      <c r="BR722" s="39"/>
      <c r="BS722" s="39"/>
      <c r="BT722" s="39"/>
      <c r="BU722" s="39"/>
      <c r="BV722" s="39"/>
      <c r="BW722" s="39"/>
      <c r="BX722" s="39"/>
      <c r="BY722" s="39"/>
      <c r="BZ722" s="39"/>
      <c r="CA722" s="39"/>
      <c r="CB722" s="39"/>
      <c r="CC722" s="39"/>
      <c r="CD722" s="39"/>
      <c r="CE722" s="39"/>
      <c r="CF722" s="39"/>
      <c r="CG722" s="39"/>
      <c r="CH722" s="39"/>
      <c r="CI722" s="39"/>
      <c r="CJ722" s="39"/>
      <c r="CK722" s="39"/>
      <c r="CL722" s="39"/>
      <c r="CM722" s="39"/>
      <c r="CN722" s="39"/>
      <c r="CO722" s="39"/>
      <c r="CP722" s="39"/>
      <c r="CQ722" s="39"/>
      <c r="CR722" s="39"/>
      <c r="CS722" s="39"/>
      <c r="CT722" s="39"/>
      <c r="CU722" s="39"/>
      <c r="CV722" s="39"/>
      <c r="CW722" s="39"/>
      <c r="CX722" s="39"/>
      <c r="CY722" s="39"/>
      <c r="CZ722" s="39"/>
      <c r="DA722" s="39"/>
      <c r="DB722" s="39"/>
      <c r="DC722" s="39"/>
      <c r="DD722" s="39"/>
      <c r="DE722" s="39"/>
      <c r="DF722" s="39"/>
      <c r="DG722" s="39"/>
      <c r="DH722" s="39"/>
      <c r="DI722" s="39"/>
    </row>
    <row r="723" spans="1:113">
      <c r="C723" s="41"/>
      <c r="D723" s="44"/>
      <c r="E723" s="44"/>
      <c r="F723" s="45"/>
      <c r="G723" s="44"/>
      <c r="H723" s="46"/>
      <c r="I723" s="60"/>
      <c r="J723" s="60"/>
      <c r="K723" s="60"/>
      <c r="L723" s="60"/>
      <c r="M723" s="59"/>
      <c r="N723" s="56"/>
      <c r="O723" s="60"/>
      <c r="P723" s="60"/>
      <c r="Q723" s="60"/>
      <c r="R723" s="60"/>
      <c r="S723" s="59"/>
      <c r="T723" s="46"/>
      <c r="U723" s="48"/>
      <c r="V723" s="50"/>
      <c r="BF723" s="39"/>
      <c r="BG723" s="39"/>
      <c r="BH723" s="39"/>
      <c r="BI723" s="39"/>
      <c r="BJ723" s="39"/>
      <c r="BK723" s="39"/>
      <c r="BL723" s="39"/>
      <c r="BM723" s="39"/>
      <c r="BN723" s="39"/>
      <c r="BO723" s="39"/>
      <c r="BP723" s="39"/>
      <c r="BQ723" s="39"/>
      <c r="BR723" s="39"/>
      <c r="BS723" s="39"/>
      <c r="BT723" s="39"/>
      <c r="BU723" s="39"/>
      <c r="BV723" s="39"/>
      <c r="BW723" s="39"/>
      <c r="BX723" s="39"/>
      <c r="BY723" s="39"/>
      <c r="BZ723" s="39"/>
      <c r="CA723" s="39"/>
      <c r="CB723" s="39"/>
      <c r="CC723" s="39"/>
      <c r="CD723" s="39"/>
      <c r="CE723" s="39"/>
      <c r="CF723" s="39"/>
      <c r="CG723" s="39"/>
      <c r="CH723" s="39"/>
      <c r="CI723" s="39"/>
      <c r="CJ723" s="39"/>
      <c r="CK723" s="39"/>
      <c r="CL723" s="39"/>
      <c r="CM723" s="39"/>
      <c r="CN723" s="39"/>
      <c r="CO723" s="39"/>
      <c r="CP723" s="39"/>
      <c r="CQ723" s="39"/>
      <c r="CR723" s="39"/>
      <c r="CS723" s="39"/>
      <c r="CT723" s="39"/>
      <c r="CU723" s="39"/>
      <c r="CV723" s="39"/>
      <c r="CW723" s="39"/>
      <c r="CX723" s="39"/>
      <c r="CY723" s="39"/>
      <c r="CZ723" s="39"/>
      <c r="DA723" s="39"/>
      <c r="DB723" s="39"/>
      <c r="DC723" s="39"/>
      <c r="DD723" s="39"/>
      <c r="DE723" s="39"/>
      <c r="DF723" s="39"/>
      <c r="DG723" s="39"/>
      <c r="DH723" s="39"/>
      <c r="DI723" s="39"/>
    </row>
    <row r="724" spans="1:113">
      <c r="C724" s="67" t="str">
        <f>C664</f>
        <v>Agg. Global Developed</v>
      </c>
      <c r="D724" s="52"/>
      <c r="E724" s="52"/>
      <c r="F724" s="53"/>
      <c r="G724" s="52"/>
      <c r="H724" s="46"/>
      <c r="I724" s="54">
        <f>'AGG DM'!$D$11/1000</f>
        <v>1760.1531080832888</v>
      </c>
      <c r="J724" s="54">
        <f>'AGG DM'!$E$11/1000</f>
        <v>1718.4457177604056</v>
      </c>
      <c r="K724" s="54">
        <f>'AGG DM'!$F$11/1000</f>
        <v>1674.4096608575464</v>
      </c>
      <c r="L724" s="54">
        <f>'AGG DM'!$G$11/1000</f>
        <v>1631.0036983669834</v>
      </c>
      <c r="M724" s="55">
        <f>(L724/I724)^(1/3)-1</f>
        <v>-2.5081826158424692E-2</v>
      </c>
      <c r="N724" s="56"/>
      <c r="O724" s="54">
        <f>'AGG DM'!$D$12/1000</f>
        <v>1055.5083735696928</v>
      </c>
      <c r="P724" s="54">
        <f>'AGG DM'!$E$12/1000</f>
        <v>1042.2919240902656</v>
      </c>
      <c r="Q724" s="54">
        <f>'AGG DM'!$F$12/1000</f>
        <v>1033.9011138131275</v>
      </c>
      <c r="R724" s="54">
        <f>'AGG DM'!$G$12/1000</f>
        <v>1023.7601442344569</v>
      </c>
      <c r="S724" s="55">
        <f>(R724/O724)^(1/3)-1</f>
        <v>-1.0128443821581845E-2</v>
      </c>
      <c r="T724" s="46"/>
      <c r="U724" s="57"/>
      <c r="V724" s="58" t="str">
        <f>V664</f>
        <v xml:space="preserve">Agg. Global Developed </v>
      </c>
      <c r="BF724" s="39"/>
      <c r="BG724" s="39"/>
      <c r="BH724" s="39"/>
      <c r="BI724" s="39"/>
      <c r="BJ724" s="39"/>
      <c r="BK724" s="39"/>
      <c r="BL724" s="39"/>
      <c r="BM724" s="39"/>
      <c r="BN724" s="39"/>
      <c r="BO724" s="39"/>
      <c r="BP724" s="39"/>
      <c r="BQ724" s="39"/>
      <c r="BR724" s="39"/>
      <c r="BS724" s="39"/>
      <c r="BT724" s="39"/>
      <c r="BU724" s="39"/>
      <c r="BV724" s="39"/>
      <c r="BW724" s="39"/>
      <c r="BX724" s="39"/>
      <c r="BY724" s="39"/>
      <c r="BZ724" s="39"/>
      <c r="CA724" s="39"/>
      <c r="CB724" s="39"/>
      <c r="CC724" s="39"/>
      <c r="CD724" s="39"/>
      <c r="CE724" s="39"/>
      <c r="CF724" s="39"/>
      <c r="CG724" s="39"/>
      <c r="CH724" s="39"/>
      <c r="CI724" s="39"/>
      <c r="CJ724" s="39"/>
      <c r="CK724" s="39"/>
      <c r="CL724" s="39"/>
      <c r="CM724" s="39"/>
      <c r="CN724" s="39"/>
      <c r="CO724" s="39"/>
      <c r="CP724" s="39"/>
      <c r="CQ724" s="39"/>
      <c r="CR724" s="39"/>
      <c r="CS724" s="39"/>
      <c r="CT724" s="39"/>
      <c r="CU724" s="39"/>
      <c r="CV724" s="39"/>
      <c r="CW724" s="39"/>
      <c r="CX724" s="39"/>
      <c r="CY724" s="39"/>
      <c r="CZ724" s="39"/>
      <c r="DA724" s="39"/>
      <c r="DB724" s="39"/>
      <c r="DC724" s="39"/>
      <c r="DD724" s="39"/>
      <c r="DE724" s="39"/>
      <c r="DF724" s="39"/>
      <c r="DG724" s="39"/>
      <c r="DH724" s="39"/>
      <c r="DI724" s="39"/>
    </row>
    <row r="725" spans="1:113">
      <c r="C725" s="43"/>
      <c r="D725" s="44"/>
      <c r="E725" s="44"/>
      <c r="F725" s="45"/>
      <c r="G725" s="44"/>
      <c r="H725" s="134"/>
      <c r="I725" s="47"/>
      <c r="J725" s="47"/>
      <c r="K725" s="47"/>
      <c r="L725" s="47"/>
      <c r="M725" s="45"/>
      <c r="N725" s="74"/>
      <c r="O725" s="47"/>
      <c r="P725" s="47"/>
      <c r="Q725" s="47"/>
      <c r="R725" s="47"/>
      <c r="S725" s="75"/>
      <c r="T725" s="46"/>
      <c r="U725" s="48"/>
      <c r="V725" s="50"/>
      <c r="BF725" s="39"/>
      <c r="BG725" s="39"/>
      <c r="BH725" s="39"/>
      <c r="BI725" s="39"/>
      <c r="BJ725" s="39"/>
      <c r="BK725" s="39"/>
      <c r="BL725" s="39"/>
      <c r="BM725" s="39"/>
      <c r="BN725" s="39"/>
      <c r="BO725" s="39"/>
      <c r="BP725" s="39"/>
      <c r="BQ725" s="39"/>
      <c r="BR725" s="39"/>
      <c r="BS725" s="39"/>
      <c r="BT725" s="39"/>
      <c r="BU725" s="39"/>
      <c r="BV725" s="39"/>
      <c r="BW725" s="39"/>
      <c r="BX725" s="39"/>
      <c r="BY725" s="39"/>
      <c r="BZ725" s="39"/>
      <c r="CA725" s="39"/>
      <c r="CB725" s="39"/>
      <c r="CC725" s="39"/>
      <c r="CD725" s="39"/>
      <c r="CE725" s="39"/>
      <c r="CF725" s="39"/>
      <c r="CG725" s="39"/>
      <c r="CH725" s="39"/>
      <c r="CI725" s="39"/>
      <c r="CJ725" s="39"/>
      <c r="CK725" s="39"/>
      <c r="CL725" s="39"/>
      <c r="CM725" s="39"/>
      <c r="CN725" s="39"/>
      <c r="CO725" s="39"/>
      <c r="CP725" s="39"/>
      <c r="CQ725" s="39"/>
      <c r="CR725" s="39"/>
      <c r="CS725" s="39"/>
      <c r="CT725" s="39"/>
      <c r="CU725" s="39"/>
      <c r="CV725" s="39"/>
      <c r="CW725" s="39"/>
      <c r="CX725" s="39"/>
      <c r="CY725" s="39"/>
      <c r="CZ725" s="39"/>
      <c r="DA725" s="39"/>
      <c r="DB725" s="39"/>
      <c r="DC725" s="39"/>
      <c r="DD725" s="39"/>
      <c r="DE725" s="39"/>
      <c r="DF725" s="39"/>
      <c r="DG725" s="39"/>
      <c r="DH725" s="39"/>
      <c r="DI725" s="39"/>
    </row>
    <row r="726" spans="1:113">
      <c r="C726" s="43"/>
      <c r="D726" s="44"/>
      <c r="E726" s="44"/>
      <c r="F726" s="45"/>
      <c r="G726" s="44"/>
      <c r="H726" s="134"/>
      <c r="I726" s="47"/>
      <c r="J726" s="47"/>
      <c r="K726" s="47"/>
      <c r="L726" s="47"/>
      <c r="M726" s="45"/>
      <c r="N726" s="74"/>
      <c r="O726" s="47"/>
      <c r="P726" s="47"/>
      <c r="Q726" s="47"/>
      <c r="R726" s="47"/>
      <c r="S726" s="75"/>
      <c r="T726" s="46"/>
      <c r="U726" s="48"/>
      <c r="V726" s="50"/>
      <c r="BF726" s="39"/>
      <c r="BG726" s="39"/>
      <c r="BH726" s="39"/>
      <c r="BI726" s="39"/>
      <c r="BJ726" s="39"/>
      <c r="BK726" s="39"/>
      <c r="BL726" s="39"/>
      <c r="BM726" s="39"/>
      <c r="BN726" s="39"/>
      <c r="BO726" s="39"/>
      <c r="BP726" s="39"/>
      <c r="BQ726" s="39"/>
      <c r="BR726" s="39"/>
      <c r="BS726" s="39"/>
      <c r="BT726" s="39"/>
      <c r="BU726" s="39"/>
      <c r="BV726" s="39"/>
      <c r="BW726" s="39"/>
      <c r="BX726" s="39"/>
      <c r="BY726" s="39"/>
      <c r="BZ726" s="39"/>
      <c r="CA726" s="39"/>
      <c r="CB726" s="39"/>
      <c r="CC726" s="39"/>
      <c r="CD726" s="39"/>
      <c r="CE726" s="39"/>
      <c r="CF726" s="39"/>
      <c r="CG726" s="39"/>
      <c r="CH726" s="39"/>
      <c r="CI726" s="39"/>
      <c r="CJ726" s="39"/>
      <c r="CK726" s="39"/>
      <c r="CL726" s="39"/>
      <c r="CM726" s="39"/>
      <c r="CN726" s="39"/>
      <c r="CO726" s="39"/>
      <c r="CP726" s="39"/>
      <c r="CQ726" s="39"/>
      <c r="CR726" s="39"/>
      <c r="CS726" s="39"/>
      <c r="CT726" s="39"/>
      <c r="CU726" s="39"/>
      <c r="CV726" s="39"/>
      <c r="CW726" s="39"/>
      <c r="CX726" s="39"/>
      <c r="CY726" s="39"/>
      <c r="CZ726" s="39"/>
      <c r="DA726" s="39"/>
      <c r="DB726" s="39"/>
      <c r="DC726" s="39"/>
      <c r="DD726" s="39"/>
      <c r="DE726" s="39"/>
      <c r="DF726" s="39"/>
      <c r="DG726" s="39"/>
      <c r="DH726" s="39"/>
      <c r="DI726" s="39"/>
    </row>
    <row r="727" spans="1:113" s="41" customFormat="1">
      <c r="B727" s="147"/>
      <c r="C727" s="164"/>
      <c r="D727" s="165" t="s">
        <v>459</v>
      </c>
      <c r="E727" s="165" t="s">
        <v>56</v>
      </c>
      <c r="F727" s="165" t="s">
        <v>58</v>
      </c>
      <c r="G727" s="165" t="s">
        <v>55</v>
      </c>
      <c r="H727" s="49"/>
      <c r="I727" s="166" t="s">
        <v>18</v>
      </c>
      <c r="J727" s="166"/>
      <c r="K727" s="166"/>
      <c r="L727" s="166"/>
      <c r="M727" s="166"/>
      <c r="O727" s="166" t="s">
        <v>1125</v>
      </c>
      <c r="P727" s="166"/>
      <c r="Q727" s="166"/>
      <c r="R727" s="166"/>
      <c r="S727" s="166"/>
      <c r="T727" s="49"/>
      <c r="U727" s="167" t="s">
        <v>459</v>
      </c>
      <c r="V727" s="165"/>
      <c r="Z727" s="49"/>
      <c r="AC727" s="135"/>
      <c r="AD727" s="136"/>
      <c r="AE727" s="136"/>
      <c r="AF727" s="136"/>
      <c r="AG727" s="136"/>
      <c r="AH727" s="136"/>
      <c r="AI727" s="136"/>
      <c r="AJ727" s="136"/>
      <c r="AK727" s="136"/>
      <c r="AL727" s="136"/>
      <c r="AM727" s="136"/>
      <c r="AN727" s="136"/>
      <c r="AO727" s="136"/>
      <c r="AP727" s="136"/>
      <c r="AQ727" s="136"/>
      <c r="AR727" s="136"/>
      <c r="AS727" s="136"/>
      <c r="AT727" s="136"/>
      <c r="AU727" s="136"/>
      <c r="AV727" s="136"/>
      <c r="AW727" s="136"/>
      <c r="BC727" s="137"/>
      <c r="BD727" s="137"/>
      <c r="BE727" s="137"/>
      <c r="BG727" s="137"/>
      <c r="BH727" s="137"/>
      <c r="BI727" s="137"/>
      <c r="BK727" s="137"/>
      <c r="BL727" s="137"/>
      <c r="BM727" s="137"/>
      <c r="BO727" s="137"/>
      <c r="BP727" s="137"/>
      <c r="BQ727" s="137"/>
    </row>
    <row r="728" spans="1:113">
      <c r="A728" s="41" t="s">
        <v>501</v>
      </c>
      <c r="C728" s="48" t="s">
        <v>182</v>
      </c>
      <c r="D728" s="44" t="str">
        <f t="shared" ref="D728:G738" si="181">D668</f>
        <v>GBP1.44</v>
      </c>
      <c r="E728" s="44" t="str">
        <f t="shared" si="181"/>
        <v>GBP2.30</v>
      </c>
      <c r="F728" s="45">
        <f t="shared" si="181"/>
        <v>0.59777700590482818</v>
      </c>
      <c r="G728" s="44" t="str">
        <f t="shared" si="181"/>
        <v>Buy</v>
      </c>
      <c r="H728" s="46"/>
      <c r="I728" s="47">
        <f>BT!D$18/1000/Prices!$F$153</f>
        <v>41.910227560003165</v>
      </c>
      <c r="J728" s="47">
        <f>BT!E$18/1000/Prices!$F$153</f>
        <v>41.088845400698538</v>
      </c>
      <c r="K728" s="47">
        <f>BT!F$18/1000/Prices!$F$153</f>
        <v>39.754415366921158</v>
      </c>
      <c r="L728" s="47">
        <f>BT!G$18/1000/Prices!$F$153</f>
        <v>38.215608336433775</v>
      </c>
      <c r="M728" s="45">
        <f t="shared" ref="M728:M739" si="182">(L728/I728)^(1/3)-1</f>
        <v>-3.0293620414168387E-2</v>
      </c>
      <c r="N728" s="46"/>
      <c r="O728" s="47">
        <f>BT!L$26/1000/Prices!$F$153</f>
        <v>18.522326848170909</v>
      </c>
      <c r="P728" s="47">
        <f>BT!M$26/1000/Prices!$F$153</f>
        <v>18.663916312402662</v>
      </c>
      <c r="Q728" s="47">
        <f>BT!N$26/1000/Prices!$F$153</f>
        <v>18.523115598680693</v>
      </c>
      <c r="R728" s="47">
        <f>BT!O$26/1000/Prices!$F$153</f>
        <v>18.375274146615226</v>
      </c>
      <c r="S728" s="45">
        <f t="shared" ref="S728:S739" si="183">(R728/O728)^(1/3)-1</f>
        <v>-2.653438906103478E-3</v>
      </c>
      <c r="T728" s="46"/>
      <c r="U728" s="48" t="str">
        <f t="shared" ref="U728:V732" si="184">U668</f>
        <v>GBP1.44</v>
      </c>
      <c r="V728" s="69" t="str">
        <f t="shared" si="184"/>
        <v>British Telecom</v>
      </c>
      <c r="X728" s="43"/>
      <c r="Y728" s="76"/>
      <c r="Z728" s="76"/>
      <c r="AA728" s="76"/>
      <c r="AB728" s="76"/>
      <c r="AC728" s="76"/>
      <c r="AD728" s="76"/>
      <c r="AE728" s="76"/>
      <c r="AF728" s="76"/>
      <c r="AG728" s="76"/>
      <c r="AH728" s="76"/>
      <c r="BF728" s="39"/>
      <c r="BG728" s="39"/>
      <c r="BH728" s="39"/>
      <c r="BI728" s="39"/>
      <c r="BJ728" s="39"/>
      <c r="BK728" s="39"/>
      <c r="BL728" s="39"/>
      <c r="BM728" s="39"/>
      <c r="BN728" s="39"/>
      <c r="BO728" s="39"/>
      <c r="BP728" s="39"/>
      <c r="BQ728" s="39"/>
      <c r="BR728" s="39"/>
      <c r="BS728" s="39"/>
      <c r="BT728" s="39"/>
      <c r="BU728" s="39"/>
      <c r="BV728" s="39"/>
      <c r="BW728" s="39"/>
      <c r="BX728" s="39"/>
      <c r="BY728" s="39"/>
      <c r="BZ728" s="39"/>
      <c r="CA728" s="39"/>
      <c r="CB728" s="39"/>
      <c r="CC728" s="39"/>
      <c r="CD728" s="39"/>
      <c r="CE728" s="39"/>
      <c r="CF728" s="39"/>
      <c r="CG728" s="39"/>
      <c r="CH728" s="39"/>
      <c r="CI728" s="39"/>
      <c r="CJ728" s="39"/>
      <c r="CK728" s="39"/>
      <c r="CL728" s="39"/>
      <c r="CM728" s="39"/>
      <c r="CN728" s="39"/>
      <c r="CO728" s="39"/>
      <c r="CP728" s="39"/>
      <c r="CQ728" s="39"/>
      <c r="CR728" s="39"/>
      <c r="CS728" s="39"/>
      <c r="CT728" s="39"/>
      <c r="CU728" s="39"/>
      <c r="CV728" s="39"/>
      <c r="CW728" s="39"/>
      <c r="CX728" s="39"/>
      <c r="CY728" s="39"/>
      <c r="CZ728" s="39"/>
      <c r="DA728" s="39"/>
      <c r="DB728" s="39"/>
      <c r="DC728" s="39"/>
      <c r="DD728" s="39"/>
      <c r="DE728" s="39"/>
      <c r="DF728" s="39"/>
      <c r="DG728" s="39"/>
      <c r="DH728" s="39"/>
      <c r="DI728" s="39"/>
    </row>
    <row r="729" spans="1:113">
      <c r="A729" s="41"/>
      <c r="C729" s="48" t="s">
        <v>183</v>
      </c>
      <c r="D729" s="44" t="str">
        <f t="shared" si="181"/>
        <v>EUR 26.13</v>
      </c>
      <c r="E729" s="44" t="str">
        <f t="shared" si="181"/>
        <v>EUR 33.00</v>
      </c>
      <c r="F729" s="45">
        <f t="shared" si="181"/>
        <v>0.26291618828932273</v>
      </c>
      <c r="G729" s="44" t="str">
        <f t="shared" si="181"/>
        <v>Buy</v>
      </c>
      <c r="H729" s="46"/>
      <c r="I729" s="47">
        <f>DT!$D$18/1000</f>
        <v>317.71826381071884</v>
      </c>
      <c r="J729" s="47">
        <f>DT!$E$18/1000</f>
        <v>316.0193742942588</v>
      </c>
      <c r="K729" s="47">
        <f>DT!$F$18/1000</f>
        <v>312.18157451554202</v>
      </c>
      <c r="L729" s="47">
        <f>DT!$G$18/1000</f>
        <v>302.05508142913743</v>
      </c>
      <c r="M729" s="45">
        <f t="shared" si="182"/>
        <v>-1.6710680564101965E-2</v>
      </c>
      <c r="N729" s="46"/>
      <c r="O729" s="47">
        <f>DT!L$26/1000</f>
        <v>137.05217367</v>
      </c>
      <c r="P729" s="47">
        <f>DT!M$26/1000</f>
        <v>134.43917367</v>
      </c>
      <c r="Q729" s="47">
        <f>DT!N$26/1000</f>
        <v>134.43917367</v>
      </c>
      <c r="R729" s="47">
        <f>DT!O$26/1000</f>
        <v>134.43917367</v>
      </c>
      <c r="S729" s="45">
        <f t="shared" si="183"/>
        <v>-6.3960664131202938E-3</v>
      </c>
      <c r="T729" s="46"/>
      <c r="U729" s="48" t="str">
        <f t="shared" si="184"/>
        <v>EUR 26.13</v>
      </c>
      <c r="V729" s="69" t="str">
        <f t="shared" si="184"/>
        <v>Deutsche Telekom</v>
      </c>
      <c r="X729" s="43"/>
      <c r="Y729" s="76"/>
      <c r="Z729" s="76"/>
      <c r="AA729" s="76"/>
      <c r="AB729" s="76"/>
      <c r="AC729" s="76"/>
      <c r="AD729" s="76"/>
      <c r="AE729" s="76"/>
      <c r="AF729" s="76"/>
      <c r="AG729" s="76"/>
      <c r="AH729" s="76"/>
      <c r="BF729" s="39"/>
      <c r="BG729" s="39"/>
      <c r="BH729" s="39"/>
      <c r="BI729" s="39"/>
      <c r="BJ729" s="39"/>
      <c r="BK729" s="39"/>
      <c r="BL729" s="39"/>
      <c r="BM729" s="39"/>
      <c r="BN729" s="39"/>
      <c r="BO729" s="39"/>
      <c r="BP729" s="39"/>
      <c r="BQ729" s="39"/>
      <c r="BR729" s="39"/>
      <c r="BS729" s="39"/>
      <c r="BT729" s="39"/>
      <c r="BU729" s="39"/>
      <c r="BV729" s="39"/>
      <c r="BW729" s="39"/>
      <c r="BX729" s="39"/>
      <c r="BY729" s="39"/>
      <c r="BZ729" s="39"/>
      <c r="CA729" s="39"/>
      <c r="CB729" s="39"/>
      <c r="CC729" s="39"/>
      <c r="CD729" s="39"/>
      <c r="CE729" s="39"/>
      <c r="CF729" s="39"/>
      <c r="CG729" s="39"/>
      <c r="CH729" s="39"/>
      <c r="CI729" s="39"/>
      <c r="CJ729" s="39"/>
      <c r="CK729" s="39"/>
      <c r="CL729" s="39"/>
      <c r="CM729" s="39"/>
      <c r="CN729" s="39"/>
      <c r="CO729" s="39"/>
      <c r="CP729" s="39"/>
      <c r="CQ729" s="39"/>
      <c r="CR729" s="39"/>
      <c r="CS729" s="39"/>
      <c r="CT729" s="39"/>
      <c r="CU729" s="39"/>
      <c r="CV729" s="39"/>
      <c r="CW729" s="39"/>
      <c r="CX729" s="39"/>
      <c r="CY729" s="39"/>
      <c r="CZ729" s="39"/>
      <c r="DA729" s="39"/>
      <c r="DB729" s="39"/>
      <c r="DC729" s="39"/>
      <c r="DD729" s="39"/>
      <c r="DE729" s="39"/>
      <c r="DF729" s="39"/>
      <c r="DG729" s="39"/>
      <c r="DH729" s="39"/>
      <c r="DI729" s="39"/>
    </row>
    <row r="730" spans="1:113">
      <c r="A730" s="41"/>
      <c r="C730" s="48" t="s">
        <v>453</v>
      </c>
      <c r="D730" s="44" t="str">
        <f t="shared" si="181"/>
        <v>EUR 3.75</v>
      </c>
      <c r="E730" s="44" t="str">
        <f t="shared" si="181"/>
        <v>EUR 3.80</v>
      </c>
      <c r="F730" s="45">
        <f t="shared" si="181"/>
        <v>1.4415376401494928E-2</v>
      </c>
      <c r="G730" s="44" t="str">
        <f t="shared" si="181"/>
        <v>Neutral</v>
      </c>
      <c r="H730" s="46"/>
      <c r="I730" s="47">
        <f>KPN!$D$18/1000</f>
        <v>21.573916200460378</v>
      </c>
      <c r="J730" s="47">
        <f>KPN!$E$18/1000</f>
        <v>21.411238900742578</v>
      </c>
      <c r="K730" s="47">
        <f>KPN!$F$18/1000</f>
        <v>21.084418355992113</v>
      </c>
      <c r="L730" s="47">
        <f>KPN!$G$18/1000</f>
        <v>20.299237330843859</v>
      </c>
      <c r="M730" s="45">
        <f t="shared" si="182"/>
        <v>-2.0095892971784157E-2</v>
      </c>
      <c r="N730" s="46"/>
      <c r="O730" s="47">
        <f>KPN!L$26/1000</f>
        <v>16.031277593384001</v>
      </c>
      <c r="P730" s="47">
        <f>KPN!M$26/1000</f>
        <v>15.793593082480573</v>
      </c>
      <c r="Q730" s="47">
        <f>KPN!N$26/1000</f>
        <v>15.614084193785782</v>
      </c>
      <c r="R730" s="47">
        <f>KPN!O$26/1000</f>
        <v>15.424823550145792</v>
      </c>
      <c r="S730" s="45">
        <f t="shared" si="183"/>
        <v>-1.2772244675266387E-2</v>
      </c>
      <c r="T730" s="46"/>
      <c r="U730" s="48" t="str">
        <f t="shared" si="184"/>
        <v>EUR 3.75</v>
      </c>
      <c r="V730" s="69" t="str">
        <f t="shared" si="184"/>
        <v>KPN</v>
      </c>
      <c r="X730" s="43"/>
      <c r="Y730" s="76"/>
      <c r="Z730" s="76"/>
      <c r="AA730" s="76"/>
      <c r="AB730" s="76"/>
      <c r="AC730" s="76"/>
      <c r="AD730" s="76"/>
      <c r="AE730" s="76"/>
      <c r="AF730" s="76"/>
      <c r="AG730" s="76"/>
      <c r="AH730" s="76"/>
      <c r="BF730" s="39"/>
      <c r="BG730" s="39"/>
      <c r="BH730" s="39"/>
      <c r="BI730" s="39"/>
      <c r="BJ730" s="39"/>
      <c r="BK730" s="39"/>
      <c r="BL730" s="39"/>
      <c r="BM730" s="39"/>
      <c r="BN730" s="39"/>
      <c r="BO730" s="39"/>
      <c r="BP730" s="39"/>
      <c r="BQ730" s="39"/>
      <c r="BR730" s="39"/>
      <c r="BS730" s="39"/>
      <c r="BT730" s="39"/>
      <c r="BU730" s="39"/>
      <c r="BV730" s="39"/>
      <c r="BW730" s="39"/>
      <c r="BX730" s="39"/>
      <c r="BY730" s="39"/>
      <c r="BZ730" s="39"/>
      <c r="CA730" s="39"/>
      <c r="CB730" s="39"/>
      <c r="CC730" s="39"/>
      <c r="CD730" s="39"/>
      <c r="CE730" s="39"/>
      <c r="CF730" s="39"/>
      <c r="CG730" s="39"/>
      <c r="CH730" s="39"/>
      <c r="CI730" s="39"/>
      <c r="CJ730" s="39"/>
      <c r="CK730" s="39"/>
      <c r="CL730" s="39"/>
      <c r="CM730" s="39"/>
      <c r="CN730" s="39"/>
      <c r="CO730" s="39"/>
      <c r="CP730" s="39"/>
      <c r="CQ730" s="39"/>
      <c r="CR730" s="39"/>
      <c r="CS730" s="39"/>
      <c r="CT730" s="39"/>
      <c r="CU730" s="39"/>
      <c r="CV730" s="39"/>
      <c r="CW730" s="39"/>
      <c r="CX730" s="39"/>
      <c r="CY730" s="39"/>
      <c r="CZ730" s="39"/>
      <c r="DA730" s="39"/>
      <c r="DB730" s="39"/>
      <c r="DC730" s="39"/>
      <c r="DD730" s="39"/>
      <c r="DE730" s="39"/>
      <c r="DF730" s="39"/>
      <c r="DG730" s="39"/>
      <c r="DH730" s="39"/>
      <c r="DI730" s="39"/>
    </row>
    <row r="731" spans="1:113">
      <c r="A731" s="41"/>
      <c r="C731" s="48" t="s">
        <v>722</v>
      </c>
      <c r="D731" s="44" t="str">
        <f t="shared" si="181"/>
        <v>EUR 10.72</v>
      </c>
      <c r="E731" s="44" t="str">
        <f t="shared" si="181"/>
        <v>EUR 14.00</v>
      </c>
      <c r="F731" s="45">
        <f t="shared" si="181"/>
        <v>0.30597014925373123</v>
      </c>
      <c r="G731" s="44" t="str">
        <f t="shared" si="181"/>
        <v>Buy</v>
      </c>
      <c r="H731" s="46"/>
      <c r="I731" s="47">
        <f>ORA!$D$18/1000</f>
        <v>76.626925538523182</v>
      </c>
      <c r="J731" s="47">
        <f>ORA!$E$18/1000</f>
        <v>70.984743062898332</v>
      </c>
      <c r="K731" s="47">
        <f>ORA!$F$18/1000</f>
        <v>68.150154669399583</v>
      </c>
      <c r="L731" s="47">
        <f>ORA!$G$18/1000</f>
        <v>65.459923905516888</v>
      </c>
      <c r="M731" s="45">
        <f t="shared" si="182"/>
        <v>-5.1148973583076685E-2</v>
      </c>
      <c r="N731" s="46"/>
      <c r="O731" s="47">
        <f>ORA!L$26/1000</f>
        <v>28.515806741280002</v>
      </c>
      <c r="P731" s="47">
        <f>ORA!M$26/1000</f>
        <v>28.515806741280002</v>
      </c>
      <c r="Q731" s="47">
        <f>ORA!N$26/1000</f>
        <v>28.515806741280002</v>
      </c>
      <c r="R731" s="47">
        <f>ORA!O$26/1000</f>
        <v>28.515806741280002</v>
      </c>
      <c r="S731" s="45">
        <f t="shared" si="183"/>
        <v>0</v>
      </c>
      <c r="T731" s="46"/>
      <c r="U731" s="48" t="str">
        <f t="shared" si="184"/>
        <v>EUR 10.72</v>
      </c>
      <c r="V731" s="69" t="str">
        <f t="shared" si="184"/>
        <v>Orange</v>
      </c>
      <c r="X731" s="43"/>
      <c r="Y731" s="76"/>
      <c r="Z731" s="76"/>
      <c r="AA731" s="76"/>
      <c r="AB731" s="76"/>
      <c r="AC731" s="76"/>
      <c r="AD731" s="76"/>
      <c r="AE731" s="76"/>
      <c r="AF731" s="76"/>
      <c r="AG731" s="76"/>
      <c r="AH731" s="76"/>
      <c r="BF731" s="39"/>
      <c r="BG731" s="39"/>
      <c r="BH731" s="39"/>
      <c r="BI731" s="39"/>
      <c r="BJ731" s="39"/>
      <c r="BK731" s="39"/>
      <c r="BL731" s="39"/>
      <c r="BM731" s="39"/>
      <c r="BN731" s="39"/>
      <c r="BO731" s="39"/>
      <c r="BP731" s="39"/>
      <c r="BQ731" s="39"/>
      <c r="BR731" s="39"/>
      <c r="BS731" s="39"/>
      <c r="BT731" s="39"/>
      <c r="BU731" s="39"/>
      <c r="BV731" s="39"/>
      <c r="BW731" s="39"/>
      <c r="BX731" s="39"/>
      <c r="BY731" s="39"/>
      <c r="BZ731" s="39"/>
      <c r="CA731" s="39"/>
      <c r="CB731" s="39"/>
      <c r="CC731" s="39"/>
      <c r="CD731" s="39"/>
      <c r="CE731" s="39"/>
      <c r="CF731" s="39"/>
      <c r="CG731" s="39"/>
      <c r="CH731" s="39"/>
      <c r="CI731" s="39"/>
      <c r="CJ731" s="39"/>
      <c r="CK731" s="39"/>
      <c r="CL731" s="39"/>
      <c r="CM731" s="39"/>
      <c r="CN731" s="39"/>
      <c r="CO731" s="39"/>
      <c r="CP731" s="39"/>
      <c r="CQ731" s="39"/>
      <c r="CR731" s="39"/>
      <c r="CS731" s="39"/>
      <c r="CT731" s="39"/>
      <c r="CU731" s="39"/>
      <c r="CV731" s="39"/>
      <c r="CW731" s="39"/>
      <c r="CX731" s="39"/>
      <c r="CY731" s="39"/>
      <c r="CZ731" s="39"/>
      <c r="DA731" s="39"/>
      <c r="DB731" s="39"/>
      <c r="DC731" s="39"/>
      <c r="DD731" s="39"/>
      <c r="DE731" s="39"/>
      <c r="DF731" s="39"/>
      <c r="DG731" s="39"/>
      <c r="DH731" s="39"/>
      <c r="DI731" s="39"/>
    </row>
    <row r="732" spans="1:113">
      <c r="A732" s="41"/>
      <c r="C732" s="48" t="s">
        <v>454</v>
      </c>
      <c r="D732" s="44" t="str">
        <f t="shared" si="181"/>
        <v>EUR 15.08</v>
      </c>
      <c r="E732" s="44" t="str">
        <f t="shared" si="181"/>
        <v>EUR 18.50</v>
      </c>
      <c r="F732" s="45">
        <f t="shared" si="181"/>
        <v>0.22679045092838201</v>
      </c>
      <c r="G732" s="44" t="str">
        <f t="shared" si="181"/>
        <v>Buy</v>
      </c>
      <c r="H732" s="46"/>
      <c r="I732" s="47">
        <f>OTE!$D$18/1000</f>
        <v>7.9491197118485708</v>
      </c>
      <c r="J732" s="47">
        <f>OTE!$E$18/1000</f>
        <v>7.4488654561701209</v>
      </c>
      <c r="K732" s="47">
        <f>OTE!$F$18/1000</f>
        <v>6.8977035954782915</v>
      </c>
      <c r="L732" s="47">
        <f>OTE!$G$18/1000</f>
        <v>6.3595121131535697</v>
      </c>
      <c r="M732" s="45">
        <f t="shared" si="182"/>
        <v>-7.1671706252293577E-2</v>
      </c>
      <c r="N732" s="46"/>
      <c r="O732" s="47">
        <f>OTE!L$26/1000</f>
        <v>7.1937905686400008</v>
      </c>
      <c r="P732" s="47">
        <f>OTE!M$26/1000</f>
        <v>6.994899794641551</v>
      </c>
      <c r="Q732" s="47">
        <f>OTE!N$26/1000</f>
        <v>6.7503371578824316</v>
      </c>
      <c r="R732" s="47">
        <f>OTE!O$26/1000</f>
        <v>6.5213800650644362</v>
      </c>
      <c r="S732" s="45">
        <f t="shared" si="183"/>
        <v>-3.2181527447934344E-2</v>
      </c>
      <c r="T732" s="46"/>
      <c r="U732" s="48" t="str">
        <f t="shared" si="184"/>
        <v>EUR 15.08</v>
      </c>
      <c r="V732" s="69" t="str">
        <f t="shared" si="184"/>
        <v>OTE</v>
      </c>
      <c r="X732" s="43"/>
      <c r="Y732" s="76"/>
      <c r="Z732" s="76"/>
      <c r="AA732" s="76"/>
      <c r="AB732" s="76"/>
      <c r="AC732" s="76"/>
      <c r="AD732" s="76"/>
      <c r="AE732" s="76"/>
      <c r="AF732" s="76"/>
      <c r="AG732" s="76"/>
      <c r="AH732" s="76"/>
      <c r="BF732" s="39"/>
      <c r="BG732" s="39"/>
      <c r="BH732" s="39"/>
      <c r="BI732" s="39"/>
      <c r="BJ732" s="39"/>
      <c r="BK732" s="39"/>
      <c r="BL732" s="39"/>
      <c r="BM732" s="39"/>
      <c r="BN732" s="39"/>
      <c r="BO732" s="39"/>
      <c r="BP732" s="39"/>
      <c r="BQ732" s="39"/>
      <c r="BR732" s="39"/>
      <c r="BS732" s="39"/>
      <c r="BT732" s="39"/>
      <c r="BU732" s="39"/>
      <c r="BV732" s="39"/>
      <c r="BW732" s="39"/>
      <c r="BX732" s="39"/>
      <c r="BY732" s="39"/>
      <c r="BZ732" s="39"/>
      <c r="CA732" s="39"/>
      <c r="CB732" s="39"/>
      <c r="CC732" s="39"/>
      <c r="CD732" s="39"/>
      <c r="CE732" s="39"/>
      <c r="CF732" s="39"/>
      <c r="CG732" s="39"/>
      <c r="CH732" s="39"/>
      <c r="CI732" s="39"/>
      <c r="CJ732" s="39"/>
      <c r="CK732" s="39"/>
      <c r="CL732" s="39"/>
      <c r="CM732" s="39"/>
      <c r="CN732" s="39"/>
      <c r="CO732" s="39"/>
      <c r="CP732" s="39"/>
      <c r="CQ732" s="39"/>
      <c r="CR732" s="39"/>
      <c r="CS732" s="39"/>
      <c r="CT732" s="39"/>
      <c r="CU732" s="39"/>
      <c r="CV732" s="39"/>
      <c r="CW732" s="39"/>
      <c r="CX732" s="39"/>
      <c r="CY732" s="39"/>
      <c r="CZ732" s="39"/>
      <c r="DA732" s="39"/>
      <c r="DB732" s="39"/>
      <c r="DC732" s="39"/>
      <c r="DD732" s="39"/>
      <c r="DE732" s="39"/>
      <c r="DF732" s="39"/>
      <c r="DG732" s="39"/>
      <c r="DH732" s="39"/>
      <c r="DI732" s="39"/>
    </row>
    <row r="733" spans="1:113">
      <c r="A733" s="41"/>
      <c r="C733" s="48" t="s">
        <v>809</v>
      </c>
      <c r="D733" s="44" t="str">
        <f t="shared" si="181"/>
        <v>EUR 6.8</v>
      </c>
      <c r="E733" s="44" t="str">
        <f t="shared" si="181"/>
        <v>EUR 9.5</v>
      </c>
      <c r="F733" s="45">
        <f t="shared" si="181"/>
        <v>0.39296187683284445</v>
      </c>
      <c r="G733" s="44" t="str">
        <f t="shared" si="181"/>
        <v>Neutral</v>
      </c>
      <c r="H733" s="46"/>
      <c r="I733" s="47">
        <f>PROX!$D$18/1000</f>
        <v>9.3512730323295727</v>
      </c>
      <c r="J733" s="47">
        <f>PROX!$E$18/1000</f>
        <v>7.6816689337984307</v>
      </c>
      <c r="K733" s="47">
        <f>PROX!$F$18/1000</f>
        <v>7.5116807074262075</v>
      </c>
      <c r="L733" s="47">
        <f>PROX!$G$18/1000</f>
        <v>7.2180402464219213</v>
      </c>
      <c r="M733" s="45">
        <f t="shared" si="182"/>
        <v>-8.2689874718552825E-2</v>
      </c>
      <c r="N733" s="46"/>
      <c r="O733" s="47">
        <f>PROX!L$26/1000</f>
        <v>2.6588276206999999</v>
      </c>
      <c r="P733" s="47">
        <f>PROX!M$26/1000</f>
        <v>2.6588276206999999</v>
      </c>
      <c r="Q733" s="47">
        <f>PROX!N$26/1000</f>
        <v>2.6588276206999999</v>
      </c>
      <c r="R733" s="47">
        <f>PROX!O$26/1000</f>
        <v>2.6588276206999999</v>
      </c>
      <c r="S733" s="45">
        <f t="shared" si="183"/>
        <v>0</v>
      </c>
      <c r="T733" s="46"/>
      <c r="U733" s="48" t="str">
        <f t="shared" ref="U733:U738" si="185">U673</f>
        <v>EUR 6.8</v>
      </c>
      <c r="V733" s="69" t="s">
        <v>809</v>
      </c>
      <c r="X733" s="43"/>
      <c r="Y733" s="76"/>
      <c r="Z733" s="76"/>
      <c r="AA733" s="76"/>
      <c r="AB733" s="76"/>
      <c r="AC733" s="76"/>
      <c r="AD733" s="76"/>
      <c r="AE733" s="76"/>
      <c r="AF733" s="76"/>
      <c r="AG733" s="76"/>
      <c r="AH733" s="76"/>
      <c r="BF733" s="39"/>
      <c r="BG733" s="39"/>
      <c r="BH733" s="39"/>
      <c r="BI733" s="39"/>
      <c r="BJ733" s="39"/>
      <c r="BK733" s="39"/>
      <c r="BL733" s="39"/>
      <c r="BM733" s="39"/>
      <c r="BN733" s="39"/>
      <c r="BO733" s="39"/>
      <c r="BP733" s="39"/>
      <c r="BQ733" s="39"/>
      <c r="BR733" s="39"/>
      <c r="BS733" s="39"/>
      <c r="BT733" s="39"/>
      <c r="BU733" s="39"/>
      <c r="BV733" s="39"/>
      <c r="BW733" s="39"/>
      <c r="BX733" s="39"/>
      <c r="BY733" s="39"/>
      <c r="BZ733" s="39"/>
      <c r="CA733" s="39"/>
      <c r="CB733" s="39"/>
      <c r="CC733" s="39"/>
      <c r="CD733" s="39"/>
      <c r="CE733" s="39"/>
      <c r="CF733" s="39"/>
      <c r="CG733" s="39"/>
      <c r="CH733" s="39"/>
      <c r="CI733" s="39"/>
      <c r="CJ733" s="39"/>
      <c r="CK733" s="39"/>
      <c r="CL733" s="39"/>
      <c r="CM733" s="39"/>
      <c r="CN733" s="39"/>
      <c r="CO733" s="39"/>
      <c r="CP733" s="39"/>
      <c r="CQ733" s="39"/>
      <c r="CR733" s="39"/>
      <c r="CS733" s="39"/>
      <c r="CT733" s="39"/>
      <c r="CU733" s="39"/>
      <c r="CV733" s="39"/>
      <c r="CW733" s="39"/>
      <c r="CX733" s="39"/>
      <c r="CY733" s="39"/>
      <c r="CZ733" s="39"/>
      <c r="DA733" s="39"/>
      <c r="DB733" s="39"/>
      <c r="DC733" s="39"/>
      <c r="DD733" s="39"/>
      <c r="DE733" s="39"/>
      <c r="DF733" s="39"/>
      <c r="DG733" s="39"/>
      <c r="DH733" s="39"/>
      <c r="DI733" s="39"/>
    </row>
    <row r="734" spans="1:113">
      <c r="C734" s="48" t="s">
        <v>458</v>
      </c>
      <c r="D734" s="44" t="str">
        <f t="shared" si="181"/>
        <v>CHF549</v>
      </c>
      <c r="E734" s="44" t="str">
        <f t="shared" si="181"/>
        <v>CHF600</v>
      </c>
      <c r="F734" s="45">
        <f t="shared" si="181"/>
        <v>9.2896174863388081E-2</v>
      </c>
      <c r="G734" s="44" t="str">
        <f t="shared" si="181"/>
        <v>Neutral</v>
      </c>
      <c r="H734" s="46"/>
      <c r="I734" s="47">
        <f>SWISS!D$18/1000/Prices!$F$148</f>
        <v>40.199831992574964</v>
      </c>
      <c r="J734" s="47">
        <f>SWISS!E$18/1000/Prices!$F$148</f>
        <v>40.199831992574964</v>
      </c>
      <c r="K734" s="47">
        <f>SWISS!F$18/1000/Prices!$F$148</f>
        <v>38.213160020908795</v>
      </c>
      <c r="L734" s="47">
        <f>SWISS!G$18/1000/Prices!$F$148</f>
        <v>44.912765460926494</v>
      </c>
      <c r="M734" s="45">
        <f t="shared" si="182"/>
        <v>3.7644335748050484E-2</v>
      </c>
      <c r="N734" s="46"/>
      <c r="O734" s="47">
        <f>SWISS!L$26/1000/Prices!$F$148</f>
        <v>31.379540794381104</v>
      </c>
      <c r="P734" s="47">
        <f>SWISS!M$26/1000/Prices!$F$148</f>
        <v>31.379540794381104</v>
      </c>
      <c r="Q734" s="47">
        <f>SWISS!N$26/1000/Prices!$F$148</f>
        <v>31.379540794381104</v>
      </c>
      <c r="R734" s="47">
        <f>SWISS!O$26/1000/Prices!$F$148</f>
        <v>31.379540794381104</v>
      </c>
      <c r="S734" s="45">
        <f t="shared" si="183"/>
        <v>0</v>
      </c>
      <c r="T734" s="46"/>
      <c r="U734" s="48" t="str">
        <f t="shared" si="185"/>
        <v>CHF549</v>
      </c>
      <c r="V734" s="69" t="str">
        <f t="shared" ref="V734:V739" si="186">V674</f>
        <v>Swisscom</v>
      </c>
      <c r="Y734" s="76"/>
      <c r="Z734" s="76"/>
      <c r="AA734" s="76"/>
      <c r="AB734" s="76"/>
      <c r="AC734" s="76"/>
      <c r="AD734" s="76"/>
      <c r="AE734" s="76"/>
      <c r="AF734" s="76"/>
      <c r="AG734" s="76"/>
      <c r="AH734" s="76"/>
    </row>
    <row r="735" spans="1:113">
      <c r="A735" s="41"/>
      <c r="C735" s="48" t="s">
        <v>265</v>
      </c>
      <c r="D735" s="44" t="str">
        <f t="shared" si="181"/>
        <v>EUR 0.24</v>
      </c>
      <c r="E735" s="44" t="str">
        <f t="shared" si="181"/>
        <v>EUR 0.34</v>
      </c>
      <c r="F735" s="45">
        <f t="shared" si="181"/>
        <v>0.44006776789495983</v>
      </c>
      <c r="G735" s="44" t="str">
        <f t="shared" si="181"/>
        <v>Buy</v>
      </c>
      <c r="H735" s="46"/>
      <c r="I735" s="47">
        <f>TI!$D$18/1000</f>
        <v>31.627616850580882</v>
      </c>
      <c r="J735" s="47">
        <f>TI!$E$18/1000</f>
        <v>31.82144414130503</v>
      </c>
      <c r="K735" s="47">
        <f>TI!$F$18/1000</f>
        <v>31.819068390263336</v>
      </c>
      <c r="L735" s="47">
        <f>TI!$G$18/1000</f>
        <v>31.434214388135125</v>
      </c>
      <c r="M735" s="45">
        <f t="shared" si="182"/>
        <v>-2.0424979212435579E-3</v>
      </c>
      <c r="N735" s="46"/>
      <c r="O735" s="47">
        <f>TI!L$26/1000</f>
        <v>9.3077771228589015</v>
      </c>
      <c r="P735" s="47">
        <f>TI!M$26/1000</f>
        <v>9.3077771228589015</v>
      </c>
      <c r="Q735" s="47">
        <f>TI!N$26/1000</f>
        <v>9.3077771228589015</v>
      </c>
      <c r="R735" s="47">
        <f>TI!O$26/1000</f>
        <v>9.3077771228589015</v>
      </c>
      <c r="S735" s="45">
        <f t="shared" si="183"/>
        <v>0</v>
      </c>
      <c r="T735" s="46"/>
      <c r="U735" s="48" t="str">
        <f t="shared" si="185"/>
        <v>EUR 0.24</v>
      </c>
      <c r="V735" s="69" t="str">
        <f t="shared" si="186"/>
        <v>Telecom Italia</v>
      </c>
      <c r="X735" s="43"/>
      <c r="Y735" s="76"/>
      <c r="Z735" s="76"/>
      <c r="AA735" s="76"/>
      <c r="AB735" s="76"/>
      <c r="AC735" s="76"/>
      <c r="AD735" s="76"/>
      <c r="AE735" s="76"/>
      <c r="AF735" s="76"/>
      <c r="AG735" s="76"/>
      <c r="AH735" s="76"/>
      <c r="BF735" s="39"/>
      <c r="BG735" s="39"/>
      <c r="BH735" s="39"/>
      <c r="BI735" s="39"/>
      <c r="BJ735" s="39"/>
      <c r="BK735" s="39"/>
      <c r="BL735" s="39"/>
      <c r="BM735" s="39"/>
      <c r="BN735" s="39"/>
      <c r="BO735" s="39"/>
      <c r="BP735" s="39"/>
      <c r="BQ735" s="39"/>
      <c r="BR735" s="39"/>
      <c r="BS735" s="39"/>
      <c r="BT735" s="39"/>
      <c r="BU735" s="39"/>
      <c r="BV735" s="39"/>
      <c r="BW735" s="39"/>
      <c r="BX735" s="39"/>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row>
    <row r="736" spans="1:113">
      <c r="A736" s="41"/>
      <c r="C736" s="48" t="s">
        <v>456</v>
      </c>
      <c r="D736" s="44" t="str">
        <f t="shared" si="181"/>
        <v>EUR 4.21</v>
      </c>
      <c r="E736" s="44" t="str">
        <f t="shared" si="181"/>
        <v>EUR 4.30</v>
      </c>
      <c r="F736" s="45">
        <f t="shared" si="181"/>
        <v>2.065036790885344E-2</v>
      </c>
      <c r="G736" s="44" t="str">
        <f t="shared" si="181"/>
        <v>Neutral</v>
      </c>
      <c r="H736" s="46"/>
      <c r="I736" s="47">
        <f>TEF!$D$18/1000</f>
        <v>60.203541467966176</v>
      </c>
      <c r="J736" s="47">
        <f>TEF!$E$18/1000</f>
        <v>59.031509201523662</v>
      </c>
      <c r="K736" s="47">
        <f>TEF!$F$18/1000</f>
        <v>56.332633212672981</v>
      </c>
      <c r="L736" s="47">
        <f>TEF!$G$18/1000</f>
        <v>53.579739542211946</v>
      </c>
      <c r="M736" s="45">
        <f t="shared" si="182"/>
        <v>-3.8108280153969165E-2</v>
      </c>
      <c r="N736" s="46"/>
      <c r="O736" s="47">
        <f>TEF!L$26/1000</f>
        <v>25.953618055644998</v>
      </c>
      <c r="P736" s="47">
        <f>TEF!M$26/1000</f>
        <v>25.953618055644998</v>
      </c>
      <c r="Q736" s="47">
        <f>TEF!N$26/1000</f>
        <v>25.953618055644998</v>
      </c>
      <c r="R736" s="47">
        <f>TEF!O$26/1000</f>
        <v>23.249618055644998</v>
      </c>
      <c r="S736" s="45">
        <f t="shared" si="183"/>
        <v>-3.6009757784795982E-2</v>
      </c>
      <c r="T736" s="46"/>
      <c r="U736" s="48" t="str">
        <f t="shared" si="185"/>
        <v>EUR 4.21</v>
      </c>
      <c r="V736" s="69" t="str">
        <f t="shared" si="186"/>
        <v>Telefonica</v>
      </c>
      <c r="X736" s="43"/>
      <c r="Y736" s="76"/>
      <c r="Z736" s="76"/>
      <c r="AA736" s="76"/>
      <c r="AB736" s="76"/>
      <c r="AC736" s="76"/>
      <c r="AD736" s="76"/>
      <c r="AE736" s="76"/>
      <c r="AF736" s="76"/>
      <c r="AG736" s="76"/>
      <c r="AH736" s="76"/>
      <c r="BF736" s="39"/>
      <c r="BG736" s="39"/>
      <c r="BH736" s="39"/>
      <c r="BI736" s="39"/>
      <c r="BJ736" s="39"/>
      <c r="BK736" s="39"/>
      <c r="BL736" s="39"/>
      <c r="BM736" s="39"/>
      <c r="BN736" s="39"/>
      <c r="BO736" s="39"/>
      <c r="BP736" s="39"/>
      <c r="BQ736" s="39"/>
      <c r="BR736" s="39"/>
      <c r="BS736" s="39"/>
      <c r="BT736" s="39"/>
      <c r="BU736" s="39"/>
      <c r="BV736" s="39"/>
      <c r="BW736" s="39"/>
      <c r="BX736" s="39"/>
      <c r="BY736" s="39"/>
      <c r="BZ736" s="39"/>
      <c r="CA736" s="39"/>
      <c r="CB736" s="39"/>
      <c r="CC736" s="39"/>
      <c r="CD736" s="39"/>
      <c r="CE736" s="39"/>
      <c r="CF736" s="39"/>
      <c r="CG736" s="39"/>
      <c r="CH736" s="39"/>
      <c r="CI736" s="39"/>
      <c r="CJ736" s="39"/>
      <c r="CK736" s="39"/>
      <c r="CL736" s="39"/>
      <c r="CM736" s="39"/>
      <c r="CN736" s="39"/>
      <c r="CO736" s="39"/>
      <c r="CP736" s="39"/>
      <c r="CQ736" s="39"/>
      <c r="CR736" s="39"/>
      <c r="CS736" s="39"/>
      <c r="CT736" s="39"/>
      <c r="CU736" s="39"/>
      <c r="CV736" s="39"/>
      <c r="CW736" s="39"/>
      <c r="CX736" s="39"/>
      <c r="CY736" s="39"/>
      <c r="CZ736" s="39"/>
      <c r="DA736" s="39"/>
      <c r="DB736" s="39"/>
      <c r="DC736" s="39"/>
      <c r="DD736" s="39"/>
      <c r="DE736" s="39"/>
      <c r="DF736" s="39"/>
      <c r="DG736" s="39"/>
      <c r="DH736" s="39"/>
      <c r="DI736" s="39"/>
    </row>
    <row r="737" spans="1:113">
      <c r="A737" s="41"/>
      <c r="C737" s="48" t="s">
        <v>457</v>
      </c>
      <c r="D737" s="44" t="str">
        <f t="shared" si="181"/>
        <v>NOK 135</v>
      </c>
      <c r="E737" s="44" t="str">
        <f t="shared" si="181"/>
        <v>NOK 138</v>
      </c>
      <c r="F737" s="45">
        <f t="shared" si="181"/>
        <v>2.3738872403560762E-2</v>
      </c>
      <c r="G737" s="44" t="str">
        <f t="shared" si="181"/>
        <v>Buy</v>
      </c>
      <c r="H737" s="46"/>
      <c r="I737" s="47">
        <f>TNOR!D$18/1000/Prices!$F$157</f>
        <v>20.376710783273317</v>
      </c>
      <c r="J737" s="47">
        <f>TNOR!E$18/1000/Prices!$F$157</f>
        <v>19.598946313463536</v>
      </c>
      <c r="K737" s="47">
        <f>TNOR!F$18/1000/Prices!$F$157</f>
        <v>18.310147664906097</v>
      </c>
      <c r="L737" s="47">
        <f>TNOR!G$18/1000/Prices!$F$157</f>
        <v>17.284472298279077</v>
      </c>
      <c r="M737" s="45">
        <f t="shared" si="182"/>
        <v>-5.3383621295416628E-2</v>
      </c>
      <c r="N737" s="46"/>
      <c r="O737" s="47">
        <f>TNOR!L$26/1000/Prices!$F$157</f>
        <v>19.430008493016384</v>
      </c>
      <c r="P737" s="47">
        <f>TNOR!M$26/1000/Prices!$F$157</f>
        <v>19.425981922523654</v>
      </c>
      <c r="Q737" s="47">
        <f>TNOR!N$26/1000/Prices!$F$157</f>
        <v>19.425981922523654</v>
      </c>
      <c r="R737" s="47">
        <f>TNOR!O$26/1000/Prices!$F$157</f>
        <v>19.425981922523654</v>
      </c>
      <c r="S737" s="45">
        <f t="shared" si="183"/>
        <v>-6.9082980148627016E-5</v>
      </c>
      <c r="T737" s="46"/>
      <c r="U737" s="48" t="str">
        <f t="shared" si="185"/>
        <v>NOK 135</v>
      </c>
      <c r="V737" s="44" t="str">
        <f t="shared" si="186"/>
        <v>Telenor</v>
      </c>
      <c r="X737" s="43"/>
      <c r="Y737" s="76"/>
      <c r="Z737" s="76"/>
      <c r="AA737" s="76"/>
      <c r="AB737" s="76"/>
      <c r="AC737" s="76"/>
      <c r="AD737" s="76"/>
      <c r="AE737" s="76"/>
      <c r="AF737" s="76"/>
      <c r="AG737" s="76"/>
      <c r="AH737" s="76"/>
      <c r="BF737" s="39"/>
      <c r="BG737" s="39"/>
      <c r="BH737" s="39"/>
      <c r="BI737" s="39"/>
      <c r="BJ737" s="39"/>
      <c r="BK737" s="39"/>
      <c r="BL737" s="39"/>
      <c r="BM737" s="39"/>
      <c r="BN737" s="39"/>
      <c r="BO737" s="39"/>
      <c r="BP737" s="39"/>
      <c r="BQ737" s="39"/>
      <c r="BR737" s="39"/>
      <c r="BS737" s="39"/>
      <c r="BT737" s="39"/>
      <c r="BU737" s="39"/>
      <c r="BV737" s="39"/>
      <c r="BW737" s="39"/>
      <c r="BX737" s="39"/>
      <c r="BY737" s="39"/>
      <c r="BZ737" s="39"/>
      <c r="CA737" s="39"/>
      <c r="CB737" s="39"/>
      <c r="CC737" s="39"/>
      <c r="CD737" s="39"/>
      <c r="CE737" s="39"/>
      <c r="CF737" s="39"/>
      <c r="CG737" s="39"/>
      <c r="CH737" s="39"/>
      <c r="CI737" s="39"/>
      <c r="CJ737" s="39"/>
      <c r="CK737" s="39"/>
      <c r="CL737" s="39"/>
      <c r="CM737" s="39"/>
      <c r="CN737" s="39"/>
      <c r="CO737" s="39"/>
      <c r="CP737" s="39"/>
      <c r="CQ737" s="39"/>
      <c r="CR737" s="39"/>
      <c r="CS737" s="39"/>
      <c r="CT737" s="39"/>
      <c r="CU737" s="39"/>
      <c r="CV737" s="39"/>
      <c r="CW737" s="39"/>
      <c r="CX737" s="39"/>
      <c r="CY737" s="39"/>
      <c r="CZ737" s="39"/>
      <c r="DA737" s="39"/>
      <c r="DB737" s="39"/>
      <c r="DC737" s="39"/>
      <c r="DD737" s="39"/>
      <c r="DE737" s="39"/>
      <c r="DF737" s="39"/>
      <c r="DG737" s="39"/>
      <c r="DH737" s="39"/>
      <c r="DI737" s="39"/>
    </row>
    <row r="738" spans="1:113">
      <c r="A738" s="41"/>
      <c r="C738" s="48" t="s">
        <v>1030</v>
      </c>
      <c r="D738" s="44" t="str">
        <f t="shared" si="181"/>
        <v>SEK33.4</v>
      </c>
      <c r="E738" s="44" t="str">
        <f t="shared" si="181"/>
        <v>SEK33.0</v>
      </c>
      <c r="F738" s="45">
        <f t="shared" si="181"/>
        <v>-1.2567324955116699E-2</v>
      </c>
      <c r="G738" s="44" t="str">
        <f t="shared" si="181"/>
        <v>Buy</v>
      </c>
      <c r="H738" s="46"/>
      <c r="I738" s="47">
        <f>TELIA!D$18/1000/Prices!$F$158</f>
        <v>21.968215979991996</v>
      </c>
      <c r="J738" s="47">
        <f>TELIA!E$18/1000/Prices!$F$158</f>
        <v>20.821372652813739</v>
      </c>
      <c r="K738" s="47">
        <f>TELIA!F$18/1000/Prices!$F$158</f>
        <v>20.061044779823803</v>
      </c>
      <c r="L738" s="47">
        <f>TELIA!G$18/1000/Prices!$F$158</f>
        <v>19.297722330201928</v>
      </c>
      <c r="M738" s="45">
        <f t="shared" si="182"/>
        <v>-4.2283239534774308E-2</v>
      </c>
      <c r="N738" s="46"/>
      <c r="O738" s="47">
        <f>TELIA!L$26/1000/Prices!$F$158</f>
        <v>14.818752353389367</v>
      </c>
      <c r="P738" s="47">
        <f>TELIA!M$26/1000/Prices!$F$158</f>
        <v>14.818752353389367</v>
      </c>
      <c r="Q738" s="47">
        <f>TELIA!N$26/1000/Prices!$F$158</f>
        <v>14.818752353389367</v>
      </c>
      <c r="R738" s="47">
        <f>TELIA!O$26/1000/Prices!$F$158</f>
        <v>14.818752353389367</v>
      </c>
      <c r="S738" s="45">
        <f t="shared" si="183"/>
        <v>0</v>
      </c>
      <c r="T738" s="46"/>
      <c r="U738" s="48" t="str">
        <f t="shared" si="185"/>
        <v>SEK33.4</v>
      </c>
      <c r="V738" s="44" t="str">
        <f t="shared" si="186"/>
        <v>Telia</v>
      </c>
      <c r="X738" s="43"/>
      <c r="Y738" s="76"/>
      <c r="BF738" s="39"/>
      <c r="BG738" s="39"/>
      <c r="BH738" s="39"/>
      <c r="BI738" s="39"/>
      <c r="BJ738" s="39"/>
      <c r="BK738" s="39"/>
      <c r="BL738" s="39"/>
      <c r="BM738" s="39"/>
      <c r="BN738" s="39"/>
      <c r="BO738" s="39"/>
      <c r="BP738" s="39"/>
      <c r="BQ738" s="39"/>
      <c r="BR738" s="39"/>
      <c r="BS738" s="39"/>
      <c r="BT738" s="39"/>
      <c r="BU738" s="39"/>
      <c r="BV738" s="39"/>
      <c r="BW738" s="39"/>
      <c r="BX738" s="39"/>
      <c r="BY738" s="39"/>
      <c r="BZ738" s="39"/>
      <c r="CA738" s="39"/>
      <c r="CB738" s="39"/>
      <c r="CC738" s="39"/>
      <c r="CD738" s="39"/>
      <c r="CE738" s="39"/>
      <c r="CF738" s="39"/>
      <c r="CG738" s="39"/>
      <c r="CH738" s="39"/>
      <c r="CI738" s="39"/>
      <c r="CJ738" s="39"/>
      <c r="CK738" s="39"/>
      <c r="CL738" s="39"/>
      <c r="CM738" s="39"/>
      <c r="CN738" s="39"/>
      <c r="CO738" s="39"/>
      <c r="CP738" s="39"/>
      <c r="CQ738" s="39"/>
      <c r="CR738" s="39"/>
      <c r="CS738" s="39"/>
      <c r="CT738" s="39"/>
      <c r="CU738" s="39"/>
      <c r="CV738" s="39"/>
      <c r="CW738" s="39"/>
      <c r="CX738" s="39"/>
      <c r="CY738" s="39"/>
      <c r="CZ738" s="39"/>
      <c r="DA738" s="39"/>
      <c r="DB738" s="39"/>
      <c r="DC738" s="39"/>
      <c r="DD738" s="39"/>
      <c r="DE738" s="39"/>
      <c r="DF738" s="39"/>
      <c r="DG738" s="39"/>
      <c r="DH738" s="39"/>
      <c r="DI738" s="39"/>
    </row>
    <row r="739" spans="1:113">
      <c r="A739" s="41"/>
      <c r="C739" s="51" t="str">
        <f>C679</f>
        <v>Agg. W.Europe Incumbent</v>
      </c>
      <c r="D739" s="52"/>
      <c r="E739" s="52"/>
      <c r="F739" s="53"/>
      <c r="G739" s="52"/>
      <c r="H739" s="46"/>
      <c r="I739" s="54">
        <f>'W.EUR INCUMB'!$D$18/1000</f>
        <v>649.50564292827107</v>
      </c>
      <c r="J739" s="54">
        <f>'W.EUR INCUMB'!$E$18/1000</f>
        <v>636.10784035024767</v>
      </c>
      <c r="K739" s="54">
        <f>'W.EUR INCUMB'!$F$18/1000</f>
        <v>620.31600127933439</v>
      </c>
      <c r="L739" s="54">
        <f>'W.EUR INCUMB'!$G$18/1000</f>
        <v>606.11631738126209</v>
      </c>
      <c r="M739" s="55">
        <f t="shared" si="182"/>
        <v>-2.2782994899245068E-2</v>
      </c>
      <c r="N739" s="56"/>
      <c r="O739" s="54">
        <f>'W.EUR INCUMB'!L$26/1000</f>
        <v>310.86389986146565</v>
      </c>
      <c r="P739" s="54">
        <f>'W.EUR INCUMB'!M$26/1000</f>
        <v>307.95188747030278</v>
      </c>
      <c r="Q739" s="54">
        <f>'W.EUR INCUMB'!N$26/1000</f>
        <v>307.3870152311269</v>
      </c>
      <c r="R739" s="54">
        <f>'W.EUR INCUMB'!O$26/1000</f>
        <v>304.11695604260348</v>
      </c>
      <c r="S739" s="55">
        <f t="shared" si="183"/>
        <v>-7.2875971182160271E-3</v>
      </c>
      <c r="T739" s="46"/>
      <c r="U739" s="57"/>
      <c r="V739" s="58" t="str">
        <f t="shared" si="186"/>
        <v>Agg. W.Europe Incumbent</v>
      </c>
      <c r="X739" s="43"/>
      <c r="Y739" s="76"/>
      <c r="BF739" s="39"/>
      <c r="BG739" s="39"/>
      <c r="BH739" s="39"/>
      <c r="BI739" s="39"/>
      <c r="BJ739" s="39"/>
      <c r="BK739" s="39"/>
      <c r="BL739" s="39"/>
      <c r="BM739" s="39"/>
      <c r="BN739" s="39"/>
      <c r="BO739" s="39"/>
      <c r="BP739" s="39"/>
      <c r="BQ739" s="39"/>
      <c r="BR739" s="39"/>
      <c r="BS739" s="39"/>
      <c r="BT739" s="39"/>
      <c r="BU739" s="39"/>
      <c r="BV739" s="39"/>
      <c r="BW739" s="39"/>
      <c r="BX739" s="39"/>
      <c r="BY739" s="39"/>
      <c r="BZ739" s="39"/>
      <c r="CA739" s="39"/>
      <c r="CB739" s="39"/>
      <c r="CC739" s="39"/>
      <c r="CD739" s="39"/>
      <c r="CE739" s="39"/>
      <c r="CF739" s="39"/>
      <c r="CG739" s="39"/>
      <c r="CH739" s="39"/>
      <c r="CI739" s="39"/>
      <c r="CJ739" s="39"/>
      <c r="CK739" s="39"/>
      <c r="CL739" s="39"/>
      <c r="CM739" s="39"/>
      <c r="CN739" s="39"/>
      <c r="CO739" s="39"/>
      <c r="CP739" s="39"/>
      <c r="CQ739" s="39"/>
      <c r="CR739" s="39"/>
      <c r="CS739" s="39"/>
      <c r="CT739" s="39"/>
      <c r="CU739" s="39"/>
      <c r="CV739" s="39"/>
      <c r="CW739" s="39"/>
      <c r="CX739" s="39"/>
      <c r="CY739" s="39"/>
      <c r="CZ739" s="39"/>
      <c r="DA739" s="39"/>
      <c r="DB739" s="39"/>
      <c r="DC739" s="39"/>
      <c r="DD739" s="39"/>
      <c r="DE739" s="39"/>
      <c r="DF739" s="39"/>
      <c r="DG739" s="39"/>
      <c r="DH739" s="39"/>
      <c r="DI739" s="39"/>
    </row>
    <row r="740" spans="1:113">
      <c r="A740" s="41"/>
      <c r="C740" s="48"/>
      <c r="D740" s="44"/>
      <c r="E740" s="44"/>
      <c r="F740" s="45"/>
      <c r="G740" s="44"/>
      <c r="H740" s="46"/>
      <c r="I740" s="47"/>
      <c r="J740" s="47"/>
      <c r="K740" s="47"/>
      <c r="L740" s="47"/>
      <c r="M740" s="45"/>
      <c r="N740" s="46"/>
      <c r="O740" s="47"/>
      <c r="P740" s="47"/>
      <c r="Q740" s="47"/>
      <c r="R740" s="47"/>
      <c r="S740" s="45"/>
      <c r="T740" s="46"/>
      <c r="U740" s="48"/>
      <c r="V740" s="44"/>
      <c r="X740" s="43"/>
      <c r="Y740" s="76"/>
      <c r="BF740" s="39"/>
      <c r="BG740" s="39"/>
      <c r="BH740" s="39"/>
      <c r="BI740" s="39"/>
      <c r="BJ740" s="39"/>
      <c r="BK740" s="39"/>
      <c r="BL740" s="39"/>
      <c r="BM740" s="39"/>
      <c r="BN740" s="39"/>
      <c r="BO740" s="39"/>
      <c r="BP740" s="39"/>
      <c r="BQ740" s="39"/>
      <c r="BR740" s="39"/>
      <c r="BS740" s="39"/>
      <c r="BT740" s="39"/>
      <c r="BU740" s="39"/>
      <c r="BV740" s="39"/>
      <c r="BW740" s="39"/>
      <c r="BX740" s="39"/>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row>
    <row r="741" spans="1:113">
      <c r="A741" s="41"/>
      <c r="B741" s="42" t="s">
        <v>514</v>
      </c>
      <c r="C741" s="48" t="s">
        <v>486</v>
      </c>
      <c r="D741" s="44" t="str">
        <f>B741&amp;TEXT(Prices!$C$40,"0.0")</f>
        <v>US$20.7</v>
      </c>
      <c r="E741" s="44" t="str">
        <f>B741&amp;TEXT(Prices!$E$40,"0.00")</f>
        <v>US$21.00</v>
      </c>
      <c r="F741" s="45">
        <f>Prices!$F$40</f>
        <v>1.6949152542373058E-2</v>
      </c>
      <c r="G741" s="44" t="str">
        <f>Prices!$D$40</f>
        <v>Neutral</v>
      </c>
      <c r="H741" s="46"/>
      <c r="I741" s="47">
        <f>(ATT!D$18/1000)</f>
        <v>280.19222499999995</v>
      </c>
      <c r="J741" s="47">
        <f>(ATT!E$18/1000)</f>
        <v>262.79625842952379</v>
      </c>
      <c r="K741" s="47">
        <f>(ATT!F$18/1000)</f>
        <v>245.305734757333</v>
      </c>
      <c r="L741" s="47">
        <f>(ATT!G$18/1000)</f>
        <v>227.26630874716071</v>
      </c>
      <c r="M741" s="45">
        <f>(L741/I741)^(1/3)-1</f>
        <v>-6.7405193171882205E-2</v>
      </c>
      <c r="N741" s="46"/>
      <c r="O741" s="47">
        <f>(ATT!L$26/1000)</f>
        <v>148.40122499999998</v>
      </c>
      <c r="P741" s="47">
        <f>(ATT!M$26/1000)</f>
        <v>148.49414999999999</v>
      </c>
      <c r="Q741" s="47">
        <f>(ATT!N$26/1000)</f>
        <v>148.49414999999999</v>
      </c>
      <c r="R741" s="47">
        <f>(ATT!O$26/1000)</f>
        <v>148.49414999999999</v>
      </c>
      <c r="S741" s="45">
        <f>(R741/O741)^(1/3)-1</f>
        <v>2.0868114128314019E-4</v>
      </c>
      <c r="T741" s="46"/>
      <c r="U741" s="48" t="str">
        <f>D741</f>
        <v>US$20.7</v>
      </c>
      <c r="V741" s="44" t="str">
        <f>C741</f>
        <v xml:space="preserve">AT&amp;T </v>
      </c>
      <c r="X741" s="43"/>
      <c r="Y741" s="76"/>
      <c r="BF741" s="39"/>
      <c r="BG741" s="39"/>
      <c r="BH741" s="39"/>
      <c r="BI741" s="39"/>
      <c r="BJ741" s="39"/>
      <c r="BK741" s="39"/>
      <c r="BL741" s="39"/>
      <c r="BM741" s="39"/>
      <c r="BN741" s="39"/>
      <c r="BO741" s="39"/>
      <c r="BP741" s="39"/>
      <c r="BQ741" s="39"/>
      <c r="BR741" s="39"/>
      <c r="BS741" s="39"/>
      <c r="BT741" s="39"/>
      <c r="BU741" s="39"/>
      <c r="BV741" s="39"/>
      <c r="BW741" s="39"/>
      <c r="BX741" s="39"/>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row>
    <row r="742" spans="1:113">
      <c r="B742" s="42" t="s">
        <v>514</v>
      </c>
      <c r="C742" s="48" t="s">
        <v>687</v>
      </c>
      <c r="D742" s="44" t="str">
        <f>B742&amp;TEXT(Prices!$C$41,"0.0")</f>
        <v>US$197.2</v>
      </c>
      <c r="E742" s="44" t="str">
        <f>B742&amp;TEXT(Prices!$E$41,"0.0")</f>
        <v>US$205.0</v>
      </c>
      <c r="F742" s="45">
        <f>Prices!$F$41</f>
        <v>3.9659194644487306E-2</v>
      </c>
      <c r="G742" s="44" t="str">
        <f>Prices!$D$41</f>
        <v>Buy</v>
      </c>
      <c r="H742" s="46"/>
      <c r="I742" s="47">
        <f>(TMUS!D$18/1000)</f>
        <v>310.69597351017001</v>
      </c>
      <c r="J742" s="47">
        <f>(TMUS!E$18/1000)</f>
        <v>298.34488134363528</v>
      </c>
      <c r="K742" s="47">
        <f>(TMUS!F$18/1000)</f>
        <v>278.29745773733254</v>
      </c>
      <c r="L742" s="47">
        <f>(TMUS!G$18/1000)</f>
        <v>259.63398095223386</v>
      </c>
      <c r="M742" s="45">
        <f>(L742/I742)^(1/3)-1</f>
        <v>-5.8091674140806293E-2</v>
      </c>
      <c r="N742" s="46"/>
      <c r="O742" s="47">
        <f>(TMUS!L$26/1000)</f>
        <v>244.70197351016998</v>
      </c>
      <c r="P742" s="47">
        <f>(TMUS!M$26/1000)</f>
        <v>228.62294046077238</v>
      </c>
      <c r="Q742" s="47">
        <f>(TMUS!N$26/1000)</f>
        <v>206.7731032753714</v>
      </c>
      <c r="R742" s="47">
        <f>(TMUS!O$26/1000)</f>
        <v>186.58319132349328</v>
      </c>
      <c r="S742" s="45">
        <f>(R742/O742)^(1/3)-1</f>
        <v>-8.6423299393016406E-2</v>
      </c>
      <c r="T742" s="46"/>
      <c r="U742" s="48" t="str">
        <f>D742</f>
        <v>US$197.2</v>
      </c>
      <c r="V742" s="44" t="str">
        <f>C742</f>
        <v>TMUS</v>
      </c>
      <c r="X742" s="43"/>
      <c r="Y742" s="76"/>
      <c r="BF742" s="39"/>
      <c r="BG742" s="39"/>
      <c r="BH742" s="39"/>
      <c r="BI742" s="39"/>
      <c r="BJ742" s="39"/>
      <c r="BK742" s="39"/>
      <c r="BL742" s="39"/>
      <c r="BM742" s="39"/>
      <c r="BN742" s="39"/>
      <c r="BO742" s="39"/>
      <c r="BP742" s="39"/>
      <c r="BQ742" s="39"/>
      <c r="BR742" s="39"/>
      <c r="BS742" s="39"/>
      <c r="BT742" s="39"/>
      <c r="BU742" s="39"/>
      <c r="BV742" s="39"/>
      <c r="BW742" s="39"/>
      <c r="BX742" s="39"/>
      <c r="BY742" s="39"/>
      <c r="BZ742" s="39"/>
      <c r="CA742" s="39"/>
      <c r="CB742" s="39"/>
      <c r="CC742" s="39"/>
      <c r="CD742" s="39"/>
      <c r="CE742" s="39"/>
      <c r="CF742" s="39"/>
      <c r="CG742" s="39"/>
      <c r="CH742" s="39"/>
      <c r="CI742" s="39"/>
      <c r="CJ742" s="39"/>
      <c r="CK742" s="39"/>
      <c r="CL742" s="39"/>
      <c r="CM742" s="39"/>
      <c r="CN742" s="39"/>
      <c r="CO742" s="39"/>
      <c r="CP742" s="39"/>
      <c r="CQ742" s="39"/>
      <c r="CR742" s="39"/>
      <c r="CS742" s="39"/>
      <c r="CT742" s="39"/>
      <c r="CU742" s="39"/>
      <c r="CV742" s="39"/>
      <c r="CW742" s="39"/>
      <c r="CX742" s="39"/>
      <c r="CY742" s="39"/>
      <c r="CZ742" s="39"/>
      <c r="DA742" s="39"/>
      <c r="DB742" s="39"/>
      <c r="DC742" s="39"/>
      <c r="DD742" s="39"/>
      <c r="DE742" s="39"/>
      <c r="DF742" s="39"/>
      <c r="DG742" s="39"/>
      <c r="DH742" s="39"/>
      <c r="DI742" s="39"/>
    </row>
    <row r="743" spans="1:113">
      <c r="A743" s="41"/>
      <c r="B743" s="42" t="s">
        <v>514</v>
      </c>
      <c r="C743" s="48" t="s">
        <v>33</v>
      </c>
      <c r="D743" s="44" t="str">
        <f>B743&amp;TEXT(Prices!$C$39,"0.0")</f>
        <v>US$41.3</v>
      </c>
      <c r="E743" s="44" t="str">
        <f>B743&amp;TEXT(Prices!$E$39,"0.00")</f>
        <v>US$45.00</v>
      </c>
      <c r="F743" s="45">
        <f>Prices!$F$39</f>
        <v>8.9324618736383421E-2</v>
      </c>
      <c r="G743" s="44" t="str">
        <f>Prices!$D$39</f>
        <v>Neutral</v>
      </c>
      <c r="H743" s="46"/>
      <c r="I743" s="47">
        <f>(VZN!D$18/1000)</f>
        <v>312.461635</v>
      </c>
      <c r="J743" s="47">
        <f>(VZN!E$18/1000)</f>
        <v>294.26385954521515</v>
      </c>
      <c r="K743" s="47">
        <f>(VZN!F$18/1000)</f>
        <v>274.81816006926982</v>
      </c>
      <c r="L743" s="47">
        <f>(VZN!G$18/1000)</f>
        <v>254.68831937903602</v>
      </c>
      <c r="M743" s="45">
        <f>(L743/I743)^(1/3)-1</f>
        <v>-6.5876906491453391E-2</v>
      </c>
      <c r="N743" s="46"/>
      <c r="O743" s="47">
        <f>(VZN!L$26/1000)</f>
        <v>198.07663499999998</v>
      </c>
      <c r="P743" s="47">
        <f>(VZN!M$26/1000)</f>
        <v>198.10013999999998</v>
      </c>
      <c r="Q743" s="47">
        <f>(VZN!N$26/1000)</f>
        <v>198.10013999999998</v>
      </c>
      <c r="R743" s="47">
        <f>(VZN!O$26/1000)</f>
        <v>198.10013999999998</v>
      </c>
      <c r="S743" s="45">
        <f>(R743/O743)^(1/3)-1</f>
        <v>3.9553832807737166E-5</v>
      </c>
      <c r="T743" s="46"/>
      <c r="U743" s="48" t="str">
        <f>D743</f>
        <v>US$41.3</v>
      </c>
      <c r="V743" s="44" t="str">
        <f>C743</f>
        <v>Verizon</v>
      </c>
      <c r="BF743" s="39"/>
      <c r="BG743" s="39"/>
      <c r="BH743" s="39"/>
      <c r="BI743" s="39"/>
      <c r="BJ743" s="39"/>
      <c r="BK743" s="39"/>
      <c r="BL743" s="39"/>
      <c r="BM743" s="39"/>
      <c r="BN743" s="39"/>
      <c r="BO743" s="39"/>
      <c r="BP743" s="39"/>
      <c r="BQ743" s="39"/>
      <c r="BR743" s="39"/>
      <c r="BS743" s="39"/>
      <c r="BT743" s="39"/>
      <c r="BU743" s="39"/>
      <c r="BV743" s="39"/>
      <c r="BW743" s="39"/>
      <c r="BX743" s="39"/>
      <c r="BY743" s="39"/>
      <c r="BZ743" s="39"/>
      <c r="CA743" s="39"/>
      <c r="CB743" s="39"/>
      <c r="CC743" s="39"/>
      <c r="CD743" s="39"/>
      <c r="CE743" s="39"/>
      <c r="CF743" s="39"/>
      <c r="CG743" s="39"/>
      <c r="CH743" s="39"/>
      <c r="CI743" s="39"/>
      <c r="CJ743" s="39"/>
      <c r="CK743" s="39"/>
      <c r="CL743" s="39"/>
      <c r="CM743" s="39"/>
      <c r="CN743" s="39"/>
      <c r="CO743" s="39"/>
      <c r="CP743" s="39"/>
      <c r="CQ743" s="39"/>
      <c r="CR743" s="39"/>
      <c r="CS743" s="39"/>
      <c r="CT743" s="39"/>
      <c r="CU743" s="39"/>
      <c r="CV743" s="39"/>
      <c r="CW743" s="39"/>
      <c r="CX743" s="39"/>
      <c r="CY743" s="39"/>
      <c r="CZ743" s="39"/>
      <c r="DA743" s="39"/>
      <c r="DB743" s="39"/>
      <c r="DC743" s="39"/>
      <c r="DD743" s="39"/>
      <c r="DE743" s="39"/>
      <c r="DF743" s="39"/>
      <c r="DG743" s="39"/>
      <c r="DH743" s="39"/>
      <c r="DI743" s="39"/>
    </row>
    <row r="744" spans="1:113">
      <c r="A744" s="41"/>
      <c r="C744" s="51" t="s">
        <v>257</v>
      </c>
      <c r="D744" s="52"/>
      <c r="E744" s="52"/>
      <c r="F744" s="53"/>
      <c r="G744" s="52"/>
      <c r="H744" s="46"/>
      <c r="I744" s="54">
        <f>'US TELCO'!D$18/1000</f>
        <v>903.34983351017001</v>
      </c>
      <c r="J744" s="54">
        <f>'US TELCO'!E$18/1000</f>
        <v>855.40499931837417</v>
      </c>
      <c r="K744" s="54">
        <f>'US TELCO'!F$18/1000</f>
        <v>798.42135256393533</v>
      </c>
      <c r="L744" s="54">
        <f>'US TELCO'!G$18/1000</f>
        <v>741.58860907843052</v>
      </c>
      <c r="M744" s="55">
        <f>(L744/I744)^(1/3)-1</f>
        <v>-6.3655435303491936E-2</v>
      </c>
      <c r="N744" s="46"/>
      <c r="O744" s="54">
        <f>'US TELCO'!L$26/1000</f>
        <v>591.17983351016994</v>
      </c>
      <c r="P744" s="54">
        <f>'US TELCO'!M$26/1000</f>
        <v>575.21723046077227</v>
      </c>
      <c r="Q744" s="54">
        <f>'US TELCO'!N$26/1000</f>
        <v>553.36739327537146</v>
      </c>
      <c r="R744" s="54">
        <f>'US TELCO'!O$26/1000</f>
        <v>533.17748132349334</v>
      </c>
      <c r="S744" s="55">
        <f>(R744/O744)^(1/3)-1</f>
        <v>-3.3836271439161902E-2</v>
      </c>
      <c r="T744" s="46"/>
      <c r="U744" s="57"/>
      <c r="V744" s="58" t="str">
        <f>C744</f>
        <v>Agg. US Telecoms</v>
      </c>
      <c r="BF744" s="39"/>
      <c r="BG744" s="39"/>
      <c r="BH744" s="39"/>
      <c r="BI744" s="39"/>
      <c r="BJ744" s="39"/>
      <c r="BK744" s="39"/>
      <c r="BL744" s="39"/>
      <c r="BM744" s="39"/>
      <c r="BN744" s="39"/>
      <c r="BO744" s="39"/>
      <c r="BP744" s="39"/>
      <c r="BQ744" s="39"/>
      <c r="BR744" s="39"/>
      <c r="BS744" s="39"/>
      <c r="BT744" s="39"/>
      <c r="BU744" s="39"/>
      <c r="BV744" s="39"/>
      <c r="BW744" s="39"/>
      <c r="BX744" s="39"/>
      <c r="BY744" s="39"/>
      <c r="BZ744" s="39"/>
      <c r="CA744" s="39"/>
      <c r="CB744" s="39"/>
      <c r="CC744" s="39"/>
      <c r="CD744" s="39"/>
      <c r="CE744" s="39"/>
      <c r="CF744" s="39"/>
      <c r="CG744" s="39"/>
      <c r="CH744" s="39"/>
      <c r="CI744" s="39"/>
      <c r="CJ744" s="39"/>
      <c r="CK744" s="39"/>
      <c r="CL744" s="39"/>
      <c r="CM744" s="39"/>
      <c r="CN744" s="39"/>
      <c r="CO744" s="39"/>
      <c r="CP744" s="39"/>
      <c r="CQ744" s="39"/>
      <c r="CR744" s="39"/>
      <c r="CS744" s="39"/>
      <c r="CT744" s="39"/>
      <c r="CU744" s="39"/>
      <c r="CV744" s="39"/>
      <c r="CW744" s="39"/>
      <c r="CX744" s="39"/>
      <c r="CY744" s="39"/>
      <c r="CZ744" s="39"/>
      <c r="DA744" s="39"/>
      <c r="DB744" s="39"/>
      <c r="DC744" s="39"/>
      <c r="DD744" s="39"/>
      <c r="DE744" s="39"/>
      <c r="DF744" s="39"/>
      <c r="DG744" s="39"/>
      <c r="DH744" s="39"/>
      <c r="DI744" s="39"/>
    </row>
    <row r="745" spans="1:113">
      <c r="A745" s="41"/>
      <c r="C745" s="48"/>
      <c r="D745" s="44"/>
      <c r="E745" s="44"/>
      <c r="F745" s="45"/>
      <c r="G745" s="44"/>
      <c r="H745" s="46"/>
      <c r="I745" s="47"/>
      <c r="J745" s="47"/>
      <c r="K745" s="47"/>
      <c r="L745" s="47"/>
      <c r="M745" s="45"/>
      <c r="N745" s="46"/>
      <c r="O745" s="47"/>
      <c r="P745" s="47"/>
      <c r="Q745" s="47"/>
      <c r="R745" s="47"/>
      <c r="S745" s="45"/>
      <c r="T745" s="46"/>
      <c r="U745" s="48"/>
      <c r="V745" s="44"/>
      <c r="BF745" s="39"/>
      <c r="BG745" s="39"/>
      <c r="BH745" s="39"/>
      <c r="BI745" s="39"/>
      <c r="BJ745" s="39"/>
      <c r="BK745" s="39"/>
      <c r="BL745" s="39"/>
      <c r="BM745" s="39"/>
      <c r="BN745" s="39"/>
      <c r="BO745" s="39"/>
      <c r="BP745" s="39"/>
      <c r="BQ745" s="39"/>
      <c r="BR745" s="39"/>
      <c r="BS745" s="39"/>
      <c r="BT745" s="39"/>
      <c r="BU745" s="39"/>
      <c r="BV745" s="39"/>
      <c r="BW745" s="39"/>
      <c r="BX745" s="39"/>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row>
    <row r="746" spans="1:113">
      <c r="A746" s="41"/>
      <c r="C746" s="48" t="str">
        <f t="shared" ref="C746:G749" si="187">C686</f>
        <v>NTT</v>
      </c>
      <c r="D746" s="44" t="str">
        <f t="shared" si="187"/>
        <v>JPY 156</v>
      </c>
      <c r="E746" s="44" t="str">
        <f t="shared" si="187"/>
        <v>JPY 240</v>
      </c>
      <c r="F746" s="45">
        <f t="shared" si="187"/>
        <v>0.54340836012861726</v>
      </c>
      <c r="G746" s="44" t="str">
        <f t="shared" si="187"/>
        <v>Buy</v>
      </c>
      <c r="H746" s="46"/>
      <c r="I746" s="47">
        <f>NTT!$D$18/Prices!$C$161</f>
        <v>163.47173329545873</v>
      </c>
      <c r="J746" s="47">
        <f>NTT!$E$18/Prices!$C$161</f>
        <v>161.45095108041312</v>
      </c>
      <c r="K746" s="47">
        <f>NTT!$F$18/Prices!$C$161</f>
        <v>155.34442421838867</v>
      </c>
      <c r="L746" s="47">
        <f>NTT!$G$18/Prices!$C$161</f>
        <v>148.86987074604261</v>
      </c>
      <c r="M746" s="45">
        <f t="shared" ref="M746:M750" si="188">(L746/I746)^(1/3)-1</f>
        <v>-3.0707807435253476E-2</v>
      </c>
      <c r="N746" s="46"/>
      <c r="O746" s="47">
        <f>NTT!L$26/Prices!$C$161</f>
        <v>91.581847624617041</v>
      </c>
      <c r="P746" s="47">
        <f>NTT!M$26/Prices!$C$161</f>
        <v>89.911291354337465</v>
      </c>
      <c r="Q746" s="47">
        <f>NTT!N$26/Prices!$C$161</f>
        <v>88.240735084057889</v>
      </c>
      <c r="R746" s="47">
        <f>NTT!O$26/Prices!$C$161</f>
        <v>86.570178813778313</v>
      </c>
      <c r="S746" s="45">
        <f t="shared" ref="S746:S750" si="189">(R746/O746)^(1/3)-1</f>
        <v>-1.8584367894405651E-2</v>
      </c>
      <c r="T746" s="46"/>
      <c r="U746" s="48" t="str">
        <f t="shared" ref="U746:V749" si="190">U686</f>
        <v>JPY 156</v>
      </c>
      <c r="V746" s="44" t="str">
        <f t="shared" si="190"/>
        <v>NTT</v>
      </c>
      <c r="X746" s="43"/>
      <c r="Y746" s="76"/>
      <c r="BF746" s="39"/>
      <c r="BG746" s="39"/>
      <c r="BH746" s="39"/>
      <c r="BI746" s="39"/>
      <c r="BJ746" s="39"/>
      <c r="BK746" s="39"/>
      <c r="BL746" s="39"/>
      <c r="BM746" s="39"/>
      <c r="BN746" s="39"/>
      <c r="BO746" s="39"/>
      <c r="BP746" s="39"/>
      <c r="BQ746" s="39"/>
      <c r="BR746" s="39"/>
      <c r="BS746" s="39"/>
      <c r="BT746" s="39"/>
      <c r="BU746" s="39"/>
      <c r="BV746" s="39"/>
      <c r="BW746" s="39"/>
      <c r="BX746" s="39"/>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row>
    <row r="747" spans="1:113">
      <c r="A747" s="41"/>
      <c r="C747" s="48" t="str">
        <f t="shared" si="187"/>
        <v>Spark NZ</v>
      </c>
      <c r="D747" s="44" t="str">
        <f t="shared" si="187"/>
        <v>NZD 3.52</v>
      </c>
      <c r="E747" s="44" t="str">
        <f t="shared" si="187"/>
        <v>NZD 5.00</v>
      </c>
      <c r="F747" s="45">
        <f t="shared" si="187"/>
        <v>0.42045454545454541</v>
      </c>
      <c r="G747" s="44" t="str">
        <f t="shared" si="187"/>
        <v>Neutral</v>
      </c>
      <c r="H747" s="46"/>
      <c r="I747" s="47">
        <f>SPK!D$18/1000*Prices!$C$167</f>
        <v>44.850484508017068</v>
      </c>
      <c r="J747" s="47">
        <f>SPK!E$18/1000*Prices!$C$167</f>
        <v>40.959630906943168</v>
      </c>
      <c r="K747" s="47">
        <f>SPK!F$18/1000*Prices!$C$167</f>
        <v>37.067944477769181</v>
      </c>
      <c r="L747" s="47">
        <f>SPK!G$18/1000*Prices!$C$167</f>
        <v>33.015394018273554</v>
      </c>
      <c r="M747" s="45">
        <f t="shared" si="188"/>
        <v>-9.7078941777830163E-2</v>
      </c>
      <c r="N747" s="46"/>
      <c r="O747" s="47">
        <f>SPK!L$26/1000*Prices!$C$167</f>
        <v>50.494055016266095</v>
      </c>
      <c r="P747" s="47">
        <f>SPK!M$26/1000*Prices!$C$167</f>
        <v>50.574209678524625</v>
      </c>
      <c r="Q747" s="47">
        <f>SPK!N$26/1000*Prices!$C$167</f>
        <v>50.657793040563163</v>
      </c>
      <c r="R747" s="47">
        <f>SPK!O$26/1000*Prices!$C$167</f>
        <v>50.744805102381697</v>
      </c>
      <c r="S747" s="45">
        <f t="shared" si="189"/>
        <v>1.6525784273671018E-3</v>
      </c>
      <c r="T747" s="46"/>
      <c r="U747" s="48" t="str">
        <f t="shared" si="190"/>
        <v>NZD 3.52</v>
      </c>
      <c r="V747" s="44" t="str">
        <f t="shared" si="190"/>
        <v>Spark NZ</v>
      </c>
      <c r="X747" s="43"/>
      <c r="Y747" s="76"/>
      <c r="BF747" s="39"/>
      <c r="BG747" s="39"/>
      <c r="BH747" s="39"/>
      <c r="BI747" s="39"/>
      <c r="BJ747" s="39"/>
      <c r="BK747" s="39"/>
      <c r="BL747" s="39"/>
      <c r="BM747" s="39"/>
      <c r="BN747" s="39"/>
      <c r="BO747" s="39"/>
      <c r="BP747" s="39"/>
      <c r="BQ747" s="39"/>
      <c r="BR747" s="39"/>
      <c r="BS747" s="39"/>
      <c r="BT747" s="39"/>
      <c r="BU747" s="39"/>
      <c r="BV747" s="39"/>
      <c r="BW747" s="39"/>
      <c r="BX747" s="39"/>
      <c r="BY747" s="39"/>
      <c r="BZ747" s="39"/>
      <c r="CA747" s="39"/>
      <c r="CB747" s="39"/>
      <c r="CC747" s="39"/>
      <c r="CD747" s="39"/>
      <c r="CE747" s="39"/>
      <c r="CF747" s="39"/>
      <c r="CG747" s="39"/>
      <c r="CH747" s="39"/>
      <c r="CI747" s="39"/>
      <c r="CJ747" s="39"/>
      <c r="CK747" s="39"/>
      <c r="CL747" s="39"/>
      <c r="CM747" s="39"/>
      <c r="CN747" s="39"/>
      <c r="CO747" s="39"/>
      <c r="CP747" s="39"/>
      <c r="CQ747" s="39"/>
      <c r="CR747" s="39"/>
      <c r="CS747" s="39"/>
      <c r="CT747" s="39"/>
      <c r="CU747" s="39"/>
      <c r="CV747" s="39"/>
      <c r="CW747" s="39"/>
      <c r="CX747" s="39"/>
      <c r="CY747" s="39"/>
      <c r="CZ747" s="39"/>
      <c r="DA747" s="39"/>
      <c r="DB747" s="39"/>
      <c r="DC747" s="39"/>
      <c r="DD747" s="39"/>
      <c r="DE747" s="39"/>
      <c r="DF747" s="39"/>
      <c r="DG747" s="39"/>
      <c r="DH747" s="39"/>
      <c r="DI747" s="39"/>
    </row>
    <row r="748" spans="1:113">
      <c r="A748" s="41"/>
      <c r="C748" s="48" t="str">
        <f t="shared" si="187"/>
        <v>SingTel</v>
      </c>
      <c r="D748" s="44" t="str">
        <f t="shared" si="187"/>
        <v>SGD 3.13</v>
      </c>
      <c r="E748" s="44" t="str">
        <f t="shared" si="187"/>
        <v>SGD 4.60</v>
      </c>
      <c r="F748" s="45">
        <f t="shared" si="187"/>
        <v>0.46964856230031948</v>
      </c>
      <c r="G748" s="44" t="str">
        <f t="shared" si="187"/>
        <v>Buy</v>
      </c>
      <c r="H748" s="46"/>
      <c r="I748" s="47">
        <f>SINGTEL!D$18/Prices!$C$176/1000</f>
        <v>44.101920564661135</v>
      </c>
      <c r="J748" s="47">
        <f>SINGTEL!E$18/Prices!$C$176/1000</f>
        <v>46.691718136750715</v>
      </c>
      <c r="K748" s="47">
        <f>SINGTEL!F$18/Prices!$C$176/1000</f>
        <v>44.711245957461081</v>
      </c>
      <c r="L748" s="47">
        <f>SINGTEL!G$18/Prices!$C$176/1000</f>
        <v>42.517370635460772</v>
      </c>
      <c r="M748" s="45">
        <f t="shared" si="188"/>
        <v>-1.2122792456318199E-2</v>
      </c>
      <c r="N748" s="46"/>
      <c r="O748" s="47">
        <f>SINGTEL!L$26/Prices!$C$176/1000</f>
        <v>92.644807916549979</v>
      </c>
      <c r="P748" s="47">
        <f>SINGTEL!M$26/Prices!$C$176/1000</f>
        <v>93.922645729179848</v>
      </c>
      <c r="Q748" s="47">
        <f>SINGTEL!N$26/Prices!$C$176/1000</f>
        <v>90.387507828561283</v>
      </c>
      <c r="R748" s="47">
        <f>SINGTEL!O$26/Prices!$C$176/1000</f>
        <v>86.317182421270743</v>
      </c>
      <c r="S748" s="45">
        <f t="shared" si="189"/>
        <v>-2.3305541939396046E-2</v>
      </c>
      <c r="T748" s="46"/>
      <c r="U748" s="48" t="str">
        <f t="shared" si="190"/>
        <v>SGD 3.13</v>
      </c>
      <c r="V748" s="44" t="str">
        <f t="shared" si="190"/>
        <v>SingTel</v>
      </c>
      <c r="X748" s="43"/>
      <c r="Y748" s="76"/>
      <c r="BF748" s="39"/>
      <c r="BG748" s="39"/>
      <c r="BH748" s="39"/>
      <c r="BI748" s="39"/>
      <c r="BJ748" s="39"/>
      <c r="BK748" s="39"/>
      <c r="BL748" s="39"/>
      <c r="BM748" s="39"/>
      <c r="BN748" s="39"/>
      <c r="BO748" s="39"/>
      <c r="BP748" s="39"/>
      <c r="BQ748" s="39"/>
      <c r="BR748" s="39"/>
      <c r="BS748" s="39"/>
      <c r="BT748" s="39"/>
      <c r="BU748" s="39"/>
      <c r="BV748" s="39"/>
      <c r="BW748" s="39"/>
      <c r="BX748" s="39"/>
      <c r="BY748" s="39"/>
      <c r="BZ748" s="39"/>
      <c r="CA748" s="39"/>
      <c r="CB748" s="39"/>
      <c r="CC748" s="39"/>
      <c r="CD748" s="39"/>
      <c r="CE748" s="39"/>
      <c r="CF748" s="39"/>
      <c r="CG748" s="39"/>
      <c r="CH748" s="39"/>
      <c r="CI748" s="39"/>
      <c r="CJ748" s="39"/>
      <c r="CK748" s="39"/>
      <c r="CL748" s="39"/>
      <c r="CM748" s="39"/>
      <c r="CN748" s="39"/>
      <c r="CO748" s="39"/>
      <c r="CP748" s="39"/>
      <c r="CQ748" s="39"/>
      <c r="CR748" s="39"/>
      <c r="CS748" s="39"/>
      <c r="CT748" s="39"/>
      <c r="CU748" s="39"/>
      <c r="CV748" s="39"/>
      <c r="CW748" s="39"/>
      <c r="CX748" s="39"/>
      <c r="CY748" s="39"/>
      <c r="CZ748" s="39"/>
      <c r="DA748" s="39"/>
      <c r="DB748" s="39"/>
      <c r="DC748" s="39"/>
      <c r="DD748" s="39"/>
      <c r="DE748" s="39"/>
      <c r="DF748" s="39"/>
      <c r="DG748" s="39"/>
      <c r="DH748" s="39"/>
      <c r="DI748" s="39"/>
    </row>
    <row r="749" spans="1:113">
      <c r="A749" s="41"/>
      <c r="C749" s="48" t="str">
        <f t="shared" si="187"/>
        <v xml:space="preserve">Telstra </v>
      </c>
      <c r="D749" s="44" t="str">
        <f t="shared" si="187"/>
        <v>AUD 3.93</v>
      </c>
      <c r="E749" s="44" t="str">
        <f t="shared" si="187"/>
        <v>AUD 3.50</v>
      </c>
      <c r="F749" s="45">
        <f t="shared" si="187"/>
        <v>-0.10941475826972014</v>
      </c>
      <c r="G749" s="44" t="str">
        <f t="shared" si="187"/>
        <v>Buy</v>
      </c>
      <c r="H749" s="46"/>
      <c r="I749" s="47">
        <f>TLS!D18/1000/Prices!$C$168</f>
        <v>35.824158412902605</v>
      </c>
      <c r="J749" s="47">
        <f>TLS!E18/1000/Prices!$C$168</f>
        <v>33.143863798864672</v>
      </c>
      <c r="K749" s="47">
        <f>TLS!F18/1000/Prices!$C$168</f>
        <v>31.115797706464043</v>
      </c>
      <c r="L749" s="47">
        <f>TLS!G18/1000/Prices!$C$168</f>
        <v>28.988190425015155</v>
      </c>
      <c r="M749" s="45">
        <f t="shared" si="188"/>
        <v>-6.8144936044238991E-2</v>
      </c>
      <c r="N749" s="46"/>
      <c r="O749" s="47">
        <f>TLS!L26/1000/Prices!$C$168</f>
        <v>31.502804458203904</v>
      </c>
      <c r="P749" s="47">
        <f>TLS!M26/1000/Prices!$C$168</f>
        <v>31.502804458203904</v>
      </c>
      <c r="Q749" s="47">
        <f>TLS!N26/1000/Prices!$C$168</f>
        <v>31.502804458203904</v>
      </c>
      <c r="R749" s="47">
        <f>TLS!O26/1000/Prices!$C$168</f>
        <v>31.502804458203904</v>
      </c>
      <c r="S749" s="45">
        <f t="shared" si="189"/>
        <v>0</v>
      </c>
      <c r="T749" s="46"/>
      <c r="U749" s="48" t="str">
        <f t="shared" si="190"/>
        <v>AUD 3.93</v>
      </c>
      <c r="V749" s="44" t="str">
        <f t="shared" si="190"/>
        <v>Telstra</v>
      </c>
      <c r="X749" s="43"/>
      <c r="Y749" s="76"/>
      <c r="BF749" s="39"/>
      <c r="BG749" s="39"/>
      <c r="BH749" s="39"/>
      <c r="BI749" s="39"/>
      <c r="BJ749" s="39"/>
      <c r="BK749" s="39"/>
      <c r="BL749" s="39"/>
      <c r="BM749" s="39"/>
      <c r="BN749" s="39"/>
      <c r="BO749" s="39"/>
      <c r="BP749" s="39"/>
      <c r="BQ749" s="39"/>
      <c r="BR749" s="39"/>
      <c r="BS749" s="39"/>
      <c r="BT749" s="39"/>
      <c r="BU749" s="39"/>
      <c r="BV749" s="39"/>
      <c r="BW749" s="39"/>
      <c r="BX749" s="39"/>
      <c r="BY749" s="39"/>
      <c r="BZ749" s="39"/>
      <c r="CA749" s="39"/>
      <c r="CB749" s="39"/>
      <c r="CC749" s="39"/>
      <c r="CD749" s="39"/>
      <c r="CE749" s="39"/>
      <c r="CF749" s="39"/>
      <c r="CG749" s="39"/>
      <c r="CH749" s="39"/>
      <c r="CI749" s="39"/>
      <c r="CJ749" s="39"/>
      <c r="CK749" s="39"/>
      <c r="CL749" s="39"/>
      <c r="CM749" s="39"/>
      <c r="CN749" s="39"/>
      <c r="CO749" s="39"/>
      <c r="CP749" s="39"/>
      <c r="CQ749" s="39"/>
      <c r="CR749" s="39"/>
      <c r="CS749" s="39"/>
      <c r="CT749" s="39"/>
      <c r="CU749" s="39"/>
      <c r="CV749" s="39"/>
      <c r="CW749" s="39"/>
      <c r="CX749" s="39"/>
      <c r="CY749" s="39"/>
      <c r="CZ749" s="39"/>
      <c r="DA749" s="39"/>
      <c r="DB749" s="39"/>
      <c r="DC749" s="39"/>
      <c r="DD749" s="39"/>
      <c r="DE749" s="39"/>
      <c r="DF749" s="39"/>
      <c r="DG749" s="39"/>
      <c r="DH749" s="39"/>
      <c r="DI749" s="39"/>
    </row>
    <row r="750" spans="1:113">
      <c r="A750" s="41"/>
      <c r="C750" s="51" t="str">
        <f>C690</f>
        <v>Agg. Developed Asia Incumbent</v>
      </c>
      <c r="D750" s="58"/>
      <c r="E750" s="58"/>
      <c r="F750" s="55"/>
      <c r="G750" s="58"/>
      <c r="H750" s="56"/>
      <c r="I750" s="54">
        <f>'DM ASIA INCUMB'!D$18/1000</f>
        <v>252.63621460597815</v>
      </c>
      <c r="J750" s="54">
        <f>'DM ASIA INCUMB'!$E$18/1000</f>
        <v>249.72348868949658</v>
      </c>
      <c r="K750" s="54">
        <f>'DM ASIA INCUMB'!$F$18/1000</f>
        <v>238.80680534851399</v>
      </c>
      <c r="L750" s="54">
        <f>'DM ASIA INCUMB'!$G$18/1000</f>
        <v>227.17601593548926</v>
      </c>
      <c r="M750" s="55">
        <f t="shared" si="188"/>
        <v>-3.4788936730180908E-2</v>
      </c>
      <c r="N750" s="56"/>
      <c r="O750" s="54">
        <f>'DM ASIA INCUMB'!L$26/1000</f>
        <v>226.13033751005378</v>
      </c>
      <c r="P750" s="54">
        <f>'DM ASIA INCUMB'!M$26/1000</f>
        <v>225.75412948761851</v>
      </c>
      <c r="Q750" s="54">
        <f>'DM ASIA INCUMB'!N$26/1000</f>
        <v>220.56565200312463</v>
      </c>
      <c r="R750" s="54">
        <f>'DM ASIA INCUMB'!O$26/1000</f>
        <v>214.84269326314853</v>
      </c>
      <c r="S750" s="55">
        <f t="shared" si="189"/>
        <v>-1.6923640898703907E-2</v>
      </c>
      <c r="T750" s="56"/>
      <c r="U750" s="51"/>
      <c r="V750" s="58" t="str">
        <f>V690</f>
        <v xml:space="preserve">Agg. Developed Asia Incumbent </v>
      </c>
      <c r="BF750" s="39"/>
      <c r="BG750" s="39"/>
      <c r="BH750" s="39"/>
      <c r="BI750" s="39"/>
      <c r="BJ750" s="39"/>
      <c r="BK750" s="39"/>
      <c r="BL750" s="39"/>
      <c r="BM750" s="39"/>
      <c r="BN750" s="39"/>
      <c r="BO750" s="39"/>
      <c r="BP750" s="39"/>
      <c r="BQ750" s="39"/>
      <c r="BR750" s="39"/>
      <c r="BS750" s="39"/>
      <c r="BT750" s="39"/>
      <c r="BU750" s="39"/>
      <c r="BV750" s="39"/>
      <c r="BW750" s="39"/>
      <c r="BX750" s="39"/>
      <c r="BY750" s="39"/>
      <c r="BZ750" s="39"/>
      <c r="CA750" s="39"/>
      <c r="CB750" s="39"/>
      <c r="CC750" s="39"/>
      <c r="CD750" s="39"/>
      <c r="CE750" s="39"/>
      <c r="CF750" s="39"/>
      <c r="CG750" s="39"/>
      <c r="CH750" s="39"/>
      <c r="CI750" s="39"/>
      <c r="CJ750" s="39"/>
      <c r="CK750" s="39"/>
      <c r="CL750" s="39"/>
      <c r="CM750" s="39"/>
      <c r="CN750" s="39"/>
      <c r="CO750" s="39"/>
      <c r="CP750" s="39"/>
      <c r="CQ750" s="39"/>
      <c r="CR750" s="39"/>
      <c r="CS750" s="39"/>
      <c r="CT750" s="39"/>
      <c r="CU750" s="39"/>
      <c r="CV750" s="39"/>
      <c r="CW750" s="39"/>
      <c r="CX750" s="39"/>
      <c r="CY750" s="39"/>
      <c r="CZ750" s="39"/>
      <c r="DA750" s="39"/>
      <c r="DB750" s="39"/>
      <c r="DC750" s="39"/>
      <c r="DD750" s="39"/>
      <c r="DE750" s="39"/>
      <c r="DF750" s="39"/>
      <c r="DG750" s="39"/>
      <c r="DH750" s="39"/>
      <c r="DI750" s="39"/>
    </row>
    <row r="751" spans="1:113">
      <c r="A751" s="41"/>
      <c r="C751" s="43"/>
      <c r="D751" s="50"/>
      <c r="E751" s="50"/>
      <c r="F751" s="61"/>
      <c r="G751" s="50"/>
      <c r="H751" s="56"/>
      <c r="I751" s="62"/>
      <c r="J751" s="62"/>
      <c r="K751" s="62"/>
      <c r="L751" s="62"/>
      <c r="M751" s="61"/>
      <c r="N751" s="56"/>
      <c r="O751" s="62"/>
      <c r="P751" s="62"/>
      <c r="Q751" s="62"/>
      <c r="R751" s="62"/>
      <c r="S751" s="61"/>
      <c r="T751" s="56"/>
      <c r="U751" s="43"/>
      <c r="V751" s="50"/>
      <c r="BF751" s="39"/>
      <c r="BG751" s="39"/>
      <c r="BH751" s="39"/>
      <c r="BI751" s="39"/>
      <c r="BJ751" s="39"/>
      <c r="BK751" s="39"/>
      <c r="BL751" s="39"/>
      <c r="BM751" s="39"/>
      <c r="BN751" s="39"/>
      <c r="BO751" s="39"/>
      <c r="BP751" s="39"/>
      <c r="BQ751" s="39"/>
      <c r="BR751" s="39"/>
      <c r="BS751" s="39"/>
      <c r="BT751" s="39"/>
      <c r="BU751" s="39"/>
      <c r="BV751" s="39"/>
      <c r="BW751" s="39"/>
      <c r="BX751" s="39"/>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row>
    <row r="752" spans="1:113">
      <c r="A752" s="41"/>
      <c r="C752" s="51" t="s">
        <v>857</v>
      </c>
      <c r="D752" s="58"/>
      <c r="E752" s="58"/>
      <c r="F752" s="55"/>
      <c r="G752" s="58"/>
      <c r="H752" s="56"/>
      <c r="I752" s="54">
        <f>'AGG DM INCUMB'!D$18/1000</f>
        <v>1877.7898528734365</v>
      </c>
      <c r="J752" s="54">
        <f>'AGG DM INCUMB'!$E$18/1000</f>
        <v>1812.0431459478893</v>
      </c>
      <c r="K752" s="54">
        <f>'AGG DM INCUMB'!$F$18/1000</f>
        <v>1726.5931461157898</v>
      </c>
      <c r="L752" s="54">
        <f>'AGG DM INCUMB'!$G$18/1000</f>
        <v>1642.3493255853152</v>
      </c>
      <c r="M752" s="55">
        <f>(L752/I752)^(1/3)-1</f>
        <v>-4.3673516451210426E-2</v>
      </c>
      <c r="N752" s="56"/>
      <c r="O752" s="54">
        <f>'AGG DM INCUMB'!L$26/1000</f>
        <v>1162.7771398214088</v>
      </c>
      <c r="P752" s="54">
        <f>'AGG DM INCUMB'!M$26/1000</f>
        <v>1143.2021726879202</v>
      </c>
      <c r="Q752" s="54">
        <f>'AGG DM INCUMB'!N$26/1000</f>
        <v>1115.5361083812393</v>
      </c>
      <c r="R752" s="54">
        <f>'AGG DM INCUMB'!O$26/1000</f>
        <v>1085.9891797104333</v>
      </c>
      <c r="S752" s="55">
        <f>(R752/O752)^(1/3)-1</f>
        <v>-2.2515969129772828E-2</v>
      </c>
      <c r="T752" s="56"/>
      <c r="U752" s="51"/>
      <c r="V752" s="58" t="str">
        <f>C752</f>
        <v>Agg. DM Incumbent total</v>
      </c>
      <c r="BF752" s="39"/>
      <c r="BG752" s="39"/>
      <c r="BH752" s="39"/>
      <c r="BI752" s="39"/>
      <c r="BJ752" s="39"/>
      <c r="BK752" s="39"/>
      <c r="BL752" s="39"/>
      <c r="BM752" s="39"/>
      <c r="BN752" s="39"/>
      <c r="BO752" s="39"/>
      <c r="BP752" s="39"/>
      <c r="BQ752" s="39"/>
      <c r="BR752" s="39"/>
      <c r="BS752" s="39"/>
      <c r="BT752" s="39"/>
      <c r="BU752" s="39"/>
      <c r="BV752" s="39"/>
      <c r="BW752" s="39"/>
      <c r="BX752" s="39"/>
      <c r="BY752" s="39"/>
      <c r="BZ752" s="39"/>
      <c r="CA752" s="39"/>
      <c r="CB752" s="39"/>
      <c r="CC752" s="39"/>
      <c r="CD752" s="39"/>
      <c r="CE752" s="39"/>
      <c r="CF752" s="39"/>
      <c r="CG752" s="39"/>
      <c r="CH752" s="39"/>
      <c r="CI752" s="39"/>
      <c r="CJ752" s="39"/>
      <c r="CK752" s="39"/>
      <c r="CL752" s="39"/>
      <c r="CM752" s="39"/>
      <c r="CN752" s="39"/>
      <c r="CO752" s="39"/>
      <c r="CP752" s="39"/>
      <c r="CQ752" s="39"/>
      <c r="CR752" s="39"/>
      <c r="CS752" s="39"/>
      <c r="CT752" s="39"/>
      <c r="CU752" s="39"/>
      <c r="CV752" s="39"/>
      <c r="CW752" s="39"/>
      <c r="CX752" s="39"/>
      <c r="CY752" s="39"/>
      <c r="CZ752" s="39"/>
      <c r="DA752" s="39"/>
      <c r="DB752" s="39"/>
      <c r="DC752" s="39"/>
      <c r="DD752" s="39"/>
      <c r="DE752" s="39"/>
      <c r="DF752" s="39"/>
      <c r="DG752" s="39"/>
      <c r="DH752" s="39"/>
      <c r="DI752" s="39"/>
    </row>
    <row r="753" spans="1:113">
      <c r="A753" s="41"/>
      <c r="C753" s="41"/>
      <c r="D753" s="44"/>
      <c r="E753" s="44"/>
      <c r="F753" s="45"/>
      <c r="G753" s="44"/>
      <c r="H753" s="46"/>
      <c r="I753" s="47"/>
      <c r="J753" s="47"/>
      <c r="K753" s="47"/>
      <c r="L753" s="47"/>
      <c r="M753" s="45"/>
      <c r="N753" s="46"/>
      <c r="O753" s="47"/>
      <c r="P753" s="47"/>
      <c r="Q753" s="47"/>
      <c r="R753" s="47"/>
      <c r="S753" s="45"/>
      <c r="T753" s="46"/>
      <c r="U753" s="48"/>
      <c r="V753" s="50"/>
      <c r="X753" s="43"/>
      <c r="Y753" s="76"/>
      <c r="BF753" s="39"/>
      <c r="BG753" s="39"/>
      <c r="BH753" s="39"/>
      <c r="BI753" s="39"/>
      <c r="BJ753" s="39"/>
      <c r="BK753" s="39"/>
      <c r="BL753" s="39"/>
      <c r="BM753" s="39"/>
      <c r="BN753" s="39"/>
      <c r="BO753" s="39"/>
      <c r="BP753" s="39"/>
      <c r="BQ753" s="39"/>
      <c r="BR753" s="39"/>
      <c r="BS753" s="39"/>
      <c r="BT753" s="39"/>
      <c r="BU753" s="39"/>
      <c r="BV753" s="39"/>
      <c r="BW753" s="39"/>
      <c r="BX753" s="39"/>
      <c r="BY753" s="39"/>
      <c r="BZ753" s="39"/>
      <c r="CA753" s="39"/>
      <c r="CB753" s="39"/>
      <c r="CC753" s="39"/>
      <c r="CD753" s="39"/>
      <c r="CE753" s="39"/>
      <c r="CF753" s="39"/>
      <c r="CG753" s="39"/>
      <c r="CH753" s="39"/>
      <c r="CI753" s="39"/>
      <c r="CJ753" s="39"/>
      <c r="CK753" s="39"/>
      <c r="CL753" s="39"/>
      <c r="CM753" s="39"/>
      <c r="CN753" s="39"/>
      <c r="CO753" s="39"/>
      <c r="CP753" s="39"/>
      <c r="CQ753" s="39"/>
      <c r="CR753" s="39"/>
      <c r="CS753" s="39"/>
      <c r="CT753" s="39"/>
      <c r="CU753" s="39"/>
      <c r="CV753" s="39"/>
      <c r="CW753" s="39"/>
      <c r="CX753" s="39"/>
      <c r="CY753" s="39"/>
      <c r="CZ753" s="39"/>
      <c r="DA753" s="39"/>
      <c r="DB753" s="39"/>
      <c r="DC753" s="39"/>
      <c r="DD753" s="39"/>
      <c r="DE753" s="39"/>
      <c r="DF753" s="39"/>
      <c r="DG753" s="39"/>
      <c r="DH753" s="39"/>
      <c r="DI753" s="39"/>
    </row>
    <row r="754" spans="1:113">
      <c r="A754" s="41" t="s">
        <v>1374</v>
      </c>
      <c r="C754" s="48" t="str">
        <f t="shared" ref="C754:G761" si="191">C694</f>
        <v>1&amp;1</v>
      </c>
      <c r="D754" s="44" t="str">
        <f t="shared" si="191"/>
        <v>EUR 14.0</v>
      </c>
      <c r="E754" s="44" t="str">
        <f t="shared" si="191"/>
        <v>EUR 26.0</v>
      </c>
      <c r="F754" s="45">
        <f t="shared" si="191"/>
        <v>0.85449358059914404</v>
      </c>
      <c r="G754" s="44" t="str">
        <f t="shared" si="191"/>
        <v>Buy</v>
      </c>
      <c r="H754" s="46"/>
      <c r="I754" s="47">
        <f>DRI!D$18/1000</f>
        <v>3.5286447092059801</v>
      </c>
      <c r="J754" s="47">
        <f>DRI!$E$18/1000</f>
        <v>3.8666167521781385</v>
      </c>
      <c r="K754" s="47">
        <f>DRI!$F$18/1000</f>
        <v>4.0368271395633473</v>
      </c>
      <c r="L754" s="47">
        <f>DRI!$G$18/1000</f>
        <v>4.0278693398275163</v>
      </c>
      <c r="M754" s="45">
        <f>(L754/I754)^(1/3)-1</f>
        <v>4.509510557956653E-2</v>
      </c>
      <c r="N754" s="46"/>
      <c r="O754" s="47">
        <f>DRI!L$26/1000</f>
        <v>3.7495427092059801</v>
      </c>
      <c r="P754" s="47">
        <f>DRI!M$26/1000</f>
        <v>3.7495427092059801</v>
      </c>
      <c r="Q754" s="47">
        <f>DRI!N$26/1000</f>
        <v>3.7447340668008948</v>
      </c>
      <c r="R754" s="47">
        <f>DRI!O$26/1000</f>
        <v>3.7396080539970735</v>
      </c>
      <c r="S754" s="45">
        <f>(R754/O754)^(1/3)-1</f>
        <v>-8.8396933423706692E-4</v>
      </c>
      <c r="T754" s="46"/>
      <c r="U754" s="48" t="str">
        <f t="shared" ref="U754:V760" si="192">U694</f>
        <v>EUR 14.0</v>
      </c>
      <c r="V754" s="44" t="str">
        <f t="shared" si="192"/>
        <v>1&amp;1</v>
      </c>
      <c r="X754" s="43"/>
      <c r="Y754" s="76"/>
      <c r="BF754" s="39"/>
      <c r="BG754" s="39"/>
      <c r="BH754" s="39"/>
      <c r="BI754" s="39"/>
      <c r="BJ754" s="39"/>
      <c r="BK754" s="39"/>
      <c r="BL754" s="39"/>
      <c r="BM754" s="39"/>
      <c r="BN754" s="39"/>
      <c r="BO754" s="39"/>
      <c r="BP754" s="39"/>
      <c r="BQ754" s="39"/>
      <c r="BR754" s="39"/>
      <c r="BS754" s="39"/>
      <c r="BT754" s="39"/>
      <c r="BU754" s="39"/>
      <c r="BV754" s="39"/>
      <c r="BW754" s="39"/>
      <c r="BX754" s="39"/>
      <c r="BY754" s="39"/>
      <c r="BZ754" s="39"/>
      <c r="CA754" s="39"/>
      <c r="CB754" s="39"/>
      <c r="CC754" s="39"/>
      <c r="CD754" s="39"/>
      <c r="CE754" s="39"/>
      <c r="CF754" s="39"/>
      <c r="CG754" s="39"/>
      <c r="CH754" s="39"/>
      <c r="CI754" s="39"/>
      <c r="CJ754" s="39"/>
      <c r="CK754" s="39"/>
      <c r="CL754" s="39"/>
      <c r="CM754" s="39"/>
      <c r="CN754" s="39"/>
      <c r="CO754" s="39"/>
      <c r="CP754" s="39"/>
      <c r="CQ754" s="39"/>
      <c r="CR754" s="39"/>
      <c r="CS754" s="39"/>
      <c r="CT754" s="39"/>
      <c r="CU754" s="39"/>
      <c r="CV754" s="39"/>
      <c r="CW754" s="39"/>
      <c r="CX754" s="39"/>
      <c r="CY754" s="39"/>
      <c r="CZ754" s="39"/>
      <c r="DA754" s="39"/>
      <c r="DB754" s="39"/>
      <c r="DC754" s="39"/>
      <c r="DD754" s="39"/>
      <c r="DE754" s="39"/>
      <c r="DF754" s="39"/>
      <c r="DG754" s="39"/>
      <c r="DH754" s="39"/>
      <c r="DI754" s="39"/>
    </row>
    <row r="755" spans="1:113">
      <c r="C755" s="48" t="str">
        <f t="shared" si="191"/>
        <v>Elisa</v>
      </c>
      <c r="D755" s="44" t="str">
        <f t="shared" si="191"/>
        <v>EUR 46.6</v>
      </c>
      <c r="E755" s="44" t="str">
        <f t="shared" si="191"/>
        <v>EUR 53.0</v>
      </c>
      <c r="F755" s="45">
        <f t="shared" si="191"/>
        <v>0.13831615120274909</v>
      </c>
      <c r="G755" s="44" t="str">
        <f t="shared" si="191"/>
        <v>Neutral</v>
      </c>
      <c r="H755" s="46"/>
      <c r="I755" s="47">
        <f>ELISA!$D$18/1000</f>
        <v>9.0696280019738769</v>
      </c>
      <c r="J755" s="47">
        <f>ELISA!$E$18/1000</f>
        <v>9.0828803916608205</v>
      </c>
      <c r="K755" s="47">
        <f>ELISA!$F$18/1000</f>
        <v>8.6782122791475498</v>
      </c>
      <c r="L755" s="47">
        <f>ELISA!$G$18/1000</f>
        <v>8.2592379314272328</v>
      </c>
      <c r="M755" s="45">
        <f t="shared" ref="M755:M762" si="193">(L755/I755)^(1/3)-1</f>
        <v>-3.071795565124491E-2</v>
      </c>
      <c r="N755" s="46"/>
      <c r="O755" s="47">
        <f>ELISA!L$26/1000</f>
        <v>7.7606024286638684</v>
      </c>
      <c r="P755" s="47">
        <f>ELISA!M$26/1000</f>
        <v>7.7606024286638684</v>
      </c>
      <c r="Q755" s="47">
        <f>ELISA!N$26/1000</f>
        <v>7.7606024286638684</v>
      </c>
      <c r="R755" s="47">
        <f>ELISA!O$26/1000</f>
        <v>7.4676847886399997</v>
      </c>
      <c r="S755" s="45">
        <f t="shared" ref="S755:S762" si="194">(R755/O755)^(1/3)-1</f>
        <v>-1.2743092772298459E-2</v>
      </c>
      <c r="T755" s="46"/>
      <c r="U755" s="48" t="str">
        <f t="shared" si="192"/>
        <v>EUR 46.6</v>
      </c>
      <c r="V755" s="44" t="str">
        <f t="shared" si="192"/>
        <v>Elisa</v>
      </c>
      <c r="X755" s="43"/>
      <c r="Y755" s="76"/>
      <c r="BF755" s="39"/>
      <c r="BG755" s="39"/>
      <c r="BH755" s="39"/>
      <c r="BI755" s="39"/>
      <c r="BJ755" s="39"/>
      <c r="BK755" s="39"/>
      <c r="BL755" s="39"/>
      <c r="BM755" s="39"/>
      <c r="BN755" s="39"/>
      <c r="BO755" s="39"/>
      <c r="BP755" s="39"/>
      <c r="BQ755" s="39"/>
      <c r="BR755" s="39"/>
      <c r="BS755" s="39"/>
      <c r="BT755" s="39"/>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39"/>
      <c r="DH755" s="39"/>
      <c r="DI755" s="39"/>
    </row>
    <row r="756" spans="1:113">
      <c r="A756" s="41"/>
      <c r="C756" s="48" t="str">
        <f t="shared" si="191"/>
        <v>Liberty Global (prop.)</v>
      </c>
      <c r="D756" s="44" t="str">
        <f t="shared" si="191"/>
        <v>USD 20.3</v>
      </c>
      <c r="E756" s="44" t="str">
        <f t="shared" si="191"/>
        <v>USD 23.0</v>
      </c>
      <c r="F756" s="45">
        <f t="shared" si="191"/>
        <v>0.13356333169048806</v>
      </c>
      <c r="G756" s="44" t="str">
        <f t="shared" si="191"/>
        <v>Neutral</v>
      </c>
      <c r="H756" s="46"/>
      <c r="I756" s="47">
        <f>LBTY!D$18/1000/Prices!$C$155</f>
        <v>10.957985211834961</v>
      </c>
      <c r="J756" s="47">
        <f>LBTY!E$18/1000/Prices!$C$155</f>
        <v>9.9533614265450741</v>
      </c>
      <c r="K756" s="47">
        <f>LBTY!F$18/1000/Prices!$C$155</f>
        <v>9.4911633323076945</v>
      </c>
      <c r="L756" s="47">
        <f>LBTY!G$18/1000/Prices!$C$155</f>
        <v>9.4252414871633192</v>
      </c>
      <c r="M756" s="45">
        <f>(L756/I756)^(1/3)-1</f>
        <v>-4.898523696959689E-2</v>
      </c>
      <c r="N756" s="46"/>
      <c r="O756" s="47">
        <f>LBTY!L$26/1000/Prices!$C$155</f>
        <v>8.8683034683490494</v>
      </c>
      <c r="P756" s="47">
        <f>LBTY!M$26/1000/Prices!$C$155</f>
        <v>8.2224553782600189</v>
      </c>
      <c r="Q756" s="47">
        <f>LBTY!N$26/1000/Prices!$C$155</f>
        <v>7.6412820808622497</v>
      </c>
      <c r="R756" s="47">
        <f>LBTY!O$26/1000/Prices!$C$155</f>
        <v>7.118316096886617</v>
      </c>
      <c r="S756" s="45">
        <f>(R756/O756)^(1/3)-1</f>
        <v>-7.0650846261575029E-2</v>
      </c>
      <c r="T756" s="46"/>
      <c r="U756" s="48" t="str">
        <f t="shared" si="192"/>
        <v>USD 20.3</v>
      </c>
      <c r="V756" s="44" t="str">
        <f t="shared" si="192"/>
        <v>Liberty Global</v>
      </c>
      <c r="X756" s="43"/>
      <c r="Y756" s="76"/>
      <c r="BF756" s="39"/>
      <c r="BG756" s="39"/>
      <c r="BH756" s="39"/>
      <c r="BI756" s="39"/>
      <c r="BJ756" s="39"/>
      <c r="BK756" s="39"/>
      <c r="BL756" s="39"/>
      <c r="BM756" s="39"/>
      <c r="BN756" s="39"/>
      <c r="BO756" s="39"/>
      <c r="BP756" s="39"/>
      <c r="BQ756" s="39"/>
      <c r="BR756" s="39"/>
      <c r="BS756" s="39"/>
      <c r="BT756" s="39"/>
      <c r="BU756" s="39"/>
      <c r="BV756" s="39"/>
      <c r="BW756" s="39"/>
      <c r="BX756" s="39"/>
      <c r="BY756" s="39"/>
      <c r="BZ756" s="39"/>
      <c r="CA756" s="39"/>
      <c r="CB756" s="39"/>
      <c r="CC756" s="39"/>
      <c r="CD756" s="39"/>
      <c r="CE756" s="39"/>
      <c r="CF756" s="39"/>
      <c r="CG756" s="39"/>
      <c r="CH756" s="39"/>
      <c r="CI756" s="39"/>
      <c r="CJ756" s="39"/>
      <c r="CK756" s="39"/>
      <c r="CL756" s="39"/>
      <c r="CM756" s="39"/>
      <c r="CN756" s="39"/>
      <c r="CO756" s="39"/>
      <c r="CP756" s="39"/>
      <c r="CQ756" s="39"/>
      <c r="CR756" s="39"/>
      <c r="CS756" s="39"/>
      <c r="CT756" s="39"/>
      <c r="CU756" s="39"/>
      <c r="CV756" s="39"/>
      <c r="CW756" s="39"/>
      <c r="CX756" s="39"/>
      <c r="CY756" s="39"/>
      <c r="CZ756" s="39"/>
      <c r="DA756" s="39"/>
      <c r="DB756" s="39"/>
      <c r="DC756" s="39"/>
      <c r="DD756" s="39"/>
      <c r="DE756" s="39"/>
      <c r="DF756" s="39"/>
      <c r="DG756" s="39"/>
      <c r="DH756" s="39"/>
      <c r="DI756" s="39"/>
    </row>
    <row r="757" spans="1:113">
      <c r="A757" s="41"/>
      <c r="C757" s="48" t="str">
        <f t="shared" si="191"/>
        <v>NOS</v>
      </c>
      <c r="D757" s="44" t="str">
        <f t="shared" si="191"/>
        <v>EUR 3.58</v>
      </c>
      <c r="E757" s="44" t="str">
        <f t="shared" si="191"/>
        <v>EUR 3.70</v>
      </c>
      <c r="F757" s="45">
        <f t="shared" si="191"/>
        <v>3.4965034965035002E-2</v>
      </c>
      <c r="G757" s="44" t="str">
        <f t="shared" si="191"/>
        <v>Neutral</v>
      </c>
      <c r="H757" s="46"/>
      <c r="I757" s="47">
        <f>NOS!$D$18/1000</f>
        <v>3.4277023260816506</v>
      </c>
      <c r="J757" s="47">
        <f>NOS!$E$18/1000</f>
        <v>3.4117710516334081</v>
      </c>
      <c r="K757" s="47">
        <f>NOS!$F$18/1000</f>
        <v>3.124719892614459</v>
      </c>
      <c r="L757" s="47">
        <f>NOS!$G$18/1000</f>
        <v>2.8023609076138167</v>
      </c>
      <c r="M757" s="45">
        <f>(L757/I757)^(1/3)-1</f>
        <v>-6.4938184688561718E-2</v>
      </c>
      <c r="N757" s="46"/>
      <c r="O757" s="47">
        <f>NOS!L$26/1000</f>
        <v>2.326454384255197</v>
      </c>
      <c r="P757" s="47">
        <f>NOS!M$26/1000</f>
        <v>2.2230121304395736</v>
      </c>
      <c r="Q757" s="47">
        <f>NOS!N$26/1000</f>
        <v>2.0732198092897733</v>
      </c>
      <c r="R757" s="47">
        <f>NOS!O$26/1000</f>
        <v>1.8345582326500001</v>
      </c>
      <c r="S757" s="45">
        <f>(R757/O757)^(1/3)-1</f>
        <v>-7.6126904437220477E-2</v>
      </c>
      <c r="T757" s="46"/>
      <c r="U757" s="48" t="str">
        <f t="shared" si="192"/>
        <v>EUR 3.58</v>
      </c>
      <c r="V757" s="44" t="str">
        <f t="shared" si="192"/>
        <v>NOS</v>
      </c>
      <c r="X757" s="43"/>
      <c r="Y757" s="76"/>
      <c r="BF757" s="39"/>
      <c r="BG757" s="39"/>
      <c r="BH757" s="39"/>
      <c r="BI757" s="39"/>
      <c r="BJ757" s="39"/>
      <c r="BK757" s="39"/>
      <c r="BL757" s="39"/>
      <c r="BM757" s="39"/>
      <c r="BN757" s="39"/>
      <c r="BO757" s="39"/>
      <c r="BP757" s="39"/>
      <c r="BQ757" s="39"/>
      <c r="BR757" s="39"/>
      <c r="BS757" s="39"/>
      <c r="BT757" s="39"/>
      <c r="BU757" s="39"/>
      <c r="BV757" s="39"/>
      <c r="BW757" s="39"/>
      <c r="BX757" s="39"/>
      <c r="BY757" s="39"/>
      <c r="BZ757" s="39"/>
      <c r="CA757" s="39"/>
      <c r="CB757" s="39"/>
      <c r="CC757" s="39"/>
      <c r="CD757" s="39"/>
      <c r="CE757" s="39"/>
      <c r="CF757" s="39"/>
      <c r="CG757" s="39"/>
      <c r="CH757" s="39"/>
      <c r="CI757" s="39"/>
      <c r="CJ757" s="39"/>
      <c r="CK757" s="39"/>
      <c r="CL757" s="39"/>
      <c r="CM757" s="39"/>
      <c r="CN757" s="39"/>
      <c r="CO757" s="39"/>
      <c r="CP757" s="39"/>
      <c r="CQ757" s="39"/>
      <c r="CR757" s="39"/>
      <c r="CS757" s="39"/>
      <c r="CT757" s="39"/>
      <c r="CU757" s="39"/>
      <c r="CV757" s="39"/>
      <c r="CW757" s="39"/>
      <c r="CX757" s="39"/>
      <c r="CY757" s="39"/>
      <c r="CZ757" s="39"/>
      <c r="DA757" s="39"/>
      <c r="DB757" s="39"/>
      <c r="DC757" s="39"/>
      <c r="DD757" s="39"/>
      <c r="DE757" s="39"/>
      <c r="DF757" s="39"/>
      <c r="DG757" s="39"/>
      <c r="DH757" s="39"/>
      <c r="DI757" s="39"/>
    </row>
    <row r="758" spans="1:113">
      <c r="C758" s="48" t="str">
        <f t="shared" si="191"/>
        <v>Orange Belgium</v>
      </c>
      <c r="D758" s="44" t="str">
        <f t="shared" si="191"/>
        <v>EUR 14.8</v>
      </c>
      <c r="E758" s="44" t="str">
        <f t="shared" si="191"/>
        <v>EUR 15.0</v>
      </c>
      <c r="F758" s="45">
        <f t="shared" si="191"/>
        <v>1.3513513513513375E-2</v>
      </c>
      <c r="G758" s="44" t="str">
        <f t="shared" si="191"/>
        <v>Neutral</v>
      </c>
      <c r="H758" s="46"/>
      <c r="I758" s="47">
        <f>OBEL!$D$18/1000</f>
        <v>3.2420636875395217</v>
      </c>
      <c r="J758" s="47">
        <f>OBEL!$E$18/1000</f>
        <v>3.1370774001505737</v>
      </c>
      <c r="K758" s="47">
        <f>OBEL!$F$18/1000</f>
        <v>3.0404006016081051</v>
      </c>
      <c r="L758" s="47">
        <f>OBEL!$G$18/1000</f>
        <v>2.934569480814063</v>
      </c>
      <c r="M758" s="45">
        <f t="shared" si="193"/>
        <v>-3.267082846876701E-2</v>
      </c>
      <c r="N758" s="46"/>
      <c r="O758" s="47">
        <f>OBEL!L$26/1000</f>
        <v>1.4515935452501896</v>
      </c>
      <c r="P758" s="47">
        <f>OBEL!M$26/1000</f>
        <v>1.4443689232276755</v>
      </c>
      <c r="Q758" s="47">
        <f>OBEL!N$26/1000</f>
        <v>1.3903937398268185</v>
      </c>
      <c r="R758" s="47">
        <f>OBEL!O$26/1000</f>
        <v>0.9882133272000001</v>
      </c>
      <c r="S758" s="45">
        <f t="shared" si="194"/>
        <v>-0.12029871559426375</v>
      </c>
      <c r="T758" s="46"/>
      <c r="U758" s="48" t="str">
        <f t="shared" si="192"/>
        <v>EUR 14.8</v>
      </c>
      <c r="V758" s="44" t="str">
        <f t="shared" si="192"/>
        <v>Mobistar</v>
      </c>
      <c r="X758" s="43"/>
      <c r="Y758" s="76"/>
      <c r="BF758" s="39"/>
      <c r="BG758" s="39"/>
      <c r="BH758" s="39"/>
      <c r="BI758" s="39"/>
      <c r="BJ758" s="39"/>
      <c r="BK758" s="39"/>
      <c r="BL758" s="39"/>
      <c r="BM758" s="39"/>
      <c r="BN758" s="39"/>
      <c r="BO758" s="39"/>
      <c r="BP758" s="39"/>
      <c r="BQ758" s="39"/>
      <c r="BR758" s="39"/>
      <c r="BS758" s="39"/>
      <c r="BT758" s="39"/>
      <c r="BU758" s="39"/>
      <c r="BV758" s="39"/>
      <c r="BW758" s="39"/>
      <c r="BX758" s="39"/>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row>
    <row r="759" spans="1:113">
      <c r="C759" s="48" t="str">
        <f t="shared" si="191"/>
        <v>Tele2</v>
      </c>
      <c r="D759" s="44" t="str">
        <f t="shared" si="191"/>
        <v>SEK 117.7</v>
      </c>
      <c r="E759" s="44" t="str">
        <f t="shared" si="191"/>
        <v>SEK 109.0</v>
      </c>
      <c r="F759" s="45">
        <f t="shared" si="191"/>
        <v>-7.3523161920951985E-2</v>
      </c>
      <c r="G759" s="44" t="str">
        <f t="shared" si="191"/>
        <v>Neutral</v>
      </c>
      <c r="H759" s="46"/>
      <c r="I759" s="47">
        <f>TELE2!D$18/1000/Prices!$F$158</f>
        <v>9.9850679835557816</v>
      </c>
      <c r="J759" s="47">
        <f>TELE2!E$18/1000/Prices!$F$158</f>
        <v>9.5807277852988744</v>
      </c>
      <c r="K759" s="47">
        <f>TELE2!F$18/1000/Prices!$F$158</f>
        <v>9.174636202690083</v>
      </c>
      <c r="L759" s="47">
        <f>TELE2!G$18/1000/Prices!$F$158</f>
        <v>8.7277925396854101</v>
      </c>
      <c r="M759" s="45">
        <f t="shared" si="193"/>
        <v>-4.3868126283677533E-2</v>
      </c>
      <c r="N759" s="46"/>
      <c r="O759" s="47">
        <f>TELE2!L$26/1000/Prices!$F$158</f>
        <v>7.7161778417865756</v>
      </c>
      <c r="P759" s="47">
        <f>TELE2!M$26/1000/Prices!$F$158</f>
        <v>7.7161778417865756</v>
      </c>
      <c r="Q759" s="47">
        <f>TELE2!N$26/1000/Prices!$F$158</f>
        <v>7.7161778417865756</v>
      </c>
      <c r="R759" s="47">
        <f>TELE2!O$26/1000/Prices!$F$158</f>
        <v>7.1722159054975529</v>
      </c>
      <c r="S759" s="45">
        <f t="shared" si="194"/>
        <v>-2.4073654729907412E-2</v>
      </c>
      <c r="T759" s="46"/>
      <c r="U759" s="48" t="str">
        <f t="shared" si="192"/>
        <v>SEK 117.7</v>
      </c>
      <c r="V759" s="44" t="str">
        <f t="shared" si="192"/>
        <v>Tele2</v>
      </c>
      <c r="X759" s="43"/>
      <c r="Y759" s="76"/>
      <c r="BF759" s="39"/>
      <c r="BG759" s="39"/>
      <c r="BH759" s="39"/>
      <c r="BI759" s="39"/>
      <c r="BJ759" s="39"/>
      <c r="BK759" s="39"/>
      <c r="BL759" s="39"/>
      <c r="BM759" s="39"/>
      <c r="BN759" s="39"/>
      <c r="BO759" s="39"/>
      <c r="BP759" s="39"/>
      <c r="BQ759" s="39"/>
      <c r="BR759" s="39"/>
      <c r="BS759" s="39"/>
      <c r="BT759" s="39"/>
      <c r="BU759" s="39"/>
      <c r="BV759" s="39"/>
      <c r="BW759" s="39"/>
      <c r="BX759" s="39"/>
      <c r="BY759" s="39"/>
      <c r="BZ759" s="39"/>
      <c r="CA759" s="39"/>
      <c r="CB759" s="39"/>
      <c r="CC759" s="39"/>
      <c r="CD759" s="39"/>
      <c r="CE759" s="39"/>
      <c r="CF759" s="39"/>
      <c r="CG759" s="39"/>
      <c r="CH759" s="39"/>
      <c r="CI759" s="39"/>
      <c r="CJ759" s="39"/>
      <c r="CK759" s="39"/>
      <c r="CL759" s="39"/>
      <c r="CM759" s="39"/>
      <c r="CN759" s="39"/>
      <c r="CO759" s="39"/>
      <c r="CP759" s="39"/>
      <c r="CQ759" s="39"/>
      <c r="CR759" s="39"/>
      <c r="CS759" s="39"/>
      <c r="CT759" s="39"/>
      <c r="CU759" s="39"/>
      <c r="CV759" s="39"/>
      <c r="CW759" s="39"/>
      <c r="CX759" s="39"/>
      <c r="CY759" s="39"/>
      <c r="CZ759" s="39"/>
      <c r="DA759" s="39"/>
      <c r="DB759" s="39"/>
      <c r="DC759" s="39"/>
      <c r="DD759" s="39"/>
      <c r="DE759" s="39"/>
      <c r="DF759" s="39"/>
      <c r="DG759" s="39"/>
      <c r="DH759" s="39"/>
      <c r="DI759" s="39"/>
    </row>
    <row r="760" spans="1:113">
      <c r="A760" s="41"/>
      <c r="C760" s="48" t="str">
        <f t="shared" si="191"/>
        <v>United Internet</v>
      </c>
      <c r="D760" s="44" t="str">
        <f t="shared" si="191"/>
        <v>EUR 19.1</v>
      </c>
      <c r="E760" s="44" t="str">
        <f t="shared" si="191"/>
        <v>EUR 28.0</v>
      </c>
      <c r="F760" s="45">
        <f t="shared" si="191"/>
        <v>0.46904512067156356</v>
      </c>
      <c r="G760" s="44" t="str">
        <f t="shared" si="191"/>
        <v>Buy</v>
      </c>
      <c r="H760" s="46"/>
      <c r="I760" s="47">
        <f>UTDI!D$18/1000</f>
        <v>9.2068792533497472</v>
      </c>
      <c r="J760" s="47">
        <f>UTDI!$E$18/1000</f>
        <v>9.8265521792150619</v>
      </c>
      <c r="K760" s="47">
        <f>UTDI!$F$18/1000</f>
        <v>10.011212820383868</v>
      </c>
      <c r="L760" s="47">
        <f>UTDI!$G$18/1000</f>
        <v>10.013404507034693</v>
      </c>
      <c r="M760" s="45">
        <f>(L760/I760)^(1/3)-1</f>
        <v>2.8386667670356136E-2</v>
      </c>
      <c r="N760" s="46"/>
      <c r="O760" s="47">
        <f>UTDI!L$26/1000</f>
        <v>4.5717002129259798</v>
      </c>
      <c r="P760" s="47">
        <f>UTDI!M$26/1000</f>
        <v>4.5717002129259798</v>
      </c>
      <c r="Q760" s="47">
        <f>UTDI!N$26/1000</f>
        <v>4.5668915705208946</v>
      </c>
      <c r="R760" s="47">
        <f>UTDI!O$26/1000</f>
        <v>4.5617655577170737</v>
      </c>
      <c r="S760" s="45">
        <f>(R760/O760)^(1/3)-1</f>
        <v>-7.2488422994909651E-4</v>
      </c>
      <c r="T760" s="46"/>
      <c r="U760" s="48" t="str">
        <f t="shared" si="192"/>
        <v>EUR 19.1</v>
      </c>
      <c r="V760" s="44" t="str">
        <f t="shared" si="192"/>
        <v>United Internet</v>
      </c>
      <c r="BF760" s="39"/>
      <c r="BG760" s="39"/>
      <c r="BH760" s="39"/>
      <c r="BI760" s="39"/>
      <c r="BJ760" s="39"/>
      <c r="BK760" s="39"/>
      <c r="BL760" s="39"/>
      <c r="BM760" s="39"/>
      <c r="BN760" s="39"/>
      <c r="BO760" s="39"/>
      <c r="BP760" s="39"/>
      <c r="BQ760" s="39"/>
      <c r="BR760" s="39"/>
      <c r="BS760" s="39"/>
      <c r="BT760" s="39"/>
      <c r="BU760" s="39"/>
      <c r="BV760" s="39"/>
      <c r="BW760" s="39"/>
      <c r="BX760" s="39"/>
      <c r="BY760" s="39"/>
      <c r="BZ760" s="39"/>
      <c r="CA760" s="39"/>
      <c r="CB760" s="39"/>
      <c r="CC760" s="39"/>
      <c r="CD760" s="39"/>
      <c r="CE760" s="39"/>
      <c r="CF760" s="39"/>
      <c r="CG760" s="39"/>
      <c r="CH760" s="39"/>
      <c r="CI760" s="39"/>
      <c r="CJ760" s="39"/>
      <c r="CK760" s="39"/>
      <c r="CL760" s="39"/>
      <c r="CM760" s="39"/>
      <c r="CN760" s="39"/>
      <c r="CO760" s="39"/>
      <c r="CP760" s="39"/>
      <c r="CQ760" s="39"/>
      <c r="CR760" s="39"/>
      <c r="CS760" s="39"/>
      <c r="CT760" s="39"/>
      <c r="CU760" s="39"/>
      <c r="CV760" s="39"/>
      <c r="CW760" s="39"/>
      <c r="CX760" s="39"/>
      <c r="CY760" s="39"/>
      <c r="CZ760" s="39"/>
      <c r="DA760" s="39"/>
      <c r="DB760" s="39"/>
      <c r="DC760" s="39"/>
      <c r="DD760" s="39"/>
      <c r="DE760" s="39"/>
      <c r="DF760" s="39"/>
      <c r="DG760" s="39"/>
      <c r="DH760" s="39"/>
      <c r="DI760" s="39"/>
    </row>
    <row r="761" spans="1:113">
      <c r="C761" s="48" t="str">
        <f t="shared" si="191"/>
        <v>Vodafone</v>
      </c>
      <c r="D761" s="44" t="str">
        <f t="shared" si="191"/>
        <v>GBP 0.77</v>
      </c>
      <c r="E761" s="44" t="str">
        <f t="shared" si="191"/>
        <v>GBP 1.40</v>
      </c>
      <c r="F761" s="45">
        <f t="shared" si="191"/>
        <v>0.80785123966942152</v>
      </c>
      <c r="G761" s="44" t="str">
        <f t="shared" si="191"/>
        <v>Buy</v>
      </c>
      <c r="H761" s="46"/>
      <c r="I761" s="47">
        <f>VOD!D$18/1000/Prices!$F$153</f>
        <v>61.506281541845198</v>
      </c>
      <c r="J761" s="47">
        <f>VOD!E$18/1000/Prices!$F$153</f>
        <v>46.830849654679291</v>
      </c>
      <c r="K761" s="47">
        <f>VOD!F$18/1000/Prices!$F$153</f>
        <v>44.368138649553821</v>
      </c>
      <c r="L761" s="47">
        <f>VOD!G$18/1000/Prices!$F$153</f>
        <v>41.32582744481126</v>
      </c>
      <c r="M761" s="45">
        <f>(L761/I761)^(1/3)-1</f>
        <v>-0.12414133936711569</v>
      </c>
      <c r="N761" s="46"/>
      <c r="O761" s="47">
        <f>VOD!D$26/1000/Prices!$F$153</f>
        <v>3.621916923445236</v>
      </c>
      <c r="P761" s="47">
        <f>VOD!E$26/1000/Prices!$F$153</f>
        <v>3.4121438498648216</v>
      </c>
      <c r="Q761" s="47">
        <f>VOD!F$26/1000/Prices!$F$153</f>
        <v>3.8030074483526017</v>
      </c>
      <c r="R761" s="47">
        <f>VOD!G$26/1000/Prices!$F$153</f>
        <v>4.1748083974990502</v>
      </c>
      <c r="S761" s="45">
        <f>(R761/O761)^(1/3)-1</f>
        <v>4.8494173085703807E-2</v>
      </c>
      <c r="T761" s="46"/>
      <c r="U761" s="48" t="str">
        <f>U701</f>
        <v>GBP 0.77</v>
      </c>
      <c r="V761" s="44" t="s">
        <v>276</v>
      </c>
      <c r="BF761" s="39"/>
      <c r="BG761" s="39"/>
      <c r="BH761" s="39"/>
      <c r="BI761" s="39"/>
      <c r="BJ761" s="39"/>
      <c r="BK761" s="39"/>
      <c r="BL761" s="39"/>
      <c r="BM761" s="39"/>
      <c r="BN761" s="39"/>
      <c r="BO761" s="39"/>
      <c r="BP761" s="39"/>
      <c r="BQ761" s="39"/>
      <c r="BR761" s="39"/>
      <c r="BS761" s="39"/>
      <c r="BT761" s="39"/>
      <c r="BU761" s="39"/>
      <c r="BV761" s="39"/>
      <c r="BW761" s="39"/>
      <c r="BX761" s="39"/>
      <c r="BY761" s="39"/>
      <c r="BZ761" s="39"/>
      <c r="CA761" s="39"/>
      <c r="CB761" s="39"/>
      <c r="CC761" s="39"/>
      <c r="CD761" s="39"/>
      <c r="CE761" s="39"/>
      <c r="CF761" s="39"/>
      <c r="CG761" s="39"/>
      <c r="CH761" s="39"/>
      <c r="CI761" s="39"/>
      <c r="CJ761" s="39"/>
      <c r="CK761" s="39"/>
      <c r="CL761" s="39"/>
      <c r="CM761" s="39"/>
      <c r="CN761" s="39"/>
      <c r="CO761" s="39"/>
      <c r="CP761" s="39"/>
      <c r="CQ761" s="39"/>
      <c r="CR761" s="39"/>
      <c r="CS761" s="39"/>
      <c r="CT761" s="39"/>
      <c r="CU761" s="39"/>
      <c r="CV761" s="39"/>
      <c r="CW761" s="39"/>
      <c r="CX761" s="39"/>
      <c r="CY761" s="39"/>
      <c r="CZ761" s="39"/>
      <c r="DA761" s="39"/>
      <c r="DB761" s="39"/>
      <c r="DC761" s="39"/>
      <c r="DD761" s="39"/>
      <c r="DE761" s="39"/>
      <c r="DF761" s="39"/>
      <c r="DG761" s="39"/>
      <c r="DH761" s="39"/>
      <c r="DI761" s="39"/>
    </row>
    <row r="762" spans="1:113">
      <c r="C762" s="51" t="str">
        <f>C702</f>
        <v>Agg. W. Europe Other</v>
      </c>
      <c r="D762" s="52"/>
      <c r="E762" s="52"/>
      <c r="F762" s="53"/>
      <c r="G762" s="52"/>
      <c r="H762" s="46"/>
      <c r="I762" s="54">
        <f>'W.EUR OTHER'!$D$18/1000</f>
        <v>107.39560800618077</v>
      </c>
      <c r="J762" s="54">
        <f>'W.EUR OTHER'!$E$18/1000</f>
        <v>91.823219889183093</v>
      </c>
      <c r="K762" s="54">
        <f>'W.EUR OTHER'!$F$18/1000</f>
        <v>87.888483778305584</v>
      </c>
      <c r="L762" s="54">
        <f>'W.EUR OTHER'!$G$18/1000</f>
        <v>83.488434298549791</v>
      </c>
      <c r="M762" s="55">
        <f t="shared" si="193"/>
        <v>-8.0510872030011393E-2</v>
      </c>
      <c r="N762" s="56"/>
      <c r="O762" s="54">
        <f>'W.EUR OTHER'!L$26/1000</f>
        <v>57.55367555394195</v>
      </c>
      <c r="P762" s="54">
        <f>'W.EUR OTHER'!M$26/1000</f>
        <v>54.62881566999264</v>
      </c>
      <c r="Q762" s="54">
        <f>'W.EUR OTHER'!N$26/1000</f>
        <v>51.850677401987305</v>
      </c>
      <c r="R762" s="54">
        <f>'W.EUR OTHER'!O$26/1000</f>
        <v>49.844863839628367</v>
      </c>
      <c r="S762" s="55">
        <f t="shared" si="194"/>
        <v>-4.6803476060231275E-2</v>
      </c>
      <c r="T762" s="46"/>
      <c r="U762" s="57"/>
      <c r="V762" s="58" t="str">
        <f>V702</f>
        <v>Agg. W. Europe Other</v>
      </c>
      <c r="BF762" s="39"/>
      <c r="BG762" s="39"/>
      <c r="BH762" s="39"/>
      <c r="BI762" s="39"/>
      <c r="BJ762" s="39"/>
      <c r="BK762" s="39"/>
      <c r="BL762" s="39"/>
      <c r="BM762" s="39"/>
      <c r="BN762" s="39"/>
      <c r="BO762" s="39"/>
      <c r="BP762" s="39"/>
      <c r="BQ762" s="39"/>
      <c r="BR762" s="39"/>
      <c r="BS762" s="39"/>
      <c r="BT762" s="39"/>
      <c r="BU762" s="39"/>
      <c r="BV762" s="39"/>
      <c r="BW762" s="39"/>
      <c r="BX762" s="39"/>
      <c r="BY762" s="39"/>
      <c r="BZ762" s="39"/>
      <c r="CA762" s="39"/>
      <c r="CB762" s="39"/>
      <c r="CC762" s="39"/>
      <c r="CD762" s="39"/>
      <c r="CE762" s="39"/>
      <c r="CF762" s="39"/>
      <c r="CG762" s="39"/>
      <c r="CH762" s="39"/>
      <c r="CI762" s="39"/>
      <c r="CJ762" s="39"/>
      <c r="CK762" s="39"/>
      <c r="CL762" s="39"/>
      <c r="CM762" s="39"/>
      <c r="CN762" s="39"/>
      <c r="CO762" s="39"/>
      <c r="CP762" s="39"/>
      <c r="CQ762" s="39"/>
      <c r="CR762" s="39"/>
      <c r="CS762" s="39"/>
      <c r="CT762" s="39"/>
      <c r="CU762" s="39"/>
      <c r="CV762" s="39"/>
      <c r="CW762" s="39"/>
      <c r="CX762" s="39"/>
      <c r="CY762" s="39"/>
      <c r="CZ762" s="39"/>
      <c r="DA762" s="39"/>
      <c r="DB762" s="39"/>
      <c r="DC762" s="39"/>
      <c r="DD762" s="39"/>
      <c r="DE762" s="39"/>
      <c r="DF762" s="39"/>
      <c r="DG762" s="39"/>
      <c r="DH762" s="39"/>
      <c r="DI762" s="39"/>
    </row>
    <row r="763" spans="1:113">
      <c r="C763" s="48"/>
      <c r="D763" s="44"/>
      <c r="E763" s="44"/>
      <c r="F763" s="45"/>
      <c r="G763" s="44"/>
      <c r="H763" s="46"/>
      <c r="I763" s="47"/>
      <c r="J763" s="47"/>
      <c r="K763" s="47"/>
      <c r="L763" s="47"/>
      <c r="M763" s="45"/>
      <c r="N763" s="46"/>
      <c r="O763" s="47"/>
      <c r="P763" s="47"/>
      <c r="Q763" s="47"/>
      <c r="R763" s="47"/>
      <c r="S763" s="45"/>
      <c r="T763" s="46"/>
      <c r="U763" s="48"/>
      <c r="V763" s="44"/>
      <c r="BF763" s="39"/>
      <c r="BG763" s="39"/>
      <c r="BH763" s="39"/>
      <c r="BI763" s="39"/>
      <c r="BJ763" s="39"/>
      <c r="BK763" s="39"/>
      <c r="BL763" s="39"/>
      <c r="BM763" s="39"/>
      <c r="BN763" s="39"/>
      <c r="BO763" s="39"/>
      <c r="BP763" s="39"/>
      <c r="BQ763" s="39"/>
      <c r="BR763" s="39"/>
      <c r="BS763" s="39"/>
      <c r="BT763" s="39"/>
      <c r="BU763" s="39"/>
      <c r="BV763" s="39"/>
      <c r="BW763" s="39"/>
      <c r="BX763" s="39"/>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39"/>
      <c r="DH763" s="39"/>
      <c r="DI763" s="39"/>
    </row>
    <row r="764" spans="1:113">
      <c r="A764" s="41"/>
      <c r="B764" s="42" t="s">
        <v>551</v>
      </c>
      <c r="C764" s="48" t="str">
        <f t="shared" ref="C764:G769" si="195">C704</f>
        <v>HKBN</v>
      </c>
      <c r="D764" s="44" t="str">
        <f t="shared" si="195"/>
        <v>HKD 3</v>
      </c>
      <c r="E764" s="44" t="str">
        <f t="shared" si="195"/>
        <v>HKD 16</v>
      </c>
      <c r="F764" s="45">
        <f t="shared" si="195"/>
        <v>4.9925093632958806</v>
      </c>
      <c r="G764" s="44" t="str">
        <f t="shared" si="195"/>
        <v>Buy</v>
      </c>
      <c r="H764" s="46"/>
      <c r="I764" s="47">
        <f>HKBN!D$18/1000/Prices!$C$167</f>
        <v>1.4670317272915183</v>
      </c>
      <c r="J764" s="47">
        <f>HKBN!E$18/1000/Prices!$C$167</f>
        <v>1.2615835246428346</v>
      </c>
      <c r="K764" s="47">
        <f>HKBN!F$18/1000/Prices!$C$167</f>
        <v>1.0471222612910347</v>
      </c>
      <c r="L764" s="47">
        <f>HKBN!G$18/1000/Prices!C167</f>
        <v>0.81799821595060729</v>
      </c>
      <c r="M764" s="45">
        <f>(L764/I764)^(1/3)-1</f>
        <v>-0.17692839992159193</v>
      </c>
      <c r="N764" s="46"/>
      <c r="O764" s="47">
        <f>HKBN!L$26/1000/Prices!$C$167</f>
        <v>0.52728945155574891</v>
      </c>
      <c r="P764" s="47">
        <f>HKBN!M$26/1000/Prices!$C$167</f>
        <v>0.52728945155574891</v>
      </c>
      <c r="Q764" s="47">
        <f>HKBN!N$26/1000/Prices!$C$167</f>
        <v>0.52728945155574891</v>
      </c>
      <c r="R764" s="47">
        <f>HKBN!O$26/1000/Prices!$C$167</f>
        <v>0.52728945155574891</v>
      </c>
      <c r="S764" s="45">
        <f>(R764/O764)^(1/3)-1</f>
        <v>0</v>
      </c>
      <c r="T764" s="46"/>
      <c r="U764" s="48" t="str">
        <f t="shared" ref="U764:V769" si="196">U704</f>
        <v>HKD 3</v>
      </c>
      <c r="V764" s="69" t="str">
        <f t="shared" si="196"/>
        <v>HKBN</v>
      </c>
      <c r="BF764" s="39"/>
      <c r="BG764" s="39"/>
      <c r="BH764" s="39"/>
      <c r="BI764" s="39"/>
      <c r="BJ764" s="39"/>
      <c r="BK764" s="39"/>
      <c r="BL764" s="39"/>
      <c r="BM764" s="39"/>
      <c r="BN764" s="39"/>
      <c r="BO764" s="39"/>
      <c r="BP764" s="39"/>
      <c r="BQ764" s="39"/>
      <c r="BR764" s="39"/>
      <c r="BS764" s="39"/>
      <c r="BT764" s="39"/>
      <c r="BU764" s="39"/>
      <c r="BV764" s="39"/>
      <c r="BW764" s="39"/>
      <c r="BX764" s="39"/>
      <c r="BY764" s="39"/>
      <c r="BZ764" s="39"/>
      <c r="CA764" s="39"/>
      <c r="CB764" s="39"/>
      <c r="CC764" s="39"/>
      <c r="CD764" s="39"/>
      <c r="CE764" s="39"/>
      <c r="CF764" s="39"/>
      <c r="CG764" s="39"/>
      <c r="CH764" s="39"/>
      <c r="CI764" s="39"/>
      <c r="CJ764" s="39"/>
      <c r="CK764" s="39"/>
      <c r="CL764" s="39"/>
      <c r="CM764" s="39"/>
      <c r="CN764" s="39"/>
      <c r="CO764" s="39"/>
      <c r="CP764" s="39"/>
      <c r="CQ764" s="39"/>
      <c r="CR764" s="39"/>
      <c r="CS764" s="39"/>
      <c r="CT764" s="39"/>
      <c r="CU764" s="39"/>
      <c r="CV764" s="39"/>
      <c r="CW764" s="39"/>
      <c r="CX764" s="39"/>
      <c r="CY764" s="39"/>
      <c r="CZ764" s="39"/>
      <c r="DA764" s="39"/>
      <c r="DB764" s="39"/>
      <c r="DC764" s="39"/>
      <c r="DD764" s="39"/>
      <c r="DE764" s="39"/>
      <c r="DF764" s="39"/>
      <c r="DG764" s="39"/>
      <c r="DH764" s="39"/>
      <c r="DI764" s="39"/>
    </row>
    <row r="765" spans="1:113">
      <c r="C765" s="48" t="str">
        <f t="shared" si="195"/>
        <v>KDDI</v>
      </c>
      <c r="D765" s="44" t="str">
        <f t="shared" si="195"/>
        <v>JPY 4,851</v>
      </c>
      <c r="E765" s="44" t="str">
        <f t="shared" si="195"/>
        <v>JPY 6,600</v>
      </c>
      <c r="F765" s="45">
        <f t="shared" si="195"/>
        <v>0.36054421768707479</v>
      </c>
      <c r="G765" s="44" t="str">
        <f t="shared" si="195"/>
        <v>Buy</v>
      </c>
      <c r="H765" s="46"/>
      <c r="I765" s="47">
        <f>KDDI!D18/Prices!$C$161</f>
        <v>81.513955887462458</v>
      </c>
      <c r="J765" s="47">
        <f>KDDI!E18/Prices!$C$161</f>
        <v>77.774508693896848</v>
      </c>
      <c r="K765" s="47">
        <f>KDDI!F18/Prices!$C$161</f>
        <v>71.868047353512907</v>
      </c>
      <c r="L765" s="47">
        <f>KDDI!G18/Prices!$C$161</f>
        <v>65.779272871220229</v>
      </c>
      <c r="M765" s="45">
        <f t="shared" ref="M765:M770" si="197">(L765/I765)^(1/3)-1</f>
        <v>-6.8994243796787758E-2</v>
      </c>
      <c r="N765" s="46"/>
      <c r="O765" s="47">
        <f>KDDI!L26/Prices!$C$161</f>
        <v>70.75274953246938</v>
      </c>
      <c r="P765" s="47">
        <f>KDDI!M26/Prices!$C$161</f>
        <v>68.487488121722848</v>
      </c>
      <c r="Q765" s="47">
        <f>KDDI!N26/Prices!$C$161</f>
        <v>66.222226710976315</v>
      </c>
      <c r="R765" s="47">
        <f>KDDI!O26/Prices!$C$161</f>
        <v>64.334508868687521</v>
      </c>
      <c r="S765" s="45">
        <f t="shared" ref="S765:S770" si="198">(R765/O765)^(1/3)-1</f>
        <v>-3.1201280606815929E-2</v>
      </c>
      <c r="T765" s="46"/>
      <c r="U765" s="48" t="str">
        <f t="shared" si="196"/>
        <v>JPY 4,851</v>
      </c>
      <c r="V765" s="44" t="str">
        <f t="shared" si="196"/>
        <v>KDDI</v>
      </c>
      <c r="BF765" s="39"/>
      <c r="BG765" s="39"/>
      <c r="BH765" s="39"/>
      <c r="BI765" s="39"/>
      <c r="BJ765" s="39"/>
      <c r="BK765" s="39"/>
      <c r="BL765" s="39"/>
      <c r="BM765" s="39"/>
      <c r="BN765" s="39"/>
      <c r="BO765" s="39"/>
      <c r="BP765" s="39"/>
      <c r="BQ765" s="39"/>
      <c r="BR765" s="39"/>
      <c r="BS765" s="39"/>
      <c r="BT765" s="39"/>
      <c r="BU765" s="39"/>
      <c r="BV765" s="39"/>
      <c r="BW765" s="39"/>
      <c r="BX765" s="39"/>
      <c r="BY765" s="39"/>
      <c r="BZ765" s="39"/>
      <c r="CA765" s="39"/>
      <c r="CB765" s="39"/>
      <c r="CC765" s="39"/>
      <c r="CD765" s="39"/>
      <c r="CE765" s="39"/>
      <c r="CF765" s="39"/>
      <c r="CG765" s="39"/>
      <c r="CH765" s="39"/>
      <c r="CI765" s="39"/>
      <c r="CJ765" s="39"/>
      <c r="CK765" s="39"/>
      <c r="CL765" s="39"/>
      <c r="CM765" s="39"/>
      <c r="CN765" s="39"/>
      <c r="CO765" s="39"/>
      <c r="CP765" s="39"/>
      <c r="CQ765" s="39"/>
      <c r="CR765" s="39"/>
      <c r="CS765" s="39"/>
      <c r="CT765" s="39"/>
      <c r="CU765" s="39"/>
      <c r="CV765" s="39"/>
      <c r="CW765" s="39"/>
      <c r="CX765" s="39"/>
      <c r="CY765" s="39"/>
      <c r="CZ765" s="39"/>
      <c r="DA765" s="39"/>
      <c r="DB765" s="39"/>
      <c r="DC765" s="39"/>
      <c r="DD765" s="39"/>
      <c r="DE765" s="39"/>
      <c r="DF765" s="39"/>
      <c r="DG765" s="39"/>
      <c r="DH765" s="39"/>
      <c r="DI765" s="39"/>
    </row>
    <row r="766" spans="1:113">
      <c r="A766" s="41"/>
      <c r="C766" s="48" t="str">
        <f t="shared" si="195"/>
        <v>Macquarie Telecom</v>
      </c>
      <c r="D766" s="44" t="str">
        <f t="shared" si="195"/>
        <v>AUD 76.51</v>
      </c>
      <c r="E766" s="44" t="str">
        <f t="shared" si="195"/>
        <v>AUD 28.00</v>
      </c>
      <c r="F766" s="45">
        <f t="shared" si="195"/>
        <v>-0.63403476669716374</v>
      </c>
      <c r="G766" s="44" t="str">
        <f t="shared" si="195"/>
        <v>Neutral</v>
      </c>
      <c r="H766" s="46"/>
      <c r="I766" s="47">
        <f>MAQ!D$18/1000/Prices!$F$153</f>
        <v>1.9258304465829141</v>
      </c>
      <c r="J766" s="47">
        <f>MAQ!E$18/1000/Prices!$F$153</f>
        <v>1.9201483129347967</v>
      </c>
      <c r="K766" s="47">
        <f>MAQ!F$18/1000/Prices!$F$153</f>
        <v>1.9197537021314839</v>
      </c>
      <c r="L766" s="47">
        <f>MAQ!G$18/1000/Prices!$F$153</f>
        <v>1.9144960806479894</v>
      </c>
      <c r="M766" s="45">
        <f t="shared" ref="M766" si="199">(L766/I766)^(1/3)-1</f>
        <v>-1.9656757891854948E-3</v>
      </c>
      <c r="N766" s="46"/>
      <c r="O766" s="47">
        <f>MAQ!L$26/1000/Prices!$F$153</f>
        <v>1.9581888211423191</v>
      </c>
      <c r="P766" s="47">
        <f>MAQ!M$26/1000/Prices!$F$153</f>
        <v>1.9907147317538785</v>
      </c>
      <c r="Q766" s="47">
        <f>MAQ!N$26/1000/Prices!$F$153</f>
        <v>2.0145684641885824</v>
      </c>
      <c r="R766" s="47">
        <f>MAQ!O$26/1000/Prices!$F$153</f>
        <v>2.0410187242983358</v>
      </c>
      <c r="S766" s="45">
        <f t="shared" ref="S766" si="200">(R766/O766)^(1/3)-1</f>
        <v>1.3905488511379849E-2</v>
      </c>
      <c r="T766" s="46"/>
      <c r="U766" s="48" t="str">
        <f t="shared" si="196"/>
        <v>AUD 76.51</v>
      </c>
      <c r="V766" s="69" t="str">
        <f t="shared" si="196"/>
        <v>Macquarie Telecom</v>
      </c>
      <c r="X766" s="43"/>
      <c r="Y766" s="76"/>
      <c r="BF766" s="39"/>
      <c r="BG766" s="39"/>
      <c r="BH766" s="39"/>
      <c r="BI766" s="39"/>
      <c r="BJ766" s="39"/>
      <c r="BK766" s="39"/>
      <c r="BL766" s="39"/>
      <c r="BM766" s="39"/>
      <c r="BN766" s="39"/>
      <c r="BO766" s="39"/>
      <c r="BP766" s="39"/>
      <c r="BQ766" s="39"/>
      <c r="BR766" s="39"/>
      <c r="BS766" s="39"/>
      <c r="BT766" s="39"/>
      <c r="BU766" s="39"/>
      <c r="BV766" s="39"/>
      <c r="BW766" s="39"/>
      <c r="BX766" s="39"/>
      <c r="BY766" s="39"/>
      <c r="BZ766" s="39"/>
      <c r="CA766" s="39"/>
      <c r="CB766" s="39"/>
      <c r="CC766" s="39"/>
      <c r="CD766" s="39"/>
      <c r="CE766" s="39"/>
      <c r="CF766" s="39"/>
      <c r="CG766" s="39"/>
      <c r="CH766" s="39"/>
      <c r="CI766" s="39"/>
      <c r="CJ766" s="39"/>
      <c r="CK766" s="39"/>
      <c r="CL766" s="39"/>
      <c r="CM766" s="39"/>
      <c r="CN766" s="39"/>
      <c r="CO766" s="39"/>
      <c r="CP766" s="39"/>
      <c r="CQ766" s="39"/>
      <c r="CR766" s="39"/>
      <c r="CS766" s="39"/>
      <c r="CT766" s="39"/>
      <c r="CU766" s="39"/>
      <c r="CV766" s="39"/>
      <c r="CW766" s="39"/>
      <c r="CX766" s="39"/>
      <c r="CY766" s="39"/>
      <c r="CZ766" s="39"/>
      <c r="DA766" s="39"/>
      <c r="DB766" s="39"/>
      <c r="DC766" s="39"/>
      <c r="DD766" s="39"/>
      <c r="DE766" s="39"/>
      <c r="DF766" s="39"/>
      <c r="DG766" s="39"/>
      <c r="DH766" s="39"/>
      <c r="DI766" s="39"/>
    </row>
    <row r="767" spans="1:113">
      <c r="C767" s="48" t="str">
        <f t="shared" si="195"/>
        <v>Rakuten</v>
      </c>
      <c r="D767" s="44" t="str">
        <f t="shared" si="195"/>
        <v>JPY 946</v>
      </c>
      <c r="E767" s="44" t="str">
        <f t="shared" si="195"/>
        <v>JPY 400</v>
      </c>
      <c r="F767" s="45">
        <f t="shared" si="195"/>
        <v>-0.57734573119188504</v>
      </c>
      <c r="G767" s="44" t="str">
        <f t="shared" si="195"/>
        <v>Reduce</v>
      </c>
      <c r="H767" s="46"/>
      <c r="I767" s="47">
        <f>(RAK!D$18/Prices!$C$161)</f>
        <v>16.305150748622086</v>
      </c>
      <c r="J767" s="47">
        <f>(RAK!E$18/Prices!$C$161)</f>
        <v>16.274646230307493</v>
      </c>
      <c r="K767" s="47">
        <f>(RAK!F$18/Prices!$C$161)</f>
        <v>16.249144857703449</v>
      </c>
      <c r="L767" s="47">
        <f>(RAK!G$18/Prices!$C$161)</f>
        <v>16.210970205452256</v>
      </c>
      <c r="M767" s="45">
        <f>(L767/I767)^(1/3)-1</f>
        <v>-1.9290930728828037E-3</v>
      </c>
      <c r="N767" s="46"/>
      <c r="O767" s="47">
        <f>(RAK!L$26/Prices!$C$161)</f>
        <v>14.199482253981333</v>
      </c>
      <c r="P767" s="47">
        <f>(RAK!M$26/Prices!$C$161)</f>
        <v>14.199482253981333</v>
      </c>
      <c r="Q767" s="47">
        <f>(RAK!N$26/Prices!$C$161)</f>
        <v>14.199482253981333</v>
      </c>
      <c r="R767" s="47">
        <f>(RAK!O$26/Prices!$C$161)</f>
        <v>14.199482253981333</v>
      </c>
      <c r="S767" s="45">
        <f>(R767/O767)^(1/3)-1</f>
        <v>0</v>
      </c>
      <c r="T767" s="46"/>
      <c r="U767" s="48" t="str">
        <f t="shared" si="196"/>
        <v>JPY 946</v>
      </c>
      <c r="V767" s="44" t="str">
        <f t="shared" si="196"/>
        <v>Rakuten</v>
      </c>
      <c r="X767" s="43"/>
      <c r="Y767" s="76"/>
      <c r="BF767" s="39"/>
      <c r="BG767" s="39"/>
      <c r="BH767" s="39"/>
      <c r="BI767" s="39"/>
      <c r="BJ767" s="39"/>
      <c r="BK767" s="39"/>
      <c r="BL767" s="39"/>
      <c r="BM767" s="39"/>
      <c r="BN767" s="39"/>
      <c r="BO767" s="39"/>
      <c r="BP767" s="39"/>
      <c r="BQ767" s="39"/>
      <c r="BR767" s="39"/>
      <c r="BS767" s="39"/>
      <c r="BT767" s="39"/>
      <c r="BU767" s="39"/>
      <c r="BV767" s="39"/>
      <c r="BW767" s="39"/>
      <c r="BX767" s="39"/>
      <c r="BY767" s="39"/>
      <c r="BZ767" s="39"/>
      <c r="CA767" s="39"/>
      <c r="CB767" s="39"/>
      <c r="CC767" s="39"/>
      <c r="CD767" s="39"/>
      <c r="CE767" s="39"/>
      <c r="CF767" s="39"/>
      <c r="CG767" s="39"/>
      <c r="CH767" s="39"/>
      <c r="CI767" s="39"/>
      <c r="CJ767" s="39"/>
      <c r="CK767" s="39"/>
      <c r="CL767" s="39"/>
      <c r="CM767" s="39"/>
      <c r="CN767" s="39"/>
      <c r="CO767" s="39"/>
      <c r="CP767" s="39"/>
      <c r="CQ767" s="39"/>
      <c r="CR767" s="39"/>
      <c r="CS767" s="39"/>
      <c r="CT767" s="39"/>
      <c r="CU767" s="39"/>
      <c r="CV767" s="39"/>
      <c r="CW767" s="39"/>
      <c r="CX767" s="39"/>
      <c r="CY767" s="39"/>
      <c r="CZ767" s="39"/>
      <c r="DA767" s="39"/>
      <c r="DB767" s="39"/>
      <c r="DC767" s="39"/>
      <c r="DD767" s="39"/>
      <c r="DE767" s="39"/>
      <c r="DF767" s="39"/>
      <c r="DG767" s="39"/>
      <c r="DH767" s="39"/>
      <c r="DI767" s="39"/>
    </row>
    <row r="768" spans="1:113">
      <c r="C768" s="48" t="str">
        <f t="shared" si="195"/>
        <v>SoftBank KK (Corp)</v>
      </c>
      <c r="D768" s="44" t="str">
        <f t="shared" si="195"/>
        <v>JPY 1,996</v>
      </c>
      <c r="E768" s="44" t="str">
        <f t="shared" si="195"/>
        <v>JPY 2,700</v>
      </c>
      <c r="F768" s="45">
        <f t="shared" si="195"/>
        <v>0.35270541082164319</v>
      </c>
      <c r="G768" s="44" t="str">
        <f t="shared" si="195"/>
        <v>Buy</v>
      </c>
      <c r="H768" s="46"/>
      <c r="I768" s="47">
        <f>SBKK!D$18/Prices!$C$161</f>
        <v>98.360929029804851</v>
      </c>
      <c r="J768" s="47">
        <f>SBKK!E$18/Prices!$C$161</f>
        <v>95.721486850563437</v>
      </c>
      <c r="K768" s="47">
        <f>SBKK!F$18/Prices!$C$161</f>
        <v>90.247221944662627</v>
      </c>
      <c r="L768" s="47">
        <f>SBKK!G$18/Prices!$C$161</f>
        <v>83.806343365916533</v>
      </c>
      <c r="M768" s="45">
        <f t="shared" si="197"/>
        <v>-5.1978711222539054E-2</v>
      </c>
      <c r="N768" s="46"/>
      <c r="O768" s="47">
        <f>SBKK!L$26/Prices!$C$161</f>
        <v>66.107835571188375</v>
      </c>
      <c r="P768" s="47">
        <f>SBKK!M$26/Prices!$C$161</f>
        <v>66.099930857016716</v>
      </c>
      <c r="Q768" s="47">
        <f>SBKK!N$26/Prices!$C$161</f>
        <v>66.083045697121293</v>
      </c>
      <c r="R768" s="47">
        <f>SBKK!O$26/Prices!$C$161</f>
        <v>66.033097754623611</v>
      </c>
      <c r="S768" s="45">
        <f t="shared" si="198"/>
        <v>-3.7699010219915952E-4</v>
      </c>
      <c r="T768" s="46"/>
      <c r="U768" s="48" t="str">
        <f t="shared" si="196"/>
        <v>JPY 1,996</v>
      </c>
      <c r="V768" s="44" t="str">
        <f t="shared" si="196"/>
        <v>SoftBank KK (Corp)</v>
      </c>
      <c r="X768" s="43"/>
      <c r="Y768" s="76"/>
      <c r="BF768" s="39"/>
      <c r="BG768" s="39"/>
      <c r="BH768" s="39"/>
      <c r="BI768" s="39"/>
      <c r="BJ768" s="39"/>
      <c r="BK768" s="39"/>
      <c r="BL768" s="39"/>
      <c r="BM768" s="39"/>
      <c r="BN768" s="39"/>
      <c r="BO768" s="39"/>
      <c r="BP768" s="39"/>
      <c r="BQ768" s="39"/>
      <c r="BR768" s="39"/>
      <c r="BS768" s="39"/>
      <c r="BT768" s="39"/>
      <c r="BU768" s="39"/>
      <c r="BV768" s="39"/>
      <c r="BW768" s="39"/>
      <c r="BX768" s="39"/>
      <c r="BY768" s="39"/>
      <c r="BZ768" s="39"/>
      <c r="CA768" s="39"/>
      <c r="CB768" s="39"/>
      <c r="CC768" s="39"/>
      <c r="CD768" s="39"/>
      <c r="CE768" s="39"/>
      <c r="CF768" s="39"/>
      <c r="CG768" s="39"/>
      <c r="CH768" s="39"/>
      <c r="CI768" s="39"/>
      <c r="CJ768" s="39"/>
      <c r="CK768" s="39"/>
      <c r="CL768" s="39"/>
      <c r="CM768" s="39"/>
      <c r="CN768" s="39"/>
      <c r="CO768" s="39"/>
      <c r="CP768" s="39"/>
      <c r="CQ768" s="39"/>
      <c r="CR768" s="39"/>
      <c r="CS768" s="39"/>
      <c r="CT768" s="39"/>
      <c r="CU768" s="39"/>
      <c r="CV768" s="39"/>
      <c r="CW768" s="39"/>
      <c r="CX768" s="39"/>
      <c r="CY768" s="39"/>
      <c r="CZ768" s="39"/>
      <c r="DA768" s="39"/>
      <c r="DB768" s="39"/>
      <c r="DC768" s="39"/>
      <c r="DD768" s="39"/>
      <c r="DE768" s="39"/>
      <c r="DF768" s="39"/>
      <c r="DG768" s="39"/>
      <c r="DH768" s="39"/>
      <c r="DI768" s="39"/>
    </row>
    <row r="769" spans="1:113">
      <c r="A769" s="41"/>
      <c r="C769" s="48" t="str">
        <f t="shared" si="195"/>
        <v>TPG</v>
      </c>
      <c r="D769" s="44" t="str">
        <f t="shared" si="195"/>
        <v>AUD 4.99</v>
      </c>
      <c r="E769" s="44" t="str">
        <f t="shared" si="195"/>
        <v>AUD 7.50</v>
      </c>
      <c r="F769" s="45">
        <f t="shared" si="195"/>
        <v>0.50300601202404804</v>
      </c>
      <c r="G769" s="44" t="str">
        <f t="shared" si="195"/>
        <v>Neutral</v>
      </c>
      <c r="H769" s="46"/>
      <c r="I769" s="47">
        <f>TPG!D18/1000/Prices!$C$168</f>
        <v>4.4245017634149217</v>
      </c>
      <c r="J769" s="47">
        <f>TPG!E18/1000/Prices!$C$168</f>
        <v>4.3518120814571466</v>
      </c>
      <c r="K769" s="47">
        <f>TPG!F18/1000/Prices!$C$168</f>
        <v>4.2979715319514202</v>
      </c>
      <c r="L769" s="47">
        <f>TPG!G18/1000/Prices!$C$168</f>
        <v>4.2377261234435162</v>
      </c>
      <c r="M769" s="45">
        <f>(L769/I769)^(1/3)-1</f>
        <v>-1.4274092704388064E-2</v>
      </c>
      <c r="N769" s="46"/>
      <c r="O769" s="47">
        <f>TPG!L26/1000/Prices!$C$168</f>
        <v>3.1334159705395472</v>
      </c>
      <c r="P769" s="47">
        <f>TPG!M26/1000/Prices!$C$168</f>
        <v>3.141249510465896</v>
      </c>
      <c r="Q769" s="47">
        <f>TPG!N26/1000/Prices!$C$168</f>
        <v>3.1491026342420612</v>
      </c>
      <c r="R769" s="47">
        <f>TPG!O26/1000/Prices!$C$168</f>
        <v>3.1569753908276663</v>
      </c>
      <c r="S769" s="45">
        <f>(R769/O769)^(1/3)-1</f>
        <v>2.5000000000001688E-3</v>
      </c>
      <c r="T769" s="46"/>
      <c r="U769" s="48" t="str">
        <f t="shared" si="196"/>
        <v>AUD 4.99</v>
      </c>
      <c r="V769" s="44" t="str">
        <f t="shared" si="196"/>
        <v>TPG</v>
      </c>
      <c r="X769" s="43"/>
      <c r="Y769" s="76"/>
      <c r="BF769" s="39"/>
      <c r="BG769" s="39"/>
      <c r="BH769" s="39"/>
      <c r="BI769" s="39"/>
      <c r="BJ769" s="39"/>
      <c r="BK769" s="39"/>
      <c r="BL769" s="39"/>
      <c r="BM769" s="39"/>
      <c r="BN769" s="39"/>
      <c r="BO769" s="39"/>
      <c r="BP769" s="39"/>
      <c r="BQ769" s="39"/>
      <c r="BR769" s="39"/>
      <c r="BS769" s="39"/>
      <c r="BT769" s="39"/>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row>
    <row r="770" spans="1:113">
      <c r="C770" s="51" t="str">
        <f>C710</f>
        <v>Agg. Developed Asia Other</v>
      </c>
      <c r="D770" s="52"/>
      <c r="E770" s="52"/>
      <c r="F770" s="53"/>
      <c r="G770" s="52"/>
      <c r="H770" s="46"/>
      <c r="I770" s="54">
        <f>'DM ASIA OTHER'!D$18/1000</f>
        <v>203.16655235508574</v>
      </c>
      <c r="J770" s="54">
        <f>'DM ASIA OTHER'!$E$18/1000</f>
        <v>196.47578984796732</v>
      </c>
      <c r="K770" s="54">
        <f>'DM ASIA OTHER'!$F$18/1000</f>
        <v>184.80103604953266</v>
      </c>
      <c r="L770" s="54">
        <f>'DM ASIA OTHER'!$G$18/1000</f>
        <v>171.94084951892336</v>
      </c>
      <c r="M770" s="55">
        <f t="shared" si="197"/>
        <v>-5.4106402710352386E-2</v>
      </c>
      <c r="N770" s="56"/>
      <c r="O770" s="54">
        <f>'DM ASIA OTHER'!L$26/1000</f>
        <v>78.021594694660649</v>
      </c>
      <c r="P770" s="54">
        <f>'DM ASIA OTHER'!M$26/1000</f>
        <v>75.755464126077257</v>
      </c>
      <c r="Q770" s="54">
        <f>'DM ASIA OTHER'!N$26/1000</f>
        <v>73.48834611827597</v>
      </c>
      <c r="R770" s="54">
        <f>'DM ASIA OTHER'!O$26/1000</f>
        <v>71.595136281626012</v>
      </c>
      <c r="S770" s="55">
        <f t="shared" si="198"/>
        <v>-2.8246233830102829E-2</v>
      </c>
      <c r="T770" s="46"/>
      <c r="U770" s="57"/>
      <c r="V770" s="58" t="str">
        <f>V710</f>
        <v>Agg. Developed Asia Cellular</v>
      </c>
      <c r="X770" s="43"/>
      <c r="Y770" s="76"/>
      <c r="BF770" s="39"/>
      <c r="BG770" s="39"/>
      <c r="BH770" s="39"/>
      <c r="BI770" s="39"/>
      <c r="BJ770" s="39"/>
      <c r="BK770" s="39"/>
      <c r="BL770" s="39"/>
      <c r="BM770" s="39"/>
      <c r="BN770" s="39"/>
      <c r="BO770" s="39"/>
      <c r="BP770" s="39"/>
      <c r="BQ770" s="39"/>
      <c r="BR770" s="39"/>
      <c r="BS770" s="39"/>
      <c r="BT770" s="39"/>
      <c r="BU770" s="39"/>
      <c r="BV770" s="39"/>
      <c r="BW770" s="39"/>
      <c r="BX770" s="39"/>
      <c r="BY770" s="39"/>
      <c r="BZ770" s="39"/>
      <c r="CA770" s="39"/>
      <c r="CB770" s="39"/>
      <c r="CC770" s="39"/>
      <c r="CD770" s="39"/>
      <c r="CE770" s="39"/>
      <c r="CF770" s="39"/>
      <c r="CG770" s="39"/>
      <c r="CH770" s="39"/>
      <c r="CI770" s="39"/>
      <c r="CJ770" s="39"/>
      <c r="CK770" s="39"/>
      <c r="CL770" s="39"/>
      <c r="CM770" s="39"/>
      <c r="CN770" s="39"/>
      <c r="CO770" s="39"/>
      <c r="CP770" s="39"/>
      <c r="CQ770" s="39"/>
      <c r="CR770" s="39"/>
      <c r="CS770" s="39"/>
      <c r="CT770" s="39"/>
      <c r="CU770" s="39"/>
      <c r="CV770" s="39"/>
      <c r="CW770" s="39"/>
      <c r="CX770" s="39"/>
      <c r="CY770" s="39"/>
      <c r="CZ770" s="39"/>
      <c r="DA770" s="39"/>
      <c r="DB770" s="39"/>
      <c r="DC770" s="39"/>
      <c r="DD770" s="39"/>
      <c r="DE770" s="39"/>
      <c r="DF770" s="39"/>
      <c r="DG770" s="39"/>
      <c r="DH770" s="39"/>
      <c r="DI770" s="39"/>
    </row>
    <row r="771" spans="1:113">
      <c r="A771" s="41"/>
      <c r="C771" s="48"/>
      <c r="D771" s="44"/>
      <c r="E771" s="44"/>
      <c r="F771" s="45"/>
      <c r="G771" s="44"/>
      <c r="H771" s="46"/>
      <c r="I771" s="47"/>
      <c r="J771" s="47"/>
      <c r="K771" s="47"/>
      <c r="L771" s="47"/>
      <c r="M771" s="45"/>
      <c r="N771" s="46"/>
      <c r="O771" s="47"/>
      <c r="P771" s="47"/>
      <c r="Q771" s="47"/>
      <c r="R771" s="47"/>
      <c r="S771" s="45"/>
      <c r="T771" s="46"/>
      <c r="U771" s="48"/>
      <c r="V771" s="44"/>
      <c r="BF771" s="39"/>
      <c r="BG771" s="39"/>
      <c r="BH771" s="39"/>
      <c r="BI771" s="39"/>
      <c r="BJ771" s="39"/>
      <c r="BK771" s="39"/>
      <c r="BL771" s="39"/>
      <c r="BM771" s="39"/>
      <c r="BN771" s="39"/>
      <c r="BO771" s="39"/>
      <c r="BP771" s="39"/>
      <c r="BQ771" s="39"/>
      <c r="BR771" s="39"/>
      <c r="BS771" s="39"/>
      <c r="BT771" s="39"/>
      <c r="BU771" s="39"/>
      <c r="BV771" s="39"/>
      <c r="BW771" s="39"/>
      <c r="BX771" s="39"/>
      <c r="BY771" s="39"/>
      <c r="BZ771" s="39"/>
      <c r="CA771" s="39"/>
      <c r="CB771" s="39"/>
      <c r="CC771" s="39"/>
      <c r="CD771" s="39"/>
      <c r="CE771" s="39"/>
      <c r="CF771" s="39"/>
      <c r="CG771" s="39"/>
      <c r="CH771" s="39"/>
      <c r="CI771" s="39"/>
      <c r="CJ771" s="39"/>
      <c r="CK771" s="39"/>
      <c r="CL771" s="39"/>
      <c r="CM771" s="39"/>
      <c r="CN771" s="39"/>
      <c r="CO771" s="39"/>
      <c r="CP771" s="39"/>
      <c r="CQ771" s="39"/>
      <c r="CR771" s="39"/>
      <c r="CS771" s="39"/>
      <c r="CT771" s="39"/>
      <c r="CU771" s="39"/>
      <c r="CV771" s="39"/>
      <c r="CW771" s="39"/>
      <c r="CX771" s="39"/>
      <c r="CY771" s="39"/>
      <c r="CZ771" s="39"/>
      <c r="DA771" s="39"/>
      <c r="DB771" s="39"/>
      <c r="DC771" s="39"/>
      <c r="DD771" s="39"/>
      <c r="DE771" s="39"/>
      <c r="DF771" s="39"/>
      <c r="DG771" s="39"/>
      <c r="DH771" s="39"/>
      <c r="DI771" s="39"/>
    </row>
    <row r="772" spans="1:113">
      <c r="A772" s="41"/>
      <c r="B772" s="42" t="s">
        <v>514</v>
      </c>
      <c r="C772" s="48" t="str">
        <f>C712</f>
        <v>Altice US</v>
      </c>
      <c r="D772" s="44" t="str">
        <f>D712</f>
        <v>US$2.1</v>
      </c>
      <c r="E772" s="44" t="str">
        <f>E712</f>
        <v>US$4.0</v>
      </c>
      <c r="F772" s="45">
        <f>F712</f>
        <v>0.86915887850467288</v>
      </c>
      <c r="G772" s="44" t="str">
        <f>G712</f>
        <v>Neutral</v>
      </c>
      <c r="H772" s="46"/>
      <c r="I772" s="47">
        <f>ATCUS!D$18/1000</f>
        <v>25.395776505000001</v>
      </c>
      <c r="J772" s="47">
        <f>ATCUS!E$18/1000</f>
        <v>25.385845036392329</v>
      </c>
      <c r="K772" s="47">
        <f>ATCUS!F$18/1000</f>
        <v>25.379319796998278</v>
      </c>
      <c r="L772" s="47">
        <f>ATCUS!G$18/1000</f>
        <v>25.255900732723177</v>
      </c>
      <c r="M772" s="45">
        <f t="shared" ref="M772:M777" si="201">(L772/I772)^(1/3)-1</f>
        <v>-1.8393263832103823E-3</v>
      </c>
      <c r="N772" s="46"/>
      <c r="O772" s="47">
        <f>ATCUS!L$26/1000</f>
        <v>0.97377650500000001</v>
      </c>
      <c r="P772" s="47">
        <f>ATCUS!M$26/1000</f>
        <v>0.97403739666310096</v>
      </c>
      <c r="Q772" s="47">
        <f>ATCUS!N$26/1000</f>
        <v>0.97450195120113614</v>
      </c>
      <c r="R772" s="47">
        <f>ATCUS!O$26/1000</f>
        <v>0.97496650573917165</v>
      </c>
      <c r="S772" s="45">
        <f t="shared" ref="S772:S777" si="202">(R772/O772)^(1/3)-1</f>
        <v>4.0718320759514093E-4</v>
      </c>
      <c r="T772" s="46"/>
      <c r="U772" s="48" t="str">
        <f>D772</f>
        <v>US$2.1</v>
      </c>
      <c r="V772" s="44" t="str">
        <f t="shared" ref="V772:V777" si="203">C772</f>
        <v>Altice US</v>
      </c>
      <c r="X772" s="43"/>
      <c r="Y772" s="76"/>
      <c r="BF772" s="39"/>
      <c r="BG772" s="39"/>
      <c r="BH772" s="39"/>
      <c r="BI772" s="39"/>
      <c r="BJ772" s="39"/>
      <c r="BK772" s="39"/>
      <c r="BL772" s="39"/>
      <c r="BM772" s="39"/>
      <c r="BN772" s="39"/>
      <c r="BO772" s="39"/>
      <c r="BP772" s="39"/>
      <c r="BQ772" s="39"/>
      <c r="BR772" s="39"/>
      <c r="BS772" s="39"/>
      <c r="BT772" s="39"/>
      <c r="BU772" s="39"/>
      <c r="BV772" s="39"/>
      <c r="BW772" s="39"/>
      <c r="BX772" s="39"/>
      <c r="BY772" s="39"/>
      <c r="BZ772" s="39"/>
      <c r="CA772" s="39"/>
      <c r="CB772" s="39"/>
      <c r="CC772" s="39"/>
      <c r="CD772" s="39"/>
      <c r="CE772" s="39"/>
      <c r="CF772" s="39"/>
      <c r="CG772" s="39"/>
      <c r="CH772" s="39"/>
      <c r="CI772" s="39"/>
      <c r="CJ772" s="39"/>
      <c r="CK772" s="39"/>
      <c r="CL772" s="39"/>
      <c r="CM772" s="39"/>
      <c r="CN772" s="39"/>
      <c r="CO772" s="39"/>
      <c r="CP772" s="39"/>
      <c r="CQ772" s="39"/>
      <c r="CR772" s="39"/>
      <c r="CS772" s="39"/>
      <c r="CT772" s="39"/>
      <c r="CU772" s="39"/>
      <c r="CV772" s="39"/>
      <c r="CW772" s="39"/>
      <c r="CX772" s="39"/>
      <c r="CY772" s="39"/>
      <c r="CZ772" s="39"/>
      <c r="DA772" s="39"/>
      <c r="DB772" s="39"/>
      <c r="DC772" s="39"/>
      <c r="DD772" s="39"/>
      <c r="DE772" s="39"/>
      <c r="DF772" s="39"/>
      <c r="DG772" s="39"/>
      <c r="DH772" s="39"/>
      <c r="DI772" s="39"/>
    </row>
    <row r="773" spans="1:113">
      <c r="A773" s="41"/>
      <c r="B773" s="42" t="s">
        <v>514</v>
      </c>
      <c r="C773" s="48" t="s">
        <v>306</v>
      </c>
      <c r="D773" s="44" t="str">
        <f>B773&amp;TEXT(Prices!$C$45,"0.0")</f>
        <v>US$330.8</v>
      </c>
      <c r="E773" s="44" t="str">
        <f>B773&amp;TEXT(Prices!$E$45,"0.0")</f>
        <v>US$581.0</v>
      </c>
      <c r="F773" s="45">
        <f>Prices!$F$45</f>
        <v>0.75645444101819947</v>
      </c>
      <c r="G773" s="44" t="str">
        <f>Prices!$D$45</f>
        <v>Buy</v>
      </c>
      <c r="H773" s="46"/>
      <c r="I773" s="47">
        <f>CHTR!D$18/1000</f>
        <v>151.84878044837998</v>
      </c>
      <c r="J773" s="47">
        <f>CHTR!E$18/1000</f>
        <v>150.38234398548485</v>
      </c>
      <c r="K773" s="47">
        <f>CHTR!F$18/1000</f>
        <v>148.94444839017311</v>
      </c>
      <c r="L773" s="47">
        <f>CHTR!G$18/1000</f>
        <v>147.85432422617654</v>
      </c>
      <c r="M773" s="45">
        <f t="shared" si="201"/>
        <v>-8.8465261361870828E-3</v>
      </c>
      <c r="N773" s="46"/>
      <c r="O773" s="47">
        <f>CHTR!L$26/1000</f>
        <v>54.780780448379993</v>
      </c>
      <c r="P773" s="47">
        <f>CHTR!M$26/1000</f>
        <v>50.531663514380789</v>
      </c>
      <c r="Q773" s="47">
        <f>CHTR!N$26/1000</f>
        <v>47.881179141516938</v>
      </c>
      <c r="R773" s="47">
        <f>CHTR!O$26/1000</f>
        <v>42.696513638343831</v>
      </c>
      <c r="S773" s="45">
        <f t="shared" si="202"/>
        <v>-7.9716999683671186E-2</v>
      </c>
      <c r="T773" s="46"/>
      <c r="U773" s="48" t="str">
        <f>D773</f>
        <v>US$330.8</v>
      </c>
      <c r="V773" s="44" t="str">
        <f t="shared" si="203"/>
        <v>Charter</v>
      </c>
      <c r="X773" s="43"/>
      <c r="Y773" s="76"/>
      <c r="BF773" s="39"/>
      <c r="BG773" s="39"/>
      <c r="BH773" s="39"/>
      <c r="BI773" s="39"/>
      <c r="BJ773" s="39"/>
      <c r="BK773" s="39"/>
      <c r="BL773" s="39"/>
      <c r="BM773" s="39"/>
      <c r="BN773" s="39"/>
      <c r="BO773" s="39"/>
      <c r="BP773" s="39"/>
      <c r="BQ773" s="39"/>
      <c r="BR773" s="39"/>
      <c r="BS773" s="39"/>
      <c r="BT773" s="39"/>
      <c r="BU773" s="39"/>
      <c r="BV773" s="39"/>
      <c r="BW773" s="39"/>
      <c r="BX773" s="39"/>
      <c r="BY773" s="39"/>
      <c r="BZ773" s="39"/>
      <c r="CA773" s="39"/>
      <c r="CB773" s="39"/>
      <c r="CC773" s="39"/>
      <c r="CD773" s="39"/>
      <c r="CE773" s="39"/>
      <c r="CF773" s="39"/>
      <c r="CG773" s="39"/>
      <c r="CH773" s="39"/>
      <c r="CI773" s="39"/>
      <c r="CJ773" s="39"/>
      <c r="CK773" s="39"/>
      <c r="CL773" s="39"/>
      <c r="CM773" s="39"/>
      <c r="CN773" s="39"/>
      <c r="CO773" s="39"/>
      <c r="CP773" s="39"/>
      <c r="CQ773" s="39"/>
      <c r="CR773" s="39"/>
      <c r="CS773" s="39"/>
      <c r="CT773" s="39"/>
      <c r="CU773" s="39"/>
      <c r="CV773" s="39"/>
      <c r="CW773" s="39"/>
      <c r="CX773" s="39"/>
      <c r="CY773" s="39"/>
      <c r="CZ773" s="39"/>
      <c r="DA773" s="39"/>
      <c r="DB773" s="39"/>
      <c r="DC773" s="39"/>
      <c r="DD773" s="39"/>
      <c r="DE773" s="39"/>
      <c r="DF773" s="39"/>
      <c r="DG773" s="39"/>
      <c r="DH773" s="39"/>
      <c r="DI773" s="39"/>
    </row>
    <row r="774" spans="1:113">
      <c r="A774" s="41"/>
      <c r="B774" s="42" t="s">
        <v>514</v>
      </c>
      <c r="C774" s="48" t="s">
        <v>304</v>
      </c>
      <c r="D774" s="44" t="str">
        <f>B774&amp;TEXT(Prices!$C$46,"0.0")</f>
        <v>US$39.8</v>
      </c>
      <c r="E774" s="44" t="str">
        <f>B774&amp;TEXT(Prices!$E$46,"0.0")</f>
        <v>US$50.0</v>
      </c>
      <c r="F774" s="45">
        <f>Prices!$F$46</f>
        <v>0.25628140703517599</v>
      </c>
      <c r="G774" s="44" t="str">
        <f>Prices!$D$46</f>
        <v>Buy</v>
      </c>
      <c r="H774" s="46"/>
      <c r="I774" s="47">
        <f>CMCSA!D$18/1000</f>
        <v>205.79882028495655</v>
      </c>
      <c r="J774" s="47">
        <f>CMCSA!E$18/1000</f>
        <v>197.32556051151681</v>
      </c>
      <c r="K774" s="47">
        <f>CMCSA!F$18/1000</f>
        <v>186.62629418903182</v>
      </c>
      <c r="L774" s="47">
        <f>CMCSA!G$18/1000</f>
        <v>176.30331130242314</v>
      </c>
      <c r="M774" s="45">
        <f t="shared" si="201"/>
        <v>-5.025752163318753E-2</v>
      </c>
      <c r="N774" s="46"/>
      <c r="O774" s="47">
        <f>CMCSA!L$26/1000</f>
        <v>165.13699810175402</v>
      </c>
      <c r="P774" s="47">
        <f>CMCSA!M$26/1000</f>
        <v>155.46602012280664</v>
      </c>
      <c r="Q774" s="47">
        <f>CMCSA!N$26/1000</f>
        <v>146.86071260705361</v>
      </c>
      <c r="R774" s="47">
        <f>CMCSA!O$26/1000</f>
        <v>136.99466134860117</v>
      </c>
      <c r="S774" s="45">
        <f t="shared" si="202"/>
        <v>-6.0378196492654856E-2</v>
      </c>
      <c r="T774" s="46"/>
      <c r="U774" s="48" t="str">
        <f>D774</f>
        <v>US$39.8</v>
      </c>
      <c r="V774" s="44" t="str">
        <f t="shared" si="203"/>
        <v>Comcast</v>
      </c>
      <c r="X774" s="43"/>
      <c r="Y774" s="76"/>
      <c r="BF774" s="39"/>
      <c r="BG774" s="39"/>
      <c r="BH774" s="39"/>
      <c r="BI774" s="39"/>
      <c r="BJ774" s="39"/>
      <c r="BK774" s="39"/>
      <c r="BL774" s="39"/>
      <c r="BM774" s="39"/>
      <c r="BN774" s="39"/>
      <c r="BO774" s="39"/>
      <c r="BP774" s="39"/>
      <c r="BQ774" s="39"/>
      <c r="BR774" s="39"/>
      <c r="BS774" s="39"/>
      <c r="BT774" s="39"/>
      <c r="BU774" s="39"/>
      <c r="BV774" s="39"/>
      <c r="BW774" s="39"/>
      <c r="BX774" s="39"/>
      <c r="BY774" s="39"/>
      <c r="BZ774" s="39"/>
      <c r="CA774" s="39"/>
      <c r="CB774" s="39"/>
      <c r="CC774" s="39"/>
      <c r="CD774" s="39"/>
      <c r="CE774" s="39"/>
      <c r="CF774" s="39"/>
      <c r="CG774" s="39"/>
      <c r="CH774" s="39"/>
      <c r="CI774" s="39"/>
      <c r="CJ774" s="39"/>
      <c r="CK774" s="39"/>
      <c r="CL774" s="39"/>
      <c r="CM774" s="39"/>
      <c r="CN774" s="39"/>
      <c r="CO774" s="39"/>
      <c r="CP774" s="39"/>
      <c r="CQ774" s="39"/>
      <c r="CR774" s="39"/>
      <c r="CS774" s="39"/>
      <c r="CT774" s="39"/>
      <c r="CU774" s="39"/>
      <c r="CV774" s="39"/>
      <c r="CW774" s="39"/>
      <c r="CX774" s="39"/>
      <c r="CY774" s="39"/>
      <c r="CZ774" s="39"/>
      <c r="DA774" s="39"/>
      <c r="DB774" s="39"/>
      <c r="DC774" s="39"/>
      <c r="DD774" s="39"/>
      <c r="DE774" s="39"/>
      <c r="DF774" s="39"/>
      <c r="DG774" s="39"/>
      <c r="DH774" s="39"/>
      <c r="DI774" s="39"/>
    </row>
    <row r="775" spans="1:113">
      <c r="A775" s="41"/>
      <c r="B775" s="42" t="s">
        <v>522</v>
      </c>
      <c r="C775" s="48" t="s">
        <v>1602</v>
      </c>
      <c r="D775" s="44" t="str">
        <f>B775&amp;TEXT(Prices!C$47,"0.0")</f>
        <v>US$ 35.0</v>
      </c>
      <c r="E775" s="44" t="str">
        <f>B775&amp;TEXT(Prices!E$47,"0.0")</f>
        <v>US$ 54.0</v>
      </c>
      <c r="F775" s="45">
        <f>Prices!F$47</f>
        <v>0.54285714285714293</v>
      </c>
      <c r="G775" s="44" t="str">
        <f>Prices!D$47</f>
        <v>Buy</v>
      </c>
      <c r="H775" s="46"/>
      <c r="I775" s="47">
        <f>(FYBR!D$18/1000)</f>
        <v>19.528639318274173</v>
      </c>
      <c r="J775" s="47">
        <f>(FYBR!E$18/1000)</f>
        <v>19.000460169708997</v>
      </c>
      <c r="K775" s="47">
        <f>(FYBR!F$18/1000)</f>
        <v>19.796269274836355</v>
      </c>
      <c r="L775" s="47">
        <f>(FYBR!G$18/1000)</f>
        <v>19.581837545619425</v>
      </c>
      <c r="M775" s="45">
        <f t="shared" si="201"/>
        <v>9.0721450091768574E-4</v>
      </c>
      <c r="N775" s="46"/>
      <c r="O775" s="47">
        <f>(FYBR!L$26/1000)</f>
        <v>8.6006393182741725</v>
      </c>
      <c r="P775" s="47">
        <f>(FYBR!M$26/1000)</f>
        <v>8.5757349999999981</v>
      </c>
      <c r="Q775" s="47">
        <f>(FYBR!N$26/1000)</f>
        <v>8.5757349999999981</v>
      </c>
      <c r="R775" s="47">
        <f>(FYBR!O$26/1000)</f>
        <v>8.5757349999999981</v>
      </c>
      <c r="S775" s="45">
        <f t="shared" si="202"/>
        <v>-9.6614503644754102E-4</v>
      </c>
      <c r="T775" s="46"/>
      <c r="U775" s="48" t="str">
        <f>D775</f>
        <v>US$ 35.0</v>
      </c>
      <c r="V775" s="44" t="str">
        <f t="shared" si="203"/>
        <v>Frontier</v>
      </c>
      <c r="BF775" s="39"/>
      <c r="BG775" s="39"/>
      <c r="BH775" s="39"/>
      <c r="BI775" s="39"/>
      <c r="BJ775" s="39"/>
      <c r="BK775" s="39"/>
      <c r="BL775" s="39"/>
      <c r="BM775" s="39"/>
      <c r="BN775" s="39"/>
      <c r="BO775" s="39"/>
      <c r="BP775" s="39"/>
      <c r="BQ775" s="39"/>
      <c r="BR775" s="39"/>
      <c r="BS775" s="39"/>
      <c r="BT775" s="39"/>
      <c r="BU775" s="39"/>
      <c r="BV775" s="39"/>
      <c r="BW775" s="39"/>
      <c r="BX775" s="39"/>
      <c r="BY775" s="39"/>
      <c r="BZ775" s="39"/>
      <c r="CA775" s="39"/>
      <c r="CB775" s="39"/>
      <c r="CC775" s="39"/>
      <c r="CD775" s="39"/>
      <c r="CE775" s="39"/>
      <c r="CF775" s="39"/>
      <c r="CG775" s="39"/>
      <c r="CH775" s="39"/>
      <c r="CI775" s="39"/>
      <c r="CJ775" s="39"/>
      <c r="CK775" s="39"/>
      <c r="CL775" s="39"/>
      <c r="CM775" s="39"/>
      <c r="CN775" s="39"/>
      <c r="CO775" s="39"/>
      <c r="CP775" s="39"/>
      <c r="CQ775" s="39"/>
      <c r="CR775" s="39"/>
      <c r="CS775" s="39"/>
      <c r="CT775" s="39"/>
      <c r="CU775" s="39"/>
      <c r="CV775" s="39"/>
      <c r="CW775" s="39"/>
      <c r="CX775" s="39"/>
      <c r="CY775" s="39"/>
      <c r="CZ775" s="39"/>
      <c r="DA775" s="39"/>
      <c r="DB775" s="39"/>
      <c r="DC775" s="39"/>
      <c r="DD775" s="39"/>
      <c r="DE775" s="39"/>
      <c r="DF775" s="39"/>
      <c r="DG775" s="39"/>
      <c r="DH775" s="39"/>
      <c r="DI775" s="39"/>
    </row>
    <row r="776" spans="1:113">
      <c r="A776" s="41"/>
      <c r="B776" s="42" t="s">
        <v>522</v>
      </c>
      <c r="C776" s="48" t="s">
        <v>1603</v>
      </c>
      <c r="D776" s="44" t="str">
        <f>B776&amp;TEXT(Prices!C$48,"0.0")</f>
        <v>US$ 22.3</v>
      </c>
      <c r="E776" s="44" t="str">
        <f>B776&amp;TEXT(Prices!E$48,"0.0")</f>
        <v>US$ 100.0</v>
      </c>
      <c r="F776" s="45">
        <f>Prices!F$48</f>
        <v>3.4883303411131061</v>
      </c>
      <c r="G776" s="44" t="str">
        <f>Prices!D$48</f>
        <v>Buy</v>
      </c>
      <c r="H776" s="46"/>
      <c r="I776" s="47">
        <f>(SATS!D$18/1000)</f>
        <v>26.690330253739624</v>
      </c>
      <c r="J776" s="47">
        <f>(SATS!E$18/1000)</f>
        <v>26.168655751654775</v>
      </c>
      <c r="K776" s="47">
        <f>(SATS!F$18/1000)</f>
        <v>25.24732098525735</v>
      </c>
      <c r="L776" s="47">
        <f>(SATS!G$18/1000)</f>
        <v>21.01186387242797</v>
      </c>
      <c r="M776" s="45">
        <f t="shared" si="201"/>
        <v>-7.6641800076951094E-2</v>
      </c>
      <c r="N776" s="46"/>
      <c r="O776" s="47">
        <f>(SATS!L$26/1000)</f>
        <v>6.043009921385039</v>
      </c>
      <c r="P776" s="47">
        <f>(SATS!M$26/1000)</f>
        <v>6.043009921385039</v>
      </c>
      <c r="Q776" s="47">
        <f>(SATS!N$26/1000)</f>
        <v>6.043009921385039</v>
      </c>
      <c r="R776" s="47">
        <f>(SATS!O$26/1000)</f>
        <v>6.043009921385039</v>
      </c>
      <c r="S776" s="45">
        <f t="shared" si="202"/>
        <v>0</v>
      </c>
      <c r="T776" s="46"/>
      <c r="U776" s="48" t="str">
        <f>D776</f>
        <v>US$ 22.3</v>
      </c>
      <c r="V776" s="44" t="str">
        <f t="shared" si="203"/>
        <v>EchoStar</v>
      </c>
      <c r="BF776" s="39"/>
      <c r="BG776" s="39"/>
      <c r="BH776" s="39"/>
      <c r="BI776" s="39"/>
      <c r="BJ776" s="39"/>
      <c r="BK776" s="39"/>
      <c r="BL776" s="39"/>
      <c r="BM776" s="39"/>
      <c r="BN776" s="39"/>
      <c r="BO776" s="39"/>
      <c r="BP776" s="39"/>
      <c r="BQ776" s="39"/>
      <c r="BR776" s="39"/>
      <c r="BS776" s="39"/>
      <c r="BT776" s="39"/>
      <c r="BU776" s="39"/>
      <c r="BV776" s="39"/>
      <c r="BW776" s="39"/>
      <c r="BX776" s="39"/>
      <c r="BY776" s="39"/>
      <c r="BZ776" s="39"/>
      <c r="CA776" s="39"/>
      <c r="CB776" s="39"/>
      <c r="CC776" s="39"/>
      <c r="CD776" s="39"/>
      <c r="CE776" s="39"/>
      <c r="CF776" s="39"/>
      <c r="CG776" s="39"/>
      <c r="CH776" s="39"/>
      <c r="CI776" s="39"/>
      <c r="CJ776" s="39"/>
      <c r="CK776" s="39"/>
      <c r="CL776" s="39"/>
      <c r="CM776" s="39"/>
      <c r="CN776" s="39"/>
      <c r="CO776" s="39"/>
      <c r="CP776" s="39"/>
      <c r="CQ776" s="39"/>
      <c r="CR776" s="39"/>
      <c r="CS776" s="39"/>
      <c r="CT776" s="39"/>
      <c r="CU776" s="39"/>
      <c r="CV776" s="39"/>
      <c r="CW776" s="39"/>
      <c r="CX776" s="39"/>
      <c r="CY776" s="39"/>
      <c r="CZ776" s="39"/>
      <c r="DA776" s="39"/>
      <c r="DB776" s="39"/>
      <c r="DC776" s="39"/>
      <c r="DD776" s="39"/>
      <c r="DE776" s="39"/>
      <c r="DF776" s="39"/>
      <c r="DG776" s="39"/>
      <c r="DH776" s="39"/>
      <c r="DI776" s="39"/>
    </row>
    <row r="777" spans="1:113">
      <c r="A777" s="41"/>
      <c r="C777" s="51" t="str">
        <f>C717</f>
        <v>Agg. US Other</v>
      </c>
      <c r="D777" s="58"/>
      <c r="E777" s="58"/>
      <c r="F777" s="55"/>
      <c r="G777" s="58"/>
      <c r="H777" s="56"/>
      <c r="I777" s="54">
        <f>('US OTHER'!D$18/1000)</f>
        <v>429.26234681035032</v>
      </c>
      <c r="J777" s="54">
        <f>('US OTHER'!E$18/1000)</f>
        <v>418.26286545475779</v>
      </c>
      <c r="K777" s="54">
        <f>('US OTHER'!F$18/1000)</f>
        <v>405.99365263629693</v>
      </c>
      <c r="L777" s="54">
        <f>('US OTHER'!G$18/1000)</f>
        <v>390.00723767937023</v>
      </c>
      <c r="M777" s="55">
        <f t="shared" si="201"/>
        <v>-3.1462091372846723E-2</v>
      </c>
      <c r="N777" s="56"/>
      <c r="O777" s="66">
        <f>('US OTHER'!L$26/1000)</f>
        <v>219.91777855013402</v>
      </c>
      <c r="P777" s="66">
        <f>('US OTHER'!M$26/1000)</f>
        <v>205.99768363718741</v>
      </c>
      <c r="Q777" s="66">
        <f>('US OTHER'!N$26/1000)</f>
        <v>194.74189174857054</v>
      </c>
      <c r="R777" s="66">
        <f>('US OTHER'!O$26/1000)</f>
        <v>179.69117498694499</v>
      </c>
      <c r="S777" s="55">
        <f t="shared" si="202"/>
        <v>-6.5120859846637735E-2</v>
      </c>
      <c r="T777" s="56"/>
      <c r="U777" s="51"/>
      <c r="V777" s="58" t="str">
        <f t="shared" si="203"/>
        <v>Agg. US Other</v>
      </c>
      <c r="BF777" s="39"/>
      <c r="BG777" s="39"/>
      <c r="BH777" s="39"/>
      <c r="BI777" s="39"/>
      <c r="BJ777" s="39"/>
      <c r="BK777" s="39"/>
      <c r="BL777" s="39"/>
      <c r="BM777" s="39"/>
      <c r="BN777" s="39"/>
      <c r="BO777" s="39"/>
      <c r="BP777" s="39"/>
      <c r="BQ777" s="39"/>
      <c r="BR777" s="39"/>
      <c r="BS777" s="39"/>
      <c r="BT777" s="39"/>
      <c r="BU777" s="39"/>
      <c r="BV777" s="39"/>
      <c r="BW777" s="39"/>
      <c r="BX777" s="39"/>
      <c r="BY777" s="39"/>
      <c r="BZ777" s="39"/>
      <c r="CA777" s="39"/>
      <c r="CB777" s="39"/>
      <c r="CC777" s="39"/>
      <c r="CD777" s="39"/>
      <c r="CE777" s="39"/>
      <c r="CF777" s="39"/>
      <c r="CG777" s="39"/>
      <c r="CH777" s="39"/>
      <c r="CI777" s="39"/>
      <c r="CJ777" s="39"/>
      <c r="CK777" s="39"/>
      <c r="CL777" s="39"/>
      <c r="CM777" s="39"/>
      <c r="CN777" s="39"/>
      <c r="CO777" s="39"/>
      <c r="CP777" s="39"/>
      <c r="CQ777" s="39"/>
      <c r="CR777" s="39"/>
      <c r="CS777" s="39"/>
      <c r="CT777" s="39"/>
      <c r="CU777" s="39"/>
      <c r="CV777" s="39"/>
      <c r="CW777" s="39"/>
      <c r="CX777" s="39"/>
      <c r="CY777" s="39"/>
      <c r="CZ777" s="39"/>
      <c r="DA777" s="39"/>
      <c r="DB777" s="39"/>
      <c r="DC777" s="39"/>
      <c r="DD777" s="39"/>
      <c r="DE777" s="39"/>
      <c r="DF777" s="39"/>
      <c r="DG777" s="39"/>
      <c r="DH777" s="39"/>
      <c r="DI777" s="39"/>
    </row>
    <row r="778" spans="1:113">
      <c r="A778" s="41"/>
      <c r="C778" s="48"/>
      <c r="D778" s="44"/>
      <c r="E778" s="44"/>
      <c r="F778" s="45"/>
      <c r="G778" s="44"/>
      <c r="H778" s="46"/>
      <c r="I778" s="47"/>
      <c r="J778" s="47"/>
      <c r="K778" s="47"/>
      <c r="L778" s="47"/>
      <c r="M778" s="45"/>
      <c r="N778" s="46"/>
      <c r="O778" s="47"/>
      <c r="P778" s="47"/>
      <c r="Q778" s="47"/>
      <c r="R778" s="47"/>
      <c r="S778" s="45"/>
      <c r="T778" s="46"/>
      <c r="U778" s="48"/>
      <c r="V778" s="44"/>
      <c r="X778" s="43"/>
      <c r="Y778" s="76"/>
      <c r="BF778" s="39"/>
      <c r="BG778" s="39"/>
      <c r="BH778" s="39"/>
      <c r="BI778" s="39"/>
      <c r="BJ778" s="39"/>
      <c r="BK778" s="39"/>
      <c r="BL778" s="39"/>
      <c r="BM778" s="39"/>
      <c r="BN778" s="39"/>
      <c r="BO778" s="39"/>
      <c r="BP778" s="39"/>
      <c r="BQ778" s="39"/>
      <c r="BR778" s="39"/>
      <c r="BS778" s="39"/>
      <c r="BT778" s="39"/>
      <c r="BU778" s="39"/>
      <c r="BV778" s="39"/>
      <c r="BW778" s="39"/>
      <c r="BX778" s="39"/>
      <c r="BY778" s="39"/>
      <c r="BZ778" s="39"/>
      <c r="CA778" s="39"/>
      <c r="CB778" s="39"/>
      <c r="CC778" s="39"/>
      <c r="CD778" s="39"/>
      <c r="CE778" s="39"/>
      <c r="CF778" s="39"/>
      <c r="CG778" s="39"/>
      <c r="CH778" s="39"/>
      <c r="CI778" s="39"/>
      <c r="CJ778" s="39"/>
      <c r="CK778" s="39"/>
      <c r="CL778" s="39"/>
      <c r="CM778" s="39"/>
      <c r="CN778" s="39"/>
      <c r="CO778" s="39"/>
      <c r="CP778" s="39"/>
      <c r="CQ778" s="39"/>
      <c r="CR778" s="39"/>
      <c r="CS778" s="39"/>
      <c r="CT778" s="39"/>
      <c r="CU778" s="39"/>
      <c r="CV778" s="39"/>
      <c r="CW778" s="39"/>
      <c r="CX778" s="39"/>
      <c r="CY778" s="39"/>
      <c r="CZ778" s="39"/>
      <c r="DA778" s="39"/>
      <c r="DB778" s="39"/>
      <c r="DC778" s="39"/>
      <c r="DD778" s="39"/>
      <c r="DE778" s="39"/>
      <c r="DF778" s="39"/>
      <c r="DG778" s="39"/>
      <c r="DH778" s="39"/>
      <c r="DI778" s="39"/>
    </row>
    <row r="779" spans="1:113">
      <c r="C779" s="48"/>
      <c r="D779" s="44"/>
      <c r="E779" s="44"/>
      <c r="F779" s="45"/>
      <c r="G779" s="44"/>
      <c r="H779" s="46"/>
      <c r="I779" s="47"/>
      <c r="J779" s="47"/>
      <c r="K779" s="47"/>
      <c r="L779" s="47"/>
      <c r="M779" s="45"/>
      <c r="N779" s="46"/>
      <c r="O779" s="47"/>
      <c r="P779" s="47"/>
      <c r="Q779" s="47"/>
      <c r="R779" s="47"/>
      <c r="S779" s="45"/>
      <c r="T779" s="46"/>
      <c r="U779" s="48"/>
      <c r="V779" s="44"/>
      <c r="BF779" s="39"/>
      <c r="BG779" s="39"/>
      <c r="BH779" s="39"/>
      <c r="BI779" s="39"/>
      <c r="BJ779" s="39"/>
      <c r="BK779" s="39"/>
      <c r="BL779" s="39"/>
      <c r="BM779" s="39"/>
      <c r="BN779" s="39"/>
      <c r="BO779" s="39"/>
      <c r="BP779" s="39"/>
      <c r="BQ779" s="39"/>
      <c r="BR779" s="39"/>
      <c r="BS779" s="39"/>
      <c r="BT779" s="39"/>
      <c r="BU779" s="39"/>
      <c r="BV779" s="39"/>
      <c r="BW779" s="39"/>
      <c r="BX779" s="39"/>
      <c r="BY779" s="39"/>
      <c r="BZ779" s="39"/>
      <c r="CA779" s="39"/>
      <c r="CB779" s="39"/>
      <c r="CC779" s="39"/>
      <c r="CD779" s="39"/>
      <c r="CE779" s="39"/>
      <c r="CF779" s="39"/>
      <c r="CG779" s="39"/>
      <c r="CH779" s="39"/>
      <c r="CI779" s="39"/>
      <c r="CJ779" s="39"/>
      <c r="CK779" s="39"/>
      <c r="CL779" s="39"/>
      <c r="CM779" s="39"/>
      <c r="CN779" s="39"/>
      <c r="CO779" s="39"/>
      <c r="CP779" s="39"/>
      <c r="CQ779" s="39"/>
      <c r="CR779" s="39"/>
      <c r="CS779" s="39"/>
      <c r="CT779" s="39"/>
      <c r="CU779" s="39"/>
      <c r="CV779" s="39"/>
      <c r="CW779" s="39"/>
      <c r="CX779" s="39"/>
      <c r="CY779" s="39"/>
      <c r="CZ779" s="39"/>
      <c r="DA779" s="39"/>
      <c r="DB779" s="39"/>
      <c r="DC779" s="39"/>
      <c r="DD779" s="39"/>
      <c r="DE779" s="39"/>
      <c r="DF779" s="39"/>
      <c r="DG779" s="39"/>
      <c r="DH779" s="39"/>
      <c r="DI779" s="39"/>
    </row>
    <row r="780" spans="1:113">
      <c r="C780" s="51" t="str">
        <f>C720</f>
        <v>Agg. W Europe</v>
      </c>
      <c r="D780" s="52"/>
      <c r="E780" s="52"/>
      <c r="F780" s="53"/>
      <c r="G780" s="52"/>
      <c r="H780" s="46"/>
      <c r="I780" s="54">
        <f>'W.EUR AGG'!$D$18/1000</f>
        <v>813.98220959964942</v>
      </c>
      <c r="J780" s="54">
        <f>'W.EUR AGG'!$E$18/1000</f>
        <v>785.59096096538099</v>
      </c>
      <c r="K780" s="54">
        <f>'W.EUR AGG'!$F$18/1000</f>
        <v>765.41844905054973</v>
      </c>
      <c r="L780" s="54">
        <f>'W.EUR AGG'!$G$18/1000</f>
        <v>745.99427988230855</v>
      </c>
      <c r="M780" s="55">
        <f>(L780/I780)^(1/3)-1</f>
        <v>-2.8654957203011922E-2</v>
      </c>
      <c r="N780" s="56"/>
      <c r="O780" s="54">
        <f>'W.EUR AGG'!L$26/1000</f>
        <v>404.0846408697077</v>
      </c>
      <c r="P780" s="54">
        <f>'W.EUR AGG'!M$26/1000</f>
        <v>398.06663012659538</v>
      </c>
      <c r="Q780" s="54">
        <f>'W.EUR AGG'!N$26/1000</f>
        <v>394.50718126324983</v>
      </c>
      <c r="R780" s="54">
        <f>'W.EUR AGG'!O$26/1000</f>
        <v>389.23130851236743</v>
      </c>
      <c r="S780" s="55">
        <f>(R780/O780)^(1/3)-1</f>
        <v>-1.2405928302190228E-2</v>
      </c>
      <c r="T780" s="46"/>
      <c r="U780" s="57"/>
      <c r="V780" s="58" t="str">
        <f>V720</f>
        <v>Agg. W Europe</v>
      </c>
      <c r="BF780" s="39"/>
      <c r="BG780" s="39"/>
      <c r="BH780" s="39"/>
      <c r="BI780" s="39"/>
      <c r="BJ780" s="39"/>
      <c r="BK780" s="39"/>
      <c r="BL780" s="39"/>
      <c r="BM780" s="39"/>
      <c r="BN780" s="39"/>
      <c r="BO780" s="39"/>
      <c r="BP780" s="39"/>
      <c r="BQ780" s="39"/>
      <c r="BR780" s="39"/>
      <c r="BS780" s="39"/>
      <c r="BT780" s="39"/>
      <c r="BU780" s="39"/>
      <c r="BV780" s="39"/>
      <c r="BW780" s="39"/>
      <c r="BX780" s="39"/>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row>
    <row r="781" spans="1:113">
      <c r="C781" s="41" t="s">
        <v>1608</v>
      </c>
      <c r="D781" s="44"/>
      <c r="E781" s="44"/>
      <c r="F781" s="45"/>
      <c r="G781" s="44"/>
      <c r="H781" s="46"/>
      <c r="I781" s="60">
        <f>'US AGG'!D$18/1000</f>
        <v>1578.4325164336124</v>
      </c>
      <c r="J781" s="60">
        <f>'US AGG'!E$18/1000</f>
        <v>1516.7148487380102</v>
      </c>
      <c r="K781" s="60">
        <f>'US AGG'!F$18/1000</f>
        <v>1439.0693127804636</v>
      </c>
      <c r="L781" s="60">
        <f>'US AGG'!G$18/1000</f>
        <v>1359.2043592798539</v>
      </c>
      <c r="M781" s="59">
        <f>(L781/I781)^(1/3)-1</f>
        <v>-4.8622418790341793E-2</v>
      </c>
      <c r="N781" s="56"/>
      <c r="O781" s="60">
        <f>'US AGG'!L$26/1000</f>
        <v>999.82780209103294</v>
      </c>
      <c r="P781" s="60">
        <f>'US AGG'!M$26/1000</f>
        <v>968.81216573149277</v>
      </c>
      <c r="Q781" s="60">
        <f>'US AGG'!N$26/1000</f>
        <v>932.34504481152169</v>
      </c>
      <c r="R781" s="60">
        <f>'US AGG'!O$26/1000</f>
        <v>893.61580730815251</v>
      </c>
      <c r="S781" s="59">
        <f>(R781/O781)^(1/3)-1</f>
        <v>-3.6743656255991519E-2</v>
      </c>
      <c r="T781" s="46"/>
      <c r="U781" s="48"/>
      <c r="V781" s="50" t="str">
        <f>V721</f>
        <v>Agg. US</v>
      </c>
      <c r="AA781" s="137"/>
      <c r="BF781" s="39"/>
      <c r="BG781" s="39"/>
      <c r="BH781" s="39"/>
      <c r="BI781" s="39"/>
      <c r="BJ781" s="39"/>
      <c r="BK781" s="39"/>
      <c r="BL781" s="39"/>
      <c r="BM781" s="39"/>
      <c r="BN781" s="39"/>
      <c r="BO781" s="39"/>
      <c r="BP781" s="39"/>
      <c r="BQ781" s="39"/>
      <c r="BR781" s="39"/>
      <c r="BS781" s="39"/>
      <c r="BT781" s="39"/>
      <c r="BU781" s="39"/>
      <c r="BV781" s="39"/>
      <c r="BW781" s="39"/>
      <c r="BX781" s="39"/>
      <c r="BY781" s="39"/>
      <c r="BZ781" s="39"/>
      <c r="CA781" s="39"/>
      <c r="CB781" s="39"/>
      <c r="CC781" s="39"/>
      <c r="CD781" s="39"/>
      <c r="CE781" s="39"/>
      <c r="CF781" s="39"/>
      <c r="CG781" s="39"/>
      <c r="CH781" s="39"/>
      <c r="CI781" s="39"/>
      <c r="CJ781" s="39"/>
      <c r="CK781" s="39"/>
      <c r="CL781" s="39"/>
      <c r="CM781" s="39"/>
      <c r="CN781" s="39"/>
      <c r="CO781" s="39"/>
      <c r="CP781" s="39"/>
      <c r="CQ781" s="39"/>
      <c r="CR781" s="39"/>
      <c r="CS781" s="39"/>
      <c r="CT781" s="39"/>
      <c r="CU781" s="39"/>
      <c r="CV781" s="39"/>
      <c r="CW781" s="39"/>
      <c r="CX781" s="39"/>
      <c r="CY781" s="39"/>
      <c r="CZ781" s="39"/>
      <c r="DA781" s="39"/>
      <c r="DB781" s="39"/>
      <c r="DC781" s="39"/>
      <c r="DD781" s="39"/>
      <c r="DE781" s="39"/>
      <c r="DF781" s="39"/>
      <c r="DG781" s="39"/>
      <c r="DH781" s="39"/>
      <c r="DI781" s="39"/>
    </row>
    <row r="782" spans="1:113">
      <c r="C782" s="67" t="str">
        <f>C722</f>
        <v xml:space="preserve">Agg. Developed Asia </v>
      </c>
      <c r="D782" s="52"/>
      <c r="E782" s="52"/>
      <c r="F782" s="53"/>
      <c r="G782" s="52"/>
      <c r="H782" s="46"/>
      <c r="I782" s="54">
        <f>'AGG DM ASIA'!$D$18/1000</f>
        <v>455.80276696106392</v>
      </c>
      <c r="J782" s="54">
        <f>'AGG DM ASIA'!$E$18/1000</f>
        <v>446.1992785374639</v>
      </c>
      <c r="K782" s="54">
        <f>'AGG DM ASIA'!$F$18/1000</f>
        <v>423.60784139804662</v>
      </c>
      <c r="L782" s="54">
        <f>'AGG DM ASIA'!$G$18/1000</f>
        <v>399.11686545441268</v>
      </c>
      <c r="M782" s="55">
        <f>(L782/I782)^(1/3)-1</f>
        <v>-4.3303083304793821E-2</v>
      </c>
      <c r="N782" s="56"/>
      <c r="O782" s="54">
        <f>'AGG DM ASIA'!L$26/1000</f>
        <v>304.1519322047144</v>
      </c>
      <c r="P782" s="54">
        <f>'AGG DM ASIA'!M$26/1000</f>
        <v>301.50959361369576</v>
      </c>
      <c r="Q782" s="54">
        <f>'AGG DM ASIA'!N$26/1000</f>
        <v>294.05399812140058</v>
      </c>
      <c r="R782" s="54">
        <f>'AGG DM ASIA'!O$26/1000</f>
        <v>286.43782954477456</v>
      </c>
      <c r="S782" s="55">
        <f>(R782/O782)^(1/3)-1</f>
        <v>-1.980323506805004E-2</v>
      </c>
      <c r="T782" s="46"/>
      <c r="U782" s="57"/>
      <c r="V782" s="58" t="str">
        <f>V722</f>
        <v xml:space="preserve">Agg. Developed Asia </v>
      </c>
      <c r="AA782" s="65"/>
      <c r="BF782" s="39"/>
      <c r="BG782" s="39"/>
      <c r="BH782" s="39"/>
      <c r="BI782" s="39"/>
      <c r="BJ782" s="39"/>
      <c r="BK782" s="39"/>
      <c r="BL782" s="39"/>
      <c r="BM782" s="39"/>
      <c r="BN782" s="39"/>
      <c r="BO782" s="39"/>
      <c r="BP782" s="39"/>
      <c r="BQ782" s="39"/>
      <c r="BR782" s="39"/>
      <c r="BS782" s="39"/>
      <c r="BT782" s="39"/>
      <c r="BU782" s="39"/>
      <c r="BV782" s="39"/>
      <c r="BW782" s="39"/>
      <c r="BX782" s="39"/>
      <c r="BY782" s="39"/>
      <c r="BZ782" s="39"/>
      <c r="CA782" s="39"/>
      <c r="CB782" s="39"/>
      <c r="CC782" s="39"/>
      <c r="CD782" s="39"/>
      <c r="CE782" s="39"/>
      <c r="CF782" s="39"/>
      <c r="CG782" s="39"/>
      <c r="CH782" s="39"/>
      <c r="CI782" s="39"/>
      <c r="CJ782" s="39"/>
      <c r="CK782" s="39"/>
      <c r="CL782" s="39"/>
      <c r="CM782" s="39"/>
      <c r="CN782" s="39"/>
      <c r="CO782" s="39"/>
      <c r="CP782" s="39"/>
      <c r="CQ782" s="39"/>
      <c r="CR782" s="39"/>
      <c r="CS782" s="39"/>
      <c r="CT782" s="39"/>
      <c r="CU782" s="39"/>
      <c r="CV782" s="39"/>
      <c r="CW782" s="39"/>
      <c r="CX782" s="39"/>
      <c r="CY782" s="39"/>
      <c r="CZ782" s="39"/>
      <c r="DA782" s="39"/>
      <c r="DB782" s="39"/>
      <c r="DC782" s="39"/>
      <c r="DD782" s="39"/>
      <c r="DE782" s="39"/>
      <c r="DF782" s="39"/>
      <c r="DG782" s="39"/>
      <c r="DH782" s="39"/>
      <c r="DI782" s="39"/>
    </row>
    <row r="783" spans="1:113">
      <c r="C783" s="41"/>
      <c r="D783" s="44"/>
      <c r="E783" s="44"/>
      <c r="F783" s="45"/>
      <c r="G783" s="44"/>
      <c r="H783" s="46"/>
      <c r="I783" s="60"/>
      <c r="J783" s="60"/>
      <c r="K783" s="60"/>
      <c r="L783" s="60"/>
      <c r="M783" s="59"/>
      <c r="N783" s="56"/>
      <c r="O783" s="60"/>
      <c r="P783" s="60"/>
      <c r="Q783" s="60"/>
      <c r="R783" s="60"/>
      <c r="S783" s="59"/>
      <c r="T783" s="46"/>
      <c r="U783" s="48"/>
      <c r="V783" s="50"/>
      <c r="X783" s="43"/>
      <c r="Y783" s="76"/>
      <c r="BF783" s="39"/>
      <c r="BG783" s="39"/>
      <c r="BH783" s="39"/>
      <c r="BI783" s="39"/>
      <c r="BJ783" s="39"/>
      <c r="BK783" s="39"/>
      <c r="BL783" s="39"/>
      <c r="BM783" s="39"/>
      <c r="BN783" s="39"/>
      <c r="BO783" s="39"/>
      <c r="BP783" s="39"/>
      <c r="BQ783" s="39"/>
      <c r="BR783" s="39"/>
      <c r="BS783" s="39"/>
      <c r="BT783" s="39"/>
      <c r="BU783" s="39"/>
      <c r="BV783" s="39"/>
      <c r="BW783" s="39"/>
      <c r="BX783" s="39"/>
      <c r="BY783" s="39"/>
      <c r="BZ783" s="39"/>
      <c r="CA783" s="39"/>
      <c r="CB783" s="39"/>
      <c r="CC783" s="39"/>
      <c r="CD783" s="39"/>
      <c r="CE783" s="39"/>
      <c r="CF783" s="39"/>
      <c r="CG783" s="39"/>
      <c r="CH783" s="39"/>
      <c r="CI783" s="39"/>
      <c r="CJ783" s="39"/>
      <c r="CK783" s="39"/>
      <c r="CL783" s="39"/>
      <c r="CM783" s="39"/>
      <c r="CN783" s="39"/>
      <c r="CO783" s="39"/>
      <c r="CP783" s="39"/>
      <c r="CQ783" s="39"/>
      <c r="CR783" s="39"/>
      <c r="CS783" s="39"/>
      <c r="CT783" s="39"/>
      <c r="CU783" s="39"/>
      <c r="CV783" s="39"/>
      <c r="CW783" s="39"/>
      <c r="CX783" s="39"/>
      <c r="CY783" s="39"/>
      <c r="CZ783" s="39"/>
      <c r="DA783" s="39"/>
      <c r="DB783" s="39"/>
      <c r="DC783" s="39"/>
      <c r="DD783" s="39"/>
      <c r="DE783" s="39"/>
      <c r="DF783" s="39"/>
      <c r="DG783" s="39"/>
      <c r="DH783" s="39"/>
      <c r="DI783" s="39"/>
    </row>
    <row r="784" spans="1:113">
      <c r="C784" s="67" t="str">
        <f>C724</f>
        <v>Agg. Global Developed</v>
      </c>
      <c r="D784" s="52"/>
      <c r="E784" s="52"/>
      <c r="F784" s="53"/>
      <c r="G784" s="52"/>
      <c r="H784" s="46"/>
      <c r="I784" s="54">
        <f>'AGG DM'!$D$18/1000</f>
        <v>2938.8239690986074</v>
      </c>
      <c r="J784" s="54">
        <f>'AGG DM'!$E$18/1000</f>
        <v>2835.95126064241</v>
      </c>
      <c r="K784" s="54">
        <f>'AGG DM'!$F$18/1000</f>
        <v>2713.2963208808442</v>
      </c>
      <c r="L784" s="54">
        <f>'AGG DM'!$G$18/1000</f>
        <v>2587.3540674954024</v>
      </c>
      <c r="M784" s="55">
        <f>(L784/I784)^(1/3)-1</f>
        <v>-4.156919588559671E-2</v>
      </c>
      <c r="N784" s="56"/>
      <c r="O784" s="54">
        <f>'AGG DM'!L$26/1000</f>
        <v>1753.0440871607284</v>
      </c>
      <c r="P784" s="54">
        <f>'AGG DM'!M$26/1000</f>
        <v>1712.6982210444137</v>
      </c>
      <c r="Q784" s="54">
        <f>'AGG DM'!N$26/1000</f>
        <v>1664.8198442612556</v>
      </c>
      <c r="R784" s="54">
        <f>'AGG DM'!O$26/1000</f>
        <v>1612.6112943172081</v>
      </c>
      <c r="S784" s="55">
        <f>(R784/O784)^(1/3)-1</f>
        <v>-2.7449220451153611E-2</v>
      </c>
      <c r="T784" s="46"/>
      <c r="U784" s="57"/>
      <c r="V784" s="58" t="str">
        <f>V724</f>
        <v xml:space="preserve">Agg. Global Developed </v>
      </c>
      <c r="X784" s="43"/>
      <c r="Y784" s="76"/>
      <c r="BF784" s="39"/>
      <c r="BG784" s="39"/>
      <c r="BH784" s="39"/>
      <c r="BI784" s="39"/>
      <c r="BJ784" s="39"/>
      <c r="BK784" s="39"/>
      <c r="BL784" s="39"/>
      <c r="BM784" s="39"/>
      <c r="BN784" s="39"/>
      <c r="BO784" s="39"/>
      <c r="BP784" s="39"/>
      <c r="BQ784" s="39"/>
      <c r="BR784" s="39"/>
      <c r="BS784" s="39"/>
      <c r="BT784" s="39"/>
      <c r="BU784" s="39"/>
      <c r="BV784" s="39"/>
      <c r="BW784" s="39"/>
      <c r="BX784" s="39"/>
      <c r="BY784" s="39"/>
      <c r="BZ784" s="39"/>
      <c r="CA784" s="39"/>
      <c r="CB784" s="39"/>
      <c r="CC784" s="39"/>
      <c r="CD784" s="39"/>
      <c r="CE784" s="39"/>
      <c r="CF784" s="39"/>
      <c r="CG784" s="39"/>
      <c r="CH784" s="39"/>
      <c r="CI784" s="39"/>
      <c r="CJ784" s="39"/>
      <c r="CK784" s="39"/>
      <c r="CL784" s="39"/>
      <c r="CM784" s="39"/>
      <c r="CN784" s="39"/>
      <c r="CO784" s="39"/>
      <c r="CP784" s="39"/>
      <c r="CQ784" s="39"/>
      <c r="CR784" s="39"/>
      <c r="CS784" s="39"/>
      <c r="CT784" s="39"/>
      <c r="CU784" s="39"/>
      <c r="CV784" s="39"/>
      <c r="CW784" s="39"/>
      <c r="CX784" s="39"/>
      <c r="CY784" s="39"/>
      <c r="CZ784" s="39"/>
      <c r="DA784" s="39"/>
      <c r="DB784" s="39"/>
      <c r="DC784" s="39"/>
      <c r="DD784" s="39"/>
      <c r="DE784" s="39"/>
      <c r="DF784" s="39"/>
      <c r="DG784" s="39"/>
      <c r="DH784" s="39"/>
      <c r="DI784" s="39"/>
    </row>
    <row r="785" spans="9:113">
      <c r="I785" s="77"/>
      <c r="J785" s="77"/>
      <c r="K785" s="77"/>
      <c r="L785" s="77"/>
      <c r="M785" s="78"/>
      <c r="N785" s="77"/>
      <c r="O785" s="79"/>
      <c r="P785" s="79"/>
      <c r="Q785" s="79"/>
      <c r="R785" s="79"/>
      <c r="S785" s="78"/>
      <c r="U785" s="5"/>
      <c r="V785" s="63"/>
      <c r="X785" s="43"/>
      <c r="Y785" s="76"/>
      <c r="BF785" s="39"/>
      <c r="BG785" s="39"/>
      <c r="BH785" s="39"/>
      <c r="BI785" s="39"/>
      <c r="BJ785" s="39"/>
      <c r="BK785" s="39"/>
      <c r="BL785" s="39"/>
      <c r="BM785" s="39"/>
      <c r="BN785" s="39"/>
      <c r="BO785" s="39"/>
      <c r="BP785" s="39"/>
      <c r="BQ785" s="39"/>
      <c r="BR785" s="39"/>
      <c r="BS785" s="39"/>
      <c r="BT785" s="39"/>
      <c r="BU785" s="39"/>
      <c r="BV785" s="39"/>
      <c r="BW785" s="39"/>
      <c r="BX785" s="39"/>
      <c r="BY785" s="39"/>
      <c r="BZ785" s="39"/>
      <c r="CA785" s="39"/>
      <c r="CB785" s="39"/>
      <c r="CC785" s="39"/>
      <c r="CD785" s="39"/>
      <c r="CE785" s="39"/>
      <c r="CF785" s="39"/>
      <c r="CG785" s="39"/>
      <c r="CH785" s="39"/>
      <c r="CI785" s="39"/>
      <c r="CJ785" s="39"/>
      <c r="CK785" s="39"/>
      <c r="CL785" s="39"/>
      <c r="CM785" s="39"/>
      <c r="CN785" s="39"/>
      <c r="CO785" s="39"/>
      <c r="CP785" s="39"/>
      <c r="CQ785" s="39"/>
      <c r="CR785" s="39"/>
      <c r="CS785" s="39"/>
      <c r="CT785" s="39"/>
      <c r="CU785" s="39"/>
      <c r="CV785" s="39"/>
      <c r="CW785" s="39"/>
      <c r="CX785" s="39"/>
      <c r="CY785" s="39"/>
      <c r="CZ785" s="39"/>
      <c r="DA785" s="39"/>
      <c r="DB785" s="39"/>
      <c r="DC785" s="39"/>
      <c r="DD785" s="39"/>
      <c r="DE785" s="39"/>
      <c r="DF785" s="39"/>
      <c r="DG785" s="39"/>
      <c r="DH785" s="39"/>
      <c r="DI785" s="39"/>
    </row>
  </sheetData>
  <mergeCells count="1">
    <mergeCell ref="I6:M6"/>
  </mergeCells>
  <phoneticPr fontId="7" type="noConversion"/>
  <conditionalFormatting sqref="C8:G64 I8:M64 O8:S64 U8:V64 C68:G124 I68:M124 O68:S124 U68:V124 C128:G184 I128:M184 O128:S184 U128:V184 C188:G244 I188:M244 O188:S244 U188:V244 C248:G304 I248:M304 O248:S304 U248:V304 C308:G364 I308:M364 O308:S364 U308:V364 C368:G424 I368:M424 O368:S424 U368:V424 C428:G484 I428:M484 O428:S484 U428:V484 C488:G544 I488:M544 O488:S544 U488:V544 C548:G604 I548:M604 O548:S604 U548:V604 C608:G664 I608:M664 O608:S664 U608:V664 C668:G724 I668:M724 O668:S724 U668:V724 C728:G784 I728:M784 O728:S784 U728:V784">
    <cfRule type="expression" dxfId="3" priority="42">
      <formula>EVEN(ROW())=ROW()</formula>
    </cfRule>
  </conditionalFormatting>
  <hyperlinks>
    <hyperlink ref="Y1" location="Prices!A1" display="Jump to Prices" xr:uid="{00000000-0004-0000-0100-000000000000}"/>
  </hyperlinks>
  <printOptions horizontalCentered="1" verticalCentered="1"/>
  <pageMargins left="0.31496062992125984" right="0" top="0" bottom="0" header="0" footer="0"/>
  <pageSetup paperSize="9" scale="58" fitToHeight="2" orientation="landscape" copies="3" r:id="rId1"/>
  <headerFooter alignWithMargins="0">
    <oddFooter>&amp;L&amp;"Trebuchet MS,Bold"&amp;8Note: EV's are calculated using rolling net debt and are adjusted for dividends paid. March/June year end companies are aligned with previous calendar year.</oddFooter>
  </headerFooter>
  <rowBreaks count="12" manualBreakCount="12">
    <brk id="65" max="22" man="1"/>
    <brk id="125" max="22" man="1"/>
    <brk id="185" max="22" man="1"/>
    <brk id="245" max="22" man="1"/>
    <brk id="305" max="22" man="1"/>
    <brk id="365" max="22" man="1"/>
    <brk id="425" max="22" man="1"/>
    <brk id="485" max="22" man="1"/>
    <brk id="545" max="22" man="1"/>
    <brk id="605" max="22" man="1"/>
    <brk id="665" max="22" man="1"/>
    <brk id="725" max="2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146</v>
      </c>
      <c r="C9" s="285">
        <f>Prices!C87</f>
        <v>10900</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44">
      <c r="B10" s="5" t="s">
        <v>269</v>
      </c>
      <c r="C10" s="5"/>
      <c r="D10" s="527">
        <v>8.0626818399999998</v>
      </c>
      <c r="E10" s="527">
        <v>8.0626818399999998</v>
      </c>
      <c r="F10" s="527">
        <v>8.0626818399999998</v>
      </c>
      <c r="G10" s="527">
        <v>8.0626818399999998</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44">
      <c r="B11" s="41" t="s">
        <v>867</v>
      </c>
      <c r="C11" s="5"/>
      <c r="D11" s="528">
        <f>$C$9*D10</f>
        <v>87883.232055999993</v>
      </c>
      <c r="E11" s="528">
        <f>$C$9*E10</f>
        <v>87883.232055999993</v>
      </c>
      <c r="F11" s="528">
        <f>$C$9*F10</f>
        <v>87883.232055999993</v>
      </c>
      <c r="G11" s="528">
        <f>$C$9*G10</f>
        <v>87883.232055999993</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44">
      <c r="B12" s="5" t="s">
        <v>24</v>
      </c>
      <c r="C12" s="249"/>
      <c r="D12" s="529">
        <v>48664.290999999997</v>
      </c>
      <c r="E12" s="529">
        <v>40479.229107477593</v>
      </c>
      <c r="F12" s="529">
        <v>29698.07279032706</v>
      </c>
      <c r="G12" s="529">
        <v>17809.3774587628</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44">
      <c r="B14" s="5" t="s">
        <v>527</v>
      </c>
      <c r="C14" s="257"/>
      <c r="D14" s="534">
        <v>0</v>
      </c>
      <c r="E14" s="526">
        <f t="shared" ref="E14:G15" si="2">D14</f>
        <v>0</v>
      </c>
      <c r="F14" s="526">
        <f t="shared" si="2"/>
        <v>0</v>
      </c>
      <c r="G14" s="526">
        <f t="shared" si="2"/>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44">
      <c r="B15" s="5" t="s">
        <v>526</v>
      </c>
      <c r="C15" s="274"/>
      <c r="D15" s="534">
        <v>0</v>
      </c>
      <c r="E15" s="526">
        <f t="shared" si="2"/>
        <v>0</v>
      </c>
      <c r="F15" s="526">
        <f t="shared" si="2"/>
        <v>0</v>
      </c>
      <c r="G15" s="526">
        <f t="shared" si="2"/>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44">
      <c r="B16" s="5" t="s">
        <v>529</v>
      </c>
      <c r="C16" s="257"/>
      <c r="D16" s="529">
        <v>0</v>
      </c>
      <c r="E16" s="529">
        <v>0</v>
      </c>
      <c r="F16" s="529">
        <v>8589.705439416146</v>
      </c>
      <c r="G16" s="529">
        <v>20477.042003144146</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136547.52305600001</v>
      </c>
      <c r="E18" s="530">
        <f>E11+E12+E13-E14+E15-E16-E17</f>
        <v>128362.46116347759</v>
      </c>
      <c r="F18" s="530">
        <f>F11+F12+F13-F14+F15-F16-F17</f>
        <v>108991.59940691091</v>
      </c>
      <c r="G18" s="530">
        <f>G11+G12+G13-G14+G15-G16-G17</f>
        <v>85215.567511618647</v>
      </c>
      <c r="H18" s="276">
        <f>IF(D18=0,"nm",IF(G18=0,"nm",(G18/D18)^(1/3)-1))</f>
        <v>-0.14543512520575819</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933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46752.332000000002</v>
      </c>
      <c r="D23" s="536">
        <v>51228.800000000003</v>
      </c>
      <c r="E23" s="536">
        <v>56294.061710987189</v>
      </c>
      <c r="F23" s="536">
        <v>61673.107001529686</v>
      </c>
      <c r="G23" s="536">
        <v>67427.999949974095</v>
      </c>
      <c r="H23" s="279">
        <f t="shared" ref="H23:H32" si="4">IF(D23=0,"nm",IF(G23=0,"nm",(G23/D23)^(1/3)-1))</f>
        <v>9.5911198990965563E-2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19468.692999999999</v>
      </c>
      <c r="D24" s="536">
        <v>23937.982</v>
      </c>
      <c r="E24" s="536">
        <v>27554.289308527601</v>
      </c>
      <c r="F24" s="536">
        <v>30377.343570861416</v>
      </c>
      <c r="G24" s="536">
        <v>33409.168210923875</v>
      </c>
      <c r="H24" s="279">
        <f t="shared" si="4"/>
        <v>0.11753047636265901</v>
      </c>
      <c r="I24" s="249"/>
      <c r="J24" s="17"/>
      <c r="K24" s="17"/>
      <c r="L24" s="17"/>
      <c r="M24" s="17"/>
      <c r="N24" s="17"/>
      <c r="O24" s="248"/>
      <c r="S24" s="88"/>
      <c r="T24" s="42"/>
      <c r="U24" s="42"/>
      <c r="V24" s="42"/>
      <c r="W24" s="42" t="s">
        <v>553</v>
      </c>
      <c r="X24" s="42" t="s">
        <v>252</v>
      </c>
      <c r="Y24" s="42"/>
      <c r="Z24" s="42"/>
      <c r="AA24" s="42"/>
    </row>
    <row r="25" spans="2:27">
      <c r="B25" s="5" t="s">
        <v>179</v>
      </c>
      <c r="C25" s="544">
        <v>7458.2930000000015</v>
      </c>
      <c r="D25" s="536">
        <v>11154.582000000002</v>
      </c>
      <c r="E25" s="536">
        <v>15331.147032990946</v>
      </c>
      <c r="F25" s="536">
        <v>18020.84990258739</v>
      </c>
      <c r="G25" s="536">
        <v>19899.142703244001</v>
      </c>
      <c r="H25" s="279">
        <f t="shared" si="4"/>
        <v>0.21281256776527746</v>
      </c>
      <c r="I25" s="248"/>
      <c r="J25" s="247" t="s">
        <v>10</v>
      </c>
      <c r="K25" s="247"/>
      <c r="L25" s="321">
        <v>0</v>
      </c>
      <c r="M25" s="321">
        <v>0</v>
      </c>
      <c r="N25" s="321">
        <v>0</v>
      </c>
      <c r="O25" s="321">
        <v>0</v>
      </c>
      <c r="P25" s="279" t="str">
        <f>IF(L25=0,"nm",IF(O25=0,"nm",(O25/L25)^(1/3)-1))</f>
        <v>nm</v>
      </c>
      <c r="S25" s="88"/>
      <c r="T25" s="42"/>
      <c r="U25" s="42"/>
      <c r="V25" s="147" t="s">
        <v>268</v>
      </c>
      <c r="W25" s="288">
        <f>D37/L9</f>
        <v>1.2381158343524532</v>
      </c>
      <c r="X25" s="288">
        <v>1</v>
      </c>
      <c r="Y25" s="42"/>
      <c r="Z25" s="42"/>
      <c r="AA25" s="42"/>
    </row>
    <row r="26" spans="2:27">
      <c r="B26" s="5" t="s">
        <v>581</v>
      </c>
      <c r="C26" s="544">
        <v>5220.8051000000005</v>
      </c>
      <c r="D26" s="536">
        <v>7808.2074000000011</v>
      </c>
      <c r="E26" s="536">
        <v>10731.802923093661</v>
      </c>
      <c r="F26" s="536">
        <v>12614.594931811173</v>
      </c>
      <c r="G26" s="536">
        <v>13929.3998922708</v>
      </c>
      <c r="H26" s="279">
        <f t="shared" si="4"/>
        <v>0.21281256776527746</v>
      </c>
      <c r="I26" s="249"/>
      <c r="J26" s="249" t="s">
        <v>11</v>
      </c>
      <c r="K26" s="249"/>
      <c r="L26" s="281">
        <f>D11+L25</f>
        <v>87883.232055999993</v>
      </c>
      <c r="M26" s="281">
        <f>E11+M25</f>
        <v>87883.232055999993</v>
      </c>
      <c r="N26" s="281">
        <f>F11+N25</f>
        <v>87883.232055999993</v>
      </c>
      <c r="O26" s="281">
        <f>G11+O25</f>
        <v>87883.232055999993</v>
      </c>
      <c r="P26" s="279">
        <f>IF(L26=0,"nm",IF(O26=0,"nm",(O26/L26)^(1/3)-1))</f>
        <v>0</v>
      </c>
      <c r="Q26" s="5"/>
      <c r="S26" s="88"/>
      <c r="T26" s="42"/>
      <c r="U26" s="42"/>
      <c r="V26" s="147" t="s">
        <v>180</v>
      </c>
      <c r="W26" s="288">
        <f t="shared" ref="W26:W33" si="6">D38/L10</f>
        <v>0.8646474522735792</v>
      </c>
      <c r="X26" s="288">
        <v>1</v>
      </c>
      <c r="Y26" s="42"/>
      <c r="Z26" s="42"/>
      <c r="AA26" s="42"/>
    </row>
    <row r="27" spans="2:27">
      <c r="B27" s="5" t="s">
        <v>582</v>
      </c>
      <c r="C27" s="545">
        <v>78083.200000000012</v>
      </c>
      <c r="D27" s="536">
        <v>82373.082999999984</v>
      </c>
      <c r="E27" s="536">
        <v>77744.424944084574</v>
      </c>
      <c r="F27" s="536">
        <v>72694.856301975844</v>
      </c>
      <c r="G27" s="536">
        <v>67240.433851249545</v>
      </c>
      <c r="H27" s="279">
        <f t="shared" si="4"/>
        <v>-6.5423057538105511E-2</v>
      </c>
      <c r="I27" s="249"/>
      <c r="J27" s="248"/>
      <c r="K27" s="248"/>
      <c r="L27" s="248"/>
      <c r="M27" s="248"/>
      <c r="N27" s="248"/>
      <c r="O27" s="248"/>
      <c r="Q27" s="41"/>
      <c r="S27" s="88"/>
      <c r="T27" s="42"/>
      <c r="U27" s="42"/>
      <c r="V27" s="147" t="s">
        <v>181</v>
      </c>
      <c r="W27" s="288">
        <f t="shared" si="6"/>
        <v>0.96279148543763038</v>
      </c>
      <c r="X27" s="288">
        <v>1</v>
      </c>
      <c r="Y27" s="42"/>
      <c r="Z27" s="42"/>
      <c r="AA27" s="42"/>
    </row>
    <row r="28" spans="2:27" ht="12.6" thickBot="1">
      <c r="B28" s="5" t="s">
        <v>587</v>
      </c>
      <c r="C28" s="544">
        <v>69070.495999999999</v>
      </c>
      <c r="D28" s="536">
        <v>72860.819000000003</v>
      </c>
      <c r="E28" s="536">
        <v>69337.086098123051</v>
      </c>
      <c r="F28" s="536">
        <v>64411.472512454646</v>
      </c>
      <c r="G28" s="536">
        <v>58996.888096252616</v>
      </c>
      <c r="H28" s="279">
        <f t="shared" si="4"/>
        <v>-6.7937535571264696E-2</v>
      </c>
      <c r="I28" s="248"/>
      <c r="J28" s="306" t="s">
        <v>1352</v>
      </c>
      <c r="K28" s="306"/>
      <c r="L28" s="306"/>
      <c r="M28" s="306"/>
      <c r="N28" s="266"/>
      <c r="O28" s="266"/>
      <c r="P28" s="266"/>
      <c r="Q28" s="5"/>
      <c r="S28" s="88"/>
      <c r="T28" s="42"/>
      <c r="U28" s="42"/>
      <c r="V28" s="147" t="s">
        <v>461</v>
      </c>
      <c r="W28" s="288">
        <f t="shared" si="6"/>
        <v>1.056374641675204</v>
      </c>
      <c r="X28" s="288">
        <v>1</v>
      </c>
      <c r="Y28" s="42"/>
      <c r="Z28" s="42"/>
      <c r="AA28" s="42"/>
    </row>
    <row r="29" spans="2:27" ht="12.6" thickTop="1">
      <c r="B29" s="5" t="s">
        <v>583</v>
      </c>
      <c r="C29" s="544">
        <v>6416.0930000000044</v>
      </c>
      <c r="D29" s="536">
        <v>6344.1820000000007</v>
      </c>
      <c r="E29" s="536">
        <v>9767.1937849835158</v>
      </c>
      <c r="F29" s="536">
        <v>12573.682750805854</v>
      </c>
      <c r="G29" s="536">
        <v>14598.654775876519</v>
      </c>
      <c r="H29" s="279">
        <f t="shared" si="4"/>
        <v>0.32021825962211836</v>
      </c>
      <c r="I29" s="252"/>
      <c r="J29" s="249"/>
      <c r="K29" s="249"/>
      <c r="L29" s="249"/>
      <c r="M29" s="249"/>
      <c r="N29" s="249"/>
      <c r="O29" s="251"/>
      <c r="Q29" s="5"/>
      <c r="S29" s="88"/>
      <c r="T29" s="42"/>
      <c r="U29" s="42"/>
      <c r="V29" s="147" t="s">
        <v>525</v>
      </c>
      <c r="W29" s="288">
        <f t="shared" si="6"/>
        <v>1.117878062765735</v>
      </c>
      <c r="X29" s="288">
        <v>1</v>
      </c>
      <c r="Y29" s="42"/>
      <c r="Z29" s="42"/>
      <c r="AA29" s="42"/>
    </row>
    <row r="30" spans="2:27">
      <c r="B30" s="5" t="s">
        <v>584</v>
      </c>
      <c r="C30" s="545">
        <v>4723.2930000000006</v>
      </c>
      <c r="D30" s="536">
        <v>4506.3819999999987</v>
      </c>
      <c r="E30" s="536">
        <v>5923.4608831065689</v>
      </c>
      <c r="F30" s="536">
        <v>7328.0691651374509</v>
      </c>
      <c r="G30" s="536">
        <v>8864.0703596744879</v>
      </c>
      <c r="H30" s="279">
        <f t="shared" si="4"/>
        <v>0.25295381763064406</v>
      </c>
      <c r="I30" s="254"/>
      <c r="J30" s="248"/>
      <c r="K30" s="248"/>
      <c r="L30" s="248"/>
      <c r="M30" s="248"/>
      <c r="N30" s="248"/>
      <c r="O30" s="5"/>
      <c r="Q30" s="5"/>
      <c r="S30" s="88"/>
      <c r="T30" s="42"/>
      <c r="U30" s="42"/>
      <c r="V30" s="147" t="s">
        <v>588</v>
      </c>
      <c r="W30" s="288">
        <f t="shared" si="6"/>
        <v>0.61595802091934759</v>
      </c>
      <c r="X30" s="288">
        <v>1</v>
      </c>
      <c r="Y30" s="42"/>
      <c r="Z30" s="42"/>
      <c r="AA30" s="42"/>
    </row>
    <row r="31" spans="2:27">
      <c r="B31" s="5" t="s">
        <v>585</v>
      </c>
      <c r="C31" s="545">
        <v>2056.1033612843999</v>
      </c>
      <c r="D31" s="536">
        <v>2164.0238058559999</v>
      </c>
      <c r="E31" s="536">
        <v>2369.3843532426272</v>
      </c>
      <c r="F31" s="536">
        <v>3297.631124311853</v>
      </c>
      <c r="G31" s="536">
        <v>4432.035179837244</v>
      </c>
      <c r="H31" s="279">
        <f t="shared" si="4"/>
        <v>0.26993177062119189</v>
      </c>
      <c r="I31" s="254"/>
      <c r="J31" s="252"/>
      <c r="K31" s="252"/>
      <c r="L31" s="252"/>
      <c r="M31" s="252"/>
      <c r="N31" s="252"/>
      <c r="O31" s="5"/>
      <c r="Q31" s="5"/>
      <c r="S31" s="88"/>
      <c r="T31" s="42"/>
      <c r="U31" s="42"/>
      <c r="V31" s="147" t="s">
        <v>470</v>
      </c>
      <c r="W31" s="288">
        <f t="shared" si="6"/>
        <v>0.70366835844263853</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0.91141562166268031</v>
      </c>
      <c r="X32" s="288">
        <v>1</v>
      </c>
      <c r="Y32" s="42"/>
      <c r="Z32" s="42"/>
      <c r="AA32" s="42"/>
    </row>
    <row r="33" spans="2:27">
      <c r="B33" s="5" t="s">
        <v>5</v>
      </c>
      <c r="C33" s="545">
        <v>4227.3999999999996</v>
      </c>
      <c r="D33" s="536">
        <v>4393.6000000000004</v>
      </c>
      <c r="E33" s="536">
        <v>3423.8839370824571</v>
      </c>
      <c r="F33" s="536">
        <v>2799.6311524517837</v>
      </c>
      <c r="G33" s="536">
        <v>2098.0146906960249</v>
      </c>
      <c r="H33" s="279">
        <f>IF(D33=0,"nm",IF(G33=0,"nm",(G33/D33)^(1/3)-1))</f>
        <v>-0.21837938884320507</v>
      </c>
      <c r="I33" s="5"/>
      <c r="J33" s="254"/>
      <c r="K33" s="254"/>
      <c r="L33" s="254"/>
      <c r="M33" s="254"/>
      <c r="N33" s="254"/>
      <c r="O33" s="251"/>
      <c r="Q33" s="5"/>
      <c r="S33" s="88"/>
      <c r="T33" s="42"/>
      <c r="U33" s="42"/>
      <c r="V33" s="147" t="s">
        <v>575</v>
      </c>
      <c r="W33" s="288">
        <f t="shared" si="6"/>
        <v>0.62440034988907578</v>
      </c>
      <c r="X33" s="288">
        <v>1</v>
      </c>
      <c r="Y33" s="42"/>
      <c r="Z33" s="42"/>
      <c r="AA33" s="42"/>
    </row>
    <row r="34" spans="2:27">
      <c r="I34" s="49"/>
      <c r="J34" s="254"/>
      <c r="K34" s="254"/>
      <c r="L34" s="254"/>
      <c r="M34" s="254"/>
      <c r="N34" s="254"/>
      <c r="O34" s="251"/>
      <c r="Q34" s="5"/>
      <c r="S34" s="88"/>
      <c r="T34" s="42"/>
      <c r="U34" s="42"/>
      <c r="V34" s="147" t="s">
        <v>576</v>
      </c>
      <c r="W34" s="288">
        <f>D47/L19</f>
        <v>1.4211240110514614</v>
      </c>
      <c r="X34" s="288">
        <v>1</v>
      </c>
      <c r="Y34" s="288"/>
      <c r="Z34" s="288"/>
      <c r="AA34" s="42"/>
    </row>
    <row r="35" spans="2:27" ht="12.6" thickBot="1">
      <c r="B35" s="306" t="s">
        <v>70</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2.6654444971578486</v>
      </c>
      <c r="E37" s="525">
        <f t="shared" ref="E37:G41" si="8">E$18/E23</f>
        <v>2.2802131745704974</v>
      </c>
      <c r="F37" s="525">
        <f t="shared" si="8"/>
        <v>1.7672467742578233</v>
      </c>
      <c r="G37" s="525">
        <f t="shared" si="8"/>
        <v>1.2638009072616929</v>
      </c>
      <c r="H37" s="17">
        <f t="shared" ref="H37:H45" si="9">H23</f>
        <v>9.5911198990965563E-2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5.7042203079607967</v>
      </c>
      <c r="E38" s="525">
        <f t="shared" si="8"/>
        <v>4.6585291939920044</v>
      </c>
      <c r="F38" s="525">
        <f t="shared" si="8"/>
        <v>3.5879239786937109</v>
      </c>
      <c r="G38" s="525">
        <f t="shared" si="8"/>
        <v>2.5506641462493973</v>
      </c>
      <c r="H38" s="17">
        <f t="shared" si="9"/>
        <v>0.11753047636265901</v>
      </c>
      <c r="I38" s="259"/>
      <c r="J38" s="17"/>
      <c r="K38" s="17"/>
      <c r="L38" s="17"/>
      <c r="M38" s="17"/>
      <c r="N38" s="17"/>
      <c r="O38" s="5"/>
      <c r="Q38" s="5"/>
      <c r="R38" s="5"/>
      <c r="S38" s="42"/>
      <c r="T38" s="42"/>
      <c r="U38" s="42"/>
      <c r="V38" s="42"/>
      <c r="W38" s="42"/>
      <c r="X38" s="42"/>
      <c r="Y38" s="42"/>
      <c r="Z38" s="42"/>
      <c r="AA38" s="42"/>
    </row>
    <row r="39" spans="2:27">
      <c r="B39" s="5" t="s">
        <v>181</v>
      </c>
      <c r="C39" s="247"/>
      <c r="D39" s="525">
        <f>D$18/D25</f>
        <v>12.241384128602935</v>
      </c>
      <c r="E39" s="525">
        <f t="shared" si="8"/>
        <v>8.372658672391287</v>
      </c>
      <c r="F39" s="525">
        <f t="shared" si="8"/>
        <v>6.0480831923061613</v>
      </c>
      <c r="G39" s="525">
        <f t="shared" si="8"/>
        <v>4.2823738078790008</v>
      </c>
      <c r="H39" s="17">
        <f t="shared" si="9"/>
        <v>0.21281256776527746</v>
      </c>
      <c r="I39" s="17"/>
      <c r="J39" s="5"/>
      <c r="K39" s="5"/>
      <c r="L39" s="5"/>
      <c r="M39" s="5"/>
      <c r="N39" s="5"/>
      <c r="O39" s="5"/>
      <c r="Q39" s="5"/>
      <c r="R39" s="5"/>
      <c r="S39" s="42"/>
      <c r="T39" s="42"/>
      <c r="U39" s="42"/>
      <c r="V39" s="42"/>
      <c r="W39" s="42"/>
      <c r="X39" s="42"/>
      <c r="Y39" s="42"/>
      <c r="Z39" s="42"/>
      <c r="AA39" s="42"/>
    </row>
    <row r="40" spans="2:27">
      <c r="B40" s="5" t="s">
        <v>461</v>
      </c>
      <c r="C40" s="247"/>
      <c r="D40" s="525">
        <f>D$18/D26</f>
        <v>17.487691612289908</v>
      </c>
      <c r="E40" s="525">
        <f t="shared" si="8"/>
        <v>11.960940960558982</v>
      </c>
      <c r="F40" s="525">
        <f t="shared" si="8"/>
        <v>8.6401188461516583</v>
      </c>
      <c r="G40" s="525">
        <f t="shared" si="8"/>
        <v>6.1176768683985729</v>
      </c>
      <c r="H40" s="17">
        <f t="shared" si="9"/>
        <v>0.21281256776527746</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1.6576716335359214</v>
      </c>
      <c r="E41" s="525">
        <f t="shared" si="8"/>
        <v>1.6510825214257945</v>
      </c>
      <c r="F41" s="525">
        <f t="shared" si="8"/>
        <v>1.4993027698432706</v>
      </c>
      <c r="G41" s="525">
        <f t="shared" si="8"/>
        <v>1.2673262593774157</v>
      </c>
      <c r="H41" s="17">
        <f t="shared" si="9"/>
        <v>-6.5423057538105511E-2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1.8740871284469092</v>
      </c>
      <c r="E42" s="525">
        <f>E18/E28</f>
        <v>1.8512814481679287</v>
      </c>
      <c r="F42" s="525">
        <f>F18/F28</f>
        <v>1.692114698757061</v>
      </c>
      <c r="G42" s="525">
        <f>G18/G28</f>
        <v>1.4444078367759094</v>
      </c>
      <c r="H42" s="17">
        <f t="shared" si="9"/>
        <v>-6.7937535571264696E-2</v>
      </c>
      <c r="I42" s="248"/>
      <c r="J42" s="5"/>
      <c r="K42" s="5"/>
      <c r="L42" s="5"/>
      <c r="M42" s="5"/>
      <c r="N42" s="5"/>
      <c r="O42" s="5"/>
      <c r="Q42" s="5"/>
      <c r="R42" s="5"/>
      <c r="S42" s="42"/>
      <c r="T42" s="42"/>
      <c r="U42" s="42"/>
      <c r="V42" s="42"/>
      <c r="W42" s="288"/>
      <c r="X42" s="288"/>
      <c r="Y42" s="288"/>
      <c r="Z42" s="288"/>
      <c r="AA42" s="42"/>
    </row>
    <row r="43" spans="2:27">
      <c r="B43" s="5" t="s">
        <v>470</v>
      </c>
      <c r="C43" s="247"/>
      <c r="D43" s="525">
        <f>L26/D29</f>
        <v>13.852571073150168</v>
      </c>
      <c r="E43" s="525">
        <f>M26/E29</f>
        <v>8.9977975241072077</v>
      </c>
      <c r="F43" s="525">
        <f>N26/F29</f>
        <v>6.9894583629738483</v>
      </c>
      <c r="G43" s="525">
        <f>O26/G29</f>
        <v>6.019954126268007</v>
      </c>
      <c r="H43" s="17">
        <f t="shared" si="9"/>
        <v>0.32021825962211836</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19.501949026070143</v>
      </c>
      <c r="E44" s="525">
        <f>E11/E30</f>
        <v>14.836467023296942</v>
      </c>
      <c r="F44" s="525">
        <f>F11/F30</f>
        <v>11.992685941625059</v>
      </c>
      <c r="G44" s="525">
        <f>G11/G30</f>
        <v>9.9145458564734703</v>
      </c>
      <c r="H44" s="17">
        <f t="shared" si="9"/>
        <v>0.25295381763064406</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2.4623853211009173E-2</v>
      </c>
      <c r="E45" s="248">
        <f>E31/E11</f>
        <v>2.6960596439293834E-2</v>
      </c>
      <c r="F45" s="248">
        <f>F31/F11</f>
        <v>3.7522870372024696E-2</v>
      </c>
      <c r="G45" s="248">
        <f>G31/G11</f>
        <v>5.043095339294202E-2</v>
      </c>
      <c r="H45" s="17">
        <f t="shared" si="9"/>
        <v>0.26993177062119189</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2.4623853211009173E-2</v>
      </c>
      <c r="E46" s="248">
        <f>(E31+E32)/E11</f>
        <v>2.6960596439293834E-2</v>
      </c>
      <c r="F46" s="248">
        <f>(F31+F32)/F11</f>
        <v>3.7522870372024696E-2</v>
      </c>
      <c r="G46" s="248">
        <f>(G31+G32)/G11</f>
        <v>5.043095339294202E-2</v>
      </c>
      <c r="H46" s="279">
        <f>((G31+G32)/(D31+D32))^(1/3)-1</f>
        <v>0.26993177062119189</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7.2188765155535364E-2</v>
      </c>
      <c r="E47" s="248">
        <f>1/E43</f>
        <v>0.11113830882732866</v>
      </c>
      <c r="F47" s="248">
        <f>1/F43</f>
        <v>0.14307260277812484</v>
      </c>
      <c r="G47" s="248">
        <f>1/G43</f>
        <v>0.16611422263776238</v>
      </c>
      <c r="H47" s="17">
        <f>H29</f>
        <v>0.32021825962211836</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0.3411036767003216</v>
      </c>
      <c r="E48" s="305">
        <f>E31/E29</f>
        <v>0.24258598788993169</v>
      </c>
      <c r="F48" s="305">
        <f>F31/F29</f>
        <v>0.2622645401245316</v>
      </c>
      <c r="G48" s="305">
        <f>G31/G29</f>
        <v>0.30359202596947088</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INDOSOP!A1" display="Jump to Indo SOP" xr:uid="{00000000-0004-0000-2D00-000001000000}"/>
  </hyperlinks>
  <pageMargins left="0.75" right="0.75" top="1" bottom="1" header="0.5" footer="0.5"/>
  <pageSetup scale="71"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297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531</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964</v>
      </c>
      <c r="C9" s="285">
        <f>Prices!C63</f>
        <v>4851</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44">
      <c r="B10" s="5" t="s">
        <v>269</v>
      </c>
      <c r="C10" s="5"/>
      <c r="D10" s="529">
        <v>2082.254148</v>
      </c>
      <c r="E10" s="529">
        <v>2015.5874813333332</v>
      </c>
      <c r="F10" s="529">
        <v>1948.9208146666665</v>
      </c>
      <c r="G10" s="529">
        <v>1893.3652591111108</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44">
      <c r="B11" s="41" t="s">
        <v>868</v>
      </c>
      <c r="C11" s="5"/>
      <c r="D11" s="528">
        <f>($C$9*D10)/1000</f>
        <v>10101.014871948</v>
      </c>
      <c r="E11" s="528">
        <f>($C$9*E10)/1000</f>
        <v>9777.6148719480007</v>
      </c>
      <c r="F11" s="528">
        <f>($C$9*F10)/1000</f>
        <v>9454.2148719479992</v>
      </c>
      <c r="G11" s="528">
        <f>($C$9*G10)/1000</f>
        <v>9184.7148719479974</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44">
      <c r="B12" s="5" t="s">
        <v>24</v>
      </c>
      <c r="C12" s="249"/>
      <c r="D12" s="529">
        <v>1536.3234100464592</v>
      </c>
      <c r="E12" s="529">
        <v>1325.861306246009</v>
      </c>
      <c r="F12" s="529">
        <v>1103.3635933153248</v>
      </c>
      <c r="G12" s="529">
        <v>801.37699684407971</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44">
      <c r="B16" s="5" t="s">
        <v>529</v>
      </c>
      <c r="C16" s="257"/>
      <c r="D16" s="529">
        <v>0</v>
      </c>
      <c r="E16" s="529">
        <v>0</v>
      </c>
      <c r="F16" s="529">
        <v>297.33812219999999</v>
      </c>
      <c r="G16" s="529">
        <v>595.11529291777765</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11637.33828199446</v>
      </c>
      <c r="E18" s="530">
        <f>E11+E12+E13-E14+E15-E16-E17</f>
        <v>11103.476178194011</v>
      </c>
      <c r="F18" s="530">
        <f>F11+F12+F13-F14+F15-F16-F17</f>
        <v>10260.240343063324</v>
      </c>
      <c r="G18" s="530">
        <f>G11+G12+G13-G14+G15-G16-G17</f>
        <v>9390.9765758742997</v>
      </c>
      <c r="H18" s="276">
        <f>IF(D18=0,"nm",IF(G18=0,"nm",(G18/D18)^(1/3)-1))</f>
        <v>-6.8994243796787758E-2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934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5671.7609999999995</v>
      </c>
      <c r="D23" s="536">
        <v>5754.0480000000007</v>
      </c>
      <c r="E23" s="536">
        <v>5908.7297380870414</v>
      </c>
      <c r="F23" s="536">
        <v>6114.7296134392618</v>
      </c>
      <c r="G23" s="536">
        <v>6315.3269439987362</v>
      </c>
      <c r="H23" s="279">
        <f>IF(D23=0,"nm",IF(G23=0,"nm",(G23/D23)^(1/3)-1))</f>
        <v>3.1511607659277852E-2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478</v>
      </c>
      <c r="C24" s="545">
        <v>1788.1109999999999</v>
      </c>
      <c r="D24" s="536">
        <v>1665.9009999999998</v>
      </c>
      <c r="E24" s="536">
        <v>1836.9747841228109</v>
      </c>
      <c r="F24" s="536">
        <v>1908.615754627838</v>
      </c>
      <c r="G24" s="536">
        <v>1981.76132745687</v>
      </c>
      <c r="H24" s="279">
        <f>IF(D24=0,"nm",IF(G24=0,"nm",(G24/D24)^(1/3)-1))</f>
        <v>5.9580734933364132E-2</v>
      </c>
      <c r="I24" s="249"/>
      <c r="J24" s="17"/>
      <c r="K24" s="17"/>
      <c r="L24" s="17"/>
      <c r="M24" s="17"/>
      <c r="N24" s="17"/>
      <c r="O24" s="248"/>
      <c r="S24" s="88"/>
      <c r="T24" s="42"/>
      <c r="U24" s="42"/>
      <c r="V24" s="42"/>
      <c r="W24" s="42" t="s">
        <v>297</v>
      </c>
      <c r="X24" s="42" t="s">
        <v>252</v>
      </c>
      <c r="Y24" s="42"/>
      <c r="Z24" s="42"/>
      <c r="AA24" s="42"/>
    </row>
    <row r="25" spans="2:27">
      <c r="B25" s="5" t="s">
        <v>179</v>
      </c>
      <c r="C25" s="544">
        <v>1160.5679999999998</v>
      </c>
      <c r="D25" s="536">
        <v>916.60399999999981</v>
      </c>
      <c r="E25" s="536">
        <v>1216.5581616236716</v>
      </c>
      <c r="F25" s="536">
        <v>1266.5691452167155</v>
      </c>
      <c r="G25" s="536">
        <v>1318.6519983370026</v>
      </c>
      <c r="H25" s="279">
        <f>IF(D25=0,"nm",IF(G25=0,"nm",(G25/D25)^(1/3)-1))</f>
        <v>0.1288844297655527</v>
      </c>
      <c r="I25" s="248"/>
      <c r="J25" s="247" t="s">
        <v>10</v>
      </c>
      <c r="K25" s="247"/>
      <c r="L25" s="321">
        <v>0</v>
      </c>
      <c r="M25" s="321">
        <v>0</v>
      </c>
      <c r="N25" s="321">
        <v>0</v>
      </c>
      <c r="O25" s="321">
        <v>0</v>
      </c>
      <c r="P25" s="279" t="str">
        <f>IF(L25=0,"nm",IF(O25=0,"nm",(O25/L25)^(1/3)-1))</f>
        <v>nm</v>
      </c>
      <c r="S25" s="88"/>
      <c r="T25" s="42"/>
      <c r="U25" s="42"/>
      <c r="V25" s="147" t="s">
        <v>268</v>
      </c>
      <c r="W25" s="288">
        <f>D37/L9</f>
        <v>0.93944598071996877</v>
      </c>
      <c r="X25" s="288">
        <v>1</v>
      </c>
      <c r="Y25" s="42"/>
      <c r="Z25" s="42"/>
      <c r="AA25" s="42"/>
    </row>
    <row r="26" spans="2:27">
      <c r="B26" s="5" t="s">
        <v>581</v>
      </c>
      <c r="C26" s="544">
        <v>735.39759999999978</v>
      </c>
      <c r="D26" s="536">
        <v>564.62279999999987</v>
      </c>
      <c r="E26" s="536">
        <v>774.59071313657012</v>
      </c>
      <c r="F26" s="536">
        <v>809.59840165170078</v>
      </c>
      <c r="G26" s="536">
        <v>846.05639883590175</v>
      </c>
      <c r="H26" s="279">
        <f>IF(D26=0,"nm",IF(G26=0,"nm",(G26/D26)^(1/3)-1))</f>
        <v>0.14431862785829885</v>
      </c>
      <c r="I26" s="249"/>
      <c r="J26" s="249" t="s">
        <v>11</v>
      </c>
      <c r="K26" s="249"/>
      <c r="L26" s="281">
        <f>D11+L25</f>
        <v>10101.014871948</v>
      </c>
      <c r="M26" s="281">
        <f>E11+M25</f>
        <v>9777.6148719480007</v>
      </c>
      <c r="N26" s="281">
        <f>F11+N25</f>
        <v>9454.2148719479992</v>
      </c>
      <c r="O26" s="281">
        <f>G11+O25</f>
        <v>9184.7148719479974</v>
      </c>
      <c r="P26" s="279">
        <f>IF(L26=0,"nm",IF(O26=0,"nm",(O26/L26)^(1/3)-1))</f>
        <v>-3.1201280606815818E-2</v>
      </c>
      <c r="Q26" s="5"/>
      <c r="S26" s="88"/>
      <c r="T26" s="42"/>
      <c r="U26" s="42"/>
      <c r="V26" s="147" t="s">
        <v>180</v>
      </c>
      <c r="W26" s="288">
        <f t="shared" ref="W26:W33" si="4">D38/L10</f>
        <v>1.0588812195396187</v>
      </c>
      <c r="X26" s="288">
        <v>1</v>
      </c>
      <c r="Y26" s="42"/>
      <c r="Z26" s="42"/>
      <c r="AA26" s="42"/>
    </row>
    <row r="27" spans="2:27">
      <c r="B27" s="5" t="s">
        <v>582</v>
      </c>
      <c r="C27" s="545">
        <v>7205.116</v>
      </c>
      <c r="D27" s="536">
        <v>7607.3844100464585</v>
      </c>
      <c r="E27" s="536">
        <v>7907.2052921231043</v>
      </c>
      <c r="F27" s="536">
        <v>8246.0794777563715</v>
      </c>
      <c r="G27" s="536">
        <v>8556.8150140459275</v>
      </c>
      <c r="H27" s="279">
        <f>IF(ISERROR((G27/D27)^(1/3)-1),"na",(G27/D27)^(1/3)-1)</f>
        <v>3.9981451832616921E-2</v>
      </c>
      <c r="I27" s="249"/>
      <c r="J27" s="248"/>
      <c r="K27" s="248"/>
      <c r="L27" s="248"/>
      <c r="M27" s="248"/>
      <c r="N27" s="248"/>
      <c r="O27" s="248"/>
      <c r="Q27" s="41"/>
      <c r="S27" s="88"/>
      <c r="T27" s="42"/>
      <c r="U27" s="42"/>
      <c r="V27" s="147" t="s">
        <v>181</v>
      </c>
      <c r="W27" s="288">
        <f t="shared" si="4"/>
        <v>0.99855875902473112</v>
      </c>
      <c r="X27" s="288">
        <v>1</v>
      </c>
      <c r="Y27" s="42"/>
      <c r="Z27" s="42"/>
      <c r="AA27" s="42"/>
    </row>
    <row r="28" spans="2:27" ht="12.6" thickBot="1">
      <c r="B28" s="5" t="s">
        <v>587</v>
      </c>
      <c r="C28" s="544">
        <v>2595.721</v>
      </c>
      <c r="D28" s="536">
        <v>2639.8595</v>
      </c>
      <c r="E28" s="536">
        <v>2596.4975677493976</v>
      </c>
      <c r="F28" s="536">
        <v>2570.9235427771837</v>
      </c>
      <c r="G28" s="536">
        <v>2561.9712764918909</v>
      </c>
      <c r="H28" s="279">
        <f>IF(ISERROR((G28/D28)^(1/3)-1),"na",(G28/D28)^(1/3)-1)</f>
        <v>-9.9332375723035771E-3</v>
      </c>
      <c r="I28" s="248"/>
      <c r="J28" s="306" t="s">
        <v>1352</v>
      </c>
      <c r="K28" s="306"/>
      <c r="L28" s="306"/>
      <c r="M28" s="306"/>
      <c r="N28" s="266"/>
      <c r="O28" s="266"/>
      <c r="P28" s="266"/>
      <c r="Q28" s="5"/>
      <c r="S28" s="88"/>
      <c r="T28" s="42"/>
      <c r="U28" s="42"/>
      <c r="V28" s="147" t="s">
        <v>461</v>
      </c>
      <c r="W28" s="288">
        <f t="shared" si="4"/>
        <v>1.2450326161412879</v>
      </c>
      <c r="X28" s="288">
        <v>1</v>
      </c>
      <c r="Y28" s="42"/>
      <c r="Z28" s="42"/>
      <c r="AA28" s="42"/>
    </row>
    <row r="29" spans="2:27" ht="12.6" thickTop="1">
      <c r="B29" s="5" t="s">
        <v>583</v>
      </c>
      <c r="C29" s="544">
        <v>762.28700000000015</v>
      </c>
      <c r="D29" s="536">
        <v>592.89399999999978</v>
      </c>
      <c r="E29" s="536">
        <v>819.3292359074801</v>
      </c>
      <c r="F29" s="536">
        <v>843.9167111436052</v>
      </c>
      <c r="G29" s="536">
        <v>870.43075535625042</v>
      </c>
      <c r="H29" s="279">
        <f>IF(D29=0,"nm",IF(G29=0,"nm",(G29/D29)^(1/3)-1))</f>
        <v>0.1365426143864199</v>
      </c>
      <c r="I29" s="252"/>
      <c r="J29" s="249"/>
      <c r="K29" s="249"/>
      <c r="L29" s="249"/>
      <c r="M29" s="249"/>
      <c r="N29" s="249"/>
      <c r="O29" s="251"/>
      <c r="Q29" s="5"/>
      <c r="S29" s="88"/>
      <c r="T29" s="42"/>
      <c r="U29" s="42"/>
      <c r="V29" s="147" t="s">
        <v>525</v>
      </c>
      <c r="W29" s="288">
        <f t="shared" si="4"/>
        <v>1.0316068672432881</v>
      </c>
      <c r="X29" s="288">
        <v>1</v>
      </c>
      <c r="Y29" s="42"/>
      <c r="Z29" s="42"/>
      <c r="AA29" s="42"/>
    </row>
    <row r="30" spans="2:27">
      <c r="B30" s="5" t="s">
        <v>584</v>
      </c>
      <c r="C30" s="545">
        <v>679.11200000000019</v>
      </c>
      <c r="D30" s="536">
        <v>638.05199999999991</v>
      </c>
      <c r="E30" s="536">
        <v>739.16407840661941</v>
      </c>
      <c r="F30" s="536">
        <v>788.83385895472782</v>
      </c>
      <c r="G30" s="536">
        <v>838.75770210411781</v>
      </c>
      <c r="H30" s="279">
        <f>IF(D30=0,"nm",IF(G30=0,"nm",(G30/D30)^(1/3)-1))</f>
        <v>9.5452327139317283E-2</v>
      </c>
      <c r="I30" s="254"/>
      <c r="J30" s="248"/>
      <c r="K30" s="248"/>
      <c r="L30" s="248"/>
      <c r="M30" s="248"/>
      <c r="N30" s="248"/>
      <c r="O30" s="5"/>
      <c r="Q30" s="5"/>
      <c r="S30" s="88"/>
      <c r="T30" s="42"/>
      <c r="U30" s="42"/>
      <c r="V30" s="147" t="s">
        <v>588</v>
      </c>
      <c r="W30" s="288">
        <f t="shared" si="4"/>
        <v>1.448885888749317</v>
      </c>
      <c r="X30" s="288">
        <v>1</v>
      </c>
      <c r="Y30" s="42"/>
      <c r="Z30" s="42"/>
      <c r="AA30" s="42"/>
    </row>
    <row r="31" spans="2:27">
      <c r="B31" s="5" t="s">
        <v>585</v>
      </c>
      <c r="C31" s="545">
        <v>301.99699306000002</v>
      </c>
      <c r="D31" s="536">
        <v>291.51558071999995</v>
      </c>
      <c r="E31" s="536">
        <v>292.26018479333334</v>
      </c>
      <c r="F31" s="536">
        <v>292.33812219999999</v>
      </c>
      <c r="G31" s="536">
        <v>293.47161516222218</v>
      </c>
      <c r="H31" s="279">
        <f>IF(D31=0,"nm",IF(G31=0,"nm",(G31/D31)^(1/3)-1))</f>
        <v>2.231642593188754E-3</v>
      </c>
      <c r="I31" s="254"/>
      <c r="J31" s="252"/>
      <c r="K31" s="252"/>
      <c r="L31" s="252"/>
      <c r="M31" s="252"/>
      <c r="N31" s="252"/>
      <c r="O31" s="5"/>
      <c r="Q31" s="5"/>
      <c r="S31" s="88"/>
      <c r="T31" s="42"/>
      <c r="U31" s="42"/>
      <c r="V31" s="147" t="s">
        <v>470</v>
      </c>
      <c r="W31" s="288">
        <f t="shared" si="4"/>
        <v>0.86541733621345318</v>
      </c>
      <c r="X31" s="288">
        <v>1</v>
      </c>
      <c r="Y31" s="42"/>
      <c r="Z31" s="42"/>
      <c r="AA31" s="42"/>
    </row>
    <row r="32" spans="2:27">
      <c r="B32" s="5" t="s">
        <v>601</v>
      </c>
      <c r="C32" s="546">
        <v>150</v>
      </c>
      <c r="D32" s="536">
        <v>180</v>
      </c>
      <c r="E32" s="536">
        <v>-150</v>
      </c>
      <c r="F32" s="536">
        <v>150</v>
      </c>
      <c r="G32" s="536">
        <v>150</v>
      </c>
      <c r="H32" s="279">
        <f>IF(D32=0,"nm",IF(G32=0,"nm",(G32/D32)^(1/3)-1))</f>
        <v>-5.8963971118971448E-2</v>
      </c>
      <c r="I32" s="254"/>
      <c r="J32" s="254"/>
      <c r="K32" s="254"/>
      <c r="L32" s="254"/>
      <c r="M32" s="254"/>
      <c r="N32" s="254"/>
      <c r="O32" s="251"/>
      <c r="Q32" s="5"/>
      <c r="S32" s="88"/>
      <c r="T32" s="42"/>
      <c r="U32" s="42"/>
      <c r="V32" s="147" t="s">
        <v>528</v>
      </c>
      <c r="W32" s="288">
        <f t="shared" si="4"/>
        <v>0.73985631895548254</v>
      </c>
      <c r="X32" s="288">
        <v>1</v>
      </c>
      <c r="Y32" s="42"/>
      <c r="Z32" s="42"/>
      <c r="AA32" s="42"/>
    </row>
    <row r="33" spans="2:27">
      <c r="B33" s="5" t="s">
        <v>5</v>
      </c>
      <c r="C33" s="545">
        <v>0</v>
      </c>
      <c r="D33" s="536">
        <v>0</v>
      </c>
      <c r="E33" s="536">
        <v>0</v>
      </c>
      <c r="F33" s="536">
        <v>0</v>
      </c>
      <c r="G33" s="536">
        <v>0</v>
      </c>
      <c r="H33" s="279" t="str">
        <f>IF(ISERROR((G33/D33)^(1/3)-1),"na",(G33/D33)^(1/3)-1)</f>
        <v>na</v>
      </c>
      <c r="I33" s="5"/>
      <c r="J33" s="254"/>
      <c r="K33" s="254"/>
      <c r="L33" s="254"/>
      <c r="M33" s="254"/>
      <c r="N33" s="254"/>
      <c r="O33" s="251"/>
      <c r="Q33" s="5"/>
      <c r="S33" s="88"/>
      <c r="T33" s="42"/>
      <c r="U33" s="42"/>
      <c r="V33" s="147" t="s">
        <v>575</v>
      </c>
      <c r="W33" s="288">
        <f t="shared" si="4"/>
        <v>0.73181934458389786</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1.1555118648020153</v>
      </c>
      <c r="X34" s="288">
        <v>1</v>
      </c>
      <c r="Y34" s="288"/>
      <c r="Z34" s="288"/>
      <c r="AA34" s="42"/>
    </row>
    <row r="35" spans="2:27" ht="12.6" thickBot="1">
      <c r="B35" s="306" t="s">
        <v>635</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2.0224611059891155</v>
      </c>
      <c r="E37" s="525">
        <f t="shared" ref="E37:G41" si="6">E$18/E23</f>
        <v>1.8791646716589843</v>
      </c>
      <c r="F37" s="525">
        <f t="shared" si="6"/>
        <v>1.6779548715470345</v>
      </c>
      <c r="G37" s="525">
        <f t="shared" si="6"/>
        <v>1.4870135242638958</v>
      </c>
      <c r="H37" s="17">
        <f t="shared" ref="H37:H45" si="7">H23</f>
        <v>3.1511607659277852E-2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6.9856121594227156</v>
      </c>
      <c r="E38" s="525">
        <f t="shared" si="6"/>
        <v>6.0444358159745368</v>
      </c>
      <c r="F38" s="525">
        <f t="shared" si="6"/>
        <v>5.3757495809123581</v>
      </c>
      <c r="G38" s="525">
        <f t="shared" si="6"/>
        <v>4.7387021059319157</v>
      </c>
      <c r="H38" s="17">
        <f t="shared" si="7"/>
        <v>5.9580734933364132E-2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12.69614608052601</v>
      </c>
      <c r="E39" s="525">
        <f t="shared" si="6"/>
        <v>9.1269587665046998</v>
      </c>
      <c r="F39" s="525">
        <f t="shared" si="6"/>
        <v>8.1008134311591427</v>
      </c>
      <c r="G39" s="525">
        <f t="shared" si="6"/>
        <v>7.1216489170134221</v>
      </c>
      <c r="H39" s="17">
        <f t="shared" si="7"/>
        <v>0.1288844297655527</v>
      </c>
      <c r="I39" s="17"/>
      <c r="J39" s="5"/>
      <c r="K39" s="5"/>
      <c r="L39" s="5"/>
      <c r="M39" s="5"/>
      <c r="N39" s="5"/>
      <c r="O39" s="5"/>
      <c r="Q39" s="5"/>
      <c r="R39" s="5"/>
      <c r="S39" s="42"/>
      <c r="T39" s="42"/>
      <c r="U39" s="42"/>
      <c r="V39" s="42"/>
      <c r="W39" s="42"/>
      <c r="X39" s="42"/>
      <c r="Y39" s="42"/>
      <c r="Z39" s="42"/>
      <c r="AA39" s="42"/>
    </row>
    <row r="40" spans="2:27">
      <c r="B40" s="5" t="s">
        <v>461</v>
      </c>
      <c r="C40" s="247"/>
      <c r="D40" s="525">
        <f>D$18/D26</f>
        <v>20.610818907763665</v>
      </c>
      <c r="E40" s="525">
        <f t="shared" si="6"/>
        <v>14.334636331014632</v>
      </c>
      <c r="F40" s="525">
        <f t="shared" si="6"/>
        <v>12.673246787704759</v>
      </c>
      <c r="G40" s="525">
        <f t="shared" si="6"/>
        <v>11.099705160076144</v>
      </c>
      <c r="H40" s="17">
        <f t="shared" si="7"/>
        <v>0.14431862785829885</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1.5297423732953428</v>
      </c>
      <c r="E41" s="525">
        <f t="shared" si="6"/>
        <v>1.404222575232102</v>
      </c>
      <c r="F41" s="525">
        <f t="shared" si="6"/>
        <v>1.2442567853899673</v>
      </c>
      <c r="G41" s="525">
        <f t="shared" si="6"/>
        <v>1.0974850526111766</v>
      </c>
      <c r="H41" s="17">
        <f t="shared" si="7"/>
        <v>3.9981451832616921E-2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4.4083172918840789</v>
      </c>
      <c r="E42" s="525">
        <f>E18/E28</f>
        <v>4.2763283571331536</v>
      </c>
      <c r="F42" s="525">
        <f>F18/F28</f>
        <v>3.9908772751677883</v>
      </c>
      <c r="G42" s="525">
        <f>G18/G28</f>
        <v>3.6655276591287045</v>
      </c>
      <c r="H42" s="17">
        <f t="shared" si="7"/>
        <v>-9.9332375723035771E-3</v>
      </c>
      <c r="I42" s="248"/>
      <c r="J42" s="5"/>
      <c r="K42" s="5"/>
      <c r="L42" s="5"/>
      <c r="M42" s="5"/>
      <c r="N42" s="5"/>
      <c r="O42" s="5"/>
      <c r="Q42" s="5"/>
      <c r="R42" s="5"/>
      <c r="S42" s="42"/>
      <c r="T42" s="42"/>
      <c r="U42" s="42"/>
      <c r="V42" s="42"/>
      <c r="W42" s="288"/>
      <c r="X42" s="288"/>
      <c r="Y42" s="288"/>
      <c r="Z42" s="288"/>
      <c r="AA42" s="42"/>
    </row>
    <row r="43" spans="2:27">
      <c r="B43" s="5" t="s">
        <v>470</v>
      </c>
      <c r="C43" s="247"/>
      <c r="D43" s="525">
        <f>L26/D29</f>
        <v>17.036797255408224</v>
      </c>
      <c r="E43" s="525">
        <f>M26/E29</f>
        <v>11.933682387298704</v>
      </c>
      <c r="F43" s="525">
        <f>N26/F29</f>
        <v>11.20278191805971</v>
      </c>
      <c r="G43" s="525">
        <f>O26/G29</f>
        <v>10.551919053215062</v>
      </c>
      <c r="H43" s="17">
        <f t="shared" si="7"/>
        <v>0.1365426143864199</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15.831021408831885</v>
      </c>
      <c r="E44" s="525">
        <f>E11/E30</f>
        <v>13.227935660814493</v>
      </c>
      <c r="F44" s="525">
        <f>F11/F30</f>
        <v>11.9850520672067</v>
      </c>
      <c r="G44" s="525">
        <f>G11/G30</f>
        <v>10.950379172563315</v>
      </c>
      <c r="H44" s="17">
        <f t="shared" si="7"/>
        <v>9.5452327139317283E-2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2.8860028860028853E-2</v>
      </c>
      <c r="E45" s="248">
        <f>E31/E11</f>
        <v>2.9890744176458459E-2</v>
      </c>
      <c r="F45" s="248">
        <f>F31/F11</f>
        <v>3.0921459492888066E-2</v>
      </c>
      <c r="G45" s="248">
        <f>G31/G11</f>
        <v>3.1952174809317668E-2</v>
      </c>
      <c r="H45" s="17">
        <f t="shared" si="7"/>
        <v>2.231642593188754E-3</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4.6680020443239607E-2</v>
      </c>
      <c r="E46" s="248">
        <f>(E31+E32)/E11</f>
        <v>1.454957948911223E-2</v>
      </c>
      <c r="F46" s="248">
        <f>(F31+F32)/F11</f>
        <v>4.6787398868252943E-2</v>
      </c>
      <c r="G46" s="248">
        <f>(G31+G32)/G11</f>
        <v>4.8283656198917557E-2</v>
      </c>
      <c r="H46" s="279">
        <f>((G31+G32)/(D31+D32))^(1/3)-1</f>
        <v>-2.0231979950025791E-2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5.8696478276311956E-2</v>
      </c>
      <c r="E47" s="248">
        <f>1/E43</f>
        <v>8.379643160809469E-2</v>
      </c>
      <c r="F47" s="248">
        <f>1/F43</f>
        <v>8.9263542512411698E-2</v>
      </c>
      <c r="G47" s="248">
        <f>1/G43</f>
        <v>9.4769491213573157E-2</v>
      </c>
      <c r="H47" s="17">
        <f>H29</f>
        <v>0.1365426143864199</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0.49168246047354175</v>
      </c>
      <c r="E48" s="305">
        <f>E31/E29</f>
        <v>0.35670664732185364</v>
      </c>
      <c r="F48" s="305">
        <f>F31/F29</f>
        <v>0.34640636728694219</v>
      </c>
      <c r="G48" s="305">
        <f>G31/G29</f>
        <v>0.3371567621620975</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KDDISOP!A1" display="Jump to KDDI SOP" xr:uid="{00000000-0004-0000-3100-000001000000}"/>
  </hyperlinks>
  <pageMargins left="0.75" right="0.75" top="1" bottom="1" header="0.5" footer="0.5"/>
  <pageSetup scale="71"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pageSetUpPr fitToPage="1"/>
  </sheetPr>
  <dimension ref="B1:AR165"/>
  <sheetViews>
    <sheetView showGridLines="0" zoomScale="80" zoomScaleNormal="80" zoomScaleSheetLayoutView="80" workbookViewId="0">
      <selection activeCell="D15" sqref="D15"/>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453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267</v>
      </c>
      <c r="C9" s="287">
        <f>Prices!$C$10</f>
        <v>3.746</v>
      </c>
      <c r="D9" s="532">
        <v>0</v>
      </c>
      <c r="E9" s="532">
        <v>0</v>
      </c>
      <c r="F9" s="532">
        <v>0</v>
      </c>
      <c r="G9" s="532">
        <v>0</v>
      </c>
      <c r="H9" s="249"/>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44">
      <c r="B10" s="5" t="s">
        <v>269</v>
      </c>
      <c r="C10" s="5"/>
      <c r="D10" s="527">
        <v>3943.4804039999999</v>
      </c>
      <c r="E10" s="527">
        <v>3885.6361672398752</v>
      </c>
      <c r="F10" s="527">
        <v>3831.5761328846188</v>
      </c>
      <c r="G10" s="527">
        <v>3781.0527362909211</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44">
      <c r="B11" s="41" t="s">
        <v>270</v>
      </c>
      <c r="C11" s="5"/>
      <c r="D11" s="528">
        <f>$C$9*D10</f>
        <v>14772.277593384</v>
      </c>
      <c r="E11" s="528">
        <f>$C$9*E10</f>
        <v>14555.593082480573</v>
      </c>
      <c r="F11" s="528">
        <f>$C$9*F10</f>
        <v>14353.084193785782</v>
      </c>
      <c r="G11" s="528">
        <f>$C$9*G10</f>
        <v>14163.823550145791</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44">
      <c r="B12" s="5" t="s">
        <v>24</v>
      </c>
      <c r="C12" s="249"/>
      <c r="D12" s="529">
        <v>5582</v>
      </c>
      <c r="E12" s="529">
        <v>5848.3174354217172</v>
      </c>
      <c r="F12" s="529">
        <v>6365.6975426254412</v>
      </c>
      <c r="G12" s="529">
        <v>6473.438221530585</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44">
      <c r="B13" s="5" t="s">
        <v>524</v>
      </c>
      <c r="C13" s="257"/>
      <c r="D13" s="529">
        <v>1399.6003395838638</v>
      </c>
      <c r="E13" s="529">
        <v>1399.6003395838638</v>
      </c>
      <c r="F13" s="529">
        <v>1399.6003395838638</v>
      </c>
      <c r="G13" s="529">
        <v>1399.6003395838638</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44">
      <c r="B14" s="5" t="s">
        <v>527</v>
      </c>
      <c r="C14" s="257"/>
      <c r="D14" s="529">
        <f>E14</f>
        <v>0</v>
      </c>
      <c r="E14" s="529">
        <f>F14</f>
        <v>0</v>
      </c>
      <c r="F14" s="529">
        <f>KPNSOP!$R$25</f>
        <v>0</v>
      </c>
      <c r="G14" s="529">
        <f>F14</f>
        <v>0</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44">
      <c r="B16" s="5" t="s">
        <v>529</v>
      </c>
      <c r="C16" s="257"/>
      <c r="D16" s="529">
        <v>0</v>
      </c>
      <c r="E16" s="529">
        <v>217.98418898215701</v>
      </c>
      <c r="F16" s="529">
        <v>884.39873104638002</v>
      </c>
      <c r="G16" s="529">
        <v>1588.0597914597922</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179.96173250748802</v>
      </c>
      <c r="E17" s="529">
        <v>174.28776776141677</v>
      </c>
      <c r="F17" s="529">
        <v>149.56498895658913</v>
      </c>
      <c r="G17" s="529">
        <v>149.56498895658913</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578</v>
      </c>
      <c r="C18" s="249"/>
      <c r="D18" s="530">
        <f>D11+D12+D13-D14+D15-D16-D17</f>
        <v>21573.916200460379</v>
      </c>
      <c r="E18" s="530">
        <f>E11+E12+E13-E14+E15-E16-E17</f>
        <v>21411.238900742577</v>
      </c>
      <c r="F18" s="530">
        <f>F11+F12+F13-F14+F15-F16-F17</f>
        <v>21084.418355992115</v>
      </c>
      <c r="G18" s="530">
        <f>G11+G12+G13-G14+G15-G16-G17</f>
        <v>20299.237330843858</v>
      </c>
      <c r="H18" s="276">
        <f>IF(D18=0,"nm",IF(G18=0,"nm",(G18/D18)^(1/3)-1))</f>
        <v>-2.0095892971784157E-2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918</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5479</v>
      </c>
      <c r="D23" s="536">
        <v>5585.0169545491108</v>
      </c>
      <c r="E23" s="536">
        <v>5710.9308172760811</v>
      </c>
      <c r="F23" s="536">
        <v>5825.6833918224283</v>
      </c>
      <c r="G23" s="536">
        <v>5937.6887500330913</v>
      </c>
      <c r="H23" s="279">
        <f t="shared" ref="H23:H32" si="3">IF(D23=0,"nm",IF(G23=0,"nm",(G23/D23)^(1/3)-1))</f>
        <v>2.0620555480699521E-2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2404</v>
      </c>
      <c r="D24" s="536">
        <v>2420</v>
      </c>
      <c r="E24" s="536">
        <v>2496.7597179336854</v>
      </c>
      <c r="F24" s="536">
        <v>2552.6817861050563</v>
      </c>
      <c r="G24" s="536">
        <v>2593.4673583011318</v>
      </c>
      <c r="H24" s="279">
        <f t="shared" si="3"/>
        <v>2.3344375092730685E-2</v>
      </c>
      <c r="I24" s="249"/>
      <c r="J24" s="17"/>
      <c r="K24" s="17"/>
      <c r="L24" s="17"/>
      <c r="M24" s="17"/>
      <c r="N24" s="17"/>
      <c r="O24" s="248"/>
      <c r="S24" s="88"/>
      <c r="T24" s="42"/>
      <c r="U24" s="42"/>
      <c r="V24" s="42"/>
      <c r="W24" s="42" t="s">
        <v>453</v>
      </c>
      <c r="X24" s="42" t="s">
        <v>246</v>
      </c>
      <c r="Y24" s="42"/>
      <c r="Z24" s="42"/>
      <c r="AA24" s="42"/>
    </row>
    <row r="25" spans="2:27">
      <c r="B25" s="5" t="s">
        <v>179</v>
      </c>
      <c r="C25" s="544">
        <v>1198.0960099500001</v>
      </c>
      <c r="D25" s="536">
        <v>1172.0172537800104</v>
      </c>
      <c r="E25" s="536">
        <v>1256.7360499336853</v>
      </c>
      <c r="F25" s="536">
        <v>1331.1667720250562</v>
      </c>
      <c r="G25" s="536">
        <v>1370.7936198891316</v>
      </c>
      <c r="H25" s="279">
        <f t="shared" si="3"/>
        <v>5.360872021532348E-2</v>
      </c>
      <c r="I25" s="248"/>
      <c r="J25" s="247" t="s">
        <v>10</v>
      </c>
      <c r="K25" s="247"/>
      <c r="L25" s="321">
        <v>1259</v>
      </c>
      <c r="M25" s="321">
        <v>1238</v>
      </c>
      <c r="N25" s="321">
        <v>1261</v>
      </c>
      <c r="O25" s="321">
        <v>1261</v>
      </c>
      <c r="P25" s="279">
        <f>IF(L25=0,"nm",IF(O25=0,"nm",(O25/L25)^(1/3)-1))</f>
        <v>5.2924063862458404E-4</v>
      </c>
      <c r="S25" s="88"/>
      <c r="T25" s="42"/>
      <c r="U25" s="42"/>
      <c r="V25" s="147" t="s">
        <v>268</v>
      </c>
      <c r="W25" s="288">
        <f>D37/L9</f>
        <v>1.6636466305342386</v>
      </c>
      <c r="X25" s="288">
        <v>1</v>
      </c>
      <c r="Y25" s="42"/>
      <c r="Z25" s="42"/>
      <c r="AA25" s="42"/>
    </row>
    <row r="26" spans="2:27">
      <c r="B26" s="5" t="s">
        <v>581</v>
      </c>
      <c r="C26" s="544">
        <v>922.53392766150012</v>
      </c>
      <c r="D26" s="536">
        <v>902.45328541060803</v>
      </c>
      <c r="E26" s="536">
        <v>967.68675844893767</v>
      </c>
      <c r="F26" s="536">
        <v>1024.9984144592934</v>
      </c>
      <c r="G26" s="536">
        <v>1055.5110873146314</v>
      </c>
      <c r="H26" s="279">
        <f t="shared" si="3"/>
        <v>5.360872021532348E-2</v>
      </c>
      <c r="I26" s="249"/>
      <c r="J26" s="249" t="s">
        <v>11</v>
      </c>
      <c r="K26" s="249"/>
      <c r="L26" s="281">
        <f>D11+L25</f>
        <v>16031.277593384</v>
      </c>
      <c r="M26" s="281">
        <f>E11+M25</f>
        <v>15793.593082480573</v>
      </c>
      <c r="N26" s="281">
        <f>F11+N25</f>
        <v>15614.084193785782</v>
      </c>
      <c r="O26" s="281">
        <f>G11+O25</f>
        <v>15424.823550145791</v>
      </c>
      <c r="P26" s="279">
        <f>IF(L26=0,"nm",IF(O26=0,"nm",(O26/L26)^(1/3)-1))</f>
        <v>-1.2772244675266387E-2</v>
      </c>
      <c r="Q26" s="5"/>
      <c r="S26" s="88"/>
      <c r="T26" s="42"/>
      <c r="U26" s="42"/>
      <c r="V26" s="147" t="s">
        <v>180</v>
      </c>
      <c r="W26" s="288">
        <f t="shared" ref="W26:W33" si="5">D38/L10</f>
        <v>1.2747328055731597</v>
      </c>
      <c r="X26" s="288">
        <v>1</v>
      </c>
      <c r="Y26" s="42"/>
      <c r="Z26" s="42"/>
      <c r="AA26" s="42"/>
    </row>
    <row r="27" spans="2:27">
      <c r="B27" s="5" t="s">
        <v>582</v>
      </c>
      <c r="C27" s="545">
        <v>9087</v>
      </c>
      <c r="D27" s="536">
        <v>9143</v>
      </c>
      <c r="E27" s="536">
        <v>7888.4055622327778</v>
      </c>
      <c r="F27" s="536">
        <v>8033.4885285319397</v>
      </c>
      <c r="G27" s="536">
        <v>7745.9589866215938</v>
      </c>
      <c r="H27" s="279">
        <f t="shared" si="3"/>
        <v>-5.3772662477283184E-2</v>
      </c>
      <c r="I27" s="249"/>
      <c r="J27" s="248"/>
      <c r="K27" s="248"/>
      <c r="L27" s="248"/>
      <c r="M27" s="248"/>
      <c r="N27" s="248"/>
      <c r="O27" s="248"/>
      <c r="Q27" s="41"/>
      <c r="S27" s="88"/>
      <c r="T27" s="42"/>
      <c r="U27" s="42"/>
      <c r="V27" s="147" t="s">
        <v>181</v>
      </c>
      <c r="W27" s="288">
        <f t="shared" si="5"/>
        <v>1.2765812821977243</v>
      </c>
      <c r="X27" s="288">
        <v>1</v>
      </c>
      <c r="Y27" s="42"/>
      <c r="Z27" s="42"/>
      <c r="AA27" s="42"/>
    </row>
    <row r="28" spans="2:27" ht="12.6" thickBot="1">
      <c r="B28" s="5" t="s">
        <v>587</v>
      </c>
      <c r="C28" s="544">
        <v>5568</v>
      </c>
      <c r="D28" s="536">
        <v>5943</v>
      </c>
      <c r="E28" s="536">
        <v>5778.8537525345964</v>
      </c>
      <c r="F28" s="536">
        <v>5626.0608299870364</v>
      </c>
      <c r="G28" s="536">
        <v>5496.6215277111842</v>
      </c>
      <c r="H28" s="279">
        <f t="shared" si="3"/>
        <v>-2.5691028903779278E-2</v>
      </c>
      <c r="I28" s="248"/>
      <c r="J28" s="306" t="s">
        <v>1352</v>
      </c>
      <c r="K28" s="306"/>
      <c r="L28" s="306"/>
      <c r="M28" s="306"/>
      <c r="N28" s="266"/>
      <c r="O28" s="266"/>
      <c r="P28" s="266"/>
      <c r="Q28" s="5"/>
      <c r="S28" s="88"/>
      <c r="T28" s="42"/>
      <c r="U28" s="42"/>
      <c r="V28" s="147" t="s">
        <v>461</v>
      </c>
      <c r="W28" s="288">
        <f t="shared" si="5"/>
        <v>1.2360997680745605</v>
      </c>
      <c r="X28" s="288">
        <v>1</v>
      </c>
      <c r="Y28" s="42"/>
      <c r="Z28" s="42"/>
      <c r="AA28" s="42"/>
    </row>
    <row r="29" spans="2:27" ht="12.6" thickTop="1">
      <c r="B29" s="5" t="s">
        <v>583</v>
      </c>
      <c r="C29" s="544">
        <v>735.09600995000005</v>
      </c>
      <c r="D29" s="536">
        <v>676.01725378001038</v>
      </c>
      <c r="E29" s="536">
        <v>879.91221528274559</v>
      </c>
      <c r="F29" s="536">
        <v>914.63169437043643</v>
      </c>
      <c r="G29" s="536">
        <v>922.55976646087174</v>
      </c>
      <c r="H29" s="279">
        <f t="shared" si="3"/>
        <v>0.10920608507628371</v>
      </c>
      <c r="I29" s="252"/>
      <c r="J29" s="249"/>
      <c r="K29" s="249"/>
      <c r="L29" s="249"/>
      <c r="M29" s="249"/>
      <c r="N29" s="249"/>
      <c r="O29" s="251"/>
      <c r="Q29" s="5"/>
      <c r="S29" s="88"/>
      <c r="T29" s="42"/>
      <c r="U29" s="42"/>
      <c r="V29" s="147" t="s">
        <v>525</v>
      </c>
      <c r="W29" s="288">
        <f t="shared" si="5"/>
        <v>1.5769016352819343</v>
      </c>
      <c r="X29" s="288">
        <v>1</v>
      </c>
      <c r="Y29" s="42"/>
      <c r="Z29" s="42"/>
      <c r="AA29" s="42"/>
    </row>
    <row r="30" spans="2:27">
      <c r="B30" s="5" t="s">
        <v>584</v>
      </c>
      <c r="C30" s="545">
        <v>601</v>
      </c>
      <c r="D30" s="536">
        <v>708</v>
      </c>
      <c r="E30" s="536">
        <v>542.31723346816943</v>
      </c>
      <c r="F30" s="536">
        <v>597.6991454709331</v>
      </c>
      <c r="G30" s="536">
        <v>641.42194459608618</v>
      </c>
      <c r="H30" s="279">
        <f t="shared" si="3"/>
        <v>-3.2382935479115305E-2</v>
      </c>
      <c r="I30" s="254"/>
      <c r="J30" s="248"/>
      <c r="K30" s="248"/>
      <c r="L30" s="248"/>
      <c r="M30" s="248"/>
      <c r="N30" s="248"/>
      <c r="O30" s="5"/>
      <c r="Q30" s="5"/>
      <c r="S30" s="88"/>
      <c r="T30" s="42"/>
      <c r="U30" s="42"/>
      <c r="V30" s="147" t="s">
        <v>588</v>
      </c>
      <c r="W30" s="288">
        <f t="shared" si="5"/>
        <v>1.0994286194596117</v>
      </c>
      <c r="X30" s="288">
        <v>1</v>
      </c>
      <c r="Y30" s="42"/>
      <c r="Z30" s="42"/>
      <c r="AA30" s="42"/>
    </row>
    <row r="31" spans="2:27">
      <c r="B31" s="5" t="s">
        <v>585</v>
      </c>
      <c r="C31" s="545">
        <v>577.1938177720001</v>
      </c>
      <c r="D31" s="536">
        <v>563.917697772</v>
      </c>
      <c r="E31" s="536">
        <v>660.55814843077883</v>
      </c>
      <c r="F31" s="536">
        <v>696.96369857171226</v>
      </c>
      <c r="G31" s="536">
        <v>735.91763722251108</v>
      </c>
      <c r="H31" s="279">
        <f t="shared" si="3"/>
        <v>9.2792810165498896E-2</v>
      </c>
      <c r="I31" s="254"/>
      <c r="J31" s="252"/>
      <c r="K31" s="252"/>
      <c r="L31" s="252"/>
      <c r="M31" s="252"/>
      <c r="N31" s="252"/>
      <c r="O31" s="5"/>
      <c r="Q31" s="5"/>
      <c r="S31" s="88"/>
      <c r="T31" s="42"/>
      <c r="U31" s="42"/>
      <c r="V31" s="147" t="s">
        <v>470</v>
      </c>
      <c r="W31" s="288">
        <f t="shared" si="5"/>
        <v>1.3602649142210683</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1.2964067913810764</v>
      </c>
      <c r="X32" s="288">
        <v>1</v>
      </c>
      <c r="Y32" s="42"/>
      <c r="Z32" s="42"/>
      <c r="AA32" s="42"/>
    </row>
    <row r="33" spans="2:27">
      <c r="B33" s="5" t="s">
        <v>5</v>
      </c>
      <c r="C33" s="545">
        <v>206</v>
      </c>
      <c r="D33" s="536">
        <v>238</v>
      </c>
      <c r="E33" s="536">
        <v>265.5937790033978</v>
      </c>
      <c r="F33" s="536">
        <v>266.95216314171699</v>
      </c>
      <c r="G33" s="536">
        <v>266.32424781384509</v>
      </c>
      <c r="H33" s="279">
        <f>IF(D33=0,"nm",IF(G33=0,"nm",(G33/D33)^(1/3)-1))</f>
        <v>3.8192572145798298E-2</v>
      </c>
      <c r="I33" s="5"/>
      <c r="J33" s="254"/>
      <c r="K33" s="254"/>
      <c r="L33" s="254"/>
      <c r="M33" s="254"/>
      <c r="N33" s="254"/>
      <c r="O33" s="251"/>
      <c r="Q33" s="5"/>
      <c r="S33" s="88"/>
      <c r="T33" s="42"/>
      <c r="U33" s="42"/>
      <c r="V33" s="147" t="s">
        <v>575</v>
      </c>
      <c r="W33" s="288">
        <f t="shared" si="5"/>
        <v>0.86126781192665758</v>
      </c>
      <c r="X33" s="288">
        <v>1</v>
      </c>
      <c r="Y33" s="42"/>
      <c r="Z33" s="42"/>
      <c r="AA33" s="42"/>
    </row>
    <row r="34" spans="2:27">
      <c r="H34" s="277"/>
      <c r="I34" s="49"/>
      <c r="J34" s="254"/>
      <c r="K34" s="254"/>
      <c r="L34" s="254"/>
      <c r="M34" s="254"/>
      <c r="N34" s="254"/>
      <c r="O34" s="251"/>
      <c r="Q34" s="5"/>
      <c r="S34" s="88"/>
      <c r="T34" s="42"/>
      <c r="U34" s="42"/>
      <c r="V34" s="147" t="s">
        <v>576</v>
      </c>
      <c r="W34" s="288">
        <f>D47/L19</f>
        <v>0.73515091769652263</v>
      </c>
      <c r="X34" s="288">
        <v>1</v>
      </c>
      <c r="Y34" s="288"/>
      <c r="Z34" s="288"/>
      <c r="AA34" s="42"/>
    </row>
    <row r="35" spans="2:27" ht="12.6" thickBot="1">
      <c r="B35" s="306" t="s">
        <v>597</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3.8628201804988223</v>
      </c>
      <c r="E37" s="525">
        <f t="shared" ref="E37:G41" si="7">E$18/E23</f>
        <v>3.7491679703020822</v>
      </c>
      <c r="F37" s="525">
        <f t="shared" si="7"/>
        <v>3.6192180278091546</v>
      </c>
      <c r="G37" s="525">
        <f t="shared" si="7"/>
        <v>3.4187102398607081</v>
      </c>
      <c r="H37" s="17">
        <f t="shared" ref="H37:H44" si="8">H23</f>
        <v>2.0620555480699521E-2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8.9148414051489162</v>
      </c>
      <c r="E38" s="525">
        <f>E$18/E24</f>
        <v>8.5756105190861085</v>
      </c>
      <c r="F38" s="525">
        <f>F$18/F24</f>
        <v>8.2597127737426419</v>
      </c>
      <c r="G38" s="525">
        <f t="shared" si="7"/>
        <v>7.82706490053571</v>
      </c>
      <c r="H38" s="17">
        <f t="shared" si="8"/>
        <v>2.3344375092730685E-2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18.407507339059908</v>
      </c>
      <c r="E39" s="525">
        <f t="shared" si="7"/>
        <v>17.037180481830209</v>
      </c>
      <c r="F39" s="525">
        <f t="shared" si="7"/>
        <v>15.83905097324293</v>
      </c>
      <c r="G39" s="525">
        <f>G$18/G25</f>
        <v>14.808383287110455</v>
      </c>
      <c r="H39" s="17">
        <f t="shared" si="8"/>
        <v>5.360872021532348E-2</v>
      </c>
      <c r="I39" s="17"/>
      <c r="J39" s="5"/>
      <c r="K39" s="5"/>
      <c r="L39" s="5"/>
      <c r="M39" s="5"/>
      <c r="N39" s="5"/>
      <c r="O39" s="5"/>
      <c r="Q39" s="5"/>
      <c r="R39" s="5"/>
      <c r="S39" s="42"/>
      <c r="T39" s="42"/>
      <c r="U39" s="42"/>
      <c r="V39" s="42"/>
      <c r="W39" s="42"/>
      <c r="X39" s="42"/>
      <c r="Y39" s="42"/>
      <c r="Z39" s="42"/>
      <c r="AA39" s="42"/>
    </row>
    <row r="40" spans="2:27">
      <c r="B40" s="5" t="s">
        <v>461</v>
      </c>
      <c r="C40" s="247"/>
      <c r="D40" s="525">
        <f>D$18/D26</f>
        <v>23.905853687090787</v>
      </c>
      <c r="E40" s="525">
        <f t="shared" si="7"/>
        <v>22.126208417961308</v>
      </c>
      <c r="F40" s="525">
        <f>F$18/F26</f>
        <v>20.570196069146661</v>
      </c>
      <c r="G40" s="525">
        <f t="shared" si="7"/>
        <v>19.231666606636953</v>
      </c>
      <c r="H40" s="17">
        <f t="shared" si="8"/>
        <v>5.360872021532348E-2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2.3596102155157364</v>
      </c>
      <c r="E41" s="525">
        <f t="shared" si="7"/>
        <v>2.714267000070699</v>
      </c>
      <c r="F41" s="525">
        <f t="shared" si="7"/>
        <v>2.6245656891284734</v>
      </c>
      <c r="G41" s="525">
        <f t="shared" si="7"/>
        <v>2.6206228778003622</v>
      </c>
      <c r="H41" s="17">
        <f t="shared" si="8"/>
        <v>-5.3772662477283184E-2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3.6301390207740836</v>
      </c>
      <c r="E42" s="525">
        <f>E18/E28</f>
        <v>3.7051013605166321</v>
      </c>
      <c r="F42" s="525">
        <f>F18/F28</f>
        <v>3.7476342672321761</v>
      </c>
      <c r="G42" s="525">
        <f>G18/G28</f>
        <v>3.6930389382833395</v>
      </c>
      <c r="H42" s="17">
        <f t="shared" si="8"/>
        <v>-2.5691028903779278E-2</v>
      </c>
      <c r="I42" s="248"/>
      <c r="J42" s="5"/>
      <c r="K42" s="5"/>
      <c r="L42" s="5"/>
      <c r="M42" s="5"/>
      <c r="N42" s="5"/>
      <c r="O42" s="5"/>
      <c r="Q42" s="5"/>
      <c r="R42" s="5"/>
      <c r="S42" s="42"/>
      <c r="T42" s="42"/>
      <c r="U42" s="42"/>
      <c r="V42" s="42"/>
      <c r="W42" s="288"/>
      <c r="X42" s="288"/>
      <c r="Y42" s="288"/>
      <c r="Z42" s="288"/>
      <c r="AA42" s="42"/>
    </row>
    <row r="43" spans="2:27">
      <c r="B43" s="5" t="s">
        <v>470</v>
      </c>
      <c r="C43" s="247"/>
      <c r="D43" s="525">
        <f>L26/D29</f>
        <v>23.714302414241192</v>
      </c>
      <c r="E43" s="525">
        <f>M26/E29</f>
        <v>17.949055380945651</v>
      </c>
      <c r="F43" s="525">
        <f>N26/F29</f>
        <v>17.071444484037197</v>
      </c>
      <c r="G43" s="525">
        <f>O26/G29</f>
        <v>16.719592714647177</v>
      </c>
      <c r="H43" s="17">
        <f t="shared" si="8"/>
        <v>0.10920608507628371</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20.864798860711865</v>
      </c>
      <c r="E44" s="525">
        <f>E11/E30</f>
        <v>26.839628512994494</v>
      </c>
      <c r="F44" s="525">
        <f>F11/F30</f>
        <v>24.013894452662878</v>
      </c>
      <c r="G44" s="525">
        <f>G11/G30</f>
        <v>22.081912958349097</v>
      </c>
      <c r="H44" s="17">
        <f t="shared" si="8"/>
        <v>-3.2382935479115305E-2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3.8174052322477309E-2</v>
      </c>
      <c r="E45" s="248">
        <f>E31/E11</f>
        <v>4.5381740523224773E-2</v>
      </c>
      <c r="F45" s="248">
        <f>F31/F11</f>
        <v>4.8558462359850514E-2</v>
      </c>
      <c r="G45" s="248">
        <f>G31/G11</f>
        <v>5.1957554725040059E-2</v>
      </c>
      <c r="H45" s="17">
        <f>H31</f>
        <v>9.2792810165498896E-2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3.8174052322477309E-2</v>
      </c>
      <c r="E46" s="248">
        <f>(E31+E32)/E11</f>
        <v>4.5381740523224773E-2</v>
      </c>
      <c r="F46" s="248">
        <f>(F31+F32)/F11</f>
        <v>4.8558462359850514E-2</v>
      </c>
      <c r="G46" s="248">
        <f>(G31+G32)/G11</f>
        <v>5.1957554725040059E-2</v>
      </c>
      <c r="H46" s="17" t="str">
        <f>H32</f>
        <v>nm</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4.2168645003003262E-2</v>
      </c>
      <c r="E47" s="248">
        <f>1/E43</f>
        <v>5.5713238316796296E-2</v>
      </c>
      <c r="F47" s="248">
        <f>1/F43</f>
        <v>5.8577351256658958E-2</v>
      </c>
      <c r="G47" s="248">
        <f>1/G43</f>
        <v>5.981006936394756E-2</v>
      </c>
      <c r="H47" s="17">
        <f>H29</f>
        <v>0.10920608507628371</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0.83417648679646006</v>
      </c>
      <c r="E48" s="305">
        <f>E31/E29</f>
        <v>0.75070914684201662</v>
      </c>
      <c r="F48" s="305">
        <f>F31/F29</f>
        <v>0.76201568659989372</v>
      </c>
      <c r="G48" s="305">
        <f>G31/G29</f>
        <v>0.79769101577629153</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KPNSOP!A1" display="Jump to KPN SOP" xr:uid="{00000000-0004-0000-3200-000001000000}"/>
  </hyperlinks>
  <pageMargins left="0.75" right="0.75" top="1" bottom="1" header="0.5" footer="0.5"/>
  <pageSetup scale="71"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0">
    <pageSetUpPr fitToPage="1"/>
  </sheetPr>
  <dimension ref="B1:AR165"/>
  <sheetViews>
    <sheetView showGridLines="0" zoomScale="80" zoomScaleNormal="80" workbookViewId="0">
      <selection activeCell="D17" sqref="D17:G17"/>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116</v>
      </c>
      <c r="C9" s="285">
        <f>Prices!C88</f>
        <v>41200</v>
      </c>
      <c r="D9" s="531">
        <v>257.86076000000003</v>
      </c>
      <c r="E9" s="532">
        <v>257.86076000000003</v>
      </c>
      <c r="F9" s="532">
        <v>257.86076000000003</v>
      </c>
      <c r="G9" s="532">
        <v>257.86076000000003</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42"/>
      <c r="T9" s="42"/>
      <c r="U9" s="42"/>
      <c r="V9" s="42"/>
      <c r="W9" s="42"/>
      <c r="X9" s="42"/>
      <c r="Y9" s="42"/>
      <c r="Z9" s="42"/>
      <c r="AA9" s="42"/>
    </row>
    <row r="10" spans="2:44">
      <c r="B10" s="5" t="s">
        <v>269</v>
      </c>
      <c r="C10" s="5"/>
      <c r="D10" s="527">
        <v>246.41342200000003</v>
      </c>
      <c r="E10" s="527">
        <v>251.55672200000004</v>
      </c>
      <c r="F10" s="527">
        <v>251.55672200000004</v>
      </c>
      <c r="G10" s="527">
        <v>251.55672200000004</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42"/>
      <c r="T10" s="42"/>
      <c r="U10" s="42"/>
      <c r="V10" s="42"/>
      <c r="W10" s="288"/>
      <c r="X10" s="288"/>
      <c r="Y10" s="288"/>
      <c r="Z10" s="288"/>
      <c r="AA10" s="42"/>
    </row>
    <row r="11" spans="2:44">
      <c r="B11" s="41" t="s">
        <v>868</v>
      </c>
      <c r="C11" s="5"/>
      <c r="D11" s="528">
        <f>$C$9*D10/1000</f>
        <v>10152.2329864</v>
      </c>
      <c r="E11" s="528">
        <f>$C$9*E10/1000</f>
        <v>10364.136946400002</v>
      </c>
      <c r="F11" s="528">
        <f>$C$9*F10/1000</f>
        <v>10364.136946400002</v>
      </c>
      <c r="G11" s="528">
        <f>$C$9*G10/1000</f>
        <v>10364.136946400002</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42"/>
      <c r="T11" s="42"/>
      <c r="U11" s="42"/>
      <c r="V11" s="42"/>
      <c r="W11" s="288"/>
      <c r="X11" s="288"/>
      <c r="Y11" s="288"/>
      <c r="Z11" s="288"/>
      <c r="AA11" s="42"/>
    </row>
    <row r="12" spans="2:44">
      <c r="B12" s="5" t="s">
        <v>24</v>
      </c>
      <c r="C12" s="249"/>
      <c r="D12" s="529">
        <v>7338.6</v>
      </c>
      <c r="E12" s="529">
        <v>6881.6058516786024</v>
      </c>
      <c r="F12" s="529">
        <v>5767.0782115587263</v>
      </c>
      <c r="G12" s="529">
        <v>4658.430462378029</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42"/>
      <c r="T12" s="42"/>
      <c r="U12" s="42"/>
      <c r="V12" s="42"/>
      <c r="W12" s="288"/>
      <c r="X12" s="288"/>
      <c r="Y12" s="288"/>
      <c r="Z12" s="288"/>
      <c r="AA12" s="42"/>
    </row>
    <row r="13" spans="2:44">
      <c r="B13" s="5" t="s">
        <v>524</v>
      </c>
      <c r="C13" s="257"/>
      <c r="D13" s="529">
        <v>1460.5069115961783</v>
      </c>
      <c r="E13" s="529">
        <v>1375.3603990818533</v>
      </c>
      <c r="F13" s="529">
        <v>1282.9764330038108</v>
      </c>
      <c r="G13" s="529">
        <v>1182.7398298091348</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42"/>
      <c r="T13" s="42"/>
      <c r="U13" s="42"/>
      <c r="V13" s="42"/>
      <c r="W13" s="42"/>
      <c r="X13" s="42"/>
      <c r="Y13" s="42"/>
      <c r="Z13" s="42"/>
      <c r="AA13" s="42"/>
    </row>
    <row r="14" spans="2:44">
      <c r="B14" s="5" t="s">
        <v>527</v>
      </c>
      <c r="C14" s="257"/>
      <c r="D14" s="529">
        <v>0</v>
      </c>
      <c r="E14" s="529">
        <v>0</v>
      </c>
      <c r="F14" s="529">
        <v>0</v>
      </c>
      <c r="G14" s="529">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42"/>
      <c r="T14" s="42"/>
      <c r="U14" s="42"/>
      <c r="V14" s="42"/>
      <c r="W14" s="42"/>
      <c r="X14" s="42"/>
      <c r="Y14" s="42"/>
      <c r="Z14" s="42"/>
      <c r="AA14" s="42"/>
    </row>
    <row r="15" spans="2:44">
      <c r="B15" s="5" t="s">
        <v>526</v>
      </c>
      <c r="C15" s="274"/>
      <c r="D15" s="529">
        <v>1.8793192731432682</v>
      </c>
      <c r="E15" s="529">
        <v>1.8793192731432682</v>
      </c>
      <c r="F15" s="529">
        <v>1.8793192731432682</v>
      </c>
      <c r="G15" s="529">
        <v>1.8793192731432682</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42"/>
      <c r="T15" s="42"/>
      <c r="U15" s="42"/>
      <c r="V15" s="42"/>
      <c r="W15" s="42"/>
      <c r="X15" s="42"/>
      <c r="Y15" s="42"/>
      <c r="Z15" s="42"/>
      <c r="AA15" s="42"/>
    </row>
    <row r="16" spans="2:44">
      <c r="B16" s="5" t="s">
        <v>529</v>
      </c>
      <c r="C16" s="257"/>
      <c r="D16" s="529">
        <v>0</v>
      </c>
      <c r="E16" s="529">
        <v>0</v>
      </c>
      <c r="F16" s="529">
        <v>518.00692743858633</v>
      </c>
      <c r="G16" s="529">
        <v>1122.3962241334179</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42"/>
      <c r="T16" s="42"/>
      <c r="U16" s="42"/>
      <c r="V16" s="42"/>
      <c r="W16" s="42"/>
      <c r="X16" s="42"/>
      <c r="Y16" s="42"/>
      <c r="Z16" s="42"/>
      <c r="AA16" s="42"/>
    </row>
    <row r="17" spans="2:27">
      <c r="B17" s="5" t="s">
        <v>6</v>
      </c>
      <c r="C17" s="257"/>
      <c r="D17" s="529">
        <v>569.81057744207533</v>
      </c>
      <c r="E17" s="529">
        <v>569.81057744207533</v>
      </c>
      <c r="F17" s="529">
        <v>569.81057744207533</v>
      </c>
      <c r="G17" s="529">
        <v>569.81057744207533</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42"/>
      <c r="T17" s="42"/>
      <c r="U17" s="42"/>
      <c r="V17" s="42"/>
      <c r="W17" s="42"/>
      <c r="X17" s="42"/>
      <c r="Y17" s="42"/>
      <c r="Z17" s="42"/>
      <c r="AA17" s="42"/>
    </row>
    <row r="18" spans="2:27" ht="12.6" thickBot="1">
      <c r="B18" s="41" t="s">
        <v>578</v>
      </c>
      <c r="C18" s="249"/>
      <c r="D18" s="530">
        <f>D11+D12+D13-D14+D15-D16-D17</f>
        <v>18383.408639827245</v>
      </c>
      <c r="E18" s="530">
        <f>E11+E12+E13-E14+E15-E16-E17</f>
        <v>18053.171938991523</v>
      </c>
      <c r="F18" s="530">
        <f>F11+F12+F13-F14+F15-F16-F17</f>
        <v>16328.253405355021</v>
      </c>
      <c r="G18" s="530">
        <f>G11+G12+G13-G14+G15-G16-G17</f>
        <v>14514.979756284818</v>
      </c>
      <c r="H18" s="276">
        <f>IF(D18=0,"nm",IF(G18=0,"nm",(G18/D18)^(1/3)-1))</f>
        <v>-7.5734382255554289E-2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42"/>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42"/>
      <c r="T20" s="42"/>
      <c r="U20" s="42"/>
      <c r="V20" s="42"/>
      <c r="W20" s="42"/>
      <c r="X20" s="42"/>
      <c r="Y20" s="42"/>
      <c r="Z20" s="42"/>
      <c r="AA20" s="42"/>
    </row>
    <row r="21" spans="2:27" ht="12.6" thickBot="1">
      <c r="B21" s="306" t="s">
        <v>985</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25650.1</v>
      </c>
      <c r="D23" s="536">
        <v>26387</v>
      </c>
      <c r="E23" s="536">
        <v>27121.195063488478</v>
      </c>
      <c r="F23" s="536">
        <v>28935.044411907933</v>
      </c>
      <c r="G23" s="536">
        <v>28950.030399413899</v>
      </c>
      <c r="H23" s="279">
        <f t="shared" ref="H23:H32" si="3">IF(D23=0,"nm",IF(G23=0,"nm",(G23/D23)^(1/3)-1))</f>
        <v>3.1382288109379708E-2</v>
      </c>
      <c r="I23" s="247"/>
      <c r="J23" s="306" t="s">
        <v>9</v>
      </c>
      <c r="K23" s="306"/>
      <c r="L23" s="265" t="str">
        <f>D21</f>
        <v>2023E</v>
      </c>
      <c r="M23" s="265" t="str">
        <f t="shared" ref="M23:P23" si="4">E21</f>
        <v>2024E</v>
      </c>
      <c r="N23" s="265" t="str">
        <f t="shared" si="4"/>
        <v>2025E</v>
      </c>
      <c r="O23" s="265" t="str">
        <f t="shared" si="4"/>
        <v>2026E</v>
      </c>
      <c r="P23" s="265" t="str">
        <f t="shared" si="4"/>
        <v>23E-26E</v>
      </c>
      <c r="S23" s="42"/>
      <c r="T23" s="42"/>
      <c r="U23" s="42"/>
      <c r="V23" s="42"/>
      <c r="W23" s="42"/>
      <c r="X23" s="42"/>
      <c r="Y23" s="42"/>
      <c r="Z23" s="42"/>
      <c r="AA23" s="42"/>
    </row>
    <row r="24" spans="2:27" ht="12.6" thickTop="1">
      <c r="B24" s="5" t="s">
        <v>478</v>
      </c>
      <c r="C24" s="545">
        <v>5346</v>
      </c>
      <c r="D24" s="536">
        <v>5459.9000000000005</v>
      </c>
      <c r="E24" s="536">
        <v>5740.7844259442545</v>
      </c>
      <c r="F24" s="536">
        <v>6125.6568633922971</v>
      </c>
      <c r="G24" s="536">
        <v>6251.5314994259488</v>
      </c>
      <c r="H24" s="279">
        <f t="shared" si="3"/>
        <v>4.6165944374719992E-2</v>
      </c>
      <c r="I24" s="249"/>
      <c r="J24" s="17"/>
      <c r="K24" s="17"/>
      <c r="L24" s="17"/>
      <c r="M24" s="17"/>
      <c r="N24" s="17"/>
      <c r="O24" s="248"/>
      <c r="S24" s="42"/>
      <c r="T24" s="42"/>
      <c r="U24" s="42"/>
      <c r="V24" s="42"/>
      <c r="W24" s="42" t="s">
        <v>20</v>
      </c>
      <c r="X24" s="42" t="s">
        <v>252</v>
      </c>
      <c r="Y24" s="42"/>
      <c r="Z24" s="42"/>
      <c r="AA24" s="42"/>
    </row>
    <row r="25" spans="2:27">
      <c r="B25" s="5" t="s">
        <v>179</v>
      </c>
      <c r="C25" s="544">
        <v>1813</v>
      </c>
      <c r="D25" s="536">
        <v>2140.9000000000005</v>
      </c>
      <c r="E25" s="536">
        <v>2158.6532631927257</v>
      </c>
      <c r="F25" s="536">
        <v>2762.5947109996496</v>
      </c>
      <c r="G25" s="536">
        <v>2945.5492078545785</v>
      </c>
      <c r="H25" s="279">
        <f t="shared" si="3"/>
        <v>0.11221812132162357</v>
      </c>
      <c r="I25" s="248"/>
      <c r="J25" s="247" t="s">
        <v>10</v>
      </c>
      <c r="K25" s="247"/>
      <c r="L25" s="321">
        <v>-0.32048540332458447</v>
      </c>
      <c r="M25" s="321">
        <v>-0.17649100262467196</v>
      </c>
      <c r="N25" s="321">
        <v>-0.17649100262467196</v>
      </c>
      <c r="O25" s="321">
        <v>-0.17649100262467196</v>
      </c>
      <c r="P25" s="279">
        <f>IF(L25=0,"nm",IF(O25=0,"nm",(O25/L25)^(1/3)-1))</f>
        <v>-0.18033176425189545</v>
      </c>
      <c r="S25" s="42"/>
      <c r="T25" s="42"/>
      <c r="U25" s="42"/>
      <c r="V25" s="147" t="s">
        <v>268</v>
      </c>
      <c r="W25" s="288">
        <f>D37/L9</f>
        <v>0.32361426585039021</v>
      </c>
      <c r="X25" s="288">
        <v>1</v>
      </c>
      <c r="Y25" s="42"/>
      <c r="Z25" s="42"/>
      <c r="AA25" s="42"/>
    </row>
    <row r="26" spans="2:27">
      <c r="B26" s="5" t="s">
        <v>581</v>
      </c>
      <c r="C26" s="544">
        <v>1328.2826144342962</v>
      </c>
      <c r="D26" s="536">
        <v>1552.1525000000004</v>
      </c>
      <c r="E26" s="536">
        <v>1565.0236158147261</v>
      </c>
      <c r="F26" s="536">
        <v>2002.8811654747458</v>
      </c>
      <c r="G26" s="536">
        <v>2135.5231756945695</v>
      </c>
      <c r="H26" s="279">
        <f t="shared" si="3"/>
        <v>0.11221812132162357</v>
      </c>
      <c r="I26" s="249"/>
      <c r="J26" s="249" t="s">
        <v>11</v>
      </c>
      <c r="K26" s="249"/>
      <c r="L26" s="281">
        <f>D11+L25</f>
        <v>10151.912500996676</v>
      </c>
      <c r="M26" s="281">
        <f>E11+M25</f>
        <v>10363.960455397377</v>
      </c>
      <c r="N26" s="281">
        <f>F11+N25</f>
        <v>10363.960455397377</v>
      </c>
      <c r="O26" s="281">
        <f>G11+O25</f>
        <v>10363.960455397377</v>
      </c>
      <c r="P26" s="279">
        <f>IF(L26=0,"nm",IF(O26=0,"nm",(O26/L26)^(1/3)-1))</f>
        <v>6.9145745866343589E-3</v>
      </c>
      <c r="Q26" s="5"/>
      <c r="S26" s="42"/>
      <c r="T26" s="42"/>
      <c r="U26" s="42"/>
      <c r="V26" s="147" t="s">
        <v>180</v>
      </c>
      <c r="W26" s="288">
        <f t="shared" ref="W26:W33" si="5">D38/L10</f>
        <v>0.51036881312514637</v>
      </c>
      <c r="X26" s="288">
        <v>1</v>
      </c>
      <c r="Y26" s="42"/>
      <c r="Z26" s="42"/>
      <c r="AA26" s="42"/>
    </row>
    <row r="27" spans="2:27">
      <c r="B27" s="5" t="s">
        <v>582</v>
      </c>
      <c r="C27" s="545">
        <v>25972.2</v>
      </c>
      <c r="D27" s="536">
        <v>25899.699999999997</v>
      </c>
      <c r="E27" s="536">
        <v>26135.502716221588</v>
      </c>
      <c r="F27" s="536">
        <v>26035.150323995214</v>
      </c>
      <c r="G27" s="536">
        <v>26018.595285940341</v>
      </c>
      <c r="H27" s="279">
        <f t="shared" si="3"/>
        <v>1.5278660211297534E-3</v>
      </c>
      <c r="I27" s="249"/>
      <c r="J27" s="248"/>
      <c r="K27" s="248"/>
      <c r="L27" s="248"/>
      <c r="M27" s="248"/>
      <c r="N27" s="248"/>
      <c r="O27" s="248"/>
      <c r="Q27" s="41"/>
      <c r="S27" s="42"/>
      <c r="T27" s="42"/>
      <c r="U27" s="42"/>
      <c r="V27" s="147" t="s">
        <v>181</v>
      </c>
      <c r="W27" s="288">
        <f t="shared" si="5"/>
        <v>0.67535384027733991</v>
      </c>
      <c r="X27" s="288">
        <v>1</v>
      </c>
      <c r="Y27" s="42"/>
      <c r="Z27" s="42"/>
      <c r="AA27" s="42"/>
    </row>
    <row r="28" spans="2:27" ht="12.6" thickBot="1">
      <c r="B28" s="5" t="s">
        <v>587</v>
      </c>
      <c r="C28" s="544">
        <v>14772.2</v>
      </c>
      <c r="D28" s="536">
        <v>14872.1</v>
      </c>
      <c r="E28" s="536">
        <v>14301.847206576378</v>
      </c>
      <c r="F28" s="536">
        <v>14146.023628780269</v>
      </c>
      <c r="G28" s="536">
        <v>13936.281189218076</v>
      </c>
      <c r="H28" s="279">
        <f t="shared" si="3"/>
        <v>-2.143081790270418E-2</v>
      </c>
      <c r="I28" s="248"/>
      <c r="J28" s="306" t="s">
        <v>1352</v>
      </c>
      <c r="K28" s="306"/>
      <c r="L28" s="306"/>
      <c r="M28" s="306"/>
      <c r="N28" s="266"/>
      <c r="O28" s="266"/>
      <c r="P28" s="266"/>
      <c r="Q28" s="5"/>
      <c r="S28" s="42"/>
      <c r="T28" s="42"/>
      <c r="U28" s="42"/>
      <c r="V28" s="147" t="s">
        <v>461</v>
      </c>
      <c r="W28" s="288">
        <f t="shared" si="5"/>
        <v>0.71544645102803583</v>
      </c>
      <c r="X28" s="288">
        <v>1</v>
      </c>
      <c r="Y28" s="42"/>
      <c r="Z28" s="42"/>
      <c r="AA28" s="42"/>
    </row>
    <row r="29" spans="2:27" ht="12.6" thickTop="1">
      <c r="B29" s="5" t="s">
        <v>583</v>
      </c>
      <c r="C29" s="544">
        <v>759.78015999999695</v>
      </c>
      <c r="D29" s="536">
        <v>1143.6444898800044</v>
      </c>
      <c r="E29" s="536">
        <v>939.78684865546154</v>
      </c>
      <c r="F29" s="536">
        <v>1511.2159952947275</v>
      </c>
      <c r="G29" s="536">
        <v>1929.7744552839997</v>
      </c>
      <c r="H29" s="279">
        <f t="shared" si="3"/>
        <v>0.19052495656990964</v>
      </c>
      <c r="I29" s="252"/>
      <c r="J29" s="249"/>
      <c r="K29" s="249"/>
      <c r="L29" s="249"/>
      <c r="M29" s="249"/>
      <c r="N29" s="249"/>
      <c r="O29" s="251"/>
      <c r="Q29" s="5"/>
      <c r="S29" s="42"/>
      <c r="T29" s="42"/>
      <c r="U29" s="42"/>
      <c r="V29" s="147" t="s">
        <v>525</v>
      </c>
      <c r="W29" s="288">
        <f t="shared" si="5"/>
        <v>0.47866010898901851</v>
      </c>
      <c r="X29" s="288">
        <v>1</v>
      </c>
      <c r="Y29" s="42"/>
      <c r="Z29" s="42"/>
      <c r="AA29" s="42"/>
    </row>
    <row r="30" spans="2:27">
      <c r="B30" s="5" t="s">
        <v>584</v>
      </c>
      <c r="C30" s="545">
        <v>1262.5</v>
      </c>
      <c r="D30" s="536">
        <v>1009.9</v>
      </c>
      <c r="E30" s="536">
        <v>1196.9671716629855</v>
      </c>
      <c r="F30" s="536">
        <v>1553.3821753320913</v>
      </c>
      <c r="G30" s="536">
        <v>1717.682007820652</v>
      </c>
      <c r="H30" s="279">
        <f t="shared" si="3"/>
        <v>0.19368058845630709</v>
      </c>
      <c r="I30" s="254"/>
      <c r="J30" s="248"/>
      <c r="K30" s="248"/>
      <c r="L30" s="248"/>
      <c r="M30" s="248"/>
      <c r="N30" s="248"/>
      <c r="O30" s="5"/>
      <c r="Q30" s="5"/>
      <c r="S30" s="42"/>
      <c r="T30" s="42"/>
      <c r="U30" s="42"/>
      <c r="V30" s="147" t="s">
        <v>588</v>
      </c>
      <c r="W30" s="288">
        <f t="shared" si="5"/>
        <v>0.40627030598275082</v>
      </c>
      <c r="X30" s="288">
        <v>1</v>
      </c>
      <c r="Y30" s="42"/>
      <c r="Z30" s="42"/>
      <c r="AA30" s="42"/>
    </row>
    <row r="31" spans="2:27">
      <c r="B31" s="5" t="s">
        <v>585</v>
      </c>
      <c r="C31" s="545">
        <v>501.84364888000005</v>
      </c>
      <c r="D31" s="536">
        <v>482.97030712000009</v>
      </c>
      <c r="E31" s="536">
        <v>518.00692743858633</v>
      </c>
      <c r="F31" s="536">
        <v>604.38929669483161</v>
      </c>
      <c r="G31" s="536">
        <v>688.03237776521314</v>
      </c>
      <c r="H31" s="279">
        <f t="shared" si="3"/>
        <v>0.12519937319242191</v>
      </c>
      <c r="I31" s="254"/>
      <c r="J31" s="252"/>
      <c r="K31" s="252"/>
      <c r="L31" s="252"/>
      <c r="M31" s="252"/>
      <c r="N31" s="252"/>
      <c r="O31" s="5"/>
      <c r="Q31" s="5"/>
      <c r="S31" s="42"/>
      <c r="T31" s="42"/>
      <c r="U31" s="42"/>
      <c r="V31" s="147" t="s">
        <v>470</v>
      </c>
      <c r="W31" s="288">
        <f t="shared" si="5"/>
        <v>0.45091476854191681</v>
      </c>
      <c r="X31" s="288">
        <v>1</v>
      </c>
      <c r="Y31" s="42"/>
      <c r="Z31" s="42"/>
      <c r="AA31" s="42"/>
    </row>
    <row r="32" spans="2:27">
      <c r="B32" s="5" t="s">
        <v>601</v>
      </c>
      <c r="C32" s="546">
        <v>0</v>
      </c>
      <c r="D32" s="536">
        <v>0</v>
      </c>
      <c r="E32" s="536">
        <v>0</v>
      </c>
      <c r="F32" s="536">
        <v>114.68300000000001</v>
      </c>
      <c r="G32" s="536">
        <v>193.626</v>
      </c>
      <c r="H32" s="279" t="str">
        <f t="shared" si="3"/>
        <v>nm</v>
      </c>
      <c r="I32" s="254"/>
      <c r="J32" s="254"/>
      <c r="K32" s="254"/>
      <c r="L32" s="254"/>
      <c r="M32" s="254"/>
      <c r="N32" s="254"/>
      <c r="O32" s="251"/>
      <c r="Q32" s="5"/>
      <c r="S32" s="42"/>
      <c r="T32" s="42"/>
      <c r="U32" s="42"/>
      <c r="V32" s="147" t="s">
        <v>528</v>
      </c>
      <c r="W32" s="288">
        <f t="shared" si="5"/>
        <v>0.46980934912342476</v>
      </c>
      <c r="X32" s="288">
        <v>1</v>
      </c>
      <c r="Y32" s="42"/>
      <c r="Z32" s="42"/>
      <c r="AA32" s="42"/>
    </row>
    <row r="33" spans="2:27">
      <c r="B33" s="5" t="s">
        <v>5</v>
      </c>
      <c r="C33" s="545">
        <v>204.00000000000006</v>
      </c>
      <c r="D33" s="536">
        <v>-325.60000000000014</v>
      </c>
      <c r="E33" s="536">
        <v>-306.05260296082452</v>
      </c>
      <c r="F33" s="536">
        <v>-194.99865304630697</v>
      </c>
      <c r="G33" s="536">
        <v>-88.532223594119785</v>
      </c>
      <c r="H33" s="279">
        <f>IF(D33=0,"nm",IF(G33=0,"nm",(G33/D33)^(1/3)-1))</f>
        <v>-0.35215318898104064</v>
      </c>
      <c r="I33" s="5"/>
      <c r="J33" s="254"/>
      <c r="K33" s="254"/>
      <c r="L33" s="254"/>
      <c r="M33" s="254"/>
      <c r="N33" s="254"/>
      <c r="O33" s="251"/>
      <c r="Q33" s="5"/>
      <c r="S33" s="42"/>
      <c r="T33" s="42"/>
      <c r="U33" s="42"/>
      <c r="V33" s="147" t="s">
        <v>575</v>
      </c>
      <c r="W33" s="288">
        <f t="shared" si="5"/>
        <v>1.2063295866036614</v>
      </c>
      <c r="X33" s="288">
        <v>1</v>
      </c>
      <c r="Y33" s="42"/>
      <c r="Z33" s="42"/>
      <c r="AA33" s="42"/>
    </row>
    <row r="34" spans="2:27">
      <c r="D34" s="5"/>
      <c r="E34" s="5"/>
      <c r="F34" s="5"/>
      <c r="G34" s="5"/>
      <c r="I34" s="49"/>
      <c r="J34" s="254"/>
      <c r="K34" s="254"/>
      <c r="L34" s="254"/>
      <c r="M34" s="254"/>
      <c r="N34" s="254"/>
      <c r="O34" s="251"/>
      <c r="Q34" s="5"/>
      <c r="S34" s="42"/>
      <c r="T34" s="42"/>
      <c r="U34" s="42"/>
      <c r="V34" s="147" t="s">
        <v>576</v>
      </c>
      <c r="W34" s="288">
        <f>D47/L19</f>
        <v>2.217714011083761</v>
      </c>
      <c r="X34" s="288">
        <v>1</v>
      </c>
      <c r="Y34" s="288"/>
      <c r="Z34" s="288"/>
      <c r="AA34" s="42"/>
    </row>
    <row r="35" spans="2:27" ht="12.6" thickBot="1">
      <c r="B35" s="306" t="s">
        <v>172</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0.69668430059602249</v>
      </c>
      <c r="E37" s="525">
        <f t="shared" ref="E37:G41" si="7">E$18/E23</f>
        <v>0.66564809908746791</v>
      </c>
      <c r="F37" s="525">
        <f t="shared" si="7"/>
        <v>0.56430718311375005</v>
      </c>
      <c r="G37" s="525">
        <f t="shared" si="7"/>
        <v>0.50138046682599258</v>
      </c>
      <c r="H37" s="17">
        <f t="shared" ref="H37:H45" si="8">H23</f>
        <v>3.1382288109379708E-2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3.3669863257252408</v>
      </c>
      <c r="E38" s="525">
        <f t="shared" si="7"/>
        <v>3.1447221493641271</v>
      </c>
      <c r="F38" s="525">
        <f t="shared" si="7"/>
        <v>2.6655514289307871</v>
      </c>
      <c r="G38" s="525">
        <f t="shared" si="7"/>
        <v>2.3218278205296841</v>
      </c>
      <c r="H38" s="17">
        <f t="shared" si="8"/>
        <v>4.6165944374719992E-2</v>
      </c>
      <c r="I38" s="259"/>
      <c r="J38" s="17"/>
      <c r="K38" s="17"/>
      <c r="L38" s="17"/>
      <c r="M38" s="17"/>
      <c r="N38" s="17"/>
      <c r="O38" s="5"/>
      <c r="Q38" s="5"/>
      <c r="R38" s="5"/>
      <c r="S38" s="42"/>
      <c r="T38" s="42"/>
      <c r="U38" s="42"/>
      <c r="V38" s="42"/>
      <c r="W38" s="42"/>
      <c r="X38" s="42"/>
      <c r="Y38" s="42"/>
      <c r="Z38" s="42"/>
      <c r="AA38" s="42"/>
    </row>
    <row r="39" spans="2:27">
      <c r="B39" s="5" t="s">
        <v>181</v>
      </c>
      <c r="C39" s="247"/>
      <c r="D39" s="525">
        <f>D$18/D25</f>
        <v>8.5867666120917558</v>
      </c>
      <c r="E39" s="525">
        <f t="shared" si="7"/>
        <v>8.3631643149072641</v>
      </c>
      <c r="F39" s="525">
        <f t="shared" si="7"/>
        <v>5.9104773278330844</v>
      </c>
      <c r="G39" s="525">
        <f t="shared" si="7"/>
        <v>4.9277668550161327</v>
      </c>
      <c r="H39" s="17">
        <f t="shared" si="8"/>
        <v>0.11221812132162357</v>
      </c>
      <c r="I39" s="17"/>
      <c r="J39" s="5"/>
      <c r="K39" s="5"/>
      <c r="L39" s="5"/>
      <c r="M39" s="5"/>
      <c r="N39" s="5"/>
      <c r="O39" s="5"/>
      <c r="Q39" s="5"/>
      <c r="R39" s="5"/>
      <c r="S39" s="42"/>
      <c r="T39" s="42"/>
      <c r="U39" s="42"/>
      <c r="V39" s="42"/>
      <c r="W39" s="42"/>
      <c r="X39" s="42"/>
      <c r="Y39" s="42"/>
      <c r="Z39" s="42"/>
      <c r="AA39" s="42"/>
    </row>
    <row r="40" spans="2:27">
      <c r="B40" s="5" t="s">
        <v>461</v>
      </c>
      <c r="C40" s="247"/>
      <c r="D40" s="525">
        <f>D$18/D26</f>
        <v>11.843816016678284</v>
      </c>
      <c r="E40" s="525">
        <f t="shared" si="7"/>
        <v>11.535399055044504</v>
      </c>
      <c r="F40" s="525">
        <f t="shared" si="7"/>
        <v>8.1523825211490824</v>
      </c>
      <c r="G40" s="525">
        <f t="shared" si="7"/>
        <v>6.7969198000222519</v>
      </c>
      <c r="H40" s="17">
        <f t="shared" si="8"/>
        <v>0.11221812132162357</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0.70979233890073035</v>
      </c>
      <c r="E41" s="525">
        <f t="shared" si="7"/>
        <v>0.69075280988516874</v>
      </c>
      <c r="F41" s="525">
        <f t="shared" si="7"/>
        <v>0.62716186394768525</v>
      </c>
      <c r="G41" s="525">
        <f t="shared" si="7"/>
        <v>0.55786946208153954</v>
      </c>
      <c r="H41" s="17">
        <f t="shared" si="8"/>
        <v>1.5278660211297534E-3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1.2361003919975824</v>
      </c>
      <c r="E42" s="525">
        <f>E18/E28</f>
        <v>1.2622965186406259</v>
      </c>
      <c r="F42" s="525">
        <f>F18/F28</f>
        <v>1.1542645363701343</v>
      </c>
      <c r="G42" s="525">
        <f>G18/G28</f>
        <v>1.0415246046782163</v>
      </c>
      <c r="H42" s="17">
        <f t="shared" si="8"/>
        <v>-2.143081790270418E-2</v>
      </c>
      <c r="I42" s="248"/>
      <c r="J42" s="5"/>
      <c r="K42" s="5"/>
      <c r="L42" s="5"/>
      <c r="M42" s="5"/>
      <c r="N42" s="5"/>
      <c r="O42" s="5"/>
      <c r="Q42" s="5"/>
      <c r="R42" s="5"/>
      <c r="S42" s="42"/>
      <c r="T42" s="42"/>
      <c r="U42" s="42"/>
      <c r="V42" s="42"/>
      <c r="W42" s="288"/>
      <c r="X42" s="288"/>
      <c r="Y42" s="288"/>
      <c r="Z42" s="288"/>
      <c r="AA42" s="42"/>
    </row>
    <row r="43" spans="2:27">
      <c r="B43" s="5" t="s">
        <v>470</v>
      </c>
      <c r="C43" s="247"/>
      <c r="D43" s="525">
        <f>L26/D29</f>
        <v>8.8768079510983817</v>
      </c>
      <c r="E43" s="525">
        <f>M26/E29</f>
        <v>11.027990517450775</v>
      </c>
      <c r="F43" s="525">
        <f>N26/F29</f>
        <v>6.8580272361239318</v>
      </c>
      <c r="G43" s="525">
        <f>O26/G29</f>
        <v>5.3705553138706774</v>
      </c>
      <c r="H43" s="17">
        <f t="shared" si="8"/>
        <v>0.19052495656990964</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10.052711146054065</v>
      </c>
      <c r="E44" s="525">
        <f>E11/E30</f>
        <v>8.6586643241023626</v>
      </c>
      <c r="F44" s="525">
        <f>F11/F30</f>
        <v>6.6719813777857304</v>
      </c>
      <c r="G44" s="525">
        <f>G11/G30</f>
        <v>6.0337925758154363</v>
      </c>
      <c r="H44" s="17">
        <f t="shared" si="8"/>
        <v>0.19368058845630709</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4.7572815533980586E-2</v>
      </c>
      <c r="E45" s="248">
        <f>E31/E11</f>
        <v>4.9980710416849213E-2</v>
      </c>
      <c r="F45" s="248">
        <f>F31/F11</f>
        <v>5.8315448726752608E-2</v>
      </c>
      <c r="G45" s="248">
        <f>G31/G11</f>
        <v>6.6385882521959746E-2</v>
      </c>
      <c r="H45" s="17">
        <f t="shared" si="8"/>
        <v>0.12519937319242191</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4.7572815533980586E-2</v>
      </c>
      <c r="E46" s="248">
        <f>(E31+E32)/E11</f>
        <v>4.9980710416849213E-2</v>
      </c>
      <c r="F46" s="248">
        <f>(F31+F32)/F11</f>
        <v>6.9380817757777935E-2</v>
      </c>
      <c r="G46" s="248">
        <f>(G31+G32)/G11</f>
        <v>8.5068190658312212E-2</v>
      </c>
      <c r="H46" s="279">
        <f>((G31+G32)/(D31+D32))^(1/3)-1</f>
        <v>0.22215597630260597</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0.11265310745809971</v>
      </c>
      <c r="E47" s="248">
        <f>1/E43</f>
        <v>9.0678351456468201E-2</v>
      </c>
      <c r="F47" s="248">
        <f>1/F43</f>
        <v>0.14581452735162759</v>
      </c>
      <c r="G47" s="248">
        <f>1/G43</f>
        <v>0.18620048422502478</v>
      </c>
      <c r="H47" s="17">
        <f>H29</f>
        <v>0.19052495656990964</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0.42230807859763764</v>
      </c>
      <c r="E48" s="305">
        <f>E31/E29</f>
        <v>0.5511961868584252</v>
      </c>
      <c r="F48" s="305">
        <f>F31/F29</f>
        <v>0.39993574616510036</v>
      </c>
      <c r="G48" s="305">
        <f>G31/G29</f>
        <v>0.35653512558490014</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221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233</v>
      </c>
      <c r="C9" s="285">
        <f>Prices!C89</f>
        <v>9890</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42"/>
      <c r="T9" s="42"/>
      <c r="U9" s="42"/>
      <c r="V9" s="42"/>
      <c r="W9" s="42"/>
      <c r="X9" s="42"/>
      <c r="Y9" s="42"/>
      <c r="Z9" s="42"/>
      <c r="AA9" s="42"/>
    </row>
    <row r="10" spans="2:44">
      <c r="B10" s="5" t="s">
        <v>269</v>
      </c>
      <c r="C10" s="5"/>
      <c r="D10" s="527">
        <v>436.59999999999997</v>
      </c>
      <c r="E10" s="527">
        <v>436.59999999999997</v>
      </c>
      <c r="F10" s="527">
        <v>436.59999999999997</v>
      </c>
      <c r="G10" s="527">
        <v>436.59999999999997</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42"/>
      <c r="T10" s="42"/>
      <c r="U10" s="42"/>
      <c r="V10" s="42"/>
      <c r="W10" s="288"/>
      <c r="X10" s="288"/>
      <c r="Y10" s="288"/>
      <c r="Z10" s="288"/>
      <c r="AA10" s="42"/>
    </row>
    <row r="11" spans="2:44">
      <c r="B11" s="41" t="s">
        <v>868</v>
      </c>
      <c r="C11" s="5"/>
      <c r="D11" s="528">
        <f>$C$9*D10/1000</f>
        <v>4317.9740000000002</v>
      </c>
      <c r="E11" s="528">
        <f>$C$9*E10/1000</f>
        <v>4317.9740000000002</v>
      </c>
      <c r="F11" s="528">
        <f>$C$9*F10/1000</f>
        <v>4317.9740000000002</v>
      </c>
      <c r="G11" s="528">
        <f>$C$9*G10/1000</f>
        <v>4317.9740000000002</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42"/>
      <c r="T11" s="42"/>
      <c r="U11" s="42"/>
      <c r="V11" s="42"/>
      <c r="W11" s="288"/>
      <c r="X11" s="288"/>
      <c r="Y11" s="288"/>
      <c r="Z11" s="288"/>
      <c r="AA11" s="42"/>
    </row>
    <row r="12" spans="2:44">
      <c r="B12" s="5" t="s">
        <v>24</v>
      </c>
      <c r="C12" s="249"/>
      <c r="D12" s="529">
        <v>5721.9000000000005</v>
      </c>
      <c r="E12" s="529">
        <v>5711.0674983938379</v>
      </c>
      <c r="F12" s="529">
        <v>5694.0901807200717</v>
      </c>
      <c r="G12" s="529">
        <v>5667.1531200139652</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42"/>
      <c r="T12" s="42"/>
      <c r="U12" s="42"/>
      <c r="V12" s="42"/>
      <c r="W12" s="288"/>
      <c r="X12" s="288"/>
      <c r="Y12" s="288"/>
      <c r="Z12" s="288"/>
      <c r="AA12" s="42"/>
    </row>
    <row r="13" spans="2:44">
      <c r="B13" s="5" t="s">
        <v>524</v>
      </c>
      <c r="C13" s="257"/>
      <c r="D13" s="529">
        <v>2064.8704829280287</v>
      </c>
      <c r="E13" s="529">
        <v>2014.1591067887271</v>
      </c>
      <c r="F13" s="529">
        <v>1959.137263677585</v>
      </c>
      <c r="G13" s="529">
        <v>1899.4385639019956</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42"/>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42"/>
      <c r="T14" s="42"/>
      <c r="U14" s="42"/>
      <c r="V14" s="42"/>
      <c r="W14" s="42"/>
      <c r="X14" s="42"/>
      <c r="Y14" s="42"/>
      <c r="Z14" s="42"/>
      <c r="AA14" s="42"/>
    </row>
    <row r="15" spans="2:44">
      <c r="B15" s="5" t="s">
        <v>526</v>
      </c>
      <c r="C15" s="274"/>
      <c r="D15" s="529">
        <v>0</v>
      </c>
      <c r="E15" s="529">
        <f t="shared" si="2"/>
        <v>0</v>
      </c>
      <c r="F15" s="529">
        <f t="shared" si="2"/>
        <v>0</v>
      </c>
      <c r="G15" s="529">
        <f t="shared" si="2"/>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42"/>
      <c r="T15" s="42"/>
      <c r="U15" s="42"/>
      <c r="V15" s="42"/>
      <c r="W15" s="42"/>
      <c r="X15" s="42"/>
      <c r="Y15" s="42"/>
      <c r="Z15" s="42"/>
      <c r="AA15" s="42"/>
    </row>
    <row r="16" spans="2:44">
      <c r="B16" s="5" t="s">
        <v>529</v>
      </c>
      <c r="C16" s="257"/>
      <c r="D16" s="529">
        <v>0</v>
      </c>
      <c r="E16" s="529">
        <v>0</v>
      </c>
      <c r="F16" s="529">
        <v>274.50539080602374</v>
      </c>
      <c r="G16" s="529">
        <v>583.23829599104067</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42"/>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42"/>
      <c r="T17" s="42"/>
      <c r="U17" s="42"/>
      <c r="V17" s="42"/>
      <c r="W17" s="42"/>
      <c r="X17" s="42"/>
      <c r="Y17" s="42"/>
      <c r="Z17" s="42"/>
      <c r="AA17" s="42"/>
    </row>
    <row r="18" spans="2:27" ht="12.6" thickBot="1">
      <c r="B18" s="41" t="s">
        <v>578</v>
      </c>
      <c r="C18" s="249"/>
      <c r="D18" s="530">
        <f>D11+D12+D13-D14+D15-D16-D17</f>
        <v>12104.744482928028</v>
      </c>
      <c r="E18" s="530">
        <f>E11+E12+E13-E14+E15-E16-E17</f>
        <v>12043.200605182567</v>
      </c>
      <c r="F18" s="530">
        <f>F11+F12+F13-F14+F15-F16-F17</f>
        <v>11696.696053591633</v>
      </c>
      <c r="G18" s="530">
        <f>G11+G12+G13-G14+G15-G16-G17</f>
        <v>11301.327387924919</v>
      </c>
      <c r="H18" s="276">
        <f>IF(D18=0,"nm",IF(G18=0,"nm",(G18/D18)^(1/3)-1))</f>
        <v>-2.2632388075625287E-2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42"/>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42"/>
      <c r="T20" s="42"/>
      <c r="U20" s="42"/>
      <c r="V20" s="42"/>
      <c r="W20" s="42"/>
      <c r="X20" s="42"/>
      <c r="Y20" s="42"/>
      <c r="Z20" s="42"/>
      <c r="AA20" s="42"/>
    </row>
    <row r="21" spans="2:27" ht="12.6" thickBot="1">
      <c r="B21" s="306" t="s">
        <v>935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13906</v>
      </c>
      <c r="D23" s="536">
        <v>14372.630000000001</v>
      </c>
      <c r="E23" s="536">
        <v>14591.954278005333</v>
      </c>
      <c r="F23" s="536">
        <v>14878.628748486908</v>
      </c>
      <c r="G23" s="536">
        <v>15179.719271595719</v>
      </c>
      <c r="H23" s="279">
        <f t="shared" ref="H23:H32" si="4">IF(D23=0,"nm",IF(G23=0,"nm",(G23/D23)^(1/3)-1))</f>
        <v>1.8378366080334496E-2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478</v>
      </c>
      <c r="C24" s="545">
        <v>3532.4</v>
      </c>
      <c r="D24" s="536">
        <v>3569.3</v>
      </c>
      <c r="E24" s="536">
        <v>3609.5661501135814</v>
      </c>
      <c r="F24" s="536">
        <v>3696.3427203858946</v>
      </c>
      <c r="G24" s="536">
        <v>3798.9136785714468</v>
      </c>
      <c r="H24" s="279">
        <f t="shared" si="4"/>
        <v>2.09993316265773E-2</v>
      </c>
      <c r="I24" s="249"/>
      <c r="J24" s="17"/>
      <c r="K24" s="17"/>
      <c r="L24" s="17"/>
      <c r="M24" s="17"/>
      <c r="N24" s="17"/>
      <c r="O24" s="248"/>
      <c r="S24" s="42"/>
      <c r="T24" s="42"/>
      <c r="U24" s="42"/>
      <c r="V24" s="42"/>
      <c r="W24" s="42" t="s">
        <v>192</v>
      </c>
      <c r="X24" s="42" t="s">
        <v>252</v>
      </c>
      <c r="Y24" s="42"/>
      <c r="Z24" s="42"/>
      <c r="AA24" s="42"/>
    </row>
    <row r="25" spans="2:27">
      <c r="B25" s="5" t="s">
        <v>179</v>
      </c>
      <c r="C25" s="544">
        <v>1112</v>
      </c>
      <c r="D25" s="536">
        <v>1055</v>
      </c>
      <c r="E25" s="536">
        <v>1343.3413537301512</v>
      </c>
      <c r="F25" s="536">
        <v>1424.2123516470942</v>
      </c>
      <c r="G25" s="536">
        <v>1519.2725392434731</v>
      </c>
      <c r="H25" s="279">
        <f t="shared" si="4"/>
        <v>0.12926120752589632</v>
      </c>
      <c r="I25" s="248"/>
      <c r="J25" s="247" t="s">
        <v>10</v>
      </c>
      <c r="K25" s="247"/>
      <c r="L25" s="321">
        <v>0</v>
      </c>
      <c r="M25" s="321">
        <v>0</v>
      </c>
      <c r="N25" s="321">
        <v>0</v>
      </c>
      <c r="O25" s="321">
        <v>0</v>
      </c>
      <c r="P25" s="279" t="str">
        <f>IF(L25=0,"nm",IF(O25=0,"nm",(O25/L25)^(1/3)-1))</f>
        <v>nm</v>
      </c>
      <c r="S25" s="42"/>
      <c r="T25" s="42"/>
      <c r="U25" s="42"/>
      <c r="V25" s="147" t="s">
        <v>268</v>
      </c>
      <c r="W25" s="288">
        <f>D37/L9</f>
        <v>0.39121096168794728</v>
      </c>
      <c r="X25" s="288">
        <v>1</v>
      </c>
      <c r="Y25" s="42"/>
      <c r="Z25" s="42"/>
      <c r="AA25" s="42"/>
    </row>
    <row r="26" spans="2:27">
      <c r="B26" s="5" t="s">
        <v>581</v>
      </c>
      <c r="C26" s="544">
        <v>859.9570494864613</v>
      </c>
      <c r="D26" s="536">
        <v>862.45528128364458</v>
      </c>
      <c r="E26" s="536">
        <v>973.92248145435963</v>
      </c>
      <c r="F26" s="536">
        <v>1032.5539549441432</v>
      </c>
      <c r="G26" s="536">
        <v>1101.472590951518</v>
      </c>
      <c r="H26" s="279">
        <f t="shared" si="4"/>
        <v>8.4956608750677676E-2</v>
      </c>
      <c r="I26" s="249"/>
      <c r="J26" s="249" t="s">
        <v>11</v>
      </c>
      <c r="K26" s="249"/>
      <c r="L26" s="281">
        <f>D11+L25</f>
        <v>4317.9740000000002</v>
      </c>
      <c r="M26" s="281">
        <f>E11+M25</f>
        <v>4317.9740000000002</v>
      </c>
      <c r="N26" s="281">
        <f>F11+N25</f>
        <v>4317.9740000000002</v>
      </c>
      <c r="O26" s="281">
        <f>G11+O25</f>
        <v>4317.9740000000002</v>
      </c>
      <c r="P26" s="279">
        <f>IF(L26=0,"nm",IF(O26=0,"nm",(O26/L26)^(1/3)-1))</f>
        <v>0</v>
      </c>
      <c r="Q26" s="5"/>
      <c r="S26" s="42"/>
      <c r="T26" s="42"/>
      <c r="U26" s="42"/>
      <c r="V26" s="147" t="s">
        <v>180</v>
      </c>
      <c r="W26" s="288">
        <f t="shared" ref="W26:W33" si="6">D38/L10</f>
        <v>0.51406182076643736</v>
      </c>
      <c r="X26" s="288">
        <v>1</v>
      </c>
      <c r="Y26" s="42"/>
      <c r="Z26" s="42"/>
      <c r="AA26" s="42"/>
    </row>
    <row r="27" spans="2:27">
      <c r="B27" s="5" t="s">
        <v>582</v>
      </c>
      <c r="C27" s="545">
        <v>13613.880000000001</v>
      </c>
      <c r="D27" s="536">
        <v>14478.690000000002</v>
      </c>
      <c r="E27" s="536">
        <v>14798.882982442068</v>
      </c>
      <c r="F27" s="536">
        <v>15225.321482461361</v>
      </c>
      <c r="G27" s="536">
        <v>15696.808798420716</v>
      </c>
      <c r="H27" s="279">
        <f t="shared" si="4"/>
        <v>2.7292299893104888E-2</v>
      </c>
      <c r="I27" s="249"/>
      <c r="J27" s="248"/>
      <c r="K27" s="248"/>
      <c r="L27" s="248"/>
      <c r="M27" s="248"/>
      <c r="N27" s="248"/>
      <c r="O27" s="248"/>
      <c r="Q27" s="41"/>
      <c r="S27" s="42"/>
      <c r="T27" s="42"/>
      <c r="U27" s="42"/>
      <c r="V27" s="147" t="s">
        <v>181</v>
      </c>
      <c r="W27" s="288">
        <f t="shared" si="6"/>
        <v>0.90241204110956474</v>
      </c>
      <c r="X27" s="288">
        <v>1</v>
      </c>
      <c r="Y27" s="42"/>
      <c r="Z27" s="42"/>
      <c r="AA27" s="42"/>
    </row>
    <row r="28" spans="2:27" ht="12.6" thickBot="1">
      <c r="B28" s="5" t="s">
        <v>587</v>
      </c>
      <c r="C28" s="544">
        <v>10574.11</v>
      </c>
      <c r="D28" s="536">
        <v>11066.31</v>
      </c>
      <c r="E28" s="536">
        <v>10345.263416745089</v>
      </c>
      <c r="F28" s="536">
        <v>10312.642607779075</v>
      </c>
      <c r="G28" s="536">
        <v>10307.904570801817</v>
      </c>
      <c r="H28" s="279">
        <f t="shared" si="4"/>
        <v>-2.3386959304283139E-2</v>
      </c>
      <c r="I28" s="248"/>
      <c r="J28" s="306" t="s">
        <v>1352</v>
      </c>
      <c r="K28" s="306"/>
      <c r="L28" s="306"/>
      <c r="M28" s="306"/>
      <c r="N28" s="266"/>
      <c r="O28" s="266"/>
      <c r="P28" s="266"/>
      <c r="Q28" s="5"/>
      <c r="S28" s="42"/>
      <c r="T28" s="42"/>
      <c r="U28" s="42"/>
      <c r="V28" s="147" t="s">
        <v>461</v>
      </c>
      <c r="W28" s="288">
        <f t="shared" si="6"/>
        <v>0.84782168759160692</v>
      </c>
      <c r="X28" s="288">
        <v>1</v>
      </c>
      <c r="Y28" s="42"/>
      <c r="Z28" s="42"/>
      <c r="AA28" s="42"/>
    </row>
    <row r="29" spans="2:27" ht="12.6" thickTop="1">
      <c r="B29" s="5" t="s">
        <v>583</v>
      </c>
      <c r="C29" s="544">
        <v>160.76844000000006</v>
      </c>
      <c r="D29" s="536">
        <v>94.776708799999767</v>
      </c>
      <c r="E29" s="536">
        <v>282.03338582772062</v>
      </c>
      <c r="F29" s="536">
        <v>314.36978728205008</v>
      </c>
      <c r="G29" s="536">
        <v>357.59590965619691</v>
      </c>
      <c r="H29" s="279">
        <f t="shared" si="4"/>
        <v>0.55679097902007735</v>
      </c>
      <c r="I29" s="252"/>
      <c r="J29" s="249"/>
      <c r="K29" s="249"/>
      <c r="L29" s="249"/>
      <c r="M29" s="249"/>
      <c r="N29" s="249"/>
      <c r="O29" s="251"/>
      <c r="Q29" s="5"/>
      <c r="S29" s="42"/>
      <c r="T29" s="42"/>
      <c r="U29" s="42"/>
      <c r="V29" s="147" t="s">
        <v>525</v>
      </c>
      <c r="W29" s="288">
        <f t="shared" si="6"/>
        <v>0.56379638208231242</v>
      </c>
      <c r="X29" s="288">
        <v>1</v>
      </c>
      <c r="Y29" s="42"/>
      <c r="Z29" s="42"/>
      <c r="AA29" s="42"/>
    </row>
    <row r="30" spans="2:27">
      <c r="B30" s="5" t="s">
        <v>584</v>
      </c>
      <c r="C30" s="545">
        <v>746.86152739691806</v>
      </c>
      <c r="D30" s="536">
        <v>735.66310059842499</v>
      </c>
      <c r="E30" s="536">
        <v>705.5828592288035</v>
      </c>
      <c r="F30" s="536">
        <v>775.96420305228753</v>
      </c>
      <c r="G30" s="536">
        <v>857.06844093008681</v>
      </c>
      <c r="H30" s="279">
        <f t="shared" si="4"/>
        <v>5.2233627217444401E-2</v>
      </c>
      <c r="I30" s="254"/>
      <c r="J30" s="248"/>
      <c r="K30" s="248"/>
      <c r="L30" s="248"/>
      <c r="M30" s="248"/>
      <c r="N30" s="248"/>
      <c r="O30" s="5"/>
      <c r="Q30" s="5"/>
      <c r="S30" s="42"/>
      <c r="T30" s="42"/>
      <c r="U30" s="42"/>
      <c r="V30" s="147" t="s">
        <v>588</v>
      </c>
      <c r="W30" s="288">
        <f t="shared" si="6"/>
        <v>0.35951261295958031</v>
      </c>
      <c r="X30" s="288">
        <v>1</v>
      </c>
      <c r="Y30" s="42"/>
      <c r="Z30" s="42"/>
      <c r="AA30" s="42"/>
    </row>
    <row r="31" spans="2:27">
      <c r="B31" s="5" t="s">
        <v>585</v>
      </c>
      <c r="C31" s="545">
        <v>283.79000000000002</v>
      </c>
      <c r="D31" s="536">
        <v>283.79000000000002</v>
      </c>
      <c r="E31" s="536">
        <v>243.8234895593304</v>
      </c>
      <c r="F31" s="536">
        <v>274.5053908060238</v>
      </c>
      <c r="G31" s="536">
        <v>308.73290518501693</v>
      </c>
      <c r="H31" s="279">
        <f t="shared" si="4"/>
        <v>2.8478641784472458E-2</v>
      </c>
      <c r="I31" s="254"/>
      <c r="J31" s="252"/>
      <c r="K31" s="252"/>
      <c r="L31" s="252"/>
      <c r="M31" s="252"/>
      <c r="N31" s="252"/>
      <c r="O31" s="5"/>
      <c r="Q31" s="5"/>
      <c r="S31" s="42"/>
      <c r="T31" s="42"/>
      <c r="U31" s="42"/>
      <c r="V31" s="147" t="s">
        <v>470</v>
      </c>
      <c r="W31" s="288">
        <f t="shared" si="6"/>
        <v>2.3142807090125461</v>
      </c>
      <c r="X31" s="288">
        <v>1</v>
      </c>
      <c r="Y31" s="42"/>
      <c r="Z31" s="42"/>
      <c r="AA31" s="42"/>
    </row>
    <row r="32" spans="2:27">
      <c r="B32" s="5" t="s">
        <v>601</v>
      </c>
      <c r="C32" s="546">
        <v>0</v>
      </c>
      <c r="D32" s="536">
        <v>0</v>
      </c>
      <c r="E32" s="536">
        <v>0</v>
      </c>
      <c r="F32" s="536">
        <v>0</v>
      </c>
      <c r="G32" s="536">
        <v>100</v>
      </c>
      <c r="H32" s="279" t="str">
        <f t="shared" si="4"/>
        <v>nm</v>
      </c>
      <c r="I32" s="254"/>
      <c r="J32" s="254"/>
      <c r="K32" s="254"/>
      <c r="L32" s="254"/>
      <c r="M32" s="254"/>
      <c r="N32" s="254"/>
      <c r="O32" s="251"/>
      <c r="Q32" s="5"/>
      <c r="S32" s="42"/>
      <c r="T32" s="42"/>
      <c r="U32" s="42"/>
      <c r="V32" s="147" t="s">
        <v>528</v>
      </c>
      <c r="W32" s="288">
        <f t="shared" si="6"/>
        <v>0.27430864880777989</v>
      </c>
      <c r="X32" s="288">
        <v>1</v>
      </c>
      <c r="Y32" s="42"/>
      <c r="Z32" s="42"/>
      <c r="AA32" s="42"/>
    </row>
    <row r="33" spans="2:27">
      <c r="B33" s="5" t="s">
        <v>5</v>
      </c>
      <c r="C33" s="545">
        <v>129.39999999999998</v>
      </c>
      <c r="D33" s="536">
        <v>185.1</v>
      </c>
      <c r="E33" s="536">
        <v>193.7214100325512</v>
      </c>
      <c r="F33" s="536">
        <v>206.05361158758819</v>
      </c>
      <c r="G33" s="536">
        <v>218.1769593123918</v>
      </c>
      <c r="H33" s="279">
        <f>IF(D33=0,"nm",IF(G33=0,"nm",(G33/D33)^(1/3)-1))</f>
        <v>5.6332938183759396E-2</v>
      </c>
      <c r="I33" s="5"/>
      <c r="J33" s="254"/>
      <c r="K33" s="254"/>
      <c r="L33" s="254"/>
      <c r="M33" s="254"/>
      <c r="N33" s="254"/>
      <c r="O33" s="251"/>
      <c r="Q33" s="5"/>
      <c r="S33" s="42"/>
      <c r="T33" s="42"/>
      <c r="U33" s="42"/>
      <c r="V33" s="147" t="s">
        <v>575</v>
      </c>
      <c r="W33" s="288">
        <f t="shared" si="6"/>
        <v>1.6665724154085788</v>
      </c>
      <c r="X33" s="288">
        <v>1</v>
      </c>
      <c r="Y33" s="42"/>
      <c r="Z33" s="42"/>
      <c r="AA33" s="42"/>
    </row>
    <row r="34" spans="2:27">
      <c r="D34" s="5"/>
      <c r="E34" s="5"/>
      <c r="F34" s="5"/>
      <c r="G34" s="5"/>
      <c r="I34" s="49"/>
      <c r="J34" s="254"/>
      <c r="K34" s="254"/>
      <c r="L34" s="254"/>
      <c r="M34" s="254"/>
      <c r="N34" s="254"/>
      <c r="O34" s="251"/>
      <c r="Q34" s="5"/>
      <c r="S34" s="42"/>
      <c r="T34" s="42"/>
      <c r="U34" s="42"/>
      <c r="V34" s="147" t="s">
        <v>576</v>
      </c>
      <c r="W34" s="288">
        <f>D47/L19</f>
        <v>0.43209969996538516</v>
      </c>
      <c r="X34" s="288">
        <v>1</v>
      </c>
      <c r="Y34" s="288"/>
      <c r="Z34" s="288"/>
      <c r="AA34" s="42"/>
    </row>
    <row r="35" spans="2:27" ht="12.6" thickBot="1">
      <c r="B35" s="306" t="s">
        <v>641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0.84220803589378057</v>
      </c>
      <c r="E37" s="525">
        <f t="shared" ref="E37:G41" si="8">E$18/E23</f>
        <v>0.82533157490326436</v>
      </c>
      <c r="F37" s="525">
        <f t="shared" si="8"/>
        <v>0.78614072918387301</v>
      </c>
      <c r="G37" s="525">
        <f t="shared" si="8"/>
        <v>0.74450173851844259</v>
      </c>
      <c r="H37" s="17">
        <f t="shared" ref="H37:H45" si="9">H23</f>
        <v>1.8378366080334496E-2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3.3913496996408337</v>
      </c>
      <c r="E38" s="525">
        <f t="shared" si="8"/>
        <v>3.3364676263942705</v>
      </c>
      <c r="F38" s="525">
        <f t="shared" si="8"/>
        <v>3.1643970644503736</v>
      </c>
      <c r="G38" s="525">
        <f t="shared" si="8"/>
        <v>2.9748839652957577</v>
      </c>
      <c r="H38" s="17">
        <f t="shared" si="9"/>
        <v>2.09993316265773E-2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11.47369145301235</v>
      </c>
      <c r="E39" s="525">
        <f t="shared" si="8"/>
        <v>8.9651082144842462</v>
      </c>
      <c r="F39" s="525">
        <f t="shared" si="8"/>
        <v>8.2127472353855548</v>
      </c>
      <c r="G39" s="525">
        <f t="shared" si="8"/>
        <v>7.4386438877862249</v>
      </c>
      <c r="H39" s="17">
        <f t="shared" si="9"/>
        <v>0.12926120752589632</v>
      </c>
      <c r="I39" s="17"/>
      <c r="J39" s="5"/>
      <c r="K39" s="5"/>
      <c r="L39" s="5"/>
      <c r="M39" s="5"/>
      <c r="N39" s="5"/>
      <c r="O39" s="5"/>
      <c r="Q39" s="5"/>
      <c r="R39" s="5"/>
      <c r="S39" s="42"/>
      <c r="T39" s="42"/>
      <c r="U39" s="42"/>
      <c r="V39" s="42"/>
      <c r="W39" s="42"/>
      <c r="X39" s="42"/>
      <c r="Y39" s="42"/>
      <c r="Z39" s="42"/>
      <c r="AA39" s="42"/>
    </row>
    <row r="40" spans="2:27">
      <c r="B40" s="5" t="s">
        <v>461</v>
      </c>
      <c r="C40" s="247"/>
      <c r="D40" s="525">
        <f>D$18/D26</f>
        <v>14.035214051807767</v>
      </c>
      <c r="E40" s="525">
        <f t="shared" si="8"/>
        <v>12.365666502736891</v>
      </c>
      <c r="F40" s="525">
        <f t="shared" si="8"/>
        <v>11.327927221221456</v>
      </c>
      <c r="G40" s="525">
        <f t="shared" si="8"/>
        <v>10.260198465912035</v>
      </c>
      <c r="H40" s="17">
        <f t="shared" si="9"/>
        <v>8.4956608750677676E-2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0.8360386528703927</v>
      </c>
      <c r="E41" s="525">
        <f t="shared" si="8"/>
        <v>0.81379119082643314</v>
      </c>
      <c r="F41" s="525">
        <f t="shared" si="8"/>
        <v>0.76823967671654825</v>
      </c>
      <c r="G41" s="525">
        <f t="shared" si="8"/>
        <v>0.71997611317416099</v>
      </c>
      <c r="H41" s="17">
        <f t="shared" si="9"/>
        <v>2.7292299893104888E-2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1.0938374655081982</v>
      </c>
      <c r="E42" s="525">
        <f>E18/E28</f>
        <v>1.1641270134977091</v>
      </c>
      <c r="F42" s="525">
        <f>F18/F28</f>
        <v>1.1342093872979302</v>
      </c>
      <c r="G42" s="525">
        <f>G18/G28</f>
        <v>1.0963748558496624</v>
      </c>
      <c r="H42" s="17">
        <f t="shared" si="9"/>
        <v>-2.3386959304283139E-2</v>
      </c>
      <c r="I42" s="248"/>
      <c r="J42" s="5"/>
      <c r="K42" s="5"/>
      <c r="L42" s="5"/>
      <c r="M42" s="5"/>
      <c r="N42" s="5"/>
      <c r="O42" s="5"/>
      <c r="Q42" s="5"/>
      <c r="R42" s="5"/>
      <c r="S42" s="42"/>
      <c r="T42" s="42"/>
      <c r="U42" s="42"/>
      <c r="V42" s="42"/>
      <c r="W42" s="288"/>
      <c r="X42" s="288"/>
      <c r="Y42" s="288"/>
      <c r="Z42" s="288"/>
      <c r="AA42" s="42"/>
    </row>
    <row r="43" spans="2:27">
      <c r="B43" s="5" t="s">
        <v>470</v>
      </c>
      <c r="C43" s="247"/>
      <c r="D43" s="525">
        <f>L26/D29</f>
        <v>45.559442342652972</v>
      </c>
      <c r="E43" s="525">
        <f>M26/E29</f>
        <v>15.310151978381821</v>
      </c>
      <c r="F43" s="525">
        <f>N26/F29</f>
        <v>13.73533391148033</v>
      </c>
      <c r="G43" s="525">
        <f>O26/G29</f>
        <v>12.075009482494991</v>
      </c>
      <c r="H43" s="17">
        <f t="shared" si="9"/>
        <v>0.55679097902007735</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5.8694992265991663</v>
      </c>
      <c r="E44" s="525">
        <f>E11/E30</f>
        <v>6.1197263277051706</v>
      </c>
      <c r="F44" s="525">
        <f>F11/F30</f>
        <v>5.5646561826113494</v>
      </c>
      <c r="G44" s="525">
        <f>G11/G30</f>
        <v>5.0380737334280496</v>
      </c>
      <c r="H44" s="17">
        <f t="shared" si="9"/>
        <v>5.2233627217444401E-2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6.5722952477249755E-2</v>
      </c>
      <c r="E45" s="248">
        <f>E31/E11</f>
        <v>5.6467104609553086E-2</v>
      </c>
      <c r="F45" s="248">
        <f>F31/F11</f>
        <v>6.35727289710461E-2</v>
      </c>
      <c r="G45" s="248">
        <f>G31/G11</f>
        <v>7.1499482207400253E-2</v>
      </c>
      <c r="H45" s="17">
        <f t="shared" si="9"/>
        <v>2.8478641784472458E-2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6.5722952477249755E-2</v>
      </c>
      <c r="E46" s="248">
        <f>(E31+E32)/E11</f>
        <v>5.6467104609553086E-2</v>
      </c>
      <c r="F46" s="248">
        <f>(F31+F32)/F11</f>
        <v>6.35727289710461E-2</v>
      </c>
      <c r="G46" s="248">
        <f>(G31+G32)/G11</f>
        <v>9.4658491502037048E-2</v>
      </c>
      <c r="H46" s="279">
        <f>((G31+G32)/(D31+D32))^(1/3)-1</f>
        <v>0.1293125939838129</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2.194934680014279E-2</v>
      </c>
      <c r="E47" s="248">
        <f>1/E43</f>
        <v>6.5316138037820659E-2</v>
      </c>
      <c r="F47" s="248">
        <f>1/F43</f>
        <v>7.2804928256179874E-2</v>
      </c>
      <c r="G47" s="248">
        <f>1/G43</f>
        <v>8.2815669954519625E-2</v>
      </c>
      <c r="H47" s="17">
        <f>H29</f>
        <v>0.55679097902007735</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2.9943010639761813</v>
      </c>
      <c r="E48" s="305">
        <f>E31/E29</f>
        <v>0.86451995335144238</v>
      </c>
      <c r="F48" s="305">
        <f>F31/F29</f>
        <v>0.87319266008135743</v>
      </c>
      <c r="G48" s="305">
        <f>G31/G29</f>
        <v>0.86335692564784006</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262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1376</v>
      </c>
      <c r="K7" s="306"/>
      <c r="L7" s="265" t="str">
        <f>L5</f>
        <v>2023E</v>
      </c>
      <c r="M7" s="265" t="str">
        <f t="shared" ref="M7:P7" si="1">M5</f>
        <v>2024E</v>
      </c>
      <c r="N7" s="265" t="str">
        <f t="shared" si="1"/>
        <v>2025E</v>
      </c>
      <c r="O7" s="265" t="str">
        <f t="shared" si="1"/>
        <v>2026E</v>
      </c>
      <c r="P7" s="265" t="str">
        <f t="shared" si="1"/>
        <v>23E-26E</v>
      </c>
    </row>
    <row r="8" spans="2:44" ht="12.6" thickTop="1">
      <c r="B8" s="41"/>
      <c r="D8" s="228"/>
      <c r="E8" s="228"/>
      <c r="F8" s="228"/>
      <c r="G8" s="228"/>
      <c r="H8" s="247"/>
      <c r="I8" s="5"/>
      <c r="J8" s="5"/>
      <c r="K8" s="5"/>
      <c r="L8" s="5"/>
      <c r="M8" s="5"/>
      <c r="N8" s="5"/>
      <c r="S8" s="88"/>
      <c r="T8" s="42"/>
      <c r="U8" s="42"/>
      <c r="V8" s="42"/>
      <c r="W8" s="42"/>
      <c r="X8" s="42"/>
      <c r="Y8" s="42"/>
      <c r="Z8" s="42"/>
      <c r="AA8" s="42"/>
    </row>
    <row r="9" spans="2:44">
      <c r="B9" s="41" t="s">
        <v>1442</v>
      </c>
      <c r="C9" s="267">
        <f>Prices!C24</f>
        <v>20.29</v>
      </c>
      <c r="D9" s="529">
        <v>211.14</v>
      </c>
      <c r="E9" s="529">
        <v>191.76490858487782</v>
      </c>
      <c r="F9" s="529">
        <v>174.32732631126783</v>
      </c>
      <c r="G9" s="529">
        <v>158.63350226501888</v>
      </c>
      <c r="H9" s="247"/>
      <c r="I9" s="249"/>
      <c r="J9" s="5" t="s">
        <v>268</v>
      </c>
      <c r="L9" s="525">
        <f>'W.EUR OTHER'!D37</f>
        <v>1.9589195361329668</v>
      </c>
      <c r="M9" s="525">
        <f>'W.EUR OTHER'!E37</f>
        <v>1.6383796798063159</v>
      </c>
      <c r="N9" s="525">
        <f>'W.EUR OTHER'!F37</f>
        <v>1.5411744049087741</v>
      </c>
      <c r="O9" s="525">
        <f>'W.EUR OTHER'!G37</f>
        <v>1.4434676732212866</v>
      </c>
      <c r="P9" s="279">
        <f>'W.EUR OTHER'!H37</f>
        <v>1.8004685546411769E-2</v>
      </c>
      <c r="S9" s="88"/>
      <c r="T9" s="42"/>
      <c r="U9" s="42"/>
      <c r="V9" s="42"/>
      <c r="W9" s="42"/>
      <c r="X9" s="42"/>
      <c r="Y9" s="42"/>
      <c r="Z9" s="42"/>
      <c r="AA9" s="42"/>
    </row>
    <row r="10" spans="2:44">
      <c r="B10" s="41" t="s">
        <v>1612</v>
      </c>
      <c r="C10" s="267">
        <f>Prices!C25</f>
        <v>20.695</v>
      </c>
      <c r="D10" s="527">
        <v>171.46299999999999</v>
      </c>
      <c r="E10" s="527">
        <v>155.7288364151222</v>
      </c>
      <c r="F10" s="527">
        <v>141.56808918873219</v>
      </c>
      <c r="G10" s="527">
        <v>128.82341668498117</v>
      </c>
      <c r="H10" s="247"/>
      <c r="I10" s="247"/>
      <c r="J10" s="5" t="s">
        <v>180</v>
      </c>
      <c r="L10" s="525">
        <f>'W.EUR OTHER'!D38</f>
        <v>4.8812882235325841</v>
      </c>
      <c r="M10" s="525">
        <f>'W.EUR OTHER'!E38</f>
        <v>4.145841728258338</v>
      </c>
      <c r="N10" s="525">
        <f>'W.EUR OTHER'!F38</f>
        <v>3.8271320252352607</v>
      </c>
      <c r="O10" s="525">
        <f>'W.EUR OTHER'!G38</f>
        <v>3.5258553553595839</v>
      </c>
      <c r="P10" s="279">
        <f>'W.EUR OTHER'!H38</f>
        <v>2.4794026477105824E-2</v>
      </c>
      <c r="S10" s="88"/>
      <c r="T10" s="42"/>
      <c r="U10" s="42"/>
      <c r="V10" s="42"/>
      <c r="W10" s="288"/>
      <c r="X10" s="288"/>
      <c r="Y10" s="288"/>
      <c r="Z10" s="288"/>
      <c r="AA10" s="42"/>
    </row>
    <row r="11" spans="2:44">
      <c r="B11" s="41" t="s">
        <v>270</v>
      </c>
      <c r="C11" s="5"/>
      <c r="D11" s="528">
        <f>(D10*$C$10)+($C$9*D9)</f>
        <v>7832.4573849999997</v>
      </c>
      <c r="E11" s="528">
        <f t="shared" ref="E11:G11" si="2">(E10*$C$10)+($C$9*E9)</f>
        <v>7113.7182647981244</v>
      </c>
      <c r="F11" s="528">
        <f t="shared" si="2"/>
        <v>6466.8530566164372</v>
      </c>
      <c r="G11" s="528">
        <f t="shared" si="2"/>
        <v>5884.674369252918</v>
      </c>
      <c r="H11" s="249"/>
      <c r="I11" s="249"/>
      <c r="J11" s="5" t="s">
        <v>181</v>
      </c>
      <c r="L11" s="525">
        <f>'W.EUR OTHER'!D39</f>
        <v>13.16156410853363</v>
      </c>
      <c r="M11" s="525">
        <f>'W.EUR OTHER'!E39</f>
        <v>11.425296433104002</v>
      </c>
      <c r="N11" s="525">
        <f>'W.EUR OTHER'!F39</f>
        <v>9.8430805940601882</v>
      </c>
      <c r="O11" s="525">
        <f>'W.EUR OTHER'!G39</f>
        <v>8.6472666256233168</v>
      </c>
      <c r="P11" s="279">
        <f>'W.EUR OTHER'!H39</f>
        <v>5.7684523659928821E-2</v>
      </c>
      <c r="S11" s="88"/>
      <c r="T11" s="42"/>
      <c r="U11" s="42"/>
      <c r="V11" s="42"/>
      <c r="W11" s="288"/>
      <c r="X11" s="288"/>
      <c r="Y11" s="288"/>
      <c r="Z11" s="288"/>
      <c r="AA11" s="42"/>
    </row>
    <row r="12" spans="2:44">
      <c r="B12" s="5" t="s">
        <v>24</v>
      </c>
      <c r="C12" s="249"/>
      <c r="D12" s="529">
        <v>11548</v>
      </c>
      <c r="E12" s="529">
        <v>11150.288049349534</v>
      </c>
      <c r="F12" s="529">
        <v>11283.506691709228</v>
      </c>
      <c r="G12" s="529">
        <v>11792.425601948555</v>
      </c>
      <c r="H12" s="247"/>
      <c r="I12" s="247"/>
      <c r="J12" s="5" t="s">
        <v>461</v>
      </c>
      <c r="L12" s="525">
        <f>'W.EUR OTHER'!D40</f>
        <v>18.782864415708623</v>
      </c>
      <c r="M12" s="525">
        <f>'W.EUR OTHER'!E40</f>
        <v>16.344811252802039</v>
      </c>
      <c r="N12" s="525">
        <f>'W.EUR OTHER'!F40</f>
        <v>14.257332213491615</v>
      </c>
      <c r="O12" s="525">
        <f>'W.EUR OTHER'!G40</f>
        <v>12.325553609893248</v>
      </c>
      <c r="P12" s="279">
        <f>'W.EUR OTHER'!H40</f>
        <v>5.8112215141036705E-2</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'W.EUR OTHER'!D41</f>
        <v>0.84442389849965394</v>
      </c>
      <c r="M13" s="525">
        <f>'W.EUR OTHER'!E41</f>
        <v>0.81498961294635097</v>
      </c>
      <c r="N13" s="525">
        <f>'W.EUR OTHER'!F41</f>
        <v>0.77498610757856878</v>
      </c>
      <c r="O13" s="525">
        <f>'W.EUR OTHER'!G41</f>
        <v>0.73281741958307633</v>
      </c>
      <c r="P13" s="279">
        <f>'W.EUR OTHER'!H41</f>
        <v>-3.6019662148356391E-2</v>
      </c>
      <c r="S13" s="88"/>
      <c r="T13" s="42"/>
      <c r="U13" s="42"/>
      <c r="V13" s="42"/>
      <c r="W13" s="42"/>
      <c r="X13" s="42"/>
      <c r="Y13" s="42"/>
      <c r="Z13" s="42"/>
      <c r="AA13" s="42"/>
    </row>
    <row r="14" spans="2:44">
      <c r="B14" s="5" t="s">
        <v>527</v>
      </c>
      <c r="C14" s="257"/>
      <c r="D14" s="542">
        <v>7055.9097084741397</v>
      </c>
      <c r="E14" s="542">
        <v>7055.9097084741397</v>
      </c>
      <c r="F14" s="542">
        <v>7055.9097084741397</v>
      </c>
      <c r="G14" s="542">
        <v>7055.9097084741397</v>
      </c>
      <c r="H14" s="247"/>
      <c r="I14" s="247"/>
      <c r="J14" s="5" t="s">
        <v>588</v>
      </c>
      <c r="L14" s="525">
        <f>'W.EUR OTHER'!D42</f>
        <v>2.9998062507434589</v>
      </c>
      <c r="M14" s="525">
        <f>'W.EUR OTHER'!E42</f>
        <v>2.5616627697063863</v>
      </c>
      <c r="N14" s="525">
        <f>'W.EUR OTHER'!F42</f>
        <v>2.4320616245212983</v>
      </c>
      <c r="O14" s="525">
        <f>'W.EUR OTHER'!G42</f>
        <v>2.298739291377446</v>
      </c>
      <c r="P14" s="279">
        <f>'W.EUR OTHER'!H42</f>
        <v>4.8033956462567584E-3</v>
      </c>
      <c r="S14" s="88"/>
      <c r="T14" s="42"/>
      <c r="U14" s="42"/>
      <c r="V14" s="42"/>
      <c r="W14" s="42"/>
      <c r="X14" s="42"/>
      <c r="Y14" s="42"/>
      <c r="Z14" s="42"/>
      <c r="AA14" s="42"/>
    </row>
    <row r="15" spans="2:44">
      <c r="B15" s="5" t="s">
        <v>526</v>
      </c>
      <c r="C15" s="257"/>
      <c r="D15" s="542">
        <v>0</v>
      </c>
      <c r="E15" s="542">
        <v>0</v>
      </c>
      <c r="F15" s="542">
        <v>0</v>
      </c>
      <c r="G15" s="542">
        <v>0</v>
      </c>
      <c r="H15" s="247"/>
      <c r="I15" s="247"/>
      <c r="J15" s="5" t="s">
        <v>470</v>
      </c>
      <c r="L15" s="525">
        <f>'W.EUR OTHER'!D43</f>
        <v>36.043730510598792</v>
      </c>
      <c r="M15" s="525">
        <f>'W.EUR OTHER'!E43</f>
        <v>34.490732675014193</v>
      </c>
      <c r="N15" s="525">
        <f>'W.EUR OTHER'!F43</f>
        <v>16.287705091950169</v>
      </c>
      <c r="O15" s="525">
        <f>'W.EUR OTHER'!G43</f>
        <v>11.941589892511526</v>
      </c>
      <c r="P15" s="279">
        <f>'W.EUR OTHER'!H43</f>
        <v>0.37754240659126448</v>
      </c>
      <c r="S15" s="88"/>
      <c r="T15" s="42"/>
      <c r="U15" s="42"/>
      <c r="V15" s="42"/>
      <c r="W15" s="42"/>
      <c r="X15" s="42"/>
      <c r="Y15" s="42"/>
      <c r="Z15" s="42"/>
      <c r="AA15" s="42"/>
    </row>
    <row r="16" spans="2:44">
      <c r="B16" s="5" t="s">
        <v>529</v>
      </c>
      <c r="C16" s="257"/>
      <c r="D16" s="529">
        <v>0</v>
      </c>
      <c r="E16" s="529">
        <v>0</v>
      </c>
      <c r="F16" s="529">
        <v>0</v>
      </c>
      <c r="G16" s="529">
        <v>0</v>
      </c>
      <c r="H16" s="247"/>
      <c r="I16" s="247"/>
      <c r="J16" s="5" t="s">
        <v>528</v>
      </c>
      <c r="L16" s="525">
        <f>'W.EUR OTHER'!D44</f>
        <v>18.190653543431651</v>
      </c>
      <c r="M16" s="525">
        <f>'W.EUR OTHER'!E44</f>
        <v>13.647996044938878</v>
      </c>
      <c r="N16" s="525">
        <f>'W.EUR OTHER'!F44</f>
        <v>10.565198529238016</v>
      </c>
      <c r="O16" s="525">
        <f>'W.EUR OTHER'!G44</f>
        <v>9.2374096772312519</v>
      </c>
      <c r="P16" s="279">
        <f>'W.EUR OTHER'!H44</f>
        <v>0.20457659904306258</v>
      </c>
      <c r="S16" s="88"/>
      <c r="T16" s="42"/>
      <c r="U16" s="42"/>
      <c r="V16" s="42"/>
      <c r="W16" s="42"/>
      <c r="X16" s="42"/>
      <c r="Y16" s="42"/>
      <c r="Z16" s="42"/>
      <c r="AA16" s="42"/>
    </row>
    <row r="17" spans="2:27">
      <c r="B17" s="5" t="s">
        <v>6</v>
      </c>
      <c r="C17" s="257"/>
      <c r="D17" s="529">
        <v>146.80063999999993</v>
      </c>
      <c r="E17" s="529">
        <v>146.80063999999993</v>
      </c>
      <c r="F17" s="529">
        <v>146.80063999999993</v>
      </c>
      <c r="G17" s="529">
        <v>146.80063999999993</v>
      </c>
      <c r="H17" s="247"/>
      <c r="I17" s="247"/>
      <c r="J17" s="5" t="s">
        <v>575</v>
      </c>
      <c r="L17" s="248">
        <f>'W.EUR OTHER'!D45</f>
        <v>6.6143118778113894E-2</v>
      </c>
      <c r="M17" s="248">
        <f>'W.EUR OTHER'!E45</f>
        <v>4.3051326641435336E-2</v>
      </c>
      <c r="N17" s="248">
        <f>'W.EUR OTHER'!F45</f>
        <v>4.4102284782265591E-2</v>
      </c>
      <c r="O17" s="248">
        <f>'W.EUR OTHER'!G45</f>
        <v>4.5021641876791196E-2</v>
      </c>
      <c r="P17" s="279">
        <f>'W.EUR OTHER'!H45</f>
        <v>-0.15462913486104612</v>
      </c>
      <c r="S17" s="88"/>
      <c r="T17" s="42"/>
      <c r="U17" s="42"/>
      <c r="V17" s="42"/>
      <c r="W17" s="42"/>
      <c r="X17" s="42"/>
      <c r="Y17" s="42"/>
      <c r="Z17" s="42"/>
      <c r="AA17" s="42"/>
    </row>
    <row r="18" spans="2:27" ht="12.6" thickBot="1">
      <c r="B18" s="41" t="s">
        <v>578</v>
      </c>
      <c r="C18" s="249"/>
      <c r="D18" s="530">
        <f>D11+D12+D13-D14+D15-D16-D17</f>
        <v>12177.747036525861</v>
      </c>
      <c r="E18" s="530">
        <f>E11+E12+E13-E14+E15-E16-E17</f>
        <v>11061.295965673517</v>
      </c>
      <c r="F18" s="530">
        <f>F11+F12+F13-F14+F15-F16-F17</f>
        <v>10547.649399851527</v>
      </c>
      <c r="G18" s="530">
        <f>G11+G12+G13-G14+G15-G16-G17</f>
        <v>10474.389622727334</v>
      </c>
      <c r="H18" s="276">
        <f>IF(D18=0,"nm",IF(G18=0,"nm",(G18/D18)^(1/3)-1))</f>
        <v>-4.898523696959689E-2</v>
      </c>
      <c r="I18" s="254"/>
      <c r="J18" s="5" t="s">
        <v>36</v>
      </c>
      <c r="L18" s="248">
        <f>'W.EUR OTHER'!D46</f>
        <v>6.6143118778113894E-2</v>
      </c>
      <c r="M18" s="248">
        <f>'W.EUR OTHER'!E46</f>
        <v>4.3051326641435336E-2</v>
      </c>
      <c r="N18" s="248">
        <f>'W.EUR OTHER'!F46</f>
        <v>4.4102284782265591E-2</v>
      </c>
      <c r="O18" s="248">
        <f>'W.EUR OTHER'!G46</f>
        <v>4.5021641876791196E-2</v>
      </c>
      <c r="P18" s="279">
        <f>'W.EUR OTHER'!H46</f>
        <v>-0.15462913486104612</v>
      </c>
      <c r="S18" s="88"/>
      <c r="T18" s="42"/>
      <c r="U18" s="42"/>
      <c r="V18" s="42"/>
      <c r="W18" s="42"/>
      <c r="X18" s="42"/>
      <c r="Y18" s="42"/>
      <c r="Z18" s="42"/>
      <c r="AA18" s="42"/>
    </row>
    <row r="19" spans="2:27" ht="12.6" thickTop="1">
      <c r="B19" s="41"/>
      <c r="C19" s="249"/>
      <c r="D19" s="229"/>
      <c r="E19" s="229"/>
      <c r="F19" s="229"/>
      <c r="G19" s="229"/>
      <c r="H19" s="276"/>
      <c r="I19" s="254"/>
      <c r="J19" s="5" t="s">
        <v>576</v>
      </c>
      <c r="L19" s="248">
        <f>'W.EUR OTHER'!D47</f>
        <v>2.7744076038576149E-2</v>
      </c>
      <c r="M19" s="248">
        <f>'W.EUR OTHER'!E47</f>
        <v>2.8993295370742325E-2</v>
      </c>
      <c r="N19" s="248">
        <f>'W.EUR OTHER'!F47</f>
        <v>6.1396003571689631E-2</v>
      </c>
      <c r="O19" s="248">
        <f>'W.EUR OTHER'!G47</f>
        <v>8.3740943124088682E-2</v>
      </c>
      <c r="P19" s="279">
        <f>'W.EUR OTHER'!H47</f>
        <v>0.37754240659126448</v>
      </c>
      <c r="S19" s="88"/>
      <c r="T19" s="42"/>
      <c r="U19" s="42"/>
      <c r="V19" s="42"/>
      <c r="W19" s="42"/>
      <c r="X19" s="42"/>
      <c r="Y19" s="42"/>
      <c r="Z19" s="42"/>
      <c r="AA19" s="42"/>
    </row>
    <row r="20" spans="2:27">
      <c r="H20" s="277"/>
      <c r="I20" s="17"/>
      <c r="J20" s="5" t="s">
        <v>599</v>
      </c>
      <c r="L20" s="305">
        <f>'W.EUR OTHER'!D48</f>
        <v>2.1773296851754451</v>
      </c>
      <c r="M20" s="305">
        <f>'W.EUR OTHER'!E48</f>
        <v>1.3522122093409186</v>
      </c>
      <c r="N20" s="305">
        <f>'W.EUR OTHER'!F48</f>
        <v>0.65358788133464962</v>
      </c>
      <c r="O20" s="305">
        <f>'W.EUR OTHER'!G48</f>
        <v>0.50321211795021492</v>
      </c>
      <c r="P20" s="279" t="str">
        <f>'W.EUR OTHER'!H48</f>
        <v>nm</v>
      </c>
      <c r="S20" s="88"/>
      <c r="T20" s="42"/>
      <c r="U20" s="42"/>
      <c r="V20" s="42"/>
      <c r="W20" s="42"/>
      <c r="X20" s="42"/>
      <c r="Y20" s="42"/>
      <c r="Z20" s="42"/>
      <c r="AA20" s="42"/>
    </row>
    <row r="21" spans="2:27" ht="12.6" thickBot="1">
      <c r="B21" s="306" t="s">
        <v>917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2023</v>
      </c>
      <c r="D23" s="536">
        <v>2024</v>
      </c>
      <c r="E23" s="536">
        <v>2025</v>
      </c>
      <c r="F23" s="536">
        <v>2026</v>
      </c>
      <c r="G23" s="536">
        <v>2027</v>
      </c>
      <c r="H23" s="279">
        <f t="shared" ref="H23:H32" si="4">IF(D23=0,"nm",IF(G23=0,"nm",(G23/D23)^(1/3)-1))</f>
        <v>4.9382724075885953E-4</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4">
        <v>7195.7543093599998</v>
      </c>
      <c r="D24" s="536">
        <v>7491.6758294399997</v>
      </c>
      <c r="E24" s="536">
        <v>7521.2018882589946</v>
      </c>
      <c r="F24" s="536">
        <v>7583.935680737166</v>
      </c>
      <c r="G24" s="536">
        <v>7626.7047136440287</v>
      </c>
      <c r="H24" s="279">
        <f t="shared" si="4"/>
        <v>5.9722135653994535E-3</v>
      </c>
      <c r="I24" s="249"/>
      <c r="J24" s="17"/>
      <c r="K24" s="17"/>
      <c r="L24" s="17"/>
      <c r="M24" s="17"/>
      <c r="N24" s="17"/>
      <c r="O24" s="248"/>
      <c r="S24" s="88"/>
      <c r="T24" s="42"/>
      <c r="U24" s="42"/>
      <c r="V24" s="42"/>
      <c r="W24" s="42" t="s">
        <v>75</v>
      </c>
      <c r="X24" s="42" t="s">
        <v>249</v>
      </c>
      <c r="Y24" s="42"/>
      <c r="Z24" s="42"/>
      <c r="AA24" s="42"/>
    </row>
    <row r="25" spans="2:27">
      <c r="B25" s="5" t="s">
        <v>179</v>
      </c>
      <c r="C25" s="544">
        <v>1588.7735860799999</v>
      </c>
      <c r="D25" s="536">
        <v>1638.87105028</v>
      </c>
      <c r="E25" s="536">
        <v>1667.5548722634462</v>
      </c>
      <c r="F25" s="536">
        <v>1781.5168609793932</v>
      </c>
      <c r="G25" s="536">
        <v>1753.1333657509369</v>
      </c>
      <c r="H25" s="279">
        <f t="shared" si="4"/>
        <v>2.2719940908240366E-2</v>
      </c>
      <c r="I25" s="248"/>
      <c r="J25" s="247" t="s">
        <v>10</v>
      </c>
      <c r="K25" s="247"/>
      <c r="L25" s="321">
        <v>2023</v>
      </c>
      <c r="M25" s="321">
        <v>2024</v>
      </c>
      <c r="N25" s="321">
        <v>2025</v>
      </c>
      <c r="O25" s="321">
        <v>2026</v>
      </c>
      <c r="P25" s="279">
        <f>IF(L25=0,"nm",IF(O25=0,"nm",(O25/L25)^(1/3)-1))</f>
        <v>4.9407122662925573E-4</v>
      </c>
      <c r="S25" s="88"/>
      <c r="T25" s="42"/>
      <c r="U25" s="42"/>
      <c r="V25" s="147" t="s">
        <v>268</v>
      </c>
      <c r="W25" s="288">
        <f>D37/L9</f>
        <v>3.0714244898981442</v>
      </c>
      <c r="X25" s="288">
        <v>1</v>
      </c>
      <c r="Y25" s="42"/>
      <c r="Z25" s="42"/>
      <c r="AA25" s="42"/>
    </row>
    <row r="26" spans="2:27">
      <c r="B26" s="5" t="s">
        <v>581</v>
      </c>
      <c r="C26" s="544">
        <v>1006.8006681700003</v>
      </c>
      <c r="D26" s="536">
        <v>730.79473626000026</v>
      </c>
      <c r="E26" s="536">
        <v>818.06591431196193</v>
      </c>
      <c r="F26" s="536">
        <v>773.95499881856085</v>
      </c>
      <c r="G26" s="536">
        <v>835.98441795621488</v>
      </c>
      <c r="H26" s="279">
        <f t="shared" si="4"/>
        <v>4.5845641108729795E-2</v>
      </c>
      <c r="I26" s="249"/>
      <c r="J26" s="249" t="s">
        <v>11</v>
      </c>
      <c r="K26" s="249"/>
      <c r="L26" s="281">
        <f>D11+L25</f>
        <v>9855.4573849999997</v>
      </c>
      <c r="M26" s="281">
        <f>E11+M25</f>
        <v>9137.7182647981244</v>
      </c>
      <c r="N26" s="281">
        <f>F11+N25</f>
        <v>8491.8530566164372</v>
      </c>
      <c r="O26" s="281">
        <f>G11+O25</f>
        <v>7910.674369252918</v>
      </c>
      <c r="P26" s="279">
        <f>IF(L26=0,"nm",IF(O26=0,"nm",(O26/L26)^(1/3)-1))</f>
        <v>-7.0650846261575029E-2</v>
      </c>
      <c r="Q26" s="5"/>
      <c r="S26" s="88"/>
      <c r="T26" s="42"/>
      <c r="U26" s="42"/>
      <c r="V26" s="147" t="s">
        <v>180</v>
      </c>
      <c r="W26" s="288">
        <f t="shared" ref="W26:W33" si="6">D38/L10</f>
        <v>0.33300712021283696</v>
      </c>
      <c r="X26" s="288">
        <v>1</v>
      </c>
      <c r="Y26" s="42"/>
      <c r="Z26" s="42"/>
      <c r="AA26" s="42"/>
    </row>
    <row r="27" spans="2:27">
      <c r="B27" s="5" t="s">
        <v>582</v>
      </c>
      <c r="C27" s="544">
        <v>10115.168507809198</v>
      </c>
      <c r="D27" s="536">
        <v>12103.4039995576</v>
      </c>
      <c r="E27" s="536">
        <v>11772.018144226626</v>
      </c>
      <c r="F27" s="536">
        <v>11871.712490811335</v>
      </c>
      <c r="G27" s="536">
        <v>12427.773759595279</v>
      </c>
      <c r="H27" s="279">
        <f t="shared" si="4"/>
        <v>8.8546565681120182E-3</v>
      </c>
      <c r="I27" s="249"/>
      <c r="J27" s="248"/>
      <c r="K27" s="248"/>
      <c r="L27" s="248"/>
      <c r="M27" s="248"/>
      <c r="N27" s="248"/>
      <c r="O27" s="248"/>
      <c r="Q27" s="41"/>
      <c r="S27" s="88"/>
      <c r="T27" s="42"/>
      <c r="U27" s="42"/>
      <c r="V27" s="147" t="s">
        <v>181</v>
      </c>
      <c r="W27" s="288">
        <f t="shared" si="6"/>
        <v>0.5645659235125966</v>
      </c>
      <c r="X27" s="288">
        <v>1</v>
      </c>
      <c r="Y27" s="42"/>
      <c r="Z27" s="42"/>
      <c r="AA27" s="42"/>
    </row>
    <row r="28" spans="2:27" ht="12.6" thickBot="1">
      <c r="B28" s="5" t="s">
        <v>587</v>
      </c>
      <c r="C28" s="544">
        <v>0</v>
      </c>
      <c r="D28" s="536">
        <v>0</v>
      </c>
      <c r="E28" s="536">
        <v>0</v>
      </c>
      <c r="F28" s="536">
        <v>0</v>
      </c>
      <c r="G28" s="536">
        <v>0</v>
      </c>
      <c r="H28" s="279" t="str">
        <f t="shared" si="4"/>
        <v>nm</v>
      </c>
      <c r="I28" s="248"/>
      <c r="J28" s="306" t="s">
        <v>1352</v>
      </c>
      <c r="K28" s="306"/>
      <c r="L28" s="306"/>
      <c r="M28" s="306"/>
      <c r="N28" s="266"/>
      <c r="O28" s="266"/>
      <c r="P28" s="266"/>
      <c r="Q28" s="5"/>
      <c r="S28" s="88"/>
      <c r="T28" s="42"/>
      <c r="U28" s="42"/>
      <c r="V28" s="147" t="s">
        <v>461</v>
      </c>
      <c r="W28" s="288">
        <f t="shared" si="6"/>
        <v>0.88717585607987204</v>
      </c>
      <c r="X28" s="288">
        <v>1</v>
      </c>
      <c r="Y28" s="42"/>
      <c r="Z28" s="42"/>
      <c r="AA28" s="42"/>
    </row>
    <row r="29" spans="2:27" ht="12.6" thickTop="1">
      <c r="B29" s="5" t="s">
        <v>583</v>
      </c>
      <c r="C29" s="544">
        <v>1033.9753620547685</v>
      </c>
      <c r="D29" s="536">
        <v>-1033.500367048</v>
      </c>
      <c r="E29" s="536">
        <v>-549.83253722761287</v>
      </c>
      <c r="F29" s="536">
        <v>-484.1108912794129</v>
      </c>
      <c r="G29" s="536">
        <v>-356.71531494943974</v>
      </c>
      <c r="H29" s="279">
        <f>IF(D29=0,"nm",IF(G29=0,"nm",(G29/D29)^(1/3)-1))</f>
        <v>-0.29853871457922765</v>
      </c>
      <c r="I29" s="252"/>
      <c r="J29" s="249"/>
      <c r="K29" s="249"/>
      <c r="L29" s="249"/>
      <c r="M29" s="249"/>
      <c r="N29" s="249"/>
      <c r="O29" s="251"/>
      <c r="Q29" s="5"/>
      <c r="S29" s="88"/>
      <c r="T29" s="42"/>
      <c r="U29" s="42"/>
      <c r="V29" s="147" t="s">
        <v>525</v>
      </c>
      <c r="W29" s="288">
        <f t="shared" si="6"/>
        <v>1.1915133222270502</v>
      </c>
      <c r="X29" s="288">
        <v>1</v>
      </c>
      <c r="Y29" s="42"/>
      <c r="Z29" s="42"/>
      <c r="AA29" s="42"/>
    </row>
    <row r="30" spans="2:27">
      <c r="B30" s="5" t="s">
        <v>584</v>
      </c>
      <c r="C30" s="544">
        <v>-353.75729652999996</v>
      </c>
      <c r="D30" s="536">
        <v>-1033.500367048</v>
      </c>
      <c r="E30" s="536">
        <v>-549.83253722761287</v>
      </c>
      <c r="F30" s="536">
        <v>-484.1108912794129</v>
      </c>
      <c r="G30" s="536">
        <v>-356.71531494943974</v>
      </c>
      <c r="H30" s="279">
        <f t="shared" si="4"/>
        <v>-0.29853871457922765</v>
      </c>
      <c r="I30" s="254"/>
      <c r="J30" s="248"/>
      <c r="K30" s="248"/>
      <c r="L30" s="248"/>
      <c r="M30" s="248"/>
      <c r="N30" s="248"/>
      <c r="O30" s="5"/>
      <c r="Q30" s="5"/>
      <c r="S30" s="88"/>
      <c r="T30" s="42"/>
      <c r="U30" s="42"/>
      <c r="V30" s="147" t="s">
        <v>588</v>
      </c>
      <c r="W30" s="288" t="e">
        <f t="shared" si="6"/>
        <v>#DIV/0!</v>
      </c>
      <c r="X30" s="288">
        <v>1</v>
      </c>
      <c r="Y30" s="42"/>
      <c r="Z30" s="42"/>
      <c r="AA30" s="42"/>
    </row>
    <row r="31" spans="2:27">
      <c r="B31" s="5" t="s">
        <v>585</v>
      </c>
      <c r="C31" s="544">
        <v>0</v>
      </c>
      <c r="D31" s="536">
        <v>0</v>
      </c>
      <c r="E31" s="536">
        <v>0</v>
      </c>
      <c r="F31" s="536">
        <v>0</v>
      </c>
      <c r="G31" s="536">
        <v>0</v>
      </c>
      <c r="H31" s="279" t="str">
        <f t="shared" si="4"/>
        <v>nm</v>
      </c>
      <c r="I31" s="254"/>
      <c r="J31" s="252"/>
      <c r="K31" s="252"/>
      <c r="L31" s="252"/>
      <c r="M31" s="252"/>
      <c r="N31" s="252"/>
      <c r="O31" s="5"/>
      <c r="Q31" s="5"/>
      <c r="S31" s="88"/>
      <c r="T31" s="42"/>
      <c r="U31" s="42"/>
      <c r="V31" s="147" t="s">
        <v>470</v>
      </c>
      <c r="W31" s="288">
        <f t="shared" si="6"/>
        <v>-0.26456745232262469</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-0.41661902959678365</v>
      </c>
      <c r="X32" s="288">
        <v>1</v>
      </c>
      <c r="Y32" s="42"/>
      <c r="Z32" s="42"/>
      <c r="AA32" s="42"/>
    </row>
    <row r="33" spans="2:27">
      <c r="B33" s="5" t="s">
        <v>5</v>
      </c>
      <c r="C33" s="544">
        <v>12658.022394626367</v>
      </c>
      <c r="D33" s="536">
        <v>11983.12238105884</v>
      </c>
      <c r="E33" s="536">
        <v>11458.315449686364</v>
      </c>
      <c r="F33" s="536">
        <v>11017.049111406837</v>
      </c>
      <c r="G33" s="536">
        <v>11017.049111406837</v>
      </c>
      <c r="H33" s="279">
        <f>IF(D33=0,"nm",IF(G33=0,"nm",(G33/D33)^(1/3)-1))</f>
        <v>-2.7629524787574744E-2</v>
      </c>
      <c r="I33" s="5"/>
      <c r="J33" s="254"/>
      <c r="K33" s="254"/>
      <c r="L33" s="254"/>
      <c r="M33" s="254"/>
      <c r="N33" s="254"/>
      <c r="O33" s="251"/>
      <c r="Q33" s="5"/>
      <c r="S33" s="88"/>
      <c r="T33" s="42"/>
      <c r="U33" s="42"/>
      <c r="V33" s="147" t="s">
        <v>575</v>
      </c>
      <c r="W33" s="288">
        <f t="shared" si="6"/>
        <v>0</v>
      </c>
      <c r="X33" s="288">
        <v>1</v>
      </c>
      <c r="Y33" s="42"/>
      <c r="Z33" s="42"/>
      <c r="AA33" s="42"/>
    </row>
    <row r="34" spans="2:27">
      <c r="B34" s="5"/>
      <c r="C34" s="247"/>
      <c r="D34" s="17"/>
      <c r="E34" s="17"/>
      <c r="F34" s="17"/>
      <c r="G34" s="17"/>
      <c r="H34" s="277"/>
      <c r="I34" s="49"/>
      <c r="J34" s="254"/>
      <c r="K34" s="254"/>
      <c r="L34" s="254"/>
      <c r="M34" s="254"/>
      <c r="N34" s="254"/>
      <c r="O34" s="251"/>
      <c r="Q34" s="5"/>
      <c r="S34" s="88"/>
      <c r="T34" s="42"/>
      <c r="U34" s="42"/>
      <c r="V34" s="147" t="s">
        <v>576</v>
      </c>
      <c r="W34" s="288">
        <f>D47/L19</f>
        <v>-3.7797544301880261</v>
      </c>
      <c r="X34" s="288">
        <v>1</v>
      </c>
      <c r="Y34" s="288"/>
      <c r="Z34" s="288"/>
      <c r="AA34" s="42"/>
    </row>
    <row r="35" spans="2:27" ht="12.6" thickBot="1">
      <c r="B35" s="306" t="s">
        <v>263</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6.0166734370187065</v>
      </c>
      <c r="E37" s="525">
        <f t="shared" ref="E37:G41" si="8">E$18/E23</f>
        <v>5.4623683781103782</v>
      </c>
      <c r="F37" s="525">
        <f t="shared" si="8"/>
        <v>5.2061448173008529</v>
      </c>
      <c r="G37" s="525">
        <f t="shared" si="8"/>
        <v>5.1674344463381026</v>
      </c>
      <c r="H37" s="17">
        <f t="shared" ref="H37:H45" si="9">H23</f>
        <v>4.9382724075885953E-4</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1.6255037342474206</v>
      </c>
      <c r="E38" s="525">
        <f>E$18/E24</f>
        <v>1.4706819641340569</v>
      </c>
      <c r="F38" s="525">
        <f>F$18/F24</f>
        <v>1.3907883510460211</v>
      </c>
      <c r="G38" s="525">
        <f>G$18/G24</f>
        <v>1.3733833963689261</v>
      </c>
      <c r="H38" s="17">
        <f t="shared" si="9"/>
        <v>5.9722135653994535E-3</v>
      </c>
      <c r="I38" s="259"/>
      <c r="J38" s="17"/>
      <c r="K38" s="17"/>
      <c r="L38" s="17"/>
      <c r="M38" s="17"/>
      <c r="N38" s="17"/>
      <c r="O38" s="5"/>
      <c r="Q38" s="5"/>
      <c r="R38" s="5"/>
      <c r="S38" s="42"/>
      <c r="T38" s="42"/>
      <c r="U38" s="42"/>
      <c r="V38" s="42"/>
      <c r="W38" s="42"/>
      <c r="X38" s="42"/>
      <c r="Y38" s="42"/>
      <c r="Z38" s="42"/>
      <c r="AA38" s="42"/>
    </row>
    <row r="39" spans="2:27">
      <c r="B39" s="5" t="s">
        <v>181</v>
      </c>
      <c r="C39" s="247"/>
      <c r="D39" s="525">
        <f>D$18/D25</f>
        <v>7.4305705958045341</v>
      </c>
      <c r="E39" s="525">
        <f t="shared" si="8"/>
        <v>6.6332425694990951</v>
      </c>
      <c r="F39" s="525">
        <f t="shared" si="8"/>
        <v>5.9206003776202998</v>
      </c>
      <c r="G39" s="525">
        <f t="shared" si="8"/>
        <v>5.9746678874260866</v>
      </c>
      <c r="H39" s="17">
        <f t="shared" si="9"/>
        <v>2.2719940908240366E-2</v>
      </c>
      <c r="I39" s="17"/>
      <c r="J39" s="5"/>
      <c r="K39" s="5"/>
      <c r="L39" s="5"/>
      <c r="M39" s="5"/>
      <c r="N39" s="5"/>
      <c r="O39" s="5"/>
      <c r="Q39" s="5"/>
      <c r="R39" s="5"/>
      <c r="S39" s="42"/>
      <c r="T39" s="42"/>
      <c r="U39" s="42"/>
      <c r="V39" s="42"/>
      <c r="W39" s="42"/>
      <c r="X39" s="42"/>
      <c r="Y39" s="42"/>
      <c r="Z39" s="42"/>
      <c r="AA39" s="42"/>
    </row>
    <row r="40" spans="2:27">
      <c r="B40" s="5" t="s">
        <v>461</v>
      </c>
      <c r="C40" s="247"/>
      <c r="D40" s="525">
        <f>D$18/D26</f>
        <v>16.663703817638464</v>
      </c>
      <c r="E40" s="525">
        <f t="shared" si="8"/>
        <v>13.521277163804912</v>
      </c>
      <c r="F40" s="525">
        <f t="shared" si="8"/>
        <v>13.628246365683367</v>
      </c>
      <c r="G40" s="525">
        <f t="shared" si="8"/>
        <v>12.529407723094589</v>
      </c>
      <c r="H40" s="17">
        <f t="shared" si="9"/>
        <v>4.5845641108729795E-2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1.00614232466924</v>
      </c>
      <c r="E41" s="525">
        <f t="shared" si="8"/>
        <v>0.93962613972849929</v>
      </c>
      <c r="F41" s="525">
        <f t="shared" si="8"/>
        <v>0.88846907369222194</v>
      </c>
      <c r="G41" s="525">
        <f t="shared" si="8"/>
        <v>0.84282107361668313</v>
      </c>
      <c r="H41" s="17">
        <f t="shared" si="9"/>
        <v>8.8546565681120182E-3</v>
      </c>
      <c r="I41" s="247"/>
      <c r="J41" s="17"/>
      <c r="K41" s="17"/>
      <c r="L41" s="17"/>
      <c r="M41" s="17"/>
      <c r="N41" s="17"/>
      <c r="O41" s="5"/>
      <c r="Q41" s="5"/>
      <c r="R41" s="5"/>
      <c r="S41" s="42"/>
      <c r="T41" s="42"/>
      <c r="U41" s="42"/>
      <c r="V41" s="42"/>
      <c r="W41" s="288"/>
      <c r="X41" s="288"/>
      <c r="Y41" s="288"/>
      <c r="Z41" s="288"/>
      <c r="AA41" s="42"/>
    </row>
    <row r="42" spans="2:27">
      <c r="B42" s="5" t="s">
        <v>588</v>
      </c>
      <c r="C42" s="247"/>
      <c r="D42" s="525" t="e">
        <f>D18/D28</f>
        <v>#DIV/0!</v>
      </c>
      <c r="E42" s="525" t="e">
        <f>E18/E28</f>
        <v>#DIV/0!</v>
      </c>
      <c r="F42" s="525" t="e">
        <f>F18/F28</f>
        <v>#DIV/0!</v>
      </c>
      <c r="G42" s="525" t="e">
        <f>G18/G28</f>
        <v>#DIV/0!</v>
      </c>
      <c r="H42" s="17" t="str">
        <f t="shared" si="9"/>
        <v>nm</v>
      </c>
      <c r="I42" s="248"/>
      <c r="J42" s="5"/>
      <c r="K42" s="5"/>
      <c r="L42" s="5"/>
      <c r="M42" s="5"/>
      <c r="N42" s="5"/>
      <c r="O42" s="5"/>
      <c r="Q42" s="5"/>
      <c r="R42" s="5"/>
      <c r="S42" s="42"/>
      <c r="T42" s="42"/>
      <c r="U42" s="42"/>
      <c r="V42" s="42"/>
      <c r="W42" s="288"/>
      <c r="X42" s="288"/>
      <c r="Y42" s="288"/>
      <c r="Z42" s="288"/>
      <c r="AA42" s="42"/>
    </row>
    <row r="43" spans="2:27">
      <c r="B43" s="5" t="s">
        <v>470</v>
      </c>
      <c r="C43" s="247"/>
      <c r="D43" s="525">
        <f>L26/D29</f>
        <v>-9.5359979533923784</v>
      </c>
      <c r="E43" s="525">
        <f>M26/E29</f>
        <v>-16.619093353173831</v>
      </c>
      <c r="F43" s="525">
        <f>N26/F29</f>
        <v>-17.541132020752698</v>
      </c>
      <c r="G43" s="525">
        <f>O26/G29</f>
        <v>-22.176436047816349</v>
      </c>
      <c r="H43" s="17">
        <f t="shared" si="9"/>
        <v>-0.29853871457922765</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-7.5785724269957884</v>
      </c>
      <c r="E44" s="525">
        <f>E11/E30</f>
        <v>-12.937972533723073</v>
      </c>
      <c r="F44" s="525">
        <f>F11/F30</f>
        <v>-13.358206091017237</v>
      </c>
      <c r="G44" s="525">
        <f>G11/G30</f>
        <v>-16.496836896635632</v>
      </c>
      <c r="H44" s="17">
        <f t="shared" si="9"/>
        <v>-0.29853871457922765</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-0.10486579431828166</v>
      </c>
      <c r="E47" s="248">
        <f>1/E43</f>
        <v>-6.0171754183511159E-2</v>
      </c>
      <c r="F47" s="248">
        <f>1/F43</f>
        <v>-5.7008863442616603E-2</v>
      </c>
      <c r="G47" s="248">
        <f>1/G43</f>
        <v>-4.5092908429642246E-2</v>
      </c>
      <c r="H47" s="17">
        <f>H29</f>
        <v>-0.29853871457922765</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LIBSOP!A1" display="Jump to LibertySOP" xr:uid="{00000000-0004-0000-3500-000001000000}"/>
  </hyperlinks>
  <pageMargins left="0.75" right="0.75" top="1" bottom="1" header="0.5" footer="0.5"/>
  <pageSetup scale="71"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2">
    <pageSetUpPr fitToPage="1"/>
  </sheetPr>
  <dimension ref="B1:CE166"/>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83" width="9.109375" style="5"/>
    <col min="84" max="16384" width="9.109375" style="39"/>
  </cols>
  <sheetData>
    <row r="1" spans="2:83"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row>
    <row r="2" spans="2:83" s="149" customFormat="1">
      <c r="H2" s="153"/>
      <c r="P2" s="153"/>
    </row>
    <row r="3" spans="2:83" s="149" customFormat="1">
      <c r="C3" s="150"/>
      <c r="H3" s="153"/>
      <c r="P3" s="153"/>
    </row>
    <row r="4" spans="2:83" s="156" customFormat="1" ht="21">
      <c r="B4" s="129" t="s">
        <v>797</v>
      </c>
      <c r="H4" s="222"/>
      <c r="P4" s="222"/>
    </row>
    <row r="5" spans="2:8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83">
      <c r="B6" s="41"/>
      <c r="C6" s="49"/>
      <c r="D6" s="49"/>
      <c r="E6" s="49"/>
      <c r="F6" s="49"/>
      <c r="G6" s="49"/>
      <c r="H6" s="49"/>
      <c r="I6" s="49"/>
      <c r="J6" s="41"/>
      <c r="K6" s="41"/>
      <c r="L6" s="41"/>
      <c r="M6" s="41"/>
      <c r="N6" s="5"/>
      <c r="O6" s="5"/>
      <c r="P6" s="5"/>
    </row>
    <row r="7" spans="2:83"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374</v>
      </c>
      <c r="K7" s="306"/>
      <c r="L7" s="265" t="str">
        <f>L5</f>
        <v>2023E</v>
      </c>
      <c r="M7" s="265" t="str">
        <f t="shared" ref="M7:P7" si="1">M5</f>
        <v>2024E</v>
      </c>
      <c r="N7" s="265" t="str">
        <f t="shared" si="1"/>
        <v>2025E</v>
      </c>
      <c r="O7" s="265" t="str">
        <f t="shared" si="1"/>
        <v>2026E</v>
      </c>
      <c r="P7" s="265" t="str">
        <f t="shared" si="1"/>
        <v>23E-26E</v>
      </c>
    </row>
    <row r="8" spans="2:83" ht="12.6" thickTop="1">
      <c r="B8" s="5"/>
      <c r="C8" s="228"/>
      <c r="D8" s="228"/>
      <c r="E8" s="228"/>
      <c r="F8" s="228"/>
      <c r="G8" s="228"/>
      <c r="H8" s="247"/>
      <c r="I8" s="5"/>
      <c r="J8" s="5"/>
      <c r="K8" s="5"/>
      <c r="L8" s="5"/>
      <c r="M8" s="5"/>
      <c r="N8" s="5"/>
      <c r="S8" s="42"/>
      <c r="T8" s="42"/>
      <c r="U8" s="42"/>
      <c r="V8" s="42"/>
      <c r="W8" s="42"/>
      <c r="X8" s="42"/>
      <c r="Y8" s="42"/>
      <c r="Z8" s="42"/>
      <c r="AA8" s="42"/>
    </row>
    <row r="9" spans="2:83">
      <c r="B9" s="41" t="s">
        <v>1443</v>
      </c>
      <c r="C9" s="267">
        <f>Prices!C138</f>
        <v>9.48</v>
      </c>
      <c r="D9" s="540"/>
      <c r="E9" s="541"/>
      <c r="F9" s="541"/>
      <c r="G9" s="541"/>
      <c r="H9" s="249"/>
      <c r="I9" s="249"/>
      <c r="J9" s="5" t="s">
        <v>268</v>
      </c>
      <c r="L9" s="525">
        <f>'EMEA INCUMB'!D37</f>
        <v>0.4303507109108346</v>
      </c>
      <c r="M9" s="525">
        <f>'EMEA INCUMB'!E37</f>
        <v>0.36397413058550154</v>
      </c>
      <c r="N9" s="525">
        <f>'EMEA INCUMB'!F37</f>
        <v>0.29876431261905234</v>
      </c>
      <c r="O9" s="525">
        <f>'EMEA INCUMB'!G37</f>
        <v>0.23578722677146316</v>
      </c>
      <c r="P9" s="286">
        <f>'EMEA INCUMB'!H37</f>
        <v>1.947512825024833E-2</v>
      </c>
      <c r="S9" s="42"/>
      <c r="T9" s="42"/>
      <c r="U9" s="42"/>
      <c r="V9" s="42"/>
      <c r="W9" s="42"/>
      <c r="X9" s="42"/>
      <c r="Y9" s="42"/>
      <c r="Z9" s="42"/>
      <c r="AA9" s="42"/>
    </row>
    <row r="10" spans="2:83">
      <c r="B10" s="5" t="s">
        <v>269</v>
      </c>
      <c r="D10" s="527">
        <v>180.983</v>
      </c>
      <c r="E10" s="527">
        <v>181.92400000000001</v>
      </c>
      <c r="F10" s="527">
        <v>232.03</v>
      </c>
      <c r="G10" s="527">
        <v>229.73000000000002</v>
      </c>
      <c r="I10" s="247"/>
      <c r="J10" s="5" t="s">
        <v>180</v>
      </c>
      <c r="L10" s="525">
        <f>'EMEA INCUMB'!D38</f>
        <v>1.5988183551359907</v>
      </c>
      <c r="M10" s="525">
        <f>'EMEA INCUMB'!E38</f>
        <v>1.3858387424657825</v>
      </c>
      <c r="N10" s="525">
        <f>'EMEA INCUMB'!F38</f>
        <v>1.152691488671955</v>
      </c>
      <c r="O10" s="525">
        <f>'EMEA INCUMB'!G38</f>
        <v>0.90971350311033605</v>
      </c>
      <c r="P10" s="286">
        <f>'EMEA INCUMB'!H38</f>
        <v>6.71694721895566E-3</v>
      </c>
      <c r="S10" s="42"/>
      <c r="T10" s="42"/>
      <c r="U10" s="42"/>
      <c r="V10" s="42"/>
      <c r="W10" s="288"/>
      <c r="X10" s="288"/>
      <c r="Y10" s="288"/>
      <c r="Z10" s="288"/>
      <c r="AA10" s="42"/>
    </row>
    <row r="11" spans="2:83">
      <c r="B11" s="41" t="s">
        <v>270</v>
      </c>
      <c r="C11" s="5"/>
      <c r="D11" s="528">
        <f>D10*$C9</f>
        <v>1715.7188400000002</v>
      </c>
      <c r="E11" s="528">
        <f>E10*$C9</f>
        <v>1724.6395200000002</v>
      </c>
      <c r="F11" s="528">
        <f>F10*$C9</f>
        <v>2199.6444000000001</v>
      </c>
      <c r="G11" s="528">
        <f>G10*$C9</f>
        <v>2177.8404</v>
      </c>
      <c r="H11" s="249"/>
      <c r="I11" s="249"/>
      <c r="J11" s="5" t="s">
        <v>181</v>
      </c>
      <c r="L11" s="525">
        <f>'EMEA INCUMB'!D39</f>
        <v>3.534026270652816</v>
      </c>
      <c r="M11" s="525">
        <f>'EMEA INCUMB'!E39</f>
        <v>3.0102198667929545</v>
      </c>
      <c r="N11" s="525">
        <f>'EMEA INCUMB'!F39</f>
        <v>2.5517996503580389</v>
      </c>
      <c r="O11" s="525">
        <f>'EMEA INCUMB'!G39</f>
        <v>2.0139010498268655</v>
      </c>
      <c r="P11" s="286">
        <f>'EMEA INCUMB'!H39</f>
        <v>6.2049124089686991E-3</v>
      </c>
      <c r="S11" s="42"/>
      <c r="T11" s="42"/>
      <c r="U11" s="42"/>
      <c r="V11" s="42"/>
      <c r="W11" s="288"/>
      <c r="X11" s="288"/>
      <c r="Y11" s="288"/>
      <c r="Z11" s="288"/>
      <c r="AA11" s="42"/>
    </row>
    <row r="12" spans="2:83">
      <c r="B12" s="5" t="s">
        <v>24</v>
      </c>
      <c r="C12" s="249"/>
      <c r="D12" s="529">
        <v>7107.0122227357788</v>
      </c>
      <c r="E12" s="529">
        <v>6817.2828302392327</v>
      </c>
      <c r="F12" s="529">
        <v>6553.354702354487</v>
      </c>
      <c r="G12" s="529">
        <v>6286.6492311254051</v>
      </c>
      <c r="H12" s="247"/>
      <c r="I12" s="247"/>
      <c r="J12" s="5" t="s">
        <v>461</v>
      </c>
      <c r="L12" s="525">
        <f>'EMEA INCUMB'!D40</f>
        <v>4.9083698203511332</v>
      </c>
      <c r="M12" s="525">
        <f>'EMEA INCUMB'!E40</f>
        <v>4.1808609261013263</v>
      </c>
      <c r="N12" s="525">
        <f>'EMEA INCUMB'!F40</f>
        <v>3.5441661810528324</v>
      </c>
      <c r="O12" s="525">
        <f>'EMEA INCUMB'!G40</f>
        <v>2.7970847914262018</v>
      </c>
      <c r="P12" s="286">
        <f>'EMEA INCUMB'!H40</f>
        <v>6.2049124089684771E-3</v>
      </c>
      <c r="S12" s="42"/>
      <c r="T12" s="42"/>
      <c r="U12" s="42"/>
      <c r="V12" s="42"/>
      <c r="W12" s="288"/>
      <c r="X12" s="288"/>
      <c r="Y12" s="288"/>
      <c r="Z12" s="288"/>
      <c r="AA12" s="42"/>
    </row>
    <row r="13" spans="2:83">
      <c r="B13" s="5" t="s">
        <v>524</v>
      </c>
      <c r="C13" s="257"/>
      <c r="D13" s="529">
        <v>0</v>
      </c>
      <c r="E13" s="529">
        <v>0</v>
      </c>
      <c r="F13" s="529">
        <v>0</v>
      </c>
      <c r="G13" s="529">
        <v>0</v>
      </c>
      <c r="H13" s="247"/>
      <c r="I13" s="247"/>
      <c r="J13" s="5" t="s">
        <v>525</v>
      </c>
      <c r="L13" s="525">
        <f>'EMEA INCUMB'!D41</f>
        <v>0.4632399336456538</v>
      </c>
      <c r="M13" s="525">
        <f>'EMEA INCUMB'!E41</f>
        <v>0.40074038339765861</v>
      </c>
      <c r="N13" s="525">
        <f>'EMEA INCUMB'!F41</f>
        <v>0.33774230402273275</v>
      </c>
      <c r="O13" s="525">
        <f>'EMEA INCUMB'!G41</f>
        <v>0.27223659631668001</v>
      </c>
      <c r="P13" s="286">
        <f>'EMEA INCUMB'!H41</f>
        <v>-4.0694686979286798E-3</v>
      </c>
      <c r="S13" s="42"/>
      <c r="T13" s="42"/>
      <c r="U13" s="42"/>
      <c r="V13" s="42"/>
      <c r="W13" s="42"/>
      <c r="X13" s="42"/>
      <c r="Y13" s="42"/>
      <c r="Z13" s="42"/>
      <c r="AA13" s="42"/>
    </row>
    <row r="14" spans="2:83">
      <c r="B14" s="5" t="s">
        <v>526</v>
      </c>
      <c r="C14" s="257"/>
      <c r="D14" s="529">
        <v>0</v>
      </c>
      <c r="E14" s="529">
        <v>0</v>
      </c>
      <c r="F14" s="529">
        <v>1183.3135633341376</v>
      </c>
      <c r="G14" s="529">
        <v>1183.3135633341376</v>
      </c>
      <c r="H14" s="247"/>
      <c r="I14" s="247"/>
      <c r="J14" s="5"/>
      <c r="L14" s="525"/>
      <c r="M14" s="525"/>
      <c r="N14" s="525"/>
      <c r="O14" s="525"/>
      <c r="P14" s="286"/>
      <c r="S14" s="42"/>
      <c r="T14" s="42"/>
      <c r="U14" s="42"/>
      <c r="V14" s="42"/>
      <c r="W14" s="42"/>
      <c r="X14" s="42"/>
      <c r="Y14" s="42"/>
      <c r="Z14" s="42"/>
      <c r="AA14" s="42"/>
    </row>
    <row r="15" spans="2:83">
      <c r="B15" s="5" t="s">
        <v>866</v>
      </c>
      <c r="C15" s="274"/>
      <c r="D15" s="529">
        <v>0</v>
      </c>
      <c r="E15" s="529">
        <f>D15</f>
        <v>0</v>
      </c>
      <c r="F15" s="529">
        <f t="shared" ref="F15:G15" si="2">E15</f>
        <v>0</v>
      </c>
      <c r="G15" s="529">
        <f t="shared" si="2"/>
        <v>0</v>
      </c>
      <c r="H15" s="247"/>
      <c r="I15" s="247"/>
      <c r="J15" s="5" t="s">
        <v>588</v>
      </c>
      <c r="L15" s="525">
        <f>'EMEA INCUMB'!D42</f>
        <v>0.49023227499392263</v>
      </c>
      <c r="M15" s="525">
        <f>'EMEA INCUMB'!E42</f>
        <v>0.41678685294191758</v>
      </c>
      <c r="N15" s="525">
        <f>'EMEA INCUMB'!F42</f>
        <v>0.34576512532129561</v>
      </c>
      <c r="O15" s="525">
        <f>'EMEA INCUMB'!G42</f>
        <v>0.27288065063429767</v>
      </c>
      <c r="P15" s="286">
        <f>'EMEA INCUMB'!H42</f>
        <v>1.4111258607638399E-2</v>
      </c>
      <c r="S15" s="42"/>
      <c r="T15" s="42"/>
      <c r="U15" s="42"/>
      <c r="V15" s="42"/>
      <c r="W15" s="42"/>
      <c r="X15" s="42"/>
      <c r="Y15" s="42"/>
      <c r="Z15" s="42"/>
      <c r="AA15" s="42"/>
    </row>
    <row r="16" spans="2:83">
      <c r="B16" s="5" t="s">
        <v>529</v>
      </c>
      <c r="C16" s="257"/>
      <c r="D16" s="529">
        <v>0</v>
      </c>
      <c r="E16" s="529">
        <v>0</v>
      </c>
      <c r="F16" s="529">
        <v>0</v>
      </c>
      <c r="G16" s="529">
        <v>0</v>
      </c>
      <c r="H16" s="247"/>
      <c r="I16" s="247"/>
      <c r="J16" s="5" t="s">
        <v>470</v>
      </c>
      <c r="L16" s="525">
        <f>'EMEA INCUMB'!D43</f>
        <v>4.6136697896291503</v>
      </c>
      <c r="M16" s="525">
        <f>'EMEA INCUMB'!E43</f>
        <v>4.5935446174357697</v>
      </c>
      <c r="N16" s="525">
        <f>'EMEA INCUMB'!F43</f>
        <v>4.6264789882136794</v>
      </c>
      <c r="O16" s="525">
        <f>'EMEA INCUMB'!G43</f>
        <v>4.5315606614895616</v>
      </c>
      <c r="P16" s="286">
        <f>'EMEA INCUMB'!H43</f>
        <v>6.0036813160782021E-3</v>
      </c>
      <c r="S16" s="42"/>
      <c r="T16" s="42"/>
      <c r="U16" s="42"/>
      <c r="V16" s="42"/>
      <c r="W16" s="42"/>
      <c r="X16" s="42"/>
      <c r="Y16" s="42"/>
      <c r="Z16" s="42"/>
      <c r="AA16" s="42"/>
    </row>
    <row r="17" spans="2:27">
      <c r="B17" s="5" t="s">
        <v>6</v>
      </c>
      <c r="C17" s="257"/>
      <c r="D17" s="529">
        <v>0</v>
      </c>
      <c r="E17" s="529">
        <v>0</v>
      </c>
      <c r="F17" s="529">
        <v>0</v>
      </c>
      <c r="G17" s="529">
        <v>0</v>
      </c>
      <c r="H17" s="247"/>
      <c r="I17" s="247"/>
      <c r="J17" s="5" t="s">
        <v>528</v>
      </c>
      <c r="L17" s="525">
        <f>'EMEA INCUMB'!D44</f>
        <v>3.6437103160838267</v>
      </c>
      <c r="M17" s="525">
        <f>'EMEA INCUMB'!E44</f>
        <v>3.7862765840865626</v>
      </c>
      <c r="N17" s="525">
        <f>'EMEA INCUMB'!F44</f>
        <v>3.7540690578449594</v>
      </c>
      <c r="O17" s="525">
        <f>'EMEA INCUMB'!G44</f>
        <v>3.6770493730511467</v>
      </c>
      <c r="P17" s="286">
        <f>'EMEA INCUMB'!H44</f>
        <v>-3.031445748740591E-3</v>
      </c>
      <c r="S17" s="42"/>
      <c r="T17" s="42"/>
      <c r="U17" s="42"/>
      <c r="V17" s="42"/>
      <c r="W17" s="42"/>
      <c r="X17" s="42"/>
      <c r="Y17" s="42"/>
      <c r="Z17" s="42"/>
      <c r="AA17" s="42"/>
    </row>
    <row r="18" spans="2:27" ht="12.6" thickBot="1">
      <c r="B18" s="41" t="s">
        <v>578</v>
      </c>
      <c r="C18" s="249"/>
      <c r="D18" s="530">
        <f>D11+D12+D13+D14-D15-D16-D17</f>
        <v>8822.7310627357783</v>
      </c>
      <c r="E18" s="530">
        <f>E11+E12+E13+E14-E15-E16-E17</f>
        <v>8541.9223502392324</v>
      </c>
      <c r="F18" s="530">
        <f>F11+F12+F13+F14-F15-F16-F17</f>
        <v>9936.3126656886234</v>
      </c>
      <c r="G18" s="530">
        <f>G11+G12+G13+G14-G15-G16-G17</f>
        <v>9647.8031944595423</v>
      </c>
      <c r="H18" s="333"/>
      <c r="I18" s="247"/>
      <c r="J18" s="5" t="s">
        <v>575</v>
      </c>
      <c r="L18" s="248">
        <f>'EMEA INCUMB'!D45</f>
        <v>0.15839861800205629</v>
      </c>
      <c r="M18" s="248">
        <f>'EMEA INCUMB'!E45</f>
        <v>0.15909259176915208</v>
      </c>
      <c r="N18" s="248">
        <f>'EMEA INCUMB'!F45</f>
        <v>0.15796006432902249</v>
      </c>
      <c r="O18" s="248">
        <f>'EMEA INCUMB'!G45</f>
        <v>0.15909259176915241</v>
      </c>
      <c r="P18" s="286">
        <f>'EMEA INCUMB'!H45</f>
        <v>1.4582676697889596E-3</v>
      </c>
      <c r="S18" s="42"/>
      <c r="T18" s="42"/>
      <c r="U18" s="42"/>
      <c r="V18" s="42"/>
      <c r="W18" s="42"/>
      <c r="X18" s="42"/>
      <c r="Y18" s="42"/>
      <c r="Z18" s="42"/>
      <c r="AA18" s="42"/>
    </row>
    <row r="19" spans="2:27" ht="12.6" thickTop="1">
      <c r="I19" s="254"/>
      <c r="J19" s="5" t="s">
        <v>36</v>
      </c>
      <c r="L19" s="248">
        <f>'EMEA INCUMB'!D46</f>
        <v>0.15839861800205629</v>
      </c>
      <c r="M19" s="248">
        <f>'EMEA INCUMB'!E46</f>
        <v>0.15909259176915208</v>
      </c>
      <c r="N19" s="248">
        <f>'EMEA INCUMB'!F46</f>
        <v>0.15796006432902249</v>
      </c>
      <c r="O19" s="248">
        <f>'EMEA INCUMB'!G46</f>
        <v>0.15909259176915241</v>
      </c>
      <c r="P19" s="286">
        <f>'EMEA INCUMB'!H46</f>
        <v>1.4582676697889596E-3</v>
      </c>
      <c r="S19" s="42"/>
      <c r="T19" s="42"/>
      <c r="U19" s="42"/>
      <c r="V19" s="42"/>
      <c r="W19" s="42"/>
      <c r="X19" s="42"/>
      <c r="Y19" s="42"/>
      <c r="Z19" s="42"/>
      <c r="AA19" s="42"/>
    </row>
    <row r="20" spans="2:27">
      <c r="I20" s="254"/>
      <c r="J20" s="5" t="s">
        <v>576</v>
      </c>
      <c r="L20" s="248">
        <f>'EMEA INCUMB'!D47</f>
        <v>0.21674719813018534</v>
      </c>
      <c r="M20" s="248">
        <f>'EMEA INCUMB'!E47</f>
        <v>0.21769680786473447</v>
      </c>
      <c r="N20" s="248">
        <f>'EMEA INCUMB'!F47</f>
        <v>0.2161470964306936</v>
      </c>
      <c r="O20" s="248">
        <f>'EMEA INCUMB'!G47</f>
        <v>0.22067452577613553</v>
      </c>
      <c r="P20" s="286">
        <f>'EMEA INCUMB'!H47</f>
        <v>6.0036813160782021E-3</v>
      </c>
      <c r="S20" s="42"/>
      <c r="T20" s="42"/>
      <c r="U20" s="42"/>
      <c r="V20" s="42"/>
      <c r="W20" s="42"/>
      <c r="X20" s="42"/>
      <c r="Y20" s="42"/>
      <c r="Z20" s="42"/>
      <c r="AA20" s="42"/>
    </row>
    <row r="21" spans="2:27" ht="12.6" thickBot="1">
      <c r="B21" s="306" t="s">
        <v>919</v>
      </c>
      <c r="C21" s="334"/>
      <c r="D21" s="265" t="str">
        <f>D5</f>
        <v>2023E</v>
      </c>
      <c r="E21" s="265" t="str">
        <f>E5</f>
        <v>2024E</v>
      </c>
      <c r="F21" s="265" t="str">
        <f>F5</f>
        <v>2025E</v>
      </c>
      <c r="G21" s="265" t="str">
        <f>G5</f>
        <v>2026E</v>
      </c>
      <c r="H21" s="265" t="str">
        <f>H5</f>
        <v>23E-26E</v>
      </c>
      <c r="I21" s="17"/>
      <c r="J21" s="41" t="s">
        <v>599</v>
      </c>
      <c r="L21" s="284">
        <f>'EMEA INCUMB'!D48</f>
        <v>0.73079891859509527</v>
      </c>
      <c r="M21" s="284">
        <f>'EMEA INCUMB'!E48</f>
        <v>0.73079891859509472</v>
      </c>
      <c r="N21" s="284">
        <f>'EMEA INCUMB'!F48</f>
        <v>0.73079891859510371</v>
      </c>
      <c r="O21" s="284">
        <f>'EMEA INCUMB'!G48</f>
        <v>0.72093773039550912</v>
      </c>
      <c r="P21" s="286">
        <f>'EMEA INCUMB'!H48</f>
        <v>-3.031445748740591E-3</v>
      </c>
      <c r="S21" s="42"/>
      <c r="T21" s="42"/>
      <c r="U21" s="42"/>
      <c r="V21" s="42"/>
      <c r="W21" s="42"/>
      <c r="X21" s="42"/>
      <c r="Y21" s="42"/>
      <c r="Z21" s="42"/>
      <c r="AA21" s="42"/>
    </row>
    <row r="22" spans="2:27" ht="12.6" thickTop="1">
      <c r="B22" s="5"/>
      <c r="C22" s="324"/>
      <c r="D22" s="17"/>
      <c r="E22" s="17"/>
      <c r="F22" s="17"/>
      <c r="G22" s="17"/>
      <c r="H22" s="17"/>
      <c r="I22" s="49"/>
      <c r="J22" s="41"/>
      <c r="L22" s="250"/>
      <c r="M22" s="250"/>
      <c r="N22" s="250"/>
      <c r="O22" s="250"/>
      <c r="P22" s="286"/>
      <c r="S22" s="42"/>
      <c r="T22" s="42"/>
      <c r="U22" s="42"/>
      <c r="V22" s="42"/>
      <c r="W22" s="42"/>
      <c r="X22" s="42"/>
      <c r="Y22" s="42"/>
      <c r="Z22" s="42"/>
      <c r="AA22" s="42"/>
    </row>
    <row r="23" spans="2:27" ht="12.6" thickBot="1">
      <c r="B23" s="5" t="s">
        <v>579</v>
      </c>
      <c r="C23" s="544">
        <v>4815</v>
      </c>
      <c r="D23" s="536">
        <v>4592.0455895614796</v>
      </c>
      <c r="E23" s="536">
        <v>4673.0973166302392</v>
      </c>
      <c r="F23" s="536">
        <v>4764.5682468653304</v>
      </c>
      <c r="G23" s="536">
        <v>4691.922450693387</v>
      </c>
      <c r="H23" s="286">
        <f t="shared" ref="H23:H31" si="3">IF(D23=0,"nm",IF(G23=0,"nm",(G23/D23)^(1/3)-1))</f>
        <v>7.1980542314982188E-3</v>
      </c>
      <c r="I23" s="17"/>
      <c r="J23" s="306" t="s">
        <v>9</v>
      </c>
      <c r="K23" s="306"/>
      <c r="L23" s="265" t="str">
        <f>D21</f>
        <v>2023E</v>
      </c>
      <c r="M23" s="265" t="str">
        <f>E21</f>
        <v>2024E</v>
      </c>
      <c r="N23" s="265" t="str">
        <f>F21</f>
        <v>2025E</v>
      </c>
      <c r="O23" s="265" t="str">
        <f>G21</f>
        <v>2026E</v>
      </c>
      <c r="P23" s="265" t="str">
        <f>H21</f>
        <v>23E-26E</v>
      </c>
      <c r="S23" s="42"/>
      <c r="T23" s="42"/>
      <c r="U23" s="42"/>
      <c r="V23" s="42"/>
      <c r="W23" s="42"/>
      <c r="X23" s="42"/>
      <c r="Y23" s="42"/>
      <c r="Z23" s="42"/>
      <c r="AA23" s="42"/>
    </row>
    <row r="24" spans="2:27" ht="12.6" thickTop="1">
      <c r="B24" s="5" t="s">
        <v>478</v>
      </c>
      <c r="C24" s="545">
        <v>1718</v>
      </c>
      <c r="D24" s="536">
        <v>1668.4371188615037</v>
      </c>
      <c r="E24" s="536">
        <v>1787.4934919352831</v>
      </c>
      <c r="F24" s="536">
        <v>1850.66739300208</v>
      </c>
      <c r="G24" s="536">
        <v>1846.5515119206989</v>
      </c>
      <c r="H24" s="286">
        <f>IF(D24=0,"nm",IF(G24=0,"nm",(G24/D24)^(1/3)-1))</f>
        <v>3.4388923456728726E-2</v>
      </c>
      <c r="I24" s="247"/>
      <c r="J24" s="17"/>
      <c r="K24" s="17"/>
      <c r="L24" s="17"/>
      <c r="M24" s="17"/>
      <c r="N24" s="17"/>
      <c r="O24" s="248"/>
      <c r="S24" s="42"/>
      <c r="T24" s="42"/>
      <c r="U24" s="42"/>
      <c r="V24" s="42"/>
      <c r="W24" s="42"/>
      <c r="X24" s="42"/>
      <c r="Y24" s="42"/>
      <c r="Z24" s="42"/>
      <c r="AA24" s="42"/>
    </row>
    <row r="25" spans="2:27">
      <c r="B25" s="5" t="s">
        <v>179</v>
      </c>
      <c r="C25" s="544">
        <v>901.7</v>
      </c>
      <c r="D25" s="536">
        <v>909.36292804460982</v>
      </c>
      <c r="E25" s="536">
        <v>1045.944030435081</v>
      </c>
      <c r="F25" s="536">
        <v>1118.3968848875552</v>
      </c>
      <c r="G25" s="536">
        <v>1068.1307403531318</v>
      </c>
      <c r="H25" s="286">
        <f t="shared" si="3"/>
        <v>5.5105101534048684E-2</v>
      </c>
      <c r="I25" s="249"/>
      <c r="J25" s="247" t="s">
        <v>10</v>
      </c>
      <c r="K25" s="247"/>
      <c r="L25" s="335">
        <v>0</v>
      </c>
      <c r="M25" s="335">
        <v>0</v>
      </c>
      <c r="N25" s="335">
        <v>0</v>
      </c>
      <c r="O25" s="335">
        <v>0</v>
      </c>
      <c r="P25" s="286" t="str">
        <f>IF(L25=0,"nm",IF(O25=0,"nm",(O25/L25)^(1/3)-1))</f>
        <v>nm</v>
      </c>
      <c r="S25" s="42"/>
      <c r="T25" s="42"/>
      <c r="U25" s="42"/>
      <c r="V25" s="42"/>
      <c r="W25" s="42" t="s">
        <v>797</v>
      </c>
      <c r="X25" s="42" t="s">
        <v>94</v>
      </c>
      <c r="Y25" s="42"/>
      <c r="Z25" s="42"/>
      <c r="AA25" s="42"/>
    </row>
    <row r="26" spans="2:27">
      <c r="B26" s="5" t="s">
        <v>581</v>
      </c>
      <c r="C26" s="544">
        <v>649.22400000000005</v>
      </c>
      <c r="D26" s="536">
        <v>654.74130819211905</v>
      </c>
      <c r="E26" s="536">
        <v>753.0797019132583</v>
      </c>
      <c r="F26" s="536">
        <v>805.24575711903969</v>
      </c>
      <c r="G26" s="536">
        <v>769.05413305425486</v>
      </c>
      <c r="H26" s="286">
        <f t="shared" si="3"/>
        <v>5.5105101534048684E-2</v>
      </c>
      <c r="I26" s="248"/>
      <c r="J26" s="249" t="s">
        <v>11</v>
      </c>
      <c r="K26" s="249"/>
      <c r="L26" s="281">
        <f>D11+L25</f>
        <v>1715.7188400000002</v>
      </c>
      <c r="M26" s="281">
        <f>E11+M25</f>
        <v>1724.6395200000002</v>
      </c>
      <c r="N26" s="281">
        <f>F11+N25</f>
        <v>2199.6444000000001</v>
      </c>
      <c r="O26" s="281">
        <f>G11+O25</f>
        <v>2177.8404</v>
      </c>
      <c r="P26" s="286">
        <f>IF(L26=0,"nm",IF(O26=0,"nm",(O26/L26)^(1/3)-1))</f>
        <v>8.2746137752245152E-2</v>
      </c>
      <c r="S26" s="42"/>
      <c r="T26" s="42"/>
      <c r="U26" s="42"/>
      <c r="V26" s="147" t="s">
        <v>268</v>
      </c>
      <c r="W26" s="288">
        <f>D37/L9</f>
        <v>4.4645153996853688</v>
      </c>
      <c r="X26" s="288">
        <v>1</v>
      </c>
      <c r="Y26" s="42"/>
      <c r="Z26" s="42"/>
      <c r="AA26" s="42"/>
    </row>
    <row r="27" spans="2:27">
      <c r="B27" s="5" t="s">
        <v>582</v>
      </c>
      <c r="C27" s="545">
        <v>7167.4000000000005</v>
      </c>
      <c r="D27" s="536">
        <v>7140.3364630144588</v>
      </c>
      <c r="E27" s="536">
        <v>6836.7487533293843</v>
      </c>
      <c r="F27" s="536">
        <v>6463.3281343496419</v>
      </c>
      <c r="G27" s="536">
        <v>6124.4297929204386</v>
      </c>
      <c r="H27" s="286">
        <f t="shared" si="3"/>
        <v>-4.987153823261381E-2</v>
      </c>
      <c r="I27" s="249"/>
      <c r="Q27" s="5"/>
      <c r="S27" s="42"/>
      <c r="T27" s="42"/>
      <c r="U27" s="42"/>
      <c r="V27" s="147" t="s">
        <v>180</v>
      </c>
      <c r="W27" s="288">
        <f>D38/L10</f>
        <v>3.3074559766457954</v>
      </c>
      <c r="X27" s="288">
        <v>1</v>
      </c>
      <c r="Y27" s="42"/>
      <c r="Z27" s="42"/>
      <c r="AA27" s="42"/>
    </row>
    <row r="28" spans="2:27" ht="12.6" thickBot="1">
      <c r="B28" s="5" t="s">
        <v>587</v>
      </c>
      <c r="C28" s="544">
        <v>4293.6000000000004</v>
      </c>
      <c r="D28" s="536">
        <v>2470.7227337114091</v>
      </c>
      <c r="E28" s="536">
        <v>2706.7958051072637</v>
      </c>
      <c r="F28" s="536">
        <v>2885.292571778964</v>
      </c>
      <c r="G28" s="536">
        <v>3073.4215822848164</v>
      </c>
      <c r="H28" s="286">
        <f t="shared" si="3"/>
        <v>7.5472661546031272E-2</v>
      </c>
      <c r="I28" s="249"/>
      <c r="J28" s="306" t="s">
        <v>1352</v>
      </c>
      <c r="K28" s="306"/>
      <c r="L28" s="306"/>
      <c r="M28" s="306"/>
      <c r="N28" s="266"/>
      <c r="O28" s="266"/>
      <c r="P28" s="266"/>
      <c r="Q28" s="41"/>
      <c r="S28" s="42"/>
      <c r="T28" s="42"/>
      <c r="U28" s="42"/>
      <c r="V28" s="147" t="s">
        <v>181</v>
      </c>
      <c r="W28" s="288">
        <f>D39/L11</f>
        <v>2.7453392688812177</v>
      </c>
      <c r="X28" s="288">
        <v>1</v>
      </c>
      <c r="Y28" s="42"/>
      <c r="Z28" s="42"/>
      <c r="AA28" s="42"/>
    </row>
    <row r="29" spans="2:27" ht="12.6" thickTop="1">
      <c r="B29" s="5" t="s">
        <v>583</v>
      </c>
      <c r="C29" s="544">
        <v>229.24999999999997</v>
      </c>
      <c r="D29" s="536">
        <v>258.90224795685941</v>
      </c>
      <c r="E29" s="536">
        <v>403.98677178308492</v>
      </c>
      <c r="F29" s="536">
        <v>462.51597312323065</v>
      </c>
      <c r="G29" s="536">
        <v>431.45873218199154</v>
      </c>
      <c r="H29" s="286">
        <f t="shared" si="3"/>
        <v>0.18558987177064479</v>
      </c>
      <c r="I29" s="248"/>
      <c r="J29" s="41"/>
      <c r="K29" s="41"/>
      <c r="L29" s="41"/>
      <c r="M29" s="41"/>
      <c r="N29" s="5"/>
      <c r="O29" s="5"/>
      <c r="P29" s="5"/>
      <c r="Q29" s="5"/>
      <c r="S29" s="42"/>
      <c r="T29" s="42"/>
      <c r="U29" s="42"/>
      <c r="V29" s="147" t="s">
        <v>461</v>
      </c>
      <c r="W29" s="288">
        <f>D40/L12</f>
        <v>2.7453392688812177</v>
      </c>
      <c r="X29" s="288">
        <v>1</v>
      </c>
      <c r="Y29" s="42"/>
      <c r="Z29" s="42"/>
      <c r="AA29" s="42"/>
    </row>
    <row r="30" spans="2:27">
      <c r="B30" s="5" t="s">
        <v>584</v>
      </c>
      <c r="C30" s="544">
        <v>190.09999999999997</v>
      </c>
      <c r="D30" s="536">
        <v>134.89599521500534</v>
      </c>
      <c r="E30" s="536">
        <v>465.90451366425816</v>
      </c>
      <c r="F30" s="536">
        <v>500.17629745081769</v>
      </c>
      <c r="G30" s="536">
        <v>512.65548321647589</v>
      </c>
      <c r="H30" s="286">
        <f t="shared" si="3"/>
        <v>0.56054219804724514</v>
      </c>
      <c r="I30" s="252"/>
      <c r="J30" s="249"/>
      <c r="K30" s="249"/>
      <c r="L30" s="249"/>
      <c r="M30" s="249"/>
      <c r="N30" s="249"/>
      <c r="O30" s="251"/>
      <c r="Q30" s="5"/>
      <c r="S30" s="42"/>
      <c r="T30" s="42"/>
      <c r="U30" s="42"/>
      <c r="V30" s="147" t="s">
        <v>525</v>
      </c>
      <c r="W30" s="288">
        <f>D41/L13</f>
        <v>2.6673399739771178</v>
      </c>
      <c r="X30" s="288">
        <v>1</v>
      </c>
      <c r="Y30" s="42"/>
      <c r="Z30" s="42"/>
      <c r="AA30" s="42"/>
    </row>
    <row r="31" spans="2:27">
      <c r="B31" s="5" t="s">
        <v>585</v>
      </c>
      <c r="C31" s="544">
        <v>0</v>
      </c>
      <c r="D31" s="536">
        <v>0</v>
      </c>
      <c r="E31" s="536">
        <v>0</v>
      </c>
      <c r="F31" s="536">
        <v>0</v>
      </c>
      <c r="G31" s="536">
        <v>0</v>
      </c>
      <c r="H31" s="286" t="str">
        <f t="shared" si="3"/>
        <v>nm</v>
      </c>
      <c r="I31" s="254"/>
      <c r="J31" s="248"/>
      <c r="K31" s="248"/>
      <c r="L31" s="248"/>
      <c r="M31" s="248"/>
      <c r="N31" s="248"/>
      <c r="O31" s="5"/>
      <c r="Q31" s="5"/>
      <c r="S31" s="42"/>
      <c r="T31" s="42"/>
      <c r="U31" s="42"/>
      <c r="V31" s="147" t="s">
        <v>588</v>
      </c>
      <c r="W31" s="288">
        <f>D42/L15</f>
        <v>7.284120635243565</v>
      </c>
      <c r="X31" s="288">
        <v>1</v>
      </c>
      <c r="Y31" s="42"/>
      <c r="Z31" s="42"/>
      <c r="AA31" s="42"/>
    </row>
    <row r="32" spans="2:27">
      <c r="B32" s="5" t="s">
        <v>601</v>
      </c>
      <c r="C32" s="544">
        <v>0</v>
      </c>
      <c r="D32" s="536">
        <v>247.7999999999999</v>
      </c>
      <c r="E32" s="536">
        <v>-156.30000000000018</v>
      </c>
      <c r="F32" s="536">
        <v>1815.57</v>
      </c>
      <c r="G32" s="536">
        <v>296.89999999999992</v>
      </c>
      <c r="H32" s="286"/>
      <c r="I32" s="254"/>
      <c r="J32" s="252"/>
      <c r="K32" s="252"/>
      <c r="L32" s="252"/>
      <c r="M32" s="252"/>
      <c r="N32" s="252"/>
      <c r="O32" s="5"/>
      <c r="Q32" s="5"/>
      <c r="S32" s="42"/>
      <c r="T32" s="42"/>
      <c r="U32" s="42"/>
      <c r="V32" s="147" t="s">
        <v>470</v>
      </c>
      <c r="W32" s="288">
        <f>D43/L16</f>
        <v>1.436361616339219</v>
      </c>
      <c r="X32" s="288">
        <v>1</v>
      </c>
      <c r="Y32" s="42"/>
      <c r="Z32" s="42"/>
      <c r="AA32" s="42"/>
    </row>
    <row r="33" spans="2:27">
      <c r="B33" s="5" t="s">
        <v>5</v>
      </c>
      <c r="C33" s="544">
        <v>556.70000000000005</v>
      </c>
      <c r="D33" s="536">
        <v>431.41464317219965</v>
      </c>
      <c r="E33" s="536">
        <v>424.04434306099216</v>
      </c>
      <c r="F33" s="536">
        <v>416.32020937628016</v>
      </c>
      <c r="G33" s="536">
        <v>408.5982305147873</v>
      </c>
      <c r="H33" s="331"/>
      <c r="I33" s="254"/>
      <c r="J33" s="254"/>
      <c r="K33" s="254"/>
      <c r="L33" s="254"/>
      <c r="M33" s="254"/>
      <c r="N33" s="254"/>
      <c r="O33" s="251"/>
      <c r="Q33" s="5"/>
      <c r="S33" s="42"/>
      <c r="T33" s="42"/>
      <c r="U33" s="42"/>
      <c r="V33" s="147" t="s">
        <v>528</v>
      </c>
      <c r="W33" s="288">
        <f>D44/L17</f>
        <v>3.4906252142655125</v>
      </c>
      <c r="X33" s="288">
        <v>1</v>
      </c>
      <c r="Y33" s="42"/>
      <c r="Z33" s="42"/>
      <c r="AA33" s="42"/>
    </row>
    <row r="34" spans="2:27">
      <c r="H34" s="277"/>
      <c r="I34" s="5"/>
      <c r="J34" s="254"/>
      <c r="K34" s="254"/>
      <c r="L34" s="254"/>
      <c r="M34" s="254"/>
      <c r="N34" s="254"/>
      <c r="O34" s="251"/>
      <c r="Q34" s="5"/>
      <c r="S34" s="42"/>
      <c r="T34" s="42"/>
      <c r="U34" s="42"/>
      <c r="V34" s="147" t="s">
        <v>575</v>
      </c>
      <c r="W34" s="288">
        <f>D45/L18</f>
        <v>0</v>
      </c>
      <c r="X34" s="288">
        <v>1</v>
      </c>
      <c r="Y34" s="42"/>
      <c r="Z34" s="42"/>
      <c r="AA34" s="42"/>
    </row>
    <row r="35" spans="2:27" ht="12.6" thickBot="1">
      <c r="B35" s="306" t="s">
        <v>837</v>
      </c>
      <c r="C35" s="265"/>
      <c r="D35" s="265" t="str">
        <f>D5</f>
        <v>2023E</v>
      </c>
      <c r="E35" s="265" t="str">
        <f>E5</f>
        <v>2024E</v>
      </c>
      <c r="F35" s="265" t="str">
        <f>F5</f>
        <v>2025E</v>
      </c>
      <c r="G35" s="265" t="str">
        <f>G5</f>
        <v>2026E</v>
      </c>
      <c r="H35" s="265" t="str">
        <f>H5</f>
        <v>23E-26E</v>
      </c>
      <c r="I35" s="49"/>
      <c r="J35" s="254"/>
      <c r="K35" s="254"/>
      <c r="L35" s="254"/>
      <c r="M35" s="254"/>
      <c r="N35" s="254"/>
      <c r="O35" s="251"/>
      <c r="Q35" s="5"/>
      <c r="S35" s="42"/>
      <c r="T35" s="42"/>
      <c r="U35" s="42"/>
      <c r="V35" s="147" t="s">
        <v>576</v>
      </c>
      <c r="W35" s="288">
        <f>D47/L20</f>
        <v>0.69620351074867104</v>
      </c>
      <c r="X35" s="288">
        <v>1</v>
      </c>
      <c r="Y35" s="288"/>
      <c r="Z35" s="288"/>
      <c r="AA35" s="42"/>
    </row>
    <row r="36" spans="2:27" ht="12.6" thickTop="1">
      <c r="B36" s="41"/>
      <c r="C36" s="249"/>
      <c r="D36" s="254"/>
      <c r="E36" s="254"/>
      <c r="F36" s="254"/>
      <c r="G36" s="254"/>
      <c r="H36" s="254"/>
      <c r="I36" s="254"/>
      <c r="J36" s="5"/>
      <c r="K36" s="5"/>
      <c r="L36" s="5"/>
      <c r="M36" s="5"/>
      <c r="N36" s="5"/>
      <c r="O36" s="5"/>
      <c r="Q36" s="5"/>
      <c r="S36" s="42"/>
      <c r="T36" s="42"/>
      <c r="U36" s="42"/>
      <c r="V36" s="42"/>
      <c r="W36" s="42"/>
      <c r="X36" s="42"/>
      <c r="Y36" s="288"/>
      <c r="Z36" s="288"/>
      <c r="AA36" s="42"/>
    </row>
    <row r="37" spans="2:27">
      <c r="B37" s="5" t="s">
        <v>268</v>
      </c>
      <c r="C37" s="247"/>
      <c r="D37" s="525">
        <f t="shared" ref="D37:G41" si="4">D$18/D23</f>
        <v>1.9213073761269672</v>
      </c>
      <c r="E37" s="525">
        <f t="shared" si="4"/>
        <v>1.8278931020419653</v>
      </c>
      <c r="F37" s="525">
        <f t="shared" si="4"/>
        <v>2.0854591960616471</v>
      </c>
      <c r="G37" s="525">
        <f t="shared" si="4"/>
        <v>2.0562580255421228</v>
      </c>
      <c r="H37" s="17">
        <f t="shared" ref="H37:H45" si="5">H23</f>
        <v>7.1980542314982188E-3</v>
      </c>
      <c r="I37" s="17"/>
      <c r="J37" s="69"/>
      <c r="K37" s="69"/>
      <c r="L37" s="69"/>
      <c r="M37" s="69"/>
      <c r="N37" s="69"/>
      <c r="O37" s="69"/>
      <c r="Q37" s="5"/>
      <c r="S37" s="42"/>
      <c r="T37" s="42"/>
      <c r="U37" s="42"/>
      <c r="V37" s="42"/>
      <c r="W37" s="42"/>
      <c r="X37" s="42"/>
      <c r="Y37" s="288"/>
      <c r="Z37" s="288"/>
      <c r="AA37" s="42"/>
    </row>
    <row r="38" spans="2:27">
      <c r="B38" s="5" t="s">
        <v>180</v>
      </c>
      <c r="C38" s="247"/>
      <c r="D38" s="525">
        <f t="shared" si="4"/>
        <v>5.2880213242655323</v>
      </c>
      <c r="E38" s="525">
        <f t="shared" si="4"/>
        <v>4.7787152170221701</v>
      </c>
      <c r="F38" s="525">
        <f t="shared" si="4"/>
        <v>5.3690429210893091</v>
      </c>
      <c r="G38" s="525">
        <f t="shared" si="4"/>
        <v>5.2247679700114817</v>
      </c>
      <c r="H38" s="17">
        <f t="shared" si="5"/>
        <v>3.4388923456728726E-2</v>
      </c>
      <c r="I38" s="5"/>
      <c r="J38" s="259"/>
      <c r="K38" s="259"/>
      <c r="L38" s="259"/>
      <c r="M38" s="259"/>
      <c r="N38" s="259"/>
      <c r="O38" s="18"/>
      <c r="Q38" s="5"/>
      <c r="R38" s="5"/>
      <c r="S38" s="42"/>
      <c r="T38" s="42"/>
      <c r="U38" s="42"/>
      <c r="V38" s="42"/>
      <c r="W38" s="42"/>
      <c r="X38" s="42"/>
      <c r="Y38" s="42"/>
      <c r="Z38" s="42"/>
      <c r="AA38" s="42"/>
    </row>
    <row r="39" spans="2:27">
      <c r="B39" s="5" t="s">
        <v>181</v>
      </c>
      <c r="C39" s="247"/>
      <c r="D39" s="525">
        <f t="shared" si="4"/>
        <v>9.7021010980810178</v>
      </c>
      <c r="E39" s="525">
        <f t="shared" si="4"/>
        <v>8.166710743294793</v>
      </c>
      <c r="F39" s="525">
        <f t="shared" si="4"/>
        <v>8.8844244828951133</v>
      </c>
      <c r="G39" s="525">
        <f t="shared" si="4"/>
        <v>9.0324178773002153</v>
      </c>
      <c r="H39" s="17">
        <f t="shared" si="5"/>
        <v>5.5105101534048684E-2</v>
      </c>
      <c r="I39" s="259"/>
      <c r="J39" s="17"/>
      <c r="K39" s="17"/>
      <c r="L39" s="17"/>
      <c r="M39" s="17"/>
      <c r="N39" s="17"/>
      <c r="O39" s="5"/>
      <c r="Q39" s="5"/>
      <c r="R39" s="5"/>
      <c r="S39" s="42"/>
      <c r="T39" s="42"/>
      <c r="U39" s="42"/>
      <c r="V39" s="42"/>
      <c r="W39" s="42"/>
      <c r="X39" s="42"/>
      <c r="Y39" s="42"/>
      <c r="Z39" s="42"/>
      <c r="AA39" s="42"/>
    </row>
    <row r="40" spans="2:27">
      <c r="B40" s="5" t="s">
        <v>461</v>
      </c>
      <c r="C40" s="247"/>
      <c r="D40" s="525">
        <f t="shared" si="4"/>
        <v>13.475140414001414</v>
      </c>
      <c r="E40" s="525">
        <f t="shared" si="4"/>
        <v>11.342653810131658</v>
      </c>
      <c r="F40" s="525">
        <f t="shared" si="4"/>
        <v>12.339478448465437</v>
      </c>
      <c r="G40" s="525">
        <f t="shared" si="4"/>
        <v>12.545024829583634</v>
      </c>
      <c r="H40" s="17">
        <f t="shared" si="5"/>
        <v>5.5105101534048684E-2</v>
      </c>
      <c r="I40" s="17"/>
      <c r="J40" s="5"/>
      <c r="K40" s="5"/>
      <c r="L40" s="5"/>
      <c r="M40" s="5"/>
      <c r="N40" s="5"/>
      <c r="O40" s="5"/>
      <c r="Q40" s="5"/>
      <c r="R40" s="5"/>
      <c r="S40" s="42"/>
      <c r="T40" s="42"/>
      <c r="U40" s="42"/>
      <c r="V40" s="42"/>
      <c r="W40" s="42"/>
      <c r="X40" s="42"/>
      <c r="Y40" s="42"/>
      <c r="Z40" s="42"/>
      <c r="AA40" s="42"/>
    </row>
    <row r="41" spans="2:27">
      <c r="B41" s="5" t="s">
        <v>525</v>
      </c>
      <c r="C41" s="247"/>
      <c r="D41" s="525">
        <f t="shared" si="4"/>
        <v>1.2356183925555599</v>
      </c>
      <c r="E41" s="525">
        <f t="shared" si="4"/>
        <v>1.2494129385812893</v>
      </c>
      <c r="F41" s="525">
        <f t="shared" si="4"/>
        <v>1.5373368733797765</v>
      </c>
      <c r="G41" s="525">
        <f t="shared" si="4"/>
        <v>1.5752981943905966</v>
      </c>
      <c r="H41" s="17">
        <f t="shared" si="5"/>
        <v>-4.987153823261381E-2</v>
      </c>
      <c r="I41" s="5"/>
      <c r="J41" s="259"/>
      <c r="K41" s="259"/>
      <c r="L41" s="259"/>
      <c r="M41" s="259"/>
      <c r="N41" s="259"/>
      <c r="O41" s="18"/>
      <c r="Q41" s="5"/>
      <c r="R41" s="5"/>
      <c r="S41" s="42"/>
      <c r="T41" s="42"/>
      <c r="U41" s="42"/>
      <c r="V41" s="42"/>
      <c r="W41" s="288"/>
      <c r="X41" s="288"/>
      <c r="Y41" s="42"/>
      <c r="Z41" s="42"/>
      <c r="AA41" s="42"/>
    </row>
    <row r="42" spans="2:27">
      <c r="B42" s="5" t="s">
        <v>588</v>
      </c>
      <c r="C42" s="247"/>
      <c r="D42" s="525">
        <f>D18/D28</f>
        <v>3.5709110303456297</v>
      </c>
      <c r="E42" s="525">
        <f>E18/E28</f>
        <v>3.1557320778028681</v>
      </c>
      <c r="F42" s="525">
        <f>F18/F28</f>
        <v>3.4437799351357503</v>
      </c>
      <c r="G42" s="525">
        <f>G18/G28</f>
        <v>3.1391082987343557</v>
      </c>
      <c r="H42" s="17">
        <f t="shared" si="5"/>
        <v>7.5472661546031272E-2</v>
      </c>
      <c r="I42" s="247"/>
      <c r="J42" s="17"/>
      <c r="K42" s="17"/>
      <c r="L42" s="17"/>
      <c r="M42" s="17"/>
      <c r="N42" s="17"/>
      <c r="O42" s="5"/>
      <c r="Q42" s="5"/>
      <c r="R42" s="5"/>
      <c r="S42" s="42"/>
      <c r="T42" s="42"/>
      <c r="U42" s="42"/>
      <c r="V42" s="42"/>
      <c r="W42" s="288"/>
      <c r="X42" s="288"/>
      <c r="Y42" s="288"/>
      <c r="Z42" s="288"/>
      <c r="AA42" s="42"/>
    </row>
    <row r="43" spans="2:27">
      <c r="B43" s="5" t="s">
        <v>470</v>
      </c>
      <c r="C43" s="247"/>
      <c r="D43" s="525">
        <f>L26/D29</f>
        <v>6.6268981962871507</v>
      </c>
      <c r="E43" s="525">
        <f>M26/E29</f>
        <v>4.2690494849321983</v>
      </c>
      <c r="F43" s="525">
        <f>N26/F29</f>
        <v>4.7558236424711255</v>
      </c>
      <c r="G43" s="525">
        <f>O26/G29</f>
        <v>5.0476215627532497</v>
      </c>
      <c r="H43" s="17">
        <f t="shared" si="5"/>
        <v>0.18558987177064479</v>
      </c>
      <c r="I43" s="248"/>
      <c r="J43" s="5"/>
      <c r="K43" s="5"/>
      <c r="L43" s="5"/>
      <c r="M43" s="5"/>
      <c r="N43" s="5"/>
      <c r="O43" s="5"/>
      <c r="Q43" s="5"/>
      <c r="R43" s="5"/>
      <c r="S43" s="42"/>
      <c r="T43" s="42"/>
      <c r="U43" s="42"/>
      <c r="V43" s="42"/>
      <c r="W43" s="288"/>
      <c r="X43" s="288"/>
      <c r="Y43" s="288"/>
      <c r="Z43" s="288"/>
      <c r="AA43" s="42"/>
    </row>
    <row r="44" spans="2:27">
      <c r="B44" s="5" t="s">
        <v>528</v>
      </c>
      <c r="C44" s="69"/>
      <c r="D44" s="525">
        <f>D11/D30</f>
        <v>12.718827102801566</v>
      </c>
      <c r="E44" s="525">
        <f>E11/E30</f>
        <v>3.701701677959738</v>
      </c>
      <c r="F44" s="525">
        <f>F11/F30</f>
        <v>4.3977381799390267</v>
      </c>
      <c r="G44" s="525">
        <f>G11/G30</f>
        <v>4.2481558693879737</v>
      </c>
      <c r="H44" s="17">
        <f t="shared" si="5"/>
        <v>0.56054219804724514</v>
      </c>
      <c r="I44" s="247"/>
      <c r="J44" s="247"/>
      <c r="K44" s="247"/>
      <c r="L44" s="247"/>
      <c r="M44" s="247"/>
      <c r="N44" s="247"/>
      <c r="O44" s="18"/>
      <c r="Q44" s="5"/>
      <c r="R44" s="5"/>
      <c r="S44" s="42"/>
      <c r="T44" s="42"/>
      <c r="U44" s="42"/>
      <c r="V44" s="42"/>
      <c r="W44" s="288"/>
      <c r="X44" s="288"/>
      <c r="Y44" s="288"/>
      <c r="Z44" s="288"/>
      <c r="AA44" s="42"/>
    </row>
    <row r="45" spans="2:27">
      <c r="B45" s="5" t="s">
        <v>575</v>
      </c>
      <c r="C45" s="247"/>
      <c r="D45" s="248">
        <f>D31/D11</f>
        <v>0</v>
      </c>
      <c r="E45" s="248">
        <f>E31/E11</f>
        <v>0</v>
      </c>
      <c r="F45" s="248">
        <f>F31/F11</f>
        <v>0</v>
      </c>
      <c r="G45" s="248">
        <f>G31/G11</f>
        <v>0</v>
      </c>
      <c r="H45" s="17" t="str">
        <f t="shared" si="5"/>
        <v>nm</v>
      </c>
      <c r="I45" s="247"/>
      <c r="J45" s="248"/>
      <c r="K45" s="248"/>
      <c r="L45" s="248"/>
      <c r="M45" s="248"/>
      <c r="N45" s="248"/>
      <c r="O45" s="248"/>
      <c r="Q45" s="5"/>
      <c r="R45" s="5"/>
      <c r="S45" s="42"/>
      <c r="T45" s="42"/>
      <c r="U45" s="42"/>
      <c r="V45" s="42"/>
      <c r="W45" s="325"/>
      <c r="X45" s="325"/>
      <c r="Y45" s="288"/>
      <c r="Z45" s="288"/>
      <c r="AA45" s="42"/>
    </row>
    <row r="46" spans="2:27">
      <c r="B46" s="5" t="s">
        <v>600</v>
      </c>
      <c r="C46" s="247"/>
      <c r="D46" s="248">
        <f>(D31+D32)/D11</f>
        <v>0.14442925858411618</v>
      </c>
      <c r="E46" s="248">
        <f>(E31+E32)/E11</f>
        <v>-9.062763446357773E-2</v>
      </c>
      <c r="F46" s="248">
        <f>(F31+F32)/F11</f>
        <v>0.82539250435206701</v>
      </c>
      <c r="G46" s="248">
        <f>(G31+G32)/G11</f>
        <v>0.13632771253577622</v>
      </c>
      <c r="H46" s="279">
        <f>((G31+G32)/(D31+D32))^(1/3)-1</f>
        <v>6.2110327747262106E-2</v>
      </c>
      <c r="I46" s="248"/>
      <c r="J46" s="247"/>
      <c r="K46" s="247"/>
      <c r="L46" s="247"/>
      <c r="M46" s="247"/>
      <c r="N46" s="247"/>
      <c r="O46" s="248"/>
      <c r="Q46" s="5"/>
      <c r="R46" s="5"/>
      <c r="S46" s="42"/>
      <c r="T46" s="42"/>
      <c r="U46" s="42"/>
      <c r="V46" s="42"/>
      <c r="W46" s="42"/>
      <c r="X46" s="42"/>
      <c r="Y46" s="325"/>
      <c r="Z46" s="325"/>
      <c r="AA46" s="42"/>
    </row>
    <row r="47" spans="2:27">
      <c r="B47" s="5" t="s">
        <v>576</v>
      </c>
      <c r="C47" s="5"/>
      <c r="D47" s="248">
        <f>1/D43</f>
        <v>0.15090016028317282</v>
      </c>
      <c r="E47" s="248">
        <f>1/E43</f>
        <v>0.23424418094227881</v>
      </c>
      <c r="F47" s="248">
        <f>1/F43</f>
        <v>0.21026852027683687</v>
      </c>
      <c r="G47" s="248">
        <f>1/G43</f>
        <v>0.19811310883111158</v>
      </c>
      <c r="H47" s="17">
        <f>H29</f>
        <v>0.18558987177064479</v>
      </c>
      <c r="I47" s="247"/>
      <c r="J47" s="247"/>
      <c r="K47" s="247"/>
      <c r="L47" s="247"/>
      <c r="M47" s="247"/>
      <c r="N47" s="247"/>
      <c r="O47" s="1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17"/>
      <c r="J48" s="248"/>
      <c r="K48" s="248"/>
      <c r="L48" s="248"/>
      <c r="M48" s="248"/>
      <c r="N48" s="248"/>
      <c r="O48" s="248"/>
      <c r="Q48" s="5"/>
      <c r="R48" s="5"/>
      <c r="S48" s="42"/>
      <c r="T48" s="42"/>
      <c r="U48" s="42"/>
      <c r="V48" s="42"/>
      <c r="W48" s="42"/>
      <c r="X48" s="42"/>
      <c r="Y48" s="42"/>
      <c r="Z48" s="42"/>
      <c r="AA48" s="326"/>
    </row>
    <row r="49" spans="2:27">
      <c r="I49" s="249"/>
      <c r="J49" s="247"/>
      <c r="K49" s="247"/>
      <c r="L49" s="247"/>
      <c r="M49" s="247"/>
      <c r="N49" s="247"/>
      <c r="O49" s="248"/>
      <c r="Q49" s="41"/>
      <c r="R49" s="5"/>
      <c r="S49" s="42"/>
      <c r="T49" s="42"/>
      <c r="U49" s="42"/>
      <c r="V49" s="42"/>
      <c r="W49" s="42"/>
      <c r="X49" s="42"/>
      <c r="Y49" s="42"/>
      <c r="Z49" s="42"/>
      <c r="AA49" s="326"/>
    </row>
    <row r="50" spans="2:27">
      <c r="I50" s="254"/>
      <c r="J50" s="17"/>
      <c r="K50" s="17"/>
      <c r="L50" s="17"/>
      <c r="M50" s="17"/>
      <c r="N50" s="17"/>
      <c r="O50" s="248"/>
      <c r="Q50" s="5"/>
      <c r="R50" s="5"/>
      <c r="S50" s="42"/>
      <c r="T50" s="42"/>
      <c r="U50" s="42"/>
      <c r="V50" s="42"/>
      <c r="W50" s="42"/>
      <c r="X50" s="42"/>
      <c r="Y50" s="42"/>
      <c r="Z50" s="42"/>
      <c r="AA50" s="326"/>
    </row>
    <row r="51" spans="2:27">
      <c r="B51" s="5"/>
      <c r="C51" s="257"/>
      <c r="D51" s="17"/>
      <c r="E51" s="17"/>
      <c r="F51" s="17"/>
      <c r="G51" s="17"/>
      <c r="H51" s="17"/>
      <c r="I51" s="17"/>
      <c r="J51" s="249"/>
      <c r="K51" s="249"/>
      <c r="L51" s="249"/>
      <c r="M51" s="249"/>
      <c r="N51" s="249"/>
      <c r="O51" s="250"/>
      <c r="Q51" s="5"/>
      <c r="R51" s="5"/>
      <c r="S51" s="42"/>
      <c r="T51" s="42"/>
      <c r="U51" s="42"/>
      <c r="V51" s="42"/>
      <c r="W51" s="288"/>
      <c r="X51" s="288"/>
      <c r="Y51" s="42"/>
      <c r="Z51" s="42"/>
      <c r="AA51" s="326"/>
    </row>
    <row r="52" spans="2:27">
      <c r="I52" s="259"/>
      <c r="J52" s="254"/>
      <c r="K52" s="254"/>
      <c r="L52" s="254"/>
      <c r="M52" s="254"/>
      <c r="N52" s="254"/>
      <c r="O52" s="251"/>
      <c r="Q52" s="5"/>
      <c r="R52" s="5"/>
      <c r="W52" s="10"/>
      <c r="X52" s="10"/>
      <c r="Y52" s="10"/>
      <c r="Z52" s="10"/>
    </row>
    <row r="53" spans="2:27">
      <c r="B53" s="5"/>
      <c r="C53" s="257"/>
      <c r="D53" s="257"/>
      <c r="E53" s="257"/>
      <c r="F53" s="5"/>
      <c r="G53" s="5"/>
      <c r="H53" s="259"/>
      <c r="I53" s="254"/>
      <c r="J53" s="17"/>
      <c r="K53" s="17"/>
      <c r="L53" s="17"/>
      <c r="M53" s="17"/>
      <c r="N53" s="17"/>
      <c r="O53" s="248"/>
      <c r="Q53" s="5"/>
      <c r="R53" s="5"/>
      <c r="Y53" s="10"/>
      <c r="Z53" s="10"/>
    </row>
    <row r="54" spans="2:27">
      <c r="B54" s="41"/>
      <c r="C54" s="249"/>
      <c r="D54" s="254"/>
      <c r="E54" s="254"/>
      <c r="F54" s="254"/>
      <c r="G54" s="254"/>
      <c r="H54" s="254"/>
      <c r="I54" s="17"/>
      <c r="J54" s="259"/>
      <c r="K54" s="259"/>
      <c r="L54" s="259"/>
      <c r="M54" s="259"/>
      <c r="N54" s="259"/>
      <c r="O54" s="18"/>
      <c r="Q54" s="5"/>
      <c r="R54" s="5"/>
    </row>
    <row r="55" spans="2:27">
      <c r="B55" s="5"/>
      <c r="C55" s="257"/>
      <c r="D55" s="17"/>
      <c r="E55" s="17"/>
      <c r="F55" s="17"/>
      <c r="G55" s="17"/>
      <c r="H55" s="17"/>
      <c r="I55" s="259"/>
      <c r="J55" s="254"/>
      <c r="K55" s="254"/>
      <c r="L55" s="254"/>
      <c r="M55" s="254"/>
      <c r="N55" s="254"/>
      <c r="O55" s="251"/>
      <c r="Q55" s="5"/>
      <c r="R55" s="5"/>
    </row>
    <row r="56" spans="2:27">
      <c r="B56" s="5"/>
      <c r="C56" s="248"/>
      <c r="D56" s="248"/>
      <c r="E56" s="248"/>
      <c r="F56" s="5"/>
      <c r="G56" s="5"/>
      <c r="H56" s="259"/>
      <c r="I56" s="249"/>
      <c r="J56" s="17"/>
      <c r="K56" s="17"/>
      <c r="L56" s="17"/>
      <c r="M56" s="17"/>
      <c r="N56" s="17"/>
      <c r="O56" s="18"/>
      <c r="Q56" s="5"/>
      <c r="R56" s="5"/>
    </row>
    <row r="57" spans="2:27">
      <c r="B57" s="41"/>
      <c r="C57" s="249"/>
      <c r="D57" s="249"/>
      <c r="E57" s="249"/>
      <c r="F57" s="249"/>
      <c r="G57" s="249"/>
      <c r="H57" s="249"/>
      <c r="I57" s="248"/>
      <c r="J57" s="259"/>
      <c r="K57" s="259"/>
      <c r="L57" s="259"/>
      <c r="M57" s="259"/>
      <c r="N57" s="259"/>
      <c r="O57" s="18"/>
      <c r="Q57" s="5"/>
      <c r="R57" s="5"/>
    </row>
    <row r="58" spans="2:27">
      <c r="B58" s="5"/>
      <c r="C58" s="5"/>
      <c r="D58" s="248"/>
      <c r="E58" s="248"/>
      <c r="F58" s="248"/>
      <c r="G58" s="248"/>
      <c r="H58" s="248"/>
      <c r="I58" s="5"/>
      <c r="J58" s="249"/>
      <c r="K58" s="249"/>
      <c r="L58" s="249"/>
      <c r="M58" s="249"/>
      <c r="N58" s="249"/>
      <c r="O58" s="251"/>
      <c r="Q58" s="5"/>
      <c r="R58" s="5"/>
    </row>
    <row r="59" spans="2:27">
      <c r="I59" s="17"/>
      <c r="J59" s="248"/>
      <c r="K59" s="248"/>
      <c r="L59" s="248"/>
      <c r="M59" s="248"/>
      <c r="N59" s="248"/>
      <c r="O59" s="18"/>
      <c r="Q59" s="5"/>
      <c r="R59" s="5"/>
    </row>
    <row r="60" spans="2:27">
      <c r="B60" s="5"/>
      <c r="C60" s="5"/>
      <c r="D60" s="5"/>
      <c r="E60" s="5"/>
      <c r="F60" s="5"/>
      <c r="G60" s="5"/>
      <c r="H60" s="5"/>
      <c r="I60" s="5"/>
      <c r="J60" s="5"/>
      <c r="K60" s="5"/>
      <c r="L60" s="5"/>
      <c r="M60" s="5"/>
      <c r="N60" s="5"/>
      <c r="O60" s="5"/>
      <c r="Q60" s="5"/>
      <c r="R60" s="5"/>
    </row>
    <row r="61" spans="2:27">
      <c r="B61" s="41"/>
      <c r="C61" s="17"/>
      <c r="D61" s="17"/>
      <c r="E61" s="17"/>
      <c r="F61" s="17"/>
      <c r="G61" s="17"/>
      <c r="H61" s="17"/>
      <c r="I61" s="249"/>
      <c r="J61" s="17"/>
      <c r="K61" s="17"/>
      <c r="L61" s="17"/>
      <c r="M61" s="17"/>
      <c r="N61" s="17"/>
      <c r="O61" s="251"/>
      <c r="Q61" s="5"/>
      <c r="R61" s="5"/>
    </row>
    <row r="62" spans="2:27">
      <c r="B62" s="5"/>
      <c r="C62" s="5"/>
      <c r="D62" s="5"/>
      <c r="E62" s="5"/>
      <c r="F62" s="5"/>
      <c r="G62" s="5"/>
      <c r="H62" s="5"/>
      <c r="I62" s="5"/>
      <c r="J62" s="5"/>
      <c r="K62" s="5"/>
      <c r="L62" s="5"/>
      <c r="M62" s="5"/>
      <c r="N62" s="5"/>
      <c r="O62" s="5"/>
      <c r="Q62" s="41"/>
      <c r="R62" s="5"/>
    </row>
    <row r="63" spans="2:27">
      <c r="B63" s="41"/>
      <c r="C63" s="249"/>
      <c r="D63" s="249"/>
      <c r="E63" s="249"/>
      <c r="F63" s="249"/>
      <c r="G63" s="249"/>
      <c r="H63" s="249"/>
      <c r="I63" s="5"/>
      <c r="J63" s="249"/>
      <c r="K63" s="249"/>
      <c r="L63" s="249"/>
      <c r="M63" s="249"/>
      <c r="N63" s="249"/>
      <c r="O63" s="251"/>
      <c r="Q63" s="5"/>
      <c r="R63" s="5"/>
    </row>
    <row r="64" spans="2:27">
      <c r="B64" s="5"/>
      <c r="C64" s="5"/>
      <c r="D64" s="5"/>
      <c r="E64" s="5"/>
      <c r="F64" s="5"/>
      <c r="G64" s="5"/>
      <c r="H64" s="5"/>
      <c r="I64" s="254"/>
      <c r="J64" s="5"/>
      <c r="K64" s="5"/>
      <c r="L64" s="5"/>
      <c r="M64" s="5"/>
      <c r="N64" s="5"/>
      <c r="O64" s="5"/>
      <c r="Q64" s="5"/>
      <c r="R64" s="5"/>
    </row>
    <row r="65" spans="2:26">
      <c r="B65" s="5"/>
      <c r="C65" s="5"/>
      <c r="D65" s="5"/>
      <c r="E65" s="5"/>
      <c r="F65" s="5"/>
      <c r="G65" s="5"/>
      <c r="H65" s="5"/>
      <c r="I65" s="17"/>
      <c r="J65" s="5"/>
      <c r="K65" s="5"/>
      <c r="L65" s="5"/>
      <c r="M65" s="5"/>
      <c r="N65" s="5"/>
      <c r="O65" s="5"/>
      <c r="Q65" s="5"/>
      <c r="R65" s="5"/>
    </row>
    <row r="66" spans="2:26">
      <c r="B66" s="41"/>
      <c r="C66" s="249"/>
      <c r="D66" s="254"/>
      <c r="E66" s="254"/>
      <c r="F66" s="254"/>
      <c r="G66" s="254"/>
      <c r="H66" s="254"/>
      <c r="I66" s="254"/>
      <c r="J66" s="254"/>
      <c r="K66" s="254"/>
      <c r="L66" s="254"/>
      <c r="M66" s="254"/>
      <c r="N66" s="254"/>
      <c r="O66" s="251"/>
      <c r="Q66" s="5"/>
      <c r="R66" s="5"/>
    </row>
    <row r="67" spans="2:26">
      <c r="B67" s="5"/>
      <c r="C67" s="5"/>
      <c r="D67" s="17"/>
      <c r="E67" s="17"/>
      <c r="F67" s="17"/>
      <c r="G67" s="17"/>
      <c r="H67" s="17"/>
      <c r="I67" s="248"/>
      <c r="J67" s="17"/>
      <c r="K67" s="17"/>
      <c r="L67" s="17"/>
      <c r="M67" s="17"/>
      <c r="N67" s="17"/>
      <c r="O67" s="5"/>
      <c r="Q67" s="5"/>
      <c r="R67" s="5"/>
    </row>
    <row r="68" spans="2:26">
      <c r="B68" s="41"/>
      <c r="C68" s="249"/>
      <c r="D68" s="254"/>
      <c r="E68" s="254"/>
      <c r="F68" s="254"/>
      <c r="G68" s="254"/>
      <c r="H68" s="254"/>
      <c r="I68" s="5"/>
      <c r="J68" s="254"/>
      <c r="K68" s="254"/>
      <c r="L68" s="254"/>
      <c r="M68" s="254"/>
      <c r="N68" s="254"/>
      <c r="O68" s="251"/>
      <c r="Q68" s="41"/>
      <c r="R68" s="5"/>
    </row>
    <row r="69" spans="2:26">
      <c r="B69" s="5"/>
      <c r="C69" s="5"/>
      <c r="D69" s="248"/>
      <c r="E69" s="248"/>
      <c r="F69" s="248"/>
      <c r="G69" s="248"/>
      <c r="H69" s="248"/>
      <c r="I69" s="245"/>
      <c r="J69" s="248"/>
      <c r="K69" s="248"/>
      <c r="L69" s="248"/>
      <c r="M69" s="248"/>
      <c r="N69" s="248"/>
      <c r="O69" s="5"/>
      <c r="Q69" s="5"/>
      <c r="R69" s="5"/>
    </row>
    <row r="70" spans="2:26">
      <c r="B70" s="41"/>
      <c r="C70" s="5"/>
      <c r="D70" s="5"/>
      <c r="E70" s="5"/>
      <c r="F70" s="5"/>
      <c r="G70" s="5"/>
      <c r="H70" s="5"/>
      <c r="I70" s="248"/>
      <c r="J70" s="5"/>
      <c r="K70" s="5"/>
      <c r="L70" s="5"/>
      <c r="M70" s="5"/>
      <c r="N70" s="5"/>
      <c r="O70" s="5"/>
      <c r="Q70" s="5"/>
      <c r="R70" s="5"/>
    </row>
    <row r="71" spans="2:26">
      <c r="B71" s="41"/>
      <c r="C71" s="245"/>
      <c r="D71" s="245"/>
      <c r="E71" s="245"/>
      <c r="F71" s="245"/>
      <c r="G71" s="245"/>
      <c r="H71" s="245"/>
      <c r="I71" s="5"/>
      <c r="J71" s="245"/>
      <c r="K71" s="245"/>
      <c r="L71" s="245"/>
      <c r="M71" s="245"/>
      <c r="N71" s="245"/>
      <c r="O71" s="251"/>
      <c r="Q71" s="5"/>
      <c r="R71" s="5"/>
      <c r="W71" s="76"/>
      <c r="X71" s="76"/>
    </row>
    <row r="72" spans="2:26">
      <c r="B72" s="5"/>
      <c r="C72" s="5"/>
      <c r="D72" s="248"/>
      <c r="E72" s="248"/>
      <c r="F72" s="248"/>
      <c r="G72" s="248"/>
      <c r="H72" s="248"/>
      <c r="I72" s="245"/>
      <c r="J72" s="248"/>
      <c r="K72" s="248"/>
      <c r="L72" s="248"/>
      <c r="M72" s="248"/>
      <c r="N72" s="248"/>
      <c r="O72" s="5"/>
      <c r="Q72" s="5"/>
      <c r="R72" s="5"/>
      <c r="W72" s="76"/>
      <c r="X72" s="76"/>
      <c r="Y72" s="76"/>
      <c r="Z72" s="76"/>
    </row>
    <row r="73" spans="2:26">
      <c r="B73" s="41"/>
      <c r="C73" s="5"/>
      <c r="D73" s="5"/>
      <c r="E73" s="5"/>
      <c r="F73" s="5"/>
      <c r="G73" s="5"/>
      <c r="H73" s="5"/>
      <c r="I73" s="18"/>
      <c r="J73" s="5"/>
      <c r="K73" s="5"/>
      <c r="L73" s="5"/>
      <c r="M73" s="5"/>
      <c r="N73" s="5"/>
      <c r="O73" s="5"/>
      <c r="Q73" s="5"/>
      <c r="R73" s="5"/>
      <c r="Y73" s="76"/>
      <c r="Z73" s="76"/>
    </row>
    <row r="74" spans="2:26">
      <c r="B74" s="41"/>
      <c r="C74" s="245"/>
      <c r="D74" s="245"/>
      <c r="E74" s="245"/>
      <c r="F74" s="245"/>
      <c r="G74" s="245"/>
      <c r="H74" s="245"/>
      <c r="I74" s="5"/>
      <c r="J74" s="245"/>
      <c r="K74" s="245"/>
      <c r="L74" s="245"/>
      <c r="M74" s="245"/>
      <c r="N74" s="245"/>
      <c r="O74" s="251"/>
      <c r="Q74" s="5"/>
      <c r="R74" s="5"/>
    </row>
    <row r="75" spans="2:26">
      <c r="B75" s="5"/>
      <c r="C75" s="5"/>
      <c r="D75" s="18"/>
      <c r="E75" s="18"/>
      <c r="F75" s="18"/>
      <c r="G75" s="18"/>
      <c r="H75" s="18"/>
      <c r="I75" s="249"/>
      <c r="J75" s="18"/>
      <c r="K75" s="18"/>
      <c r="L75" s="18"/>
      <c r="M75" s="18"/>
      <c r="N75" s="18"/>
      <c r="O75" s="5"/>
      <c r="Q75" s="5"/>
      <c r="R75" s="5"/>
    </row>
    <row r="76" spans="2:26">
      <c r="B76" s="41"/>
      <c r="C76" s="5"/>
      <c r="D76" s="5"/>
      <c r="E76" s="5"/>
      <c r="F76" s="5"/>
      <c r="G76" s="5"/>
      <c r="H76" s="5"/>
      <c r="I76" s="248"/>
      <c r="J76" s="5"/>
      <c r="K76" s="5"/>
      <c r="L76" s="5"/>
      <c r="M76" s="5"/>
      <c r="N76" s="5"/>
      <c r="O76" s="5"/>
      <c r="Q76" s="5"/>
      <c r="R76" s="5"/>
    </row>
    <row r="77" spans="2:26">
      <c r="B77" s="41"/>
      <c r="C77" s="249"/>
      <c r="D77" s="249"/>
      <c r="E77" s="249"/>
      <c r="F77" s="249"/>
      <c r="G77" s="249"/>
      <c r="H77" s="249"/>
      <c r="I77" s="5"/>
      <c r="J77" s="249"/>
      <c r="K77" s="249"/>
      <c r="L77" s="249"/>
      <c r="M77" s="249"/>
      <c r="N77" s="249"/>
      <c r="O77" s="251"/>
      <c r="Q77" s="5"/>
      <c r="R77" s="5"/>
    </row>
    <row r="78" spans="2:26">
      <c r="B78" s="5"/>
      <c r="C78" s="5"/>
      <c r="D78" s="248"/>
      <c r="E78" s="248"/>
      <c r="F78" s="248"/>
      <c r="G78" s="248"/>
      <c r="H78" s="248"/>
      <c r="I78" s="245"/>
      <c r="J78" s="248"/>
      <c r="K78" s="248"/>
      <c r="L78" s="248"/>
      <c r="M78" s="248"/>
      <c r="N78" s="248"/>
      <c r="O78" s="5"/>
      <c r="Q78" s="5"/>
      <c r="R78" s="5"/>
    </row>
    <row r="79" spans="2:26">
      <c r="B79" s="41"/>
      <c r="C79" s="5"/>
      <c r="D79" s="5"/>
      <c r="E79" s="5"/>
      <c r="F79" s="5"/>
      <c r="G79" s="5"/>
      <c r="H79" s="5"/>
      <c r="I79" s="248"/>
      <c r="J79" s="5"/>
      <c r="K79" s="5"/>
      <c r="L79" s="5"/>
      <c r="M79" s="5"/>
      <c r="N79" s="5"/>
      <c r="O79" s="5"/>
      <c r="Q79" s="5"/>
      <c r="R79" s="5"/>
    </row>
    <row r="80" spans="2:26">
      <c r="B80" s="41"/>
      <c r="C80" s="245"/>
      <c r="D80" s="245"/>
      <c r="E80" s="245"/>
      <c r="F80" s="245"/>
      <c r="G80" s="245"/>
      <c r="H80" s="245"/>
      <c r="I80" s="5"/>
      <c r="J80" s="245"/>
      <c r="K80" s="245"/>
      <c r="L80" s="245"/>
      <c r="M80" s="245"/>
      <c r="N80" s="245"/>
      <c r="O80" s="251"/>
      <c r="Q80" s="5"/>
      <c r="R80" s="5"/>
    </row>
    <row r="81" spans="2:26">
      <c r="B81" s="5"/>
      <c r="C81" s="5"/>
      <c r="D81" s="248"/>
      <c r="E81" s="248"/>
      <c r="F81" s="248"/>
      <c r="G81" s="248"/>
      <c r="H81" s="248"/>
      <c r="I81" s="249"/>
      <c r="J81" s="248"/>
      <c r="K81" s="248"/>
      <c r="L81" s="248"/>
      <c r="M81" s="248"/>
      <c r="N81" s="248"/>
      <c r="O81" s="5"/>
      <c r="Q81" s="5"/>
      <c r="R81" s="5"/>
    </row>
    <row r="82" spans="2:26">
      <c r="B82" s="41"/>
      <c r="C82" s="5"/>
      <c r="D82" s="5"/>
      <c r="E82" s="5"/>
      <c r="F82" s="5"/>
      <c r="G82" s="5"/>
      <c r="H82" s="5"/>
      <c r="I82" s="248"/>
      <c r="J82" s="5"/>
      <c r="K82" s="5"/>
      <c r="L82" s="5"/>
      <c r="M82" s="5"/>
      <c r="N82" s="5"/>
      <c r="O82" s="5"/>
      <c r="Q82" s="5"/>
      <c r="R82" s="5"/>
    </row>
    <row r="83" spans="2:26">
      <c r="B83" s="41"/>
      <c r="C83" s="249"/>
      <c r="D83" s="249"/>
      <c r="E83" s="249"/>
      <c r="F83" s="249"/>
      <c r="G83" s="249"/>
      <c r="H83" s="249"/>
      <c r="I83" s="259"/>
      <c r="J83" s="249"/>
      <c r="K83" s="249"/>
      <c r="L83" s="249"/>
      <c r="M83" s="249"/>
      <c r="N83" s="249"/>
      <c r="O83" s="251"/>
      <c r="Q83" s="5"/>
      <c r="R83" s="5"/>
    </row>
    <row r="84" spans="2:26">
      <c r="B84" s="5"/>
      <c r="C84" s="5"/>
      <c r="D84" s="248"/>
      <c r="E84" s="248"/>
      <c r="F84" s="248"/>
      <c r="G84" s="248"/>
      <c r="H84" s="248"/>
      <c r="I84" s="5"/>
      <c r="J84" s="248"/>
      <c r="K84" s="248"/>
      <c r="L84" s="248"/>
      <c r="M84" s="248"/>
      <c r="N84" s="248"/>
      <c r="O84" s="5"/>
      <c r="Q84" s="5"/>
      <c r="R84" s="5"/>
    </row>
    <row r="85" spans="2:26">
      <c r="B85" s="5"/>
      <c r="C85" s="259"/>
      <c r="D85" s="259"/>
      <c r="E85" s="259"/>
      <c r="F85" s="259"/>
      <c r="G85" s="259"/>
      <c r="H85" s="259"/>
      <c r="I85" s="245"/>
      <c r="J85" s="259"/>
      <c r="K85" s="259"/>
      <c r="L85" s="259"/>
      <c r="M85" s="259"/>
      <c r="N85" s="259"/>
      <c r="O85" s="251"/>
      <c r="Q85" s="5"/>
      <c r="R85" s="5"/>
    </row>
    <row r="86" spans="2:26">
      <c r="B86" s="41"/>
      <c r="C86" s="5"/>
      <c r="D86" s="5"/>
      <c r="E86" s="5"/>
      <c r="F86" s="5"/>
      <c r="G86" s="5"/>
      <c r="H86" s="5"/>
      <c r="I86" s="248"/>
      <c r="J86" s="5"/>
      <c r="K86" s="5"/>
      <c r="L86" s="5"/>
      <c r="M86" s="5"/>
      <c r="N86" s="5"/>
      <c r="O86" s="5"/>
      <c r="Q86" s="5"/>
      <c r="R86" s="5"/>
    </row>
    <row r="87" spans="2:26">
      <c r="B87" s="41"/>
      <c r="C87" s="245"/>
      <c r="D87" s="245"/>
      <c r="E87" s="245"/>
      <c r="F87" s="245"/>
      <c r="G87" s="245"/>
      <c r="H87" s="245"/>
      <c r="I87" s="5"/>
      <c r="J87" s="245"/>
      <c r="K87" s="245"/>
      <c r="L87" s="245"/>
      <c r="M87" s="245"/>
      <c r="N87" s="245"/>
      <c r="O87" s="251"/>
      <c r="Q87" s="5"/>
      <c r="R87" s="5"/>
    </row>
    <row r="88" spans="2:26">
      <c r="B88" s="5"/>
      <c r="C88" s="5"/>
      <c r="D88" s="248"/>
      <c r="E88" s="248"/>
      <c r="F88" s="248"/>
      <c r="G88" s="248"/>
      <c r="H88" s="248"/>
      <c r="I88" s="5"/>
      <c r="J88" s="248"/>
      <c r="K88" s="248"/>
      <c r="L88" s="248"/>
      <c r="M88" s="248"/>
      <c r="N88" s="248"/>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5"/>
      <c r="J90" s="5"/>
      <c r="K90" s="5"/>
      <c r="L90" s="5"/>
      <c r="M90" s="5"/>
      <c r="N90" s="5"/>
      <c r="O90" s="5"/>
      <c r="Q90" s="5"/>
      <c r="R90" s="5"/>
    </row>
    <row r="91" spans="2:26">
      <c r="B91" s="41"/>
      <c r="C91" s="5"/>
      <c r="D91" s="5"/>
      <c r="E91" s="5"/>
      <c r="F91" s="5"/>
      <c r="G91" s="5"/>
      <c r="H91" s="5"/>
      <c r="I91" s="49"/>
      <c r="J91" s="5"/>
      <c r="K91" s="5"/>
      <c r="L91" s="5"/>
      <c r="M91" s="5"/>
      <c r="N91" s="5"/>
      <c r="O91" s="5"/>
      <c r="Q91" s="41"/>
      <c r="R91" s="5"/>
    </row>
    <row r="92" spans="2:26">
      <c r="B92" s="5"/>
      <c r="C92" s="5"/>
      <c r="D92" s="5"/>
      <c r="E92" s="5"/>
      <c r="F92" s="5"/>
      <c r="G92" s="5"/>
      <c r="H92" s="5"/>
      <c r="I92" s="5"/>
      <c r="J92" s="5"/>
      <c r="K92" s="5"/>
      <c r="L92" s="5"/>
      <c r="M92" s="5"/>
      <c r="N92" s="5"/>
      <c r="O92" s="5"/>
      <c r="Q92" s="5"/>
      <c r="R92" s="5"/>
    </row>
    <row r="93" spans="2:26">
      <c r="B93" s="41"/>
      <c r="C93" s="49"/>
      <c r="D93" s="49"/>
      <c r="E93" s="49"/>
      <c r="F93" s="49"/>
      <c r="G93" s="49"/>
      <c r="H93" s="49"/>
      <c r="I93" s="247"/>
      <c r="J93" s="49"/>
      <c r="K93" s="49"/>
      <c r="L93" s="49"/>
      <c r="M93" s="49"/>
      <c r="N93" s="49"/>
      <c r="O93" s="49"/>
      <c r="Q93" s="5"/>
      <c r="R93" s="5"/>
      <c r="W93" s="21"/>
      <c r="X93" s="21"/>
    </row>
    <row r="94" spans="2:26">
      <c r="B94" s="5"/>
      <c r="C94" s="5"/>
      <c r="D94" s="5"/>
      <c r="E94" s="5"/>
      <c r="F94" s="5"/>
      <c r="G94" s="5"/>
      <c r="H94" s="5"/>
      <c r="I94" s="247"/>
      <c r="J94" s="5"/>
      <c r="K94" s="5"/>
      <c r="L94" s="5"/>
      <c r="M94" s="5"/>
      <c r="N94" s="5"/>
      <c r="O94" s="5"/>
      <c r="Q94" s="5"/>
      <c r="R94" s="5"/>
      <c r="W94" s="21"/>
      <c r="X94" s="21"/>
      <c r="Y94" s="21"/>
      <c r="Z94" s="21"/>
    </row>
    <row r="95" spans="2:26">
      <c r="B95" s="5"/>
      <c r="C95" s="259"/>
      <c r="D95" s="247"/>
      <c r="E95" s="247"/>
      <c r="F95" s="247"/>
      <c r="G95" s="247"/>
      <c r="H95" s="247"/>
      <c r="I95" s="247"/>
      <c r="J95" s="247"/>
      <c r="K95" s="247"/>
      <c r="L95" s="247"/>
      <c r="M95" s="247"/>
      <c r="N95" s="247"/>
      <c r="O95" s="248"/>
      <c r="Q95" s="5"/>
      <c r="R95" s="5"/>
      <c r="Y95" s="21"/>
      <c r="Z95" s="21"/>
    </row>
    <row r="96" spans="2:26">
      <c r="B96" s="5"/>
      <c r="C96" s="259"/>
      <c r="D96" s="247"/>
      <c r="E96" s="247"/>
      <c r="F96" s="247"/>
      <c r="G96" s="247"/>
      <c r="H96" s="247"/>
      <c r="I96" s="248"/>
      <c r="J96" s="247"/>
      <c r="K96" s="247"/>
      <c r="L96" s="247"/>
      <c r="M96" s="247"/>
      <c r="N96" s="247"/>
      <c r="O96" s="248"/>
      <c r="Q96" s="5"/>
      <c r="R96" s="5"/>
    </row>
    <row r="97" spans="2:18">
      <c r="B97" s="5"/>
      <c r="C97" s="259"/>
      <c r="D97" s="247"/>
      <c r="E97" s="247"/>
      <c r="F97" s="247"/>
      <c r="G97" s="247"/>
      <c r="H97" s="247"/>
      <c r="I97" s="247"/>
      <c r="J97" s="247"/>
      <c r="K97" s="247"/>
      <c r="L97" s="247"/>
      <c r="M97" s="247"/>
      <c r="N97" s="247"/>
      <c r="O97" s="248"/>
      <c r="Q97" s="5"/>
      <c r="R97" s="5"/>
    </row>
    <row r="98" spans="2:18">
      <c r="B98" s="5"/>
      <c r="C98" s="259"/>
      <c r="D98" s="248"/>
      <c r="E98" s="248"/>
      <c r="F98" s="248"/>
      <c r="G98" s="248"/>
      <c r="H98" s="248"/>
      <c r="I98" s="249"/>
      <c r="J98" s="248"/>
      <c r="K98" s="248"/>
      <c r="L98" s="248"/>
      <c r="M98" s="248"/>
      <c r="N98" s="248"/>
      <c r="O98" s="248"/>
      <c r="Q98" s="5"/>
      <c r="R98" s="5"/>
    </row>
    <row r="99" spans="2:18">
      <c r="B99" s="5"/>
      <c r="C99" s="259"/>
      <c r="D99" s="247"/>
      <c r="E99" s="247"/>
      <c r="F99" s="247"/>
      <c r="G99" s="247"/>
      <c r="H99" s="247"/>
      <c r="I99" s="248"/>
      <c r="J99" s="247"/>
      <c r="K99" s="247"/>
      <c r="L99" s="247"/>
      <c r="M99" s="247"/>
      <c r="N99" s="247"/>
      <c r="O99" s="248"/>
      <c r="Q99" s="5"/>
      <c r="R99" s="5"/>
    </row>
    <row r="100" spans="2:18">
      <c r="B100" s="41"/>
      <c r="C100" s="249"/>
      <c r="D100" s="249"/>
      <c r="E100" s="249"/>
      <c r="F100" s="249"/>
      <c r="G100" s="249"/>
      <c r="H100" s="249"/>
      <c r="I100" s="5"/>
      <c r="J100" s="249"/>
      <c r="K100" s="249"/>
      <c r="L100" s="249"/>
      <c r="M100" s="249"/>
      <c r="N100" s="249"/>
      <c r="O100" s="248"/>
      <c r="Q100" s="5"/>
      <c r="R100" s="5"/>
    </row>
    <row r="101" spans="2:18">
      <c r="B101" s="41"/>
      <c r="C101" s="257"/>
      <c r="D101" s="248"/>
      <c r="E101" s="248"/>
      <c r="F101" s="248"/>
      <c r="G101" s="248"/>
      <c r="H101" s="248"/>
      <c r="I101" s="259"/>
      <c r="J101" s="248"/>
      <c r="K101" s="248"/>
      <c r="L101" s="248"/>
      <c r="M101" s="248"/>
      <c r="N101" s="248"/>
      <c r="O101" s="248"/>
      <c r="Q101" s="5"/>
      <c r="R101" s="5"/>
    </row>
    <row r="102" spans="2:18" s="5" customFormat="1">
      <c r="B102" s="41"/>
      <c r="I102" s="259"/>
      <c r="O102" s="248"/>
      <c r="P102" s="39"/>
    </row>
    <row r="103" spans="2:18">
      <c r="B103" s="5"/>
      <c r="C103" s="259"/>
      <c r="D103" s="259"/>
      <c r="E103" s="259"/>
      <c r="F103" s="259"/>
      <c r="G103" s="259"/>
      <c r="H103" s="259"/>
      <c r="I103" s="247"/>
      <c r="J103" s="259"/>
      <c r="K103" s="259"/>
      <c r="L103" s="259"/>
      <c r="M103" s="259"/>
      <c r="N103" s="259"/>
      <c r="O103" s="5"/>
      <c r="Q103" s="5"/>
      <c r="R103" s="5"/>
    </row>
    <row r="104" spans="2:18">
      <c r="B104" s="5"/>
      <c r="C104" s="259"/>
      <c r="D104" s="259"/>
      <c r="E104" s="259"/>
      <c r="F104" s="259"/>
      <c r="G104" s="259"/>
      <c r="H104" s="259"/>
      <c r="I104" s="5"/>
      <c r="J104" s="259"/>
      <c r="K104" s="259"/>
      <c r="L104" s="259"/>
      <c r="M104" s="259"/>
      <c r="N104" s="259"/>
      <c r="O104" s="5"/>
      <c r="P104" s="5"/>
      <c r="Q104" s="5"/>
      <c r="R104" s="5"/>
    </row>
    <row r="105" spans="2:18">
      <c r="B105" s="5"/>
      <c r="C105" s="247"/>
      <c r="D105" s="247"/>
      <c r="E105" s="247"/>
      <c r="F105" s="247"/>
      <c r="G105" s="247"/>
      <c r="H105" s="247"/>
      <c r="I105" s="247"/>
      <c r="J105" s="247"/>
      <c r="K105" s="247"/>
      <c r="L105" s="247"/>
      <c r="M105" s="247"/>
      <c r="N105" s="247"/>
      <c r="O105" s="5"/>
      <c r="Q105" s="5"/>
      <c r="R105" s="5"/>
    </row>
    <row r="106" spans="2:18" s="5" customFormat="1">
      <c r="P106" s="39"/>
    </row>
    <row r="107" spans="2:18" s="5" customFormat="1">
      <c r="C107" s="259"/>
      <c r="D107" s="247"/>
      <c r="E107" s="247"/>
      <c r="F107" s="247"/>
      <c r="G107" s="247"/>
      <c r="H107" s="247"/>
      <c r="I107" s="259"/>
      <c r="J107" s="247"/>
      <c r="K107" s="247"/>
      <c r="L107" s="247"/>
      <c r="M107" s="247"/>
      <c r="N107" s="247"/>
      <c r="P107" s="39"/>
    </row>
    <row r="108" spans="2:18">
      <c r="B108" s="5"/>
      <c r="C108" s="259"/>
      <c r="D108" s="5"/>
      <c r="E108" s="5"/>
      <c r="F108" s="5"/>
      <c r="G108" s="5"/>
      <c r="H108" s="5"/>
      <c r="I108" s="247"/>
      <c r="J108" s="5"/>
      <c r="K108" s="5"/>
      <c r="L108" s="5"/>
      <c r="M108" s="5"/>
      <c r="N108" s="5"/>
      <c r="O108" s="5"/>
      <c r="P108" s="5"/>
      <c r="Q108" s="5"/>
      <c r="R108" s="5"/>
    </row>
    <row r="109" spans="2:18">
      <c r="B109" s="5"/>
      <c r="C109" s="259"/>
      <c r="D109" s="259"/>
      <c r="E109" s="259"/>
      <c r="F109" s="259"/>
      <c r="G109" s="259"/>
      <c r="H109" s="259"/>
      <c r="I109" s="249"/>
      <c r="J109" s="259"/>
      <c r="K109" s="259"/>
      <c r="L109" s="259"/>
      <c r="M109" s="259"/>
      <c r="N109" s="259"/>
      <c r="O109" s="5"/>
      <c r="P109" s="5"/>
      <c r="Q109" s="5"/>
      <c r="R109" s="5"/>
    </row>
    <row r="110" spans="2:18">
      <c r="B110" s="5"/>
      <c r="C110" s="247"/>
      <c r="D110" s="247"/>
      <c r="E110" s="247"/>
      <c r="F110" s="247"/>
      <c r="G110" s="247"/>
      <c r="H110" s="247"/>
      <c r="I110" s="249"/>
      <c r="J110" s="247"/>
      <c r="K110" s="247"/>
      <c r="L110" s="247"/>
      <c r="M110" s="247"/>
      <c r="N110" s="247"/>
      <c r="O110" s="5"/>
      <c r="Q110" s="5"/>
      <c r="R110" s="5"/>
    </row>
    <row r="111" spans="2:18">
      <c r="B111" s="41"/>
      <c r="C111" s="249"/>
      <c r="D111" s="249"/>
      <c r="E111" s="249"/>
      <c r="F111" s="249"/>
      <c r="G111" s="249"/>
      <c r="H111" s="249"/>
      <c r="I111" s="247"/>
      <c r="J111" s="249"/>
      <c r="K111" s="249"/>
      <c r="L111" s="249"/>
      <c r="M111" s="249"/>
      <c r="N111" s="249"/>
      <c r="O111" s="5"/>
      <c r="Q111" s="5"/>
      <c r="R111" s="5"/>
    </row>
    <row r="112" spans="2:18">
      <c r="B112" s="5"/>
      <c r="C112" s="249"/>
      <c r="D112" s="249"/>
      <c r="E112" s="249"/>
      <c r="F112" s="249"/>
      <c r="G112" s="249"/>
      <c r="H112" s="249"/>
      <c r="I112" s="5"/>
      <c r="J112" s="249"/>
      <c r="K112" s="249"/>
      <c r="L112" s="249"/>
      <c r="M112" s="249"/>
      <c r="N112" s="249"/>
      <c r="O112" s="5"/>
      <c r="Q112" s="5"/>
      <c r="R112" s="5"/>
    </row>
    <row r="113" spans="2:18">
      <c r="B113" s="5"/>
      <c r="C113" s="247"/>
      <c r="D113" s="247"/>
      <c r="E113" s="247"/>
      <c r="F113" s="247"/>
      <c r="G113" s="247"/>
      <c r="H113" s="247"/>
      <c r="I113" s="5"/>
      <c r="J113" s="247"/>
      <c r="K113" s="247"/>
      <c r="L113" s="247"/>
      <c r="M113" s="247"/>
      <c r="N113" s="247"/>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5"/>
      <c r="J115" s="5"/>
      <c r="K115" s="5"/>
      <c r="L115" s="5"/>
      <c r="M115" s="5"/>
      <c r="N115" s="5"/>
      <c r="O115" s="5"/>
      <c r="Q115" s="5"/>
      <c r="R115" s="5"/>
    </row>
    <row r="116" spans="2:18">
      <c r="B116" s="5"/>
      <c r="C116" s="5"/>
      <c r="D116" s="5"/>
      <c r="E116" s="5"/>
      <c r="F116" s="5"/>
      <c r="G116" s="5"/>
      <c r="H116" s="5"/>
      <c r="I116" s="49"/>
      <c r="J116" s="5"/>
      <c r="K116" s="5"/>
      <c r="L116" s="5"/>
      <c r="M116" s="5"/>
      <c r="N116" s="5"/>
      <c r="O116" s="5"/>
      <c r="Q116" s="41"/>
      <c r="R116" s="5"/>
    </row>
    <row r="117" spans="2:18">
      <c r="B117" s="5"/>
      <c r="C117" s="5"/>
      <c r="D117" s="5"/>
      <c r="E117" s="5"/>
      <c r="F117" s="5"/>
      <c r="G117" s="5"/>
      <c r="H117" s="5"/>
      <c r="I117" s="5"/>
      <c r="J117" s="5"/>
      <c r="K117" s="5"/>
      <c r="L117" s="5"/>
      <c r="M117" s="5"/>
      <c r="N117" s="5"/>
      <c r="O117" s="5"/>
      <c r="Q117" s="5"/>
      <c r="R117" s="5"/>
    </row>
    <row r="118" spans="2:18">
      <c r="B118" s="41"/>
      <c r="C118" s="49"/>
      <c r="D118" s="49"/>
      <c r="E118" s="49"/>
      <c r="F118" s="49"/>
      <c r="G118" s="49"/>
      <c r="H118" s="49"/>
      <c r="I118" s="254"/>
      <c r="J118" s="49"/>
      <c r="K118" s="49"/>
      <c r="L118" s="49"/>
      <c r="M118" s="49"/>
      <c r="N118" s="49"/>
      <c r="O118" s="49"/>
      <c r="Q118" s="5"/>
      <c r="R118" s="5"/>
    </row>
    <row r="119" spans="2:18">
      <c r="B119" s="5"/>
      <c r="C119" s="5"/>
      <c r="D119" s="5"/>
      <c r="E119" s="5"/>
      <c r="F119" s="5"/>
      <c r="G119" s="5"/>
      <c r="H119" s="5"/>
      <c r="I119" s="249"/>
      <c r="J119" s="5"/>
      <c r="K119" s="5"/>
      <c r="L119" s="5"/>
      <c r="M119" s="5"/>
      <c r="N119" s="5"/>
      <c r="O119" s="5"/>
      <c r="Q119" s="5"/>
      <c r="R119" s="5"/>
    </row>
    <row r="120" spans="2:18">
      <c r="B120" s="41"/>
      <c r="C120" s="254"/>
      <c r="D120" s="254"/>
      <c r="E120" s="254"/>
      <c r="F120" s="254"/>
      <c r="G120" s="254"/>
      <c r="H120" s="254"/>
      <c r="I120" s="254"/>
      <c r="J120" s="254"/>
      <c r="K120" s="254"/>
      <c r="L120" s="254"/>
      <c r="M120" s="254"/>
      <c r="N120" s="254"/>
      <c r="O120" s="248"/>
      <c r="Q120" s="5"/>
      <c r="R120" s="5"/>
    </row>
    <row r="121" spans="2:18">
      <c r="B121" s="41"/>
      <c r="C121" s="254"/>
      <c r="D121" s="249"/>
      <c r="E121" s="249"/>
      <c r="F121" s="249"/>
      <c r="G121" s="249"/>
      <c r="H121" s="249"/>
      <c r="I121" s="254"/>
      <c r="J121" s="249"/>
      <c r="K121" s="249"/>
      <c r="L121" s="249"/>
      <c r="M121" s="249"/>
      <c r="N121" s="249"/>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248"/>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254"/>
      <c r="J127" s="254"/>
      <c r="K127" s="254"/>
      <c r="L127" s="254"/>
      <c r="M127" s="254"/>
      <c r="N127" s="254"/>
      <c r="O127" s="5"/>
      <c r="Q127" s="5"/>
      <c r="R127" s="5"/>
    </row>
    <row r="128" spans="2:18">
      <c r="B128" s="41"/>
      <c r="C128" s="254"/>
      <c r="D128" s="254"/>
      <c r="E128" s="254"/>
      <c r="F128" s="254"/>
      <c r="G128" s="254"/>
      <c r="H128" s="254"/>
      <c r="I128" s="18"/>
      <c r="J128" s="254"/>
      <c r="K128" s="254"/>
      <c r="L128" s="254"/>
      <c r="M128" s="254"/>
      <c r="N128" s="254"/>
      <c r="O128" s="5"/>
      <c r="Q128" s="5"/>
      <c r="R128" s="5"/>
    </row>
    <row r="129" spans="2:27">
      <c r="B129" s="41"/>
      <c r="C129" s="254"/>
      <c r="D129" s="254"/>
      <c r="E129" s="254"/>
      <c r="F129" s="254"/>
      <c r="G129" s="254"/>
      <c r="H129" s="254"/>
      <c r="I129" s="5"/>
      <c r="J129" s="254"/>
      <c r="K129" s="254"/>
      <c r="L129" s="254"/>
      <c r="M129" s="254"/>
      <c r="N129" s="254"/>
      <c r="O129" s="5"/>
      <c r="Q129" s="5"/>
      <c r="R129" s="5"/>
    </row>
    <row r="130" spans="2:27">
      <c r="B130" s="5"/>
      <c r="C130" s="5"/>
      <c r="D130" s="18"/>
      <c r="E130" s="18"/>
      <c r="F130" s="18"/>
      <c r="G130" s="18"/>
      <c r="H130" s="18"/>
      <c r="I130" s="254"/>
      <c r="J130" s="18"/>
      <c r="K130" s="18"/>
      <c r="L130" s="18"/>
      <c r="M130" s="18"/>
      <c r="N130" s="18"/>
      <c r="O130" s="5"/>
      <c r="Q130" s="5"/>
      <c r="R130" s="5"/>
    </row>
    <row r="131" spans="2:27">
      <c r="B131" s="5"/>
      <c r="C131" s="5"/>
      <c r="D131" s="5"/>
      <c r="E131" s="5"/>
      <c r="F131" s="5"/>
      <c r="G131" s="5"/>
      <c r="H131" s="5"/>
      <c r="I131" s="18"/>
      <c r="J131" s="5"/>
      <c r="K131" s="5"/>
      <c r="L131" s="5"/>
      <c r="M131" s="5"/>
      <c r="N131" s="5"/>
      <c r="O131" s="5"/>
      <c r="Q131" s="5"/>
      <c r="R131" s="5"/>
    </row>
    <row r="132" spans="2:27">
      <c r="B132" s="41"/>
      <c r="C132" s="254"/>
      <c r="D132" s="254"/>
      <c r="E132" s="254"/>
      <c r="F132" s="254"/>
      <c r="G132" s="254"/>
      <c r="H132" s="254"/>
      <c r="I132" s="5"/>
      <c r="J132" s="254"/>
      <c r="K132" s="254"/>
      <c r="L132" s="254"/>
      <c r="M132" s="254"/>
      <c r="N132" s="254"/>
      <c r="O132" s="5"/>
      <c r="Q132" s="5"/>
      <c r="R132" s="5"/>
    </row>
    <row r="133" spans="2:27">
      <c r="B133" s="5"/>
      <c r="C133" s="259"/>
      <c r="D133" s="18"/>
      <c r="E133" s="18"/>
      <c r="F133" s="18"/>
      <c r="G133" s="18"/>
      <c r="H133" s="18"/>
      <c r="I133" s="5"/>
      <c r="J133" s="18"/>
      <c r="K133" s="18"/>
      <c r="L133" s="18"/>
      <c r="M133" s="18"/>
      <c r="N133" s="18"/>
      <c r="O133" s="5"/>
      <c r="Q133" s="5"/>
      <c r="R133" s="5"/>
    </row>
    <row r="134" spans="2:27">
      <c r="B134" s="5"/>
      <c r="C134" s="5"/>
      <c r="D134" s="5"/>
      <c r="E134" s="5"/>
      <c r="F134" s="5"/>
      <c r="G134" s="5"/>
      <c r="H134" s="5"/>
      <c r="I134" s="17"/>
      <c r="J134" s="5"/>
      <c r="K134" s="5"/>
      <c r="L134" s="5"/>
      <c r="M134" s="5"/>
      <c r="N134" s="5"/>
      <c r="O134" s="5"/>
      <c r="Q134" s="5"/>
      <c r="R134" s="5"/>
    </row>
    <row r="135" spans="2:27">
      <c r="B135" s="41"/>
      <c r="C135" s="5"/>
      <c r="D135" s="5"/>
      <c r="E135" s="5"/>
      <c r="F135" s="5"/>
      <c r="G135" s="5"/>
      <c r="H135" s="5"/>
      <c r="I135" s="17"/>
      <c r="J135" s="5"/>
      <c r="K135" s="5"/>
      <c r="L135" s="5"/>
      <c r="M135" s="5"/>
      <c r="N135" s="5"/>
      <c r="O135" s="5"/>
      <c r="Q135" s="5"/>
      <c r="R135" s="5"/>
    </row>
    <row r="136" spans="2:27">
      <c r="B136" s="5"/>
      <c r="C136" s="17"/>
      <c r="D136" s="17"/>
      <c r="E136" s="17"/>
      <c r="F136" s="17"/>
      <c r="G136" s="17"/>
      <c r="H136" s="17"/>
      <c r="I136" s="17"/>
      <c r="J136" s="17"/>
      <c r="K136" s="17"/>
      <c r="L136" s="17"/>
      <c r="M136" s="17"/>
      <c r="N136" s="17"/>
      <c r="O136" s="5"/>
      <c r="Q136" s="41"/>
      <c r="R136" s="5"/>
    </row>
    <row r="137" spans="2:27">
      <c r="B137" s="5"/>
      <c r="C137" s="17"/>
      <c r="D137" s="17"/>
      <c r="E137" s="17"/>
      <c r="F137" s="17"/>
      <c r="G137" s="17"/>
      <c r="H137" s="17"/>
      <c r="I137" s="17"/>
      <c r="J137" s="17"/>
      <c r="K137" s="17"/>
      <c r="L137" s="17"/>
      <c r="M137" s="17"/>
      <c r="N137" s="17"/>
      <c r="O137" s="5"/>
      <c r="Q137" s="5"/>
      <c r="R137" s="5"/>
      <c r="X137" s="304"/>
    </row>
    <row r="138" spans="2:27">
      <c r="B138" s="5"/>
      <c r="C138" s="5"/>
      <c r="D138" s="17"/>
      <c r="E138" s="17"/>
      <c r="F138" s="17"/>
      <c r="G138" s="17"/>
      <c r="H138" s="17"/>
      <c r="I138" s="17"/>
      <c r="J138" s="17"/>
      <c r="K138" s="17"/>
      <c r="L138" s="17"/>
      <c r="M138" s="17"/>
      <c r="N138" s="17"/>
      <c r="O138" s="5"/>
      <c r="Q138" s="5"/>
      <c r="R138" s="5"/>
      <c r="X138" s="10"/>
      <c r="Y138" s="304"/>
      <c r="Z138" s="304"/>
      <c r="AA138" s="304"/>
    </row>
    <row r="139" spans="2:27">
      <c r="B139" s="5"/>
      <c r="C139" s="5"/>
      <c r="D139" s="17"/>
      <c r="E139" s="17"/>
      <c r="F139" s="17"/>
      <c r="G139" s="17"/>
      <c r="H139" s="17"/>
      <c r="I139" s="17"/>
      <c r="J139" s="17"/>
      <c r="K139" s="17"/>
      <c r="L139" s="17"/>
      <c r="M139" s="17"/>
      <c r="N139" s="17"/>
      <c r="O139" s="5"/>
      <c r="Q139" s="5"/>
      <c r="R139" s="5"/>
      <c r="Y139" s="10"/>
      <c r="Z139" s="10"/>
      <c r="AA139" s="10"/>
    </row>
    <row r="140" spans="2:27">
      <c r="B140" s="5"/>
      <c r="C140" s="5"/>
      <c r="D140" s="17"/>
      <c r="E140" s="17"/>
      <c r="F140" s="17"/>
      <c r="G140" s="17"/>
      <c r="H140" s="17"/>
      <c r="I140" s="5"/>
      <c r="J140" s="17"/>
      <c r="K140" s="17"/>
      <c r="L140" s="17"/>
      <c r="M140" s="17"/>
      <c r="N140" s="17"/>
      <c r="O140" s="5"/>
      <c r="Q140" s="5"/>
      <c r="R140" s="5"/>
    </row>
    <row r="141" spans="2:27">
      <c r="B141" s="5"/>
      <c r="C141" s="17"/>
      <c r="D141" s="17"/>
      <c r="E141" s="17"/>
      <c r="F141" s="17"/>
      <c r="G141" s="17"/>
      <c r="H141" s="17"/>
      <c r="I141" s="5"/>
      <c r="J141" s="17"/>
      <c r="K141" s="17"/>
      <c r="L141" s="17"/>
      <c r="M141" s="17"/>
      <c r="N141" s="17"/>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I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B151" s="5"/>
      <c r="C151" s="5"/>
      <c r="D151" s="5"/>
      <c r="E151" s="5"/>
      <c r="F151" s="5"/>
      <c r="G151" s="5"/>
      <c r="H151" s="5"/>
      <c r="J151" s="5"/>
      <c r="K151" s="5"/>
      <c r="L151" s="5"/>
      <c r="M151" s="5"/>
      <c r="N151" s="5"/>
      <c r="O151" s="5"/>
      <c r="Q151" s="5"/>
      <c r="R151" s="5"/>
    </row>
    <row r="152" spans="2:18">
      <c r="Q152" s="5"/>
      <c r="R152" s="5"/>
    </row>
    <row r="153" spans="2:18">
      <c r="Q153" s="5"/>
      <c r="R153" s="5"/>
    </row>
    <row r="154" spans="2:18">
      <c r="C154" s="263"/>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row r="166" spans="17:18">
      <c r="Q166" s="5"/>
      <c r="R166" s="5"/>
    </row>
  </sheetData>
  <hyperlinks>
    <hyperlink ref="C2" location="LiLACSOP!A1" display="Jump to LiLAC SOP" xr:uid="{00000000-0004-0000-3700-000001000000}"/>
  </hyperlinks>
  <pageMargins left="0.75" right="0.75" top="1" bottom="1" header="0.5" footer="0.5"/>
  <pageSetup scale="71"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32">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1054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1382</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879</v>
      </c>
      <c r="C9" s="287">
        <f>Prices!C71</f>
        <v>76.510000000000005</v>
      </c>
      <c r="D9" s="531">
        <v>21.447125</v>
      </c>
      <c r="E9" s="532">
        <v>21.623127</v>
      </c>
      <c r="F9" s="532">
        <v>21.799129000000001</v>
      </c>
      <c r="G9" s="532">
        <v>21.975131000000001</v>
      </c>
      <c r="H9" s="249"/>
      <c r="I9" s="249"/>
      <c r="J9" s="5" t="s">
        <v>268</v>
      </c>
      <c r="L9" s="525">
        <f>'DM ASIA OTHER'!D37</f>
        <v>1.9744449599107277</v>
      </c>
      <c r="M9" s="525">
        <f>'DM ASIA OTHER'!E37</f>
        <v>1.8490173864069028</v>
      </c>
      <c r="N9" s="525">
        <f>'DM ASIA OTHER'!F37</f>
        <v>1.6231667198154929</v>
      </c>
      <c r="O9" s="525">
        <f>'DM ASIA OTHER'!G37</f>
        <v>1.4362808154165028</v>
      </c>
      <c r="P9" s="286">
        <f>'DM ASIA OTHER'!H37</f>
        <v>5.1745937424389377E-2</v>
      </c>
      <c r="S9" s="88"/>
      <c r="T9" s="42"/>
      <c r="U9" s="42"/>
      <c r="V9" s="42"/>
      <c r="W9" s="42"/>
      <c r="X9" s="42"/>
      <c r="Y9" s="42"/>
      <c r="Z9" s="42"/>
      <c r="AA9" s="42"/>
    </row>
    <row r="10" spans="2:44">
      <c r="B10" s="5" t="s">
        <v>269</v>
      </c>
      <c r="C10" s="5"/>
      <c r="D10" s="527">
        <v>21.447125</v>
      </c>
      <c r="E10" s="527">
        <v>21.623127</v>
      </c>
      <c r="F10" s="527">
        <v>21.799129000000001</v>
      </c>
      <c r="G10" s="527">
        <v>21.975131000000001</v>
      </c>
      <c r="H10" s="247"/>
      <c r="I10" s="247"/>
      <c r="J10" s="5" t="s">
        <v>180</v>
      </c>
      <c r="L10" s="525">
        <f>'DM ASIA OTHER'!D38</f>
        <v>7.8678346581378626</v>
      </c>
      <c r="M10" s="525">
        <f>'DM ASIA OTHER'!E38</f>
        <v>7.254289328657916</v>
      </c>
      <c r="N10" s="525">
        <f>'DM ASIA OTHER'!F38</f>
        <v>6.2613613044918139</v>
      </c>
      <c r="O10" s="525">
        <f>'DM ASIA OTHER'!G38</f>
        <v>5.4626500230850716</v>
      </c>
      <c r="P10" s="286">
        <f>'DM ASIA OTHER'!H38</f>
        <v>6.8217204124905839E-2</v>
      </c>
      <c r="S10" s="88"/>
      <c r="T10" s="42"/>
      <c r="U10" s="42"/>
      <c r="V10" s="42"/>
      <c r="W10" s="288"/>
      <c r="X10" s="288"/>
      <c r="Y10" s="288"/>
      <c r="Z10" s="288"/>
      <c r="AA10" s="42"/>
    </row>
    <row r="11" spans="2:44">
      <c r="B11" s="41" t="s">
        <v>880</v>
      </c>
      <c r="C11" s="5"/>
      <c r="D11" s="528">
        <f>D10*C9</f>
        <v>1640.91953375</v>
      </c>
      <c r="E11" s="528">
        <f>E10*$C$9</f>
        <v>1654.38544677</v>
      </c>
      <c r="F11" s="528">
        <f t="shared" ref="F11:G11" si="2">F10*$C$9</f>
        <v>1667.8513597900001</v>
      </c>
      <c r="G11" s="528">
        <f t="shared" si="2"/>
        <v>1681.3172728100003</v>
      </c>
      <c r="H11" s="249"/>
      <c r="I11" s="249"/>
      <c r="J11" s="5" t="s">
        <v>181</v>
      </c>
      <c r="L11" s="525">
        <f>'DM ASIA OTHER'!D39</f>
        <v>15.114469721863887</v>
      </c>
      <c r="M11" s="525">
        <f>'DM ASIA OTHER'!E39</f>
        <v>11.82612853114612</v>
      </c>
      <c r="N11" s="525">
        <f>'DM ASIA OTHER'!F39</f>
        <v>9.7989585086809576</v>
      </c>
      <c r="O11" s="525">
        <f>'DM ASIA OTHER'!G39</f>
        <v>8.5492697158983812</v>
      </c>
      <c r="P11" s="286">
        <f>'DM ASIA OTHER'!H39</f>
        <v>0.14374774599437457</v>
      </c>
      <c r="S11" s="88"/>
      <c r="T11" s="42"/>
      <c r="U11" s="42"/>
      <c r="V11" s="42"/>
      <c r="W11" s="288"/>
      <c r="X11" s="288"/>
      <c r="Y11" s="288"/>
      <c r="Z11" s="288"/>
      <c r="AA11" s="42"/>
    </row>
    <row r="12" spans="2:44">
      <c r="B12" s="5" t="s">
        <v>24</v>
      </c>
      <c r="C12" s="249"/>
      <c r="D12" s="529">
        <v>-16.294714123627514</v>
      </c>
      <c r="E12" s="529">
        <v>-29.148276388316056</v>
      </c>
      <c r="F12" s="529">
        <v>-37.453299154793235</v>
      </c>
      <c r="G12" s="529">
        <v>-54.167768423804944</v>
      </c>
      <c r="H12" s="247"/>
      <c r="I12" s="247"/>
      <c r="J12" s="5" t="s">
        <v>461</v>
      </c>
      <c r="L12" s="525">
        <f>'DM ASIA OTHER'!D40</f>
        <v>20.806768315723069</v>
      </c>
      <c r="M12" s="525">
        <f>'DM ASIA OTHER'!E40</f>
        <v>16.571592610404696</v>
      </c>
      <c r="N12" s="525">
        <f>'DM ASIA OTHER'!F40</f>
        <v>13.814330413111364</v>
      </c>
      <c r="O12" s="525">
        <f>'DM ASIA OTHER'!G40</f>
        <v>12.166257085531647</v>
      </c>
      <c r="P12" s="286">
        <f>'DM ASIA OTHER'!H40</f>
        <v>0.13116206767528893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'DM ASIA OTHER'!D41</f>
        <v>1.931062543264519</v>
      </c>
      <c r="M13" s="525">
        <f>'DM ASIA OTHER'!E41</f>
        <v>1.8750073972072721</v>
      </c>
      <c r="N13" s="525">
        <f>'DM ASIA OTHER'!F41</f>
        <v>1.7691118623052557</v>
      </c>
      <c r="O13" s="525">
        <f>'DM ASIA OTHER'!G41</f>
        <v>1.6541168115993607</v>
      </c>
      <c r="P13" s="286">
        <f>'DM ASIA OTHER'!H41</f>
        <v>-4.0160486580771426E-3</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'DM ASIA OTHER'!D42</f>
        <v>4.9082023337797445</v>
      </c>
      <c r="M14" s="525">
        <f>'DM ASIA OTHER'!E42</f>
        <v>4.8914338443998107</v>
      </c>
      <c r="N14" s="525">
        <f>'DM ASIA OTHER'!F42</f>
        <v>4.7364922440460013</v>
      </c>
      <c r="O14" s="525">
        <f>'DM ASIA OTHER'!G42</f>
        <v>4.5240234133099264</v>
      </c>
      <c r="P14" s="286">
        <f>'DM ASIA OTHER'!H42</f>
        <v>-2.8055446746051427E-2</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'DM ASIA OTHER'!D43</f>
        <v>11.836681594498478</v>
      </c>
      <c r="M15" s="525">
        <f>'DM ASIA OTHER'!E43</f>
        <v>7.5729579498439383</v>
      </c>
      <c r="N15" s="525">
        <f>'DM ASIA OTHER'!F43</f>
        <v>6.4142900463814181</v>
      </c>
      <c r="O15" s="525">
        <f>'DM ASIA OTHER'!G43</f>
        <v>6.0363216426931707</v>
      </c>
      <c r="P15" s="286">
        <f>'DM ASIA OTHER'!H43</f>
        <v>0.21630389250420778</v>
      </c>
      <c r="S15" s="88"/>
      <c r="T15" s="42"/>
      <c r="U15" s="42"/>
      <c r="V15" s="42"/>
      <c r="W15" s="42"/>
      <c r="X15" s="42"/>
      <c r="Y15" s="42"/>
      <c r="Z15" s="42"/>
      <c r="AA15" s="42"/>
    </row>
    <row r="16" spans="2:44">
      <c r="B16" s="5" t="s">
        <v>529</v>
      </c>
      <c r="C16" s="257"/>
      <c r="D16" s="529">
        <v>0</v>
      </c>
      <c r="E16" s="529">
        <v>5.4057817500000001</v>
      </c>
      <c r="F16" s="529">
        <v>10.899564500000002</v>
      </c>
      <c r="G16" s="529">
        <v>12.086322050000001</v>
      </c>
      <c r="H16" s="247"/>
      <c r="I16" s="247"/>
      <c r="J16" s="5" t="s">
        <v>528</v>
      </c>
      <c r="L16" s="525">
        <f>'DM ASIA OTHER'!D44</f>
        <v>26.371996431865153</v>
      </c>
      <c r="M16" s="525">
        <f>'DM ASIA OTHER'!E44</f>
        <v>19.646240301299546</v>
      </c>
      <c r="N16" s="525">
        <f>'DM ASIA OTHER'!F44</f>
        <v>17.008764755528887</v>
      </c>
      <c r="O16" s="525">
        <f>'DM ASIA OTHER'!G44</f>
        <v>15.564319966920019</v>
      </c>
      <c r="P16" s="286">
        <f>'DM ASIA OTHER'!H44</f>
        <v>0.17550780584293202</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'DM ASIA OTHER'!D45</f>
        <v>3.3544552198318908E-2</v>
      </c>
      <c r="M17" s="248">
        <f>'DM ASIA OTHER'!E45</f>
        <v>3.468266016036306E-2</v>
      </c>
      <c r="N17" s="248">
        <f>'DM ASIA OTHER'!F45</f>
        <v>3.8382102847477083E-2</v>
      </c>
      <c r="O17" s="248">
        <f>'DM ASIA OTHER'!G45</f>
        <v>4.0412140678726664E-2</v>
      </c>
      <c r="P17" s="286">
        <f>'DM ASIA OTHER'!H45</f>
        <v>4.918285214174678E-2</v>
      </c>
      <c r="S17" s="88"/>
      <c r="T17" s="42"/>
      <c r="U17" s="42"/>
      <c r="V17" s="42"/>
      <c r="W17" s="42"/>
      <c r="X17" s="42"/>
      <c r="Y17" s="42"/>
      <c r="Z17" s="42"/>
      <c r="AA17" s="42"/>
    </row>
    <row r="18" spans="2:27" ht="12.6" thickBot="1">
      <c r="B18" s="41" t="s">
        <v>578</v>
      </c>
      <c r="C18" s="249"/>
      <c r="D18" s="530">
        <f>D11+D12+D13-D14+D15-D16-D17</f>
        <v>1624.6248196263725</v>
      </c>
      <c r="E18" s="530">
        <f>E11+E12+E13-E14+E15-E16-E17</f>
        <v>1619.8313886316839</v>
      </c>
      <c r="F18" s="530">
        <f>F11+F12+F13-F14+F15-F16-F17</f>
        <v>1619.4984961352068</v>
      </c>
      <c r="G18" s="530">
        <f>G11+G12+G13-G14+G15-G16-G17</f>
        <v>1615.0631823361953</v>
      </c>
      <c r="H18" s="276">
        <f>IF(D18=0,"nm",IF(G18=0,"nm",(G18/D18)^(1/3)-1))</f>
        <v>-1.9656757891853838E-3</v>
      </c>
      <c r="I18" s="254"/>
      <c r="J18" s="5" t="s">
        <v>36</v>
      </c>
      <c r="L18" s="248">
        <f>'DM ASIA OTHER'!D46</f>
        <v>4.1750171981953008E-2</v>
      </c>
      <c r="M18" s="248">
        <f>'DM ASIA OTHER'!E46</f>
        <v>5.1990072118846764E-2</v>
      </c>
      <c r="N18" s="248">
        <f>'DM ASIA OTHER'!F46</f>
        <v>4.8553615947090789E-2</v>
      </c>
      <c r="O18" s="248">
        <f>'DM ASIA OTHER'!G46</f>
        <v>2.164855703554814E-2</v>
      </c>
      <c r="P18" s="286">
        <f>'DM ASIA OTHER'!H46</f>
        <v>-0.20784264331366598</v>
      </c>
      <c r="S18" s="88"/>
      <c r="T18" s="42"/>
      <c r="U18" s="42"/>
      <c r="V18" s="42"/>
      <c r="W18" s="42"/>
      <c r="X18" s="42"/>
      <c r="Y18" s="42"/>
      <c r="Z18" s="42"/>
      <c r="AA18" s="42"/>
    </row>
    <row r="19" spans="2:27" ht="12.6" thickTop="1">
      <c r="B19" s="41"/>
      <c r="C19" s="249"/>
      <c r="D19" s="229"/>
      <c r="E19" s="229"/>
      <c r="F19" s="229"/>
      <c r="G19" s="229"/>
      <c r="H19" s="276"/>
      <c r="I19" s="254"/>
      <c r="J19" s="5" t="s">
        <v>576</v>
      </c>
      <c r="L19" s="248">
        <f>'DM ASIA OTHER'!D47</f>
        <v>8.4483137610526407E-2</v>
      </c>
      <c r="M19" s="248">
        <f>'DM ASIA OTHER'!E47</f>
        <v>0.13204879871551481</v>
      </c>
      <c r="N19" s="248">
        <f>'DM ASIA OTHER'!F47</f>
        <v>0.15590189916094357</v>
      </c>
      <c r="O19" s="248">
        <f>'DM ASIA OTHER'!G47</f>
        <v>0.16566380308949857</v>
      </c>
      <c r="P19" s="286">
        <f>'DM ASIA OTHER'!H47</f>
        <v>0.21630389250420778</v>
      </c>
      <c r="S19" s="88"/>
      <c r="T19" s="42"/>
      <c r="U19" s="42"/>
      <c r="V19" s="42"/>
      <c r="W19" s="42"/>
      <c r="X19" s="42"/>
      <c r="Y19" s="42"/>
      <c r="Z19" s="42"/>
      <c r="AA19" s="42"/>
    </row>
    <row r="20" spans="2:27">
      <c r="H20" s="277"/>
      <c r="I20" s="17"/>
      <c r="J20" s="5" t="s">
        <v>599</v>
      </c>
      <c r="L20" s="305">
        <f>'DM ASIA OTHER'!D48</f>
        <v>0.79301083660779303</v>
      </c>
      <c r="M20" s="305">
        <f>'DM ASIA OTHER'!E48</f>
        <v>0.53244129285248398</v>
      </c>
      <c r="N20" s="305">
        <f>'DM ASIA OTHER'!F48</f>
        <v>0.50688906687720303</v>
      </c>
      <c r="O20" s="305">
        <f>'DM ASIA OTHER'!G48</f>
        <v>0.508986640938492</v>
      </c>
      <c r="P20" s="286" t="str">
        <f>'DM ASIA OTHER'!H48</f>
        <v>nm</v>
      </c>
      <c r="S20" s="88"/>
      <c r="T20" s="42"/>
      <c r="U20" s="42"/>
      <c r="V20" s="42"/>
      <c r="W20" s="42"/>
      <c r="X20" s="42"/>
      <c r="Y20" s="42"/>
      <c r="Z20" s="42"/>
      <c r="AA20" s="42"/>
    </row>
    <row r="21" spans="2:27" ht="12.6" thickBot="1">
      <c r="B21" s="306" t="s">
        <v>947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246.56599999999997</v>
      </c>
      <c r="D23" s="536">
        <v>265.34603199999998</v>
      </c>
      <c r="E23" s="536">
        <v>281.53687802399998</v>
      </c>
      <c r="F23" s="536">
        <v>292.98442339511996</v>
      </c>
      <c r="G23" s="536">
        <v>301.1650254549138</v>
      </c>
      <c r="H23" s="279">
        <f>IF(D23=0,"nm",IF(G23=0,"nm",(G23/D23)^(1/3)-1))</f>
        <v>4.311129002235381E-2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52.079999999999984</v>
      </c>
      <c r="D24" s="536">
        <v>58.233223727717046</v>
      </c>
      <c r="E24" s="536">
        <v>63.986022169851424</v>
      </c>
      <c r="F24" s="536">
        <v>70.206612928621666</v>
      </c>
      <c r="G24" s="536">
        <v>72.891551181149168</v>
      </c>
      <c r="H24" s="279">
        <f>IF(D24=0,"nm",IF(G24=0,"nm",(G24/D24)^(1/3)-1))</f>
        <v>7.7710514142747211E-2</v>
      </c>
      <c r="I24" s="249"/>
      <c r="J24" s="17"/>
      <c r="K24" s="17"/>
      <c r="L24" s="17"/>
      <c r="M24" s="17"/>
      <c r="N24" s="17"/>
      <c r="O24" s="248"/>
      <c r="S24" s="88"/>
      <c r="T24" s="42"/>
      <c r="U24" s="42"/>
      <c r="V24" s="42"/>
      <c r="W24" s="42" t="s">
        <v>301</v>
      </c>
      <c r="X24" s="42" t="s">
        <v>254</v>
      </c>
      <c r="Y24" s="42"/>
      <c r="Z24" s="42"/>
      <c r="AA24" s="42"/>
    </row>
    <row r="25" spans="2:27">
      <c r="B25" s="5" t="s">
        <v>179</v>
      </c>
      <c r="C25" s="544">
        <v>5.9919999999999902</v>
      </c>
      <c r="D25" s="536">
        <v>4.7332237277170464</v>
      </c>
      <c r="E25" s="536">
        <v>19.986022169851424</v>
      </c>
      <c r="F25" s="536">
        <v>28.206612928621666</v>
      </c>
      <c r="G25" s="536">
        <v>37.066676524145912</v>
      </c>
      <c r="H25" s="279">
        <f>IF(D25=0,"nm",IF(G25=0,"nm",(G25/D25)^(1/3)-1))</f>
        <v>0.98583062966591317</v>
      </c>
      <c r="I25" s="248"/>
      <c r="J25" s="247" t="s">
        <v>10</v>
      </c>
      <c r="K25" s="247"/>
      <c r="L25" s="321">
        <v>11.002714123627513</v>
      </c>
      <c r="M25" s="321">
        <v>24.975562264688541</v>
      </c>
      <c r="N25" s="321">
        <v>31.632586766477182</v>
      </c>
      <c r="O25" s="321">
        <v>40.480034269011711</v>
      </c>
      <c r="P25" s="279">
        <f>IF(L25=0,"nm",IF(O25=0,"nm",(O25/L25)^(1/3)-1))</f>
        <v>0.5437620034685513</v>
      </c>
      <c r="S25" s="88"/>
      <c r="T25" s="42"/>
      <c r="U25" s="42"/>
      <c r="V25" s="147" t="s">
        <v>268</v>
      </c>
      <c r="W25" s="288">
        <f>D37/L9</f>
        <v>3.1009549320425842</v>
      </c>
      <c r="X25" s="288">
        <v>1</v>
      </c>
      <c r="Y25" s="42"/>
      <c r="Z25" s="42"/>
      <c r="AA25" s="42"/>
    </row>
    <row r="26" spans="2:27">
      <c r="B26" s="5" t="s">
        <v>581</v>
      </c>
      <c r="C26" s="544">
        <v>5.8122399999999903</v>
      </c>
      <c r="D26" s="536">
        <v>4.5912270158855346</v>
      </c>
      <c r="E26" s="536">
        <v>19.386441504755879</v>
      </c>
      <c r="F26" s="536">
        <v>27.360414540763017</v>
      </c>
      <c r="G26" s="536">
        <v>35.954676228421533</v>
      </c>
      <c r="H26" s="279">
        <f>IF(D26=0,"nm",IF(G26=0,"nm",(G26/D26)^(1/3)-1))</f>
        <v>0.98583062966591317</v>
      </c>
      <c r="I26" s="249"/>
      <c r="J26" s="249" t="s">
        <v>11</v>
      </c>
      <c r="K26" s="249"/>
      <c r="L26" s="281">
        <f>D11+L25</f>
        <v>1651.9222478736276</v>
      </c>
      <c r="M26" s="281">
        <f>E11+M25</f>
        <v>1679.3610090346885</v>
      </c>
      <c r="N26" s="281">
        <f>F11+N25</f>
        <v>1699.4839465564773</v>
      </c>
      <c r="O26" s="281">
        <f>G11+O25</f>
        <v>1721.7973070790119</v>
      </c>
      <c r="P26" s="279">
        <f>IF(L26=0,"nm",IF(O26=0,"nm",(O26/L26)^(1/3)-1))</f>
        <v>1.3905488511379849E-2</v>
      </c>
      <c r="Q26" s="5"/>
      <c r="S26" s="88"/>
      <c r="T26" s="42"/>
      <c r="U26" s="42"/>
      <c r="V26" s="147" t="s">
        <v>180</v>
      </c>
      <c r="W26" s="288">
        <f t="shared" ref="W26:W33" si="5">D38/L10</f>
        <v>3.5459044298518605</v>
      </c>
      <c r="X26" s="288">
        <v>1</v>
      </c>
      <c r="Y26" s="42"/>
      <c r="Z26" s="42"/>
      <c r="AA26" s="42"/>
    </row>
    <row r="27" spans="2:27">
      <c r="B27" s="5" t="s">
        <v>582</v>
      </c>
      <c r="C27" s="545">
        <v>89.646999999999991</v>
      </c>
      <c r="D27" s="536">
        <v>107.77110235510918</v>
      </c>
      <c r="E27" s="536">
        <v>114.37387590018417</v>
      </c>
      <c r="F27" s="536">
        <v>117.9615295228611</v>
      </c>
      <c r="G27" s="536">
        <v>114.83528826570389</v>
      </c>
      <c r="H27" s="279">
        <f>IF(ISERROR((G27/D27)^(1/3)-1),"na",(G27/D27)^(1/3)-1)</f>
        <v>2.1388616458056786E-2</v>
      </c>
      <c r="I27" s="249"/>
      <c r="J27" s="248"/>
      <c r="K27" s="248"/>
      <c r="L27" s="248"/>
      <c r="M27" s="248"/>
      <c r="N27" s="248"/>
      <c r="O27" s="248"/>
      <c r="Q27" s="41"/>
      <c r="S27" s="88"/>
      <c r="T27" s="42"/>
      <c r="U27" s="42"/>
      <c r="V27" s="147" t="s">
        <v>181</v>
      </c>
      <c r="W27" s="288">
        <f t="shared" si="5"/>
        <v>22.709268011617699</v>
      </c>
      <c r="X27" s="288">
        <v>1</v>
      </c>
      <c r="Y27" s="42"/>
      <c r="Z27" s="42"/>
      <c r="AA27" s="42"/>
    </row>
    <row r="28" spans="2:27" ht="12.6" thickBot="1">
      <c r="B28" s="5" t="s">
        <v>587</v>
      </c>
      <c r="C28" s="544">
        <v>80.73</v>
      </c>
      <c r="D28" s="536">
        <v>98.635857262758663</v>
      </c>
      <c r="E28" s="536">
        <v>103.88566131258014</v>
      </c>
      <c r="F28" s="536">
        <v>105.99137926220789</v>
      </c>
      <c r="G28" s="536">
        <v>101.94743528223646</v>
      </c>
      <c r="H28" s="279">
        <f>IF(ISERROR((G28/D28)^(1/3)-1),"na",(G28/D28)^(1/3)-1)</f>
        <v>1.1068298910270391E-2</v>
      </c>
      <c r="I28" s="248"/>
      <c r="J28" s="306" t="s">
        <v>1352</v>
      </c>
      <c r="K28" s="306"/>
      <c r="L28" s="306"/>
      <c r="M28" s="306"/>
      <c r="N28" s="266"/>
      <c r="O28" s="266"/>
      <c r="P28" s="266"/>
      <c r="Q28" s="5"/>
      <c r="S28" s="88"/>
      <c r="T28" s="42"/>
      <c r="U28" s="42"/>
      <c r="V28" s="147" t="s">
        <v>461</v>
      </c>
      <c r="W28" s="288">
        <f t="shared" si="5"/>
        <v>17.006685683372471</v>
      </c>
      <c r="X28" s="288">
        <v>1</v>
      </c>
      <c r="Y28" s="42"/>
      <c r="Z28" s="42"/>
      <c r="AA28" s="42"/>
    </row>
    <row r="29" spans="2:27" ht="12.6" thickTop="1">
      <c r="B29" s="5" t="s">
        <v>583</v>
      </c>
      <c r="C29" s="544">
        <v>4.23528407249675</v>
      </c>
      <c r="D29" s="536">
        <v>11.002714123627513</v>
      </c>
      <c r="E29" s="536">
        <v>24.975562264688541</v>
      </c>
      <c r="F29" s="536">
        <v>31.632586766477182</v>
      </c>
      <c r="G29" s="536">
        <v>40.480034269011711</v>
      </c>
      <c r="H29" s="279">
        <f>IF(D29=0,"nm",IF(G29=0,"nm",(G29/D29)^(1/3)-1))</f>
        <v>0.5437620034685513</v>
      </c>
      <c r="I29" s="252"/>
      <c r="J29" s="249"/>
      <c r="K29" s="249"/>
      <c r="L29" s="249"/>
      <c r="M29" s="249"/>
      <c r="N29" s="249"/>
      <c r="O29" s="251"/>
      <c r="Q29" s="5"/>
      <c r="S29" s="88"/>
      <c r="T29" s="42"/>
      <c r="U29" s="42"/>
      <c r="V29" s="147" t="s">
        <v>525</v>
      </c>
      <c r="W29" s="288">
        <f t="shared" si="5"/>
        <v>7.8064650314028929</v>
      </c>
      <c r="X29" s="288">
        <v>1</v>
      </c>
      <c r="Y29" s="42"/>
      <c r="Z29" s="42"/>
      <c r="AA29" s="42"/>
    </row>
    <row r="30" spans="2:27">
      <c r="B30" s="5" t="s">
        <v>584</v>
      </c>
      <c r="C30" s="545">
        <v>16.478999999999985</v>
      </c>
      <c r="D30" s="536">
        <v>17.354816478736662</v>
      </c>
      <c r="E30" s="536">
        <v>19.456335809763523</v>
      </c>
      <c r="F30" s="536">
        <v>22.748240389154127</v>
      </c>
      <c r="G30" s="536">
        <v>24.531793011854511</v>
      </c>
      <c r="H30" s="279">
        <f>IF(D30=0,"nm",IF(G30=0,"nm",(G30/D30)^(1/3)-1))</f>
        <v>0.12228482003063212</v>
      </c>
      <c r="I30" s="254"/>
      <c r="J30" s="248"/>
      <c r="K30" s="248"/>
      <c r="L30" s="248"/>
      <c r="M30" s="248"/>
      <c r="N30" s="248"/>
      <c r="O30" s="5"/>
      <c r="Q30" s="5"/>
      <c r="S30" s="88"/>
      <c r="T30" s="42"/>
      <c r="U30" s="42"/>
      <c r="V30" s="147" t="s">
        <v>588</v>
      </c>
      <c r="W30" s="288">
        <f t="shared" si="5"/>
        <v>3.3557979364577801</v>
      </c>
      <c r="X30" s="288">
        <v>1</v>
      </c>
      <c r="Y30" s="42"/>
      <c r="Z30" s="42"/>
      <c r="AA30" s="42"/>
    </row>
    <row r="31" spans="2:27">
      <c r="B31" s="5" t="s">
        <v>585</v>
      </c>
      <c r="C31" s="545">
        <v>0</v>
      </c>
      <c r="D31" s="536">
        <v>0</v>
      </c>
      <c r="E31" s="536">
        <v>5.4057817500000001</v>
      </c>
      <c r="F31" s="536">
        <v>10.899564500000002</v>
      </c>
      <c r="G31" s="536">
        <v>12.086322050000001</v>
      </c>
      <c r="H31" s="279" t="str">
        <f>IF(D31=0,"nm",IF(G31=0,"nm",(G31/D31)^(1/3)-1))</f>
        <v>nm</v>
      </c>
      <c r="I31" s="254"/>
      <c r="J31" s="252"/>
      <c r="K31" s="252"/>
      <c r="L31" s="252"/>
      <c r="M31" s="252"/>
      <c r="N31" s="252"/>
      <c r="O31" s="5"/>
      <c r="Q31" s="5"/>
      <c r="S31" s="88"/>
      <c r="T31" s="42"/>
      <c r="U31" s="42"/>
      <c r="V31" s="147" t="s">
        <v>470</v>
      </c>
      <c r="W31" s="288">
        <f t="shared" si="5"/>
        <v>12.684104396505584</v>
      </c>
      <c r="X31" s="288">
        <v>1</v>
      </c>
      <c r="Y31" s="42"/>
      <c r="Z31" s="42"/>
      <c r="AA31" s="42"/>
    </row>
    <row r="32" spans="2:27">
      <c r="B32" s="5" t="s">
        <v>601</v>
      </c>
      <c r="C32" s="546">
        <v>0</v>
      </c>
      <c r="D32" s="536">
        <v>0</v>
      </c>
      <c r="E32" s="536">
        <v>0</v>
      </c>
      <c r="F32" s="536">
        <v>0</v>
      </c>
      <c r="G32" s="536">
        <v>0</v>
      </c>
      <c r="H32" s="279" t="str">
        <f>IF(D32=0,"nm",IF(G32=0,"nm",(G32/D32)^(1/3)-1))</f>
        <v>nm</v>
      </c>
      <c r="I32" s="254"/>
      <c r="J32" s="254"/>
      <c r="K32" s="254"/>
      <c r="L32" s="254"/>
      <c r="M32" s="254"/>
      <c r="N32" s="254"/>
      <c r="O32" s="251"/>
      <c r="Q32" s="5"/>
      <c r="S32" s="88"/>
      <c r="T32" s="42"/>
      <c r="U32" s="42"/>
      <c r="V32" s="147" t="s">
        <v>528</v>
      </c>
      <c r="W32" s="288">
        <f t="shared" si="5"/>
        <v>3.5852896807327523</v>
      </c>
      <c r="X32" s="288">
        <v>1</v>
      </c>
      <c r="Y32" s="42"/>
      <c r="Z32" s="42"/>
      <c r="AA32" s="42"/>
    </row>
    <row r="33" spans="2:27">
      <c r="B33" s="5" t="s">
        <v>5</v>
      </c>
      <c r="C33" s="545">
        <v>-0.124</v>
      </c>
      <c r="D33" s="536">
        <v>-0.20280964407279367</v>
      </c>
      <c r="E33" s="536">
        <v>-0.11217757116042326</v>
      </c>
      <c r="F33" s="536">
        <v>4.6511816573319542E-2</v>
      </c>
      <c r="G33" s="536">
        <v>0.23415800683948579</v>
      </c>
      <c r="H33" s="279">
        <f>IF(ISERROR((G33/D33)^(1/3)-1),"na",(G33/D33)^(1/3)-1)</f>
        <v>-2.0490756415571165</v>
      </c>
      <c r="I33" s="5"/>
      <c r="J33" s="254"/>
      <c r="K33" s="254"/>
      <c r="L33" s="254"/>
      <c r="M33" s="254"/>
      <c r="N33" s="254"/>
      <c r="O33" s="251"/>
      <c r="Q33" s="5"/>
      <c r="S33" s="88"/>
      <c r="T33" s="42"/>
      <c r="U33" s="42"/>
      <c r="V33" s="147" t="s">
        <v>575</v>
      </c>
      <c r="W33" s="288">
        <f t="shared" si="5"/>
        <v>0</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7.8838833924726751E-2</v>
      </c>
      <c r="X34" s="288">
        <v>1</v>
      </c>
      <c r="Y34" s="288"/>
      <c r="Z34" s="288"/>
      <c r="AA34" s="42"/>
    </row>
    <row r="35" spans="2:27" ht="12.6" thickBot="1">
      <c r="B35" s="306" t="s">
        <v>1055</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6.1226648364817935</v>
      </c>
      <c r="E37" s="525">
        <f t="shared" ref="E37:G40" si="7">E$18/E23</f>
        <v>5.7535318285855226</v>
      </c>
      <c r="F37" s="525">
        <f t="shared" si="7"/>
        <v>5.5275924821134419</v>
      </c>
      <c r="G37" s="525">
        <f t="shared" si="7"/>
        <v>5.3627182635056005</v>
      </c>
      <c r="H37" s="17">
        <f t="shared" ref="H37:H45" si="8">H23</f>
        <v>4.311129002235381E-2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27.898589767633045</v>
      </c>
      <c r="E38" s="525">
        <f t="shared" si="7"/>
        <v>25.315394420547477</v>
      </c>
      <c r="F38" s="525">
        <f t="shared" si="7"/>
        <v>23.067606149604938</v>
      </c>
      <c r="G38" s="525">
        <f t="shared" si="7"/>
        <v>22.157069731201911</v>
      </c>
      <c r="H38" s="17">
        <f t="shared" si="8"/>
        <v>7.7710514142747211E-2</v>
      </c>
      <c r="I38" s="259"/>
      <c r="J38" s="17"/>
      <c r="K38" s="17"/>
      <c r="L38" s="17"/>
      <c r="M38" s="17"/>
      <c r="N38" s="17"/>
      <c r="O38" s="5"/>
      <c r="Q38" s="5"/>
      <c r="R38" s="5"/>
      <c r="S38" s="42"/>
      <c r="T38" s="42"/>
      <c r="U38" s="42"/>
      <c r="V38" s="42"/>
      <c r="W38" s="42"/>
      <c r="X38" s="42"/>
      <c r="Y38" s="42"/>
      <c r="Z38" s="42"/>
      <c r="AA38" s="42"/>
    </row>
    <row r="39" spans="2:27">
      <c r="B39" s="5" t="s">
        <v>181</v>
      </c>
      <c r="C39" s="247"/>
      <c r="D39" s="525">
        <f>D$18/D25</f>
        <v>343.23854376728781</v>
      </c>
      <c r="E39" s="525">
        <f t="shared" si="7"/>
        <v>81.048213339579505</v>
      </c>
      <c r="F39" s="525">
        <f t="shared" si="7"/>
        <v>57.415560678392467</v>
      </c>
      <c r="G39" s="525">
        <f t="shared" si="7"/>
        <v>43.571836856862888</v>
      </c>
      <c r="H39" s="17">
        <f t="shared" si="8"/>
        <v>0.98583062966591317</v>
      </c>
      <c r="I39" s="17"/>
      <c r="J39" s="5"/>
      <c r="K39" s="5"/>
      <c r="L39" s="5"/>
      <c r="M39" s="5"/>
      <c r="N39" s="5"/>
      <c r="O39" s="5"/>
      <c r="Q39" s="5"/>
      <c r="R39" s="5"/>
      <c r="S39" s="42"/>
      <c r="T39" s="42"/>
      <c r="U39" s="42"/>
      <c r="V39" s="42"/>
      <c r="W39" s="42"/>
      <c r="X39" s="42"/>
      <c r="Y39" s="42"/>
      <c r="Z39" s="42"/>
      <c r="AA39" s="42"/>
    </row>
    <row r="40" spans="2:27">
      <c r="B40" s="5" t="s">
        <v>461</v>
      </c>
      <c r="C40" s="247"/>
      <c r="D40" s="525">
        <f>D$18/D26</f>
        <v>353.85416883225548</v>
      </c>
      <c r="E40" s="525">
        <f t="shared" si="7"/>
        <v>83.554859112968572</v>
      </c>
      <c r="F40" s="525">
        <f t="shared" si="7"/>
        <v>59.191299668445843</v>
      </c>
      <c r="G40" s="525">
        <f t="shared" si="7"/>
        <v>44.919419440064836</v>
      </c>
      <c r="H40" s="17">
        <f t="shared" si="8"/>
        <v>0.98583062966591317</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15.074772217446403</v>
      </c>
      <c r="E41" s="525">
        <f t="shared" ref="E41:G41" si="9">E18/E27</f>
        <v>14.162599421264131</v>
      </c>
      <c r="F41" s="525">
        <f t="shared" si="9"/>
        <v>13.72903948165021</v>
      </c>
      <c r="G41" s="525">
        <f t="shared" si="9"/>
        <v>14.064171447014528</v>
      </c>
      <c r="H41" s="17">
        <f t="shared" si="8"/>
        <v>2.1388616458056786E-2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16.470935263415328</v>
      </c>
      <c r="E42" s="525">
        <f t="shared" ref="E42:G42" si="10">E18/E28</f>
        <v>15.592444310074665</v>
      </c>
      <c r="F42" s="525">
        <f t="shared" si="10"/>
        <v>15.279530348678579</v>
      </c>
      <c r="G42" s="525">
        <f t="shared" si="10"/>
        <v>15.842116850364821</v>
      </c>
      <c r="H42" s="17">
        <f t="shared" si="8"/>
        <v>1.1068298910270391E-2</v>
      </c>
      <c r="I42" s="248"/>
      <c r="J42" s="5"/>
      <c r="K42" s="5"/>
      <c r="L42" s="5"/>
      <c r="M42" s="5"/>
      <c r="N42" s="5"/>
      <c r="O42" s="5"/>
      <c r="Q42" s="5"/>
      <c r="R42" s="5"/>
      <c r="S42" s="42"/>
      <c r="T42" s="42"/>
      <c r="U42" s="42"/>
      <c r="V42" s="42"/>
      <c r="W42" s="288"/>
      <c r="X42" s="288"/>
      <c r="Y42" s="288"/>
      <c r="Z42" s="288"/>
      <c r="AA42" s="42"/>
    </row>
    <row r="43" spans="2:27">
      <c r="B43" s="5" t="s">
        <v>470</v>
      </c>
      <c r="C43" s="247"/>
      <c r="D43" s="525">
        <f>L26/D29</f>
        <v>150.13770505281485</v>
      </c>
      <c r="E43" s="525">
        <f>M26/E29</f>
        <v>67.240168258755759</v>
      </c>
      <c r="F43" s="525">
        <f>N26/F29</f>
        <v>53.725734133052796</v>
      </c>
      <c r="G43" s="525">
        <f>O26/G29</f>
        <v>42.534482447241473</v>
      </c>
      <c r="H43" s="17">
        <f t="shared" si="8"/>
        <v>0.5437620034685513</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94.551246667487092</v>
      </c>
      <c r="E44" s="525">
        <f>E11/E30</f>
        <v>85.030679103503189</v>
      </c>
      <c r="F44" s="525">
        <f>F11/F30</f>
        <v>73.317818488730055</v>
      </c>
      <c r="G44" s="525">
        <f>G11/G30</f>
        <v>68.536257092889073</v>
      </c>
      <c r="H44" s="17">
        <f t="shared" si="8"/>
        <v>0.12228482003063212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3.2675467259181807E-3</v>
      </c>
      <c r="F45" s="248">
        <f>F31/F11</f>
        <v>6.5350934518363622E-3</v>
      </c>
      <c r="G45" s="248">
        <f>G31/G11</f>
        <v>7.1886027970199965E-3</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3.2675467259181807E-3</v>
      </c>
      <c r="F46" s="248">
        <f>(F31+F32)/F11</f>
        <v>6.5350934518363622E-3</v>
      </c>
      <c r="G46" s="248">
        <f>(G31+G32)/G11</f>
        <v>7.1886027970199965E-3</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6.6605520555161274E-3</v>
      </c>
      <c r="E47" s="248">
        <f>1/E43</f>
        <v>1.4872062725241379E-2</v>
      </c>
      <c r="F47" s="248">
        <f>1/F43</f>
        <v>1.8613054174810923E-2</v>
      </c>
      <c r="G47" s="248">
        <f>1/G43</f>
        <v>2.3510336613131962E-2</v>
      </c>
      <c r="H47" s="17">
        <f>H29</f>
        <v>0.5437620034685513</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0.21644284491816676</v>
      </c>
      <c r="F48" s="305">
        <f>F31/F29</f>
        <v>0.3445675998761783</v>
      </c>
      <c r="G48" s="305">
        <f>G31/G29</f>
        <v>0.29857489669301807</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2">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164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14</v>
      </c>
      <c r="C9" s="267">
        <f>Prices!C90</f>
        <v>3.82</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42"/>
      <c r="T9" s="42"/>
      <c r="U9" s="42"/>
      <c r="V9" s="42"/>
      <c r="W9" s="42"/>
      <c r="X9" s="42"/>
      <c r="Y9" s="42"/>
      <c r="Z9" s="42"/>
      <c r="AA9" s="42"/>
    </row>
    <row r="10" spans="2:44">
      <c r="B10" s="5" t="s">
        <v>269</v>
      </c>
      <c r="C10" s="5"/>
      <c r="D10" s="527">
        <v>7828</v>
      </c>
      <c r="E10" s="527">
        <v>7832</v>
      </c>
      <c r="F10" s="527">
        <v>7832</v>
      </c>
      <c r="G10" s="527">
        <v>7832</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42"/>
      <c r="T10" s="42"/>
      <c r="U10" s="42"/>
      <c r="V10" s="42"/>
      <c r="W10" s="288"/>
      <c r="X10" s="288"/>
      <c r="Y10" s="288"/>
      <c r="Z10" s="288"/>
      <c r="AA10" s="42"/>
    </row>
    <row r="11" spans="2:44">
      <c r="B11" s="41" t="s">
        <v>270</v>
      </c>
      <c r="C11" s="5"/>
      <c r="D11" s="528">
        <f>$C$9*D10</f>
        <v>29902.959999999999</v>
      </c>
      <c r="E11" s="528">
        <f>$C$9*E10</f>
        <v>29918.239999999998</v>
      </c>
      <c r="F11" s="528">
        <f>$C$9*F10</f>
        <v>29918.239999999998</v>
      </c>
      <c r="G11" s="528">
        <f>$C$9*G10</f>
        <v>29918.239999999998</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42"/>
      <c r="T11" s="42"/>
      <c r="U11" s="42"/>
      <c r="V11" s="42"/>
      <c r="W11" s="288"/>
      <c r="X11" s="288"/>
      <c r="Y11" s="288"/>
      <c r="Z11" s="288"/>
      <c r="AA11" s="42"/>
    </row>
    <row r="12" spans="2:44">
      <c r="B12" s="5" t="s">
        <v>24</v>
      </c>
      <c r="C12" s="249"/>
      <c r="D12" s="529">
        <v>9203</v>
      </c>
      <c r="E12" s="529">
        <v>8606.1622300285726</v>
      </c>
      <c r="F12" s="529">
        <v>8150.9837874650902</v>
      </c>
      <c r="G12" s="529">
        <v>7782.5884546767984</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42"/>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42"/>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42"/>
      <c r="T14" s="42"/>
      <c r="U14" s="42"/>
      <c r="V14" s="42"/>
      <c r="W14" s="42"/>
      <c r="X14" s="42"/>
      <c r="Y14" s="42"/>
      <c r="Z14" s="42"/>
      <c r="AA14" s="42"/>
    </row>
    <row r="15" spans="2:44">
      <c r="B15" s="5" t="s">
        <v>526</v>
      </c>
      <c r="C15" s="274"/>
      <c r="D15" s="529">
        <v>0</v>
      </c>
      <c r="E15" s="529">
        <f t="shared" si="2"/>
        <v>0</v>
      </c>
      <c r="F15" s="529">
        <f t="shared" si="2"/>
        <v>0</v>
      </c>
      <c r="G15" s="529">
        <f t="shared" si="2"/>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42"/>
      <c r="T15" s="42"/>
      <c r="U15" s="42"/>
      <c r="V15" s="42"/>
      <c r="W15" s="42"/>
      <c r="X15" s="42"/>
      <c r="Y15" s="42"/>
      <c r="Z15" s="42"/>
      <c r="AA15" s="42"/>
    </row>
    <row r="16" spans="2:44">
      <c r="B16" s="5" t="s">
        <v>529</v>
      </c>
      <c r="C16" s="257"/>
      <c r="D16" s="529">
        <v>0</v>
      </c>
      <c r="E16" s="529">
        <v>0</v>
      </c>
      <c r="F16" s="529">
        <v>1574.7092699682296</v>
      </c>
      <c r="G16" s="529">
        <v>3311.0123143143182</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42"/>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42"/>
      <c r="T17" s="42"/>
      <c r="U17" s="42"/>
      <c r="V17" s="42"/>
      <c r="W17" s="42"/>
      <c r="X17" s="42"/>
      <c r="Y17" s="42"/>
      <c r="Z17" s="42"/>
      <c r="AA17" s="42"/>
    </row>
    <row r="18" spans="2:27" ht="12.6" thickBot="1">
      <c r="B18" s="41" t="s">
        <v>578</v>
      </c>
      <c r="C18" s="249"/>
      <c r="D18" s="530">
        <f>D11+D12+D13-D14+D15-D16-D17</f>
        <v>39105.96</v>
      </c>
      <c r="E18" s="530">
        <f>E11+E12+E13-E14+E15-E16-E17</f>
        <v>38524.402230028572</v>
      </c>
      <c r="F18" s="530">
        <f>F11+F12+F13-F14+F15-F16-F17</f>
        <v>36494.514517496857</v>
      </c>
      <c r="G18" s="530">
        <f>G11+G12+G13-G14+G15-G16-G17</f>
        <v>34389.816140362476</v>
      </c>
      <c r="H18" s="276">
        <f>IF(D18=0,"nm",IF(G18=0,"nm",(G18/D18)^(1/3)-1))</f>
        <v>-4.1933545670742478E-2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42"/>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42"/>
      <c r="T20" s="42"/>
      <c r="U20" s="42"/>
      <c r="V20" s="42"/>
      <c r="W20" s="42"/>
      <c r="X20" s="42"/>
      <c r="Y20" s="42"/>
      <c r="Z20" s="42"/>
      <c r="AA20" s="42"/>
    </row>
    <row r="21" spans="2:27" ht="12.6" thickBot="1">
      <c r="B21" s="306" t="s">
        <v>920</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9789</v>
      </c>
      <c r="D23" s="536">
        <v>10180</v>
      </c>
      <c r="E23" s="536">
        <v>10610.036183058079</v>
      </c>
      <c r="F23" s="536">
        <v>10904.154172576371</v>
      </c>
      <c r="G23" s="536">
        <v>11209.68564380456</v>
      </c>
      <c r="H23" s="279">
        <f t="shared" ref="H23:H32" si="4">IF(D23=0,"nm",IF(G23=0,"nm",(G23/D23)^(1/3)-1))</f>
        <v>3.2639068367961599E-2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478</v>
      </c>
      <c r="C24" s="545">
        <v>3929</v>
      </c>
      <c r="D24" s="536">
        <v>3960</v>
      </c>
      <c r="E24" s="536">
        <v>4162.6862949070737</v>
      </c>
      <c r="F24" s="536">
        <v>4296.5338349015092</v>
      </c>
      <c r="G24" s="536">
        <v>4436.3939792013425</v>
      </c>
      <c r="H24" s="279">
        <f t="shared" si="4"/>
        <v>3.8592001793239294E-2</v>
      </c>
      <c r="I24" s="249"/>
      <c r="J24" s="17"/>
      <c r="K24" s="17"/>
      <c r="L24" s="17"/>
      <c r="M24" s="17"/>
      <c r="N24" s="17"/>
      <c r="O24" s="248"/>
      <c r="S24" s="42"/>
      <c r="T24" s="42"/>
      <c r="U24" s="42"/>
      <c r="V24" s="42"/>
      <c r="W24" s="42" t="s">
        <v>357</v>
      </c>
      <c r="X24" s="42" t="s">
        <v>377</v>
      </c>
      <c r="Y24" s="42"/>
      <c r="Z24" s="42"/>
      <c r="AA24" s="42"/>
    </row>
    <row r="25" spans="2:27">
      <c r="B25" s="5" t="s">
        <v>179</v>
      </c>
      <c r="C25" s="544">
        <v>2815</v>
      </c>
      <c r="D25" s="536">
        <v>3147</v>
      </c>
      <c r="E25" s="536">
        <v>2995.5823147706851</v>
      </c>
      <c r="F25" s="536">
        <v>3097.0768759181083</v>
      </c>
      <c r="G25" s="536">
        <v>3203.328558382841</v>
      </c>
      <c r="H25" s="279">
        <f t="shared" si="4"/>
        <v>5.9311284383554153E-3</v>
      </c>
      <c r="I25" s="248"/>
      <c r="J25" s="247" t="s">
        <v>10</v>
      </c>
      <c r="K25" s="247"/>
      <c r="L25" s="321">
        <v>0</v>
      </c>
      <c r="M25" s="321">
        <v>0</v>
      </c>
      <c r="N25" s="321">
        <v>0</v>
      </c>
      <c r="O25" s="321">
        <v>0</v>
      </c>
      <c r="P25" s="279" t="str">
        <f>IF(L25=0,"nm",IF(O25=0,"nm",(O25/L25)^(1/3)-1))</f>
        <v>nm</v>
      </c>
      <c r="S25" s="42"/>
      <c r="T25" s="42"/>
      <c r="U25" s="42"/>
      <c r="V25" s="147" t="s">
        <v>268</v>
      </c>
      <c r="W25" s="288">
        <f>D37/L9</f>
        <v>1.7843777858898666</v>
      </c>
      <c r="X25" s="288">
        <v>1</v>
      </c>
      <c r="Y25" s="42"/>
      <c r="Z25" s="42"/>
      <c r="AA25" s="42"/>
    </row>
    <row r="26" spans="2:27">
      <c r="B26" s="5" t="s">
        <v>581</v>
      </c>
      <c r="C26" s="544">
        <v>2111.25</v>
      </c>
      <c r="D26" s="536">
        <v>2360.25</v>
      </c>
      <c r="E26" s="536">
        <v>2246.6867360780138</v>
      </c>
      <c r="F26" s="536">
        <v>2322.8076569385812</v>
      </c>
      <c r="G26" s="536">
        <v>2402.496418787131</v>
      </c>
      <c r="H26" s="279">
        <f t="shared" si="4"/>
        <v>5.9311284383554153E-3</v>
      </c>
      <c r="I26" s="249"/>
      <c r="J26" s="249" t="s">
        <v>11</v>
      </c>
      <c r="K26" s="249"/>
      <c r="L26" s="281">
        <f>D11+L25</f>
        <v>29902.959999999999</v>
      </c>
      <c r="M26" s="281">
        <f>E11+M25</f>
        <v>29918.239999999998</v>
      </c>
      <c r="N26" s="281">
        <f>F11+N25</f>
        <v>29918.239999999998</v>
      </c>
      <c r="O26" s="281">
        <f>G11+O25</f>
        <v>29918.239999999998</v>
      </c>
      <c r="P26" s="279">
        <f>IF(L26=0,"nm",IF(O26=0,"nm",(O26/L26)^(1/3)-1))</f>
        <v>1.7029973081283956E-4</v>
      </c>
      <c r="Q26" s="5"/>
      <c r="S26" s="42"/>
      <c r="T26" s="42"/>
      <c r="U26" s="42"/>
      <c r="V26" s="147" t="s">
        <v>180</v>
      </c>
      <c r="W26" s="288">
        <f t="shared" ref="W26:W33" si="6">D38/L10</f>
        <v>1.4968922555092623</v>
      </c>
      <c r="X26" s="288">
        <v>1</v>
      </c>
      <c r="Y26" s="42"/>
      <c r="Z26" s="42"/>
      <c r="AA26" s="42"/>
    </row>
    <row r="27" spans="2:27">
      <c r="B27" s="5" t="s">
        <v>582</v>
      </c>
      <c r="C27" s="545">
        <v>15743.050000000001</v>
      </c>
      <c r="D27" s="536">
        <v>14947</v>
      </c>
      <c r="E27" s="536">
        <v>14378.536708950091</v>
      </c>
      <c r="F27" s="536">
        <v>13955.495190263511</v>
      </c>
      <c r="G27" s="536">
        <v>13622.534613482283</v>
      </c>
      <c r="H27" s="279">
        <f t="shared" si="4"/>
        <v>-3.0455020467495819E-2</v>
      </c>
      <c r="I27" s="249"/>
      <c r="J27" s="248"/>
      <c r="K27" s="248"/>
      <c r="L27" s="248"/>
      <c r="M27" s="248"/>
      <c r="N27" s="248"/>
      <c r="O27" s="248"/>
      <c r="Q27" s="41"/>
      <c r="S27" s="42"/>
      <c r="T27" s="42"/>
      <c r="U27" s="42"/>
      <c r="V27" s="147" t="s">
        <v>181</v>
      </c>
      <c r="W27" s="288">
        <f t="shared" si="6"/>
        <v>0.97734506321818515</v>
      </c>
      <c r="X27" s="288">
        <v>1</v>
      </c>
      <c r="Y27" s="42"/>
      <c r="Z27" s="42"/>
      <c r="AA27" s="42"/>
    </row>
    <row r="28" spans="2:27" ht="12.6" thickBot="1">
      <c r="B28" s="5" t="s">
        <v>587</v>
      </c>
      <c r="C28" s="544">
        <v>5639</v>
      </c>
      <c r="D28" s="536">
        <v>5384</v>
      </c>
      <c r="E28" s="536">
        <v>5095.0656754724414</v>
      </c>
      <c r="F28" s="536">
        <v>4916.6231566946308</v>
      </c>
      <c r="G28" s="536">
        <v>4820.0467413791885</v>
      </c>
      <c r="H28" s="279">
        <f t="shared" si="4"/>
        <v>-3.6210776064720229E-2</v>
      </c>
      <c r="I28" s="248"/>
      <c r="J28" s="306" t="s">
        <v>1352</v>
      </c>
      <c r="K28" s="306"/>
      <c r="L28" s="306"/>
      <c r="M28" s="306"/>
      <c r="N28" s="266"/>
      <c r="O28" s="266"/>
      <c r="P28" s="266"/>
      <c r="Q28" s="5"/>
      <c r="S28" s="42"/>
      <c r="T28" s="42"/>
      <c r="U28" s="42"/>
      <c r="V28" s="147" t="s">
        <v>461</v>
      </c>
      <c r="W28" s="288">
        <f t="shared" si="6"/>
        <v>1.0008533029164945</v>
      </c>
      <c r="X28" s="288">
        <v>1</v>
      </c>
      <c r="Y28" s="42"/>
      <c r="Z28" s="42"/>
      <c r="AA28" s="42"/>
    </row>
    <row r="29" spans="2:27" ht="12.6" thickTop="1">
      <c r="B29" s="5" t="s">
        <v>583</v>
      </c>
      <c r="C29" s="544">
        <v>1132.5142227070496</v>
      </c>
      <c r="D29" s="536">
        <v>1705.0148337595906</v>
      </c>
      <c r="E29" s="536">
        <v>1707.6582706034251</v>
      </c>
      <c r="F29" s="536">
        <v>1785.288712622943</v>
      </c>
      <c r="G29" s="536">
        <v>1868.3142156685944</v>
      </c>
      <c r="H29" s="279">
        <f t="shared" si="4"/>
        <v>3.0957080150083804E-2</v>
      </c>
      <c r="I29" s="252"/>
      <c r="J29" s="249"/>
      <c r="K29" s="249"/>
      <c r="L29" s="249"/>
      <c r="M29" s="249"/>
      <c r="N29" s="249"/>
      <c r="O29" s="251"/>
      <c r="Q29" s="5"/>
      <c r="S29" s="42"/>
      <c r="T29" s="42"/>
      <c r="U29" s="42"/>
      <c r="V29" s="147" t="s">
        <v>525</v>
      </c>
      <c r="W29" s="288">
        <f t="shared" si="6"/>
        <v>1.7643504195034794</v>
      </c>
      <c r="X29" s="288">
        <v>1</v>
      </c>
      <c r="Y29" s="42"/>
      <c r="Z29" s="42"/>
      <c r="AA29" s="42"/>
    </row>
    <row r="30" spans="2:27">
      <c r="B30" s="5" t="s">
        <v>584</v>
      </c>
      <c r="C30" s="545">
        <v>1151.5142227070496</v>
      </c>
      <c r="D30" s="536">
        <v>993.01483375959072</v>
      </c>
      <c r="E30" s="536">
        <v>1418.7239460758663</v>
      </c>
      <c r="F30" s="536">
        <v>1606.8461938451323</v>
      </c>
      <c r="G30" s="536">
        <v>1771.7378003531517</v>
      </c>
      <c r="H30" s="279">
        <f t="shared" si="4"/>
        <v>0.21287088701329826</v>
      </c>
      <c r="I30" s="254"/>
      <c r="J30" s="248"/>
      <c r="K30" s="248"/>
      <c r="L30" s="248"/>
      <c r="M30" s="248"/>
      <c r="N30" s="248"/>
      <c r="O30" s="5"/>
      <c r="Q30" s="5"/>
      <c r="S30" s="42"/>
      <c r="T30" s="42"/>
      <c r="U30" s="42"/>
      <c r="V30" s="147" t="s">
        <v>588</v>
      </c>
      <c r="W30" s="288">
        <f t="shared" si="6"/>
        <v>2.3872573412493776</v>
      </c>
      <c r="X30" s="288">
        <v>1</v>
      </c>
      <c r="Y30" s="42"/>
      <c r="Z30" s="42"/>
      <c r="AA30" s="42"/>
    </row>
    <row r="31" spans="2:27">
      <c r="B31" s="5" t="s">
        <v>585</v>
      </c>
      <c r="C31" s="545">
        <v>1565</v>
      </c>
      <c r="D31" s="536">
        <v>1252.48</v>
      </c>
      <c r="E31" s="536">
        <v>1390.349467154349</v>
      </c>
      <c r="F31" s="536">
        <v>1574.7092699682296</v>
      </c>
      <c r="G31" s="536">
        <v>1736.3030443460887</v>
      </c>
      <c r="H31" s="279">
        <f t="shared" si="4"/>
        <v>0.11502578102968863</v>
      </c>
      <c r="I31" s="254"/>
      <c r="J31" s="252"/>
      <c r="K31" s="252"/>
      <c r="L31" s="252"/>
      <c r="M31" s="252"/>
      <c r="N31" s="252"/>
      <c r="O31" s="5"/>
      <c r="Q31" s="5"/>
      <c r="S31" s="42"/>
      <c r="T31" s="42"/>
      <c r="U31" s="42"/>
      <c r="V31" s="147" t="s">
        <v>470</v>
      </c>
      <c r="W31" s="288">
        <f t="shared" si="6"/>
        <v>0.89088911730149201</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42"/>
      <c r="T32" s="42"/>
      <c r="U32" s="42"/>
      <c r="V32" s="147" t="s">
        <v>528</v>
      </c>
      <c r="W32" s="288">
        <f t="shared" si="6"/>
        <v>1.4073330764646241</v>
      </c>
      <c r="X32" s="288">
        <v>1</v>
      </c>
      <c r="Y32" s="42"/>
      <c r="Z32" s="42"/>
      <c r="AA32" s="42"/>
    </row>
    <row r="33" spans="2:27">
      <c r="B33" s="5" t="s">
        <v>5</v>
      </c>
      <c r="C33" s="545">
        <v>-437</v>
      </c>
      <c r="D33" s="536">
        <v>-446</v>
      </c>
      <c r="E33" s="536">
        <v>-447.33082706766919</v>
      </c>
      <c r="F33" s="536">
        <v>-418.52082859640376</v>
      </c>
      <c r="G33" s="536">
        <v>-396.54265148847458</v>
      </c>
      <c r="H33" s="279">
        <f>IF(D33=0,"nm",IF(G33=0,"nm",(G33/D33)^(1/3)-1))</f>
        <v>-3.8420898920767166E-2</v>
      </c>
      <c r="I33" s="5"/>
      <c r="J33" s="254"/>
      <c r="K33" s="254"/>
      <c r="L33" s="254"/>
      <c r="M33" s="254"/>
      <c r="N33" s="254"/>
      <c r="O33" s="251"/>
      <c r="Q33" s="5"/>
      <c r="S33" s="42"/>
      <c r="T33" s="42"/>
      <c r="U33" s="42"/>
      <c r="V33" s="147" t="s">
        <v>575</v>
      </c>
      <c r="W33" s="288">
        <f t="shared" si="6"/>
        <v>1.0620959283699296</v>
      </c>
      <c r="X33" s="288">
        <v>1</v>
      </c>
      <c r="Y33" s="42"/>
      <c r="Z33" s="42"/>
      <c r="AA33" s="42"/>
    </row>
    <row r="34" spans="2:27">
      <c r="D34" s="5"/>
      <c r="E34" s="5"/>
      <c r="F34" s="5"/>
      <c r="G34" s="5"/>
      <c r="I34" s="49"/>
      <c r="J34" s="254"/>
      <c r="K34" s="254"/>
      <c r="L34" s="254"/>
      <c r="M34" s="254"/>
      <c r="N34" s="254"/>
      <c r="O34" s="251"/>
      <c r="Q34" s="5"/>
      <c r="S34" s="42"/>
      <c r="T34" s="42"/>
      <c r="U34" s="42"/>
      <c r="V34" s="147" t="s">
        <v>576</v>
      </c>
      <c r="W34" s="288">
        <f>D47/L19</f>
        <v>1.1224741447386914</v>
      </c>
      <c r="X34" s="288">
        <v>1</v>
      </c>
      <c r="Y34" s="288"/>
      <c r="Z34" s="288"/>
      <c r="AA34" s="42"/>
    </row>
    <row r="35" spans="2:27" ht="12.6" thickBot="1">
      <c r="B35" s="306" t="s">
        <v>173</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3.8414499017681729</v>
      </c>
      <c r="E37" s="525">
        <f t="shared" ref="E37:G41" si="8">E$18/E23</f>
        <v>3.6309397598043698</v>
      </c>
      <c r="F37" s="525">
        <f t="shared" si="8"/>
        <v>3.3468450592233459</v>
      </c>
      <c r="G37" s="525">
        <f t="shared" si="8"/>
        <v>3.0678662393507223</v>
      </c>
      <c r="H37" s="17">
        <f t="shared" ref="H37:H45" si="9">H23</f>
        <v>3.2639068367961599E-2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9.8752424242424244</v>
      </c>
      <c r="E38" s="525">
        <f t="shared" si="8"/>
        <v>9.2546974479345376</v>
      </c>
      <c r="F38" s="525">
        <f t="shared" si="8"/>
        <v>8.4939432388604548</v>
      </c>
      <c r="G38" s="525">
        <f t="shared" si="8"/>
        <v>7.7517497998573761</v>
      </c>
      <c r="H38" s="17">
        <f t="shared" si="9"/>
        <v>3.8592001793239294E-2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12.426425166825547</v>
      </c>
      <c r="E39" s="525">
        <f t="shared" si="8"/>
        <v>12.860405150635179</v>
      </c>
      <c r="F39" s="525">
        <f t="shared" si="8"/>
        <v>11.783535242946883</v>
      </c>
      <c r="G39" s="525">
        <f t="shared" si="8"/>
        <v>10.735650593932123</v>
      </c>
      <c r="H39" s="17">
        <f t="shared" si="9"/>
        <v>5.9311284383554153E-3</v>
      </c>
      <c r="I39" s="17"/>
      <c r="J39" s="5"/>
      <c r="K39" s="5"/>
      <c r="L39" s="5"/>
      <c r="M39" s="5"/>
      <c r="N39" s="5"/>
      <c r="O39" s="5"/>
      <c r="Q39" s="5"/>
      <c r="R39" s="5"/>
      <c r="S39" s="42"/>
      <c r="T39" s="42"/>
      <c r="U39" s="42"/>
      <c r="V39" s="42"/>
      <c r="W39" s="42"/>
      <c r="X39" s="42"/>
      <c r="Y39" s="42"/>
      <c r="Z39" s="42"/>
      <c r="AA39" s="42"/>
    </row>
    <row r="40" spans="2:27">
      <c r="B40" s="5" t="s">
        <v>461</v>
      </c>
      <c r="C40" s="247"/>
      <c r="D40" s="525">
        <f>D$18/D26</f>
        <v>16.56856688910073</v>
      </c>
      <c r="E40" s="525">
        <f t="shared" si="8"/>
        <v>17.147206867513571</v>
      </c>
      <c r="F40" s="525">
        <f t="shared" si="8"/>
        <v>15.711380323929177</v>
      </c>
      <c r="G40" s="525">
        <f t="shared" si="8"/>
        <v>14.314200791909496</v>
      </c>
      <c r="H40" s="17">
        <f t="shared" si="9"/>
        <v>5.9311284383554153E-3</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2.6163082892888205</v>
      </c>
      <c r="E41" s="525">
        <f t="shared" si="8"/>
        <v>2.6792992228512795</v>
      </c>
      <c r="F41" s="525">
        <f t="shared" si="8"/>
        <v>2.6150641034191606</v>
      </c>
      <c r="G41" s="525">
        <f t="shared" si="8"/>
        <v>2.5244799970136778</v>
      </c>
      <c r="H41" s="17">
        <f t="shared" si="9"/>
        <v>-3.0455020467495819E-2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7.2633655274888556</v>
      </c>
      <c r="E42" s="525">
        <f>E18/E28</f>
        <v>7.5611198527792061</v>
      </c>
      <c r="F42" s="525">
        <f>F18/F28</f>
        <v>7.4226788090937506</v>
      </c>
      <c r="G42" s="525">
        <f>G18/G28</f>
        <v>7.1347474382628739</v>
      </c>
      <c r="H42" s="17">
        <f t="shared" si="9"/>
        <v>-3.6210776064720229E-2</v>
      </c>
      <c r="I42" s="248"/>
      <c r="J42" s="5"/>
      <c r="K42" s="5"/>
      <c r="L42" s="5"/>
      <c r="M42" s="5"/>
      <c r="N42" s="5"/>
      <c r="O42" s="5"/>
      <c r="Q42" s="5"/>
      <c r="R42" s="5"/>
      <c r="S42" s="42"/>
      <c r="T42" s="42"/>
      <c r="U42" s="42"/>
      <c r="V42" s="42"/>
      <c r="W42" s="288"/>
      <c r="X42" s="288"/>
      <c r="Y42" s="288"/>
      <c r="Z42" s="288"/>
      <c r="AA42" s="42"/>
    </row>
    <row r="43" spans="2:27">
      <c r="B43" s="5" t="s">
        <v>470</v>
      </c>
      <c r="C43" s="247"/>
      <c r="D43" s="525">
        <f>L26/D29</f>
        <v>17.538240376515315</v>
      </c>
      <c r="E43" s="525">
        <f>M26/E29</f>
        <v>17.520039293006771</v>
      </c>
      <c r="F43" s="525">
        <f>N26/F29</f>
        <v>16.758208231790238</v>
      </c>
      <c r="G43" s="525">
        <f>O26/G29</f>
        <v>16.013494812109784</v>
      </c>
      <c r="H43" s="17">
        <f t="shared" si="9"/>
        <v>3.0957080150083804E-2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30.113306451612903</v>
      </c>
      <c r="E44" s="525">
        <f>E11/E30</f>
        <v>21.088133517977656</v>
      </c>
      <c r="F44" s="525">
        <f>F11/F30</f>
        <v>18.619230710816566</v>
      </c>
      <c r="G44" s="525">
        <f>G11/G30</f>
        <v>16.886381265916743</v>
      </c>
      <c r="H44" s="17">
        <f t="shared" si="9"/>
        <v>0.21287088701329826</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4.1884816753926704E-2</v>
      </c>
      <c r="E45" s="248">
        <f>E31/E11</f>
        <v>4.6471632928753469E-2</v>
      </c>
      <c r="F45" s="248">
        <f>F31/F11</f>
        <v>5.2633753521872599E-2</v>
      </c>
      <c r="G45" s="248">
        <f>G31/G11</f>
        <v>5.8034932681404014E-2</v>
      </c>
      <c r="H45" s="17">
        <f t="shared" si="9"/>
        <v>0.11502578102968863</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4.1884816753926704E-2</v>
      </c>
      <c r="E46" s="248">
        <f>(E31+E32)/E11</f>
        <v>4.6471632928753469E-2</v>
      </c>
      <c r="F46" s="248">
        <f>(F31+F32)/F11</f>
        <v>5.2633753521872599E-2</v>
      </c>
      <c r="G46" s="248">
        <f>(G31+G32)/G11</f>
        <v>5.8034932681404014E-2</v>
      </c>
      <c r="H46" s="279">
        <f>((G31+G32)/(D31+D32))^(1/3)-1</f>
        <v>0.11502578102968863</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5.7018262866271117E-2</v>
      </c>
      <c r="E47" s="248">
        <f>1/E43</f>
        <v>5.7077497560131384E-2</v>
      </c>
      <c r="F47" s="248">
        <f>1/F43</f>
        <v>5.967225052753581E-2</v>
      </c>
      <c r="G47" s="248">
        <f>1/G43</f>
        <v>6.2447330313166641E-2</v>
      </c>
      <c r="H47" s="17">
        <f>H29</f>
        <v>3.0957080150083804E-2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0.73458598435666245</v>
      </c>
      <c r="E48" s="305">
        <f>E31/E29</f>
        <v>0.81418483492194804</v>
      </c>
      <c r="F48" s="305">
        <f>F31/F29</f>
        <v>0.88204740154026384</v>
      </c>
      <c r="G48" s="305">
        <f>G31/G29</f>
        <v>0.92934209341480378</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5">
    <pageSetUpPr fitToPage="1"/>
  </sheetPr>
  <dimension ref="B1:CE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83" width="9.109375" style="5"/>
    <col min="84" max="16384" width="9.109375" style="39"/>
  </cols>
  <sheetData>
    <row r="1" spans="2:83"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row>
    <row r="2" spans="2:83" s="149" customFormat="1"/>
    <row r="3" spans="2:83" s="149" customFormat="1">
      <c r="H3" s="153"/>
      <c r="P3" s="153"/>
    </row>
    <row r="4" spans="2:83" s="156" customFormat="1" ht="21">
      <c r="B4" s="129" t="s">
        <v>810</v>
      </c>
      <c r="H4" s="222"/>
      <c r="P4" s="222"/>
    </row>
    <row r="5" spans="2:8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83">
      <c r="I6" s="5"/>
      <c r="J6" s="5"/>
      <c r="K6" s="5"/>
      <c r="L6" s="5"/>
      <c r="M6" s="5"/>
      <c r="N6" s="5"/>
      <c r="O6" s="49"/>
    </row>
    <row r="7" spans="2:83" ht="12.6" thickBot="1">
      <c r="B7" s="306" t="s">
        <v>266</v>
      </c>
      <c r="C7" s="265"/>
      <c r="D7" s="265" t="str">
        <f>D5</f>
        <v>2023E</v>
      </c>
      <c r="E7" s="265" t="str">
        <f t="shared" ref="E7:H7" si="0">E5</f>
        <v>2024E</v>
      </c>
      <c r="F7" s="265" t="str">
        <f t="shared" si="0"/>
        <v>2025E</v>
      </c>
      <c r="G7" s="265" t="str">
        <f t="shared" si="0"/>
        <v>2026E</v>
      </c>
      <c r="H7" s="265" t="str">
        <f t="shared" si="0"/>
        <v>23E-26E</v>
      </c>
      <c r="I7" s="49"/>
      <c r="J7" s="306" t="s">
        <v>820</v>
      </c>
      <c r="K7" s="306"/>
      <c r="L7" s="265" t="str">
        <f>L5</f>
        <v>2023E</v>
      </c>
      <c r="M7" s="265" t="str">
        <f t="shared" ref="M7:P7" si="1">M5</f>
        <v>2024E</v>
      </c>
      <c r="N7" s="265" t="str">
        <f t="shared" si="1"/>
        <v>2025E</v>
      </c>
      <c r="O7" s="265" t="str">
        <f t="shared" si="1"/>
        <v>2026E</v>
      </c>
      <c r="P7" s="265" t="str">
        <f t="shared" si="1"/>
        <v>23E-26E</v>
      </c>
    </row>
    <row r="8" spans="2:83" ht="12.6" thickTop="1">
      <c r="B8" s="5"/>
      <c r="C8" s="5"/>
      <c r="D8" s="5"/>
      <c r="E8" s="5"/>
      <c r="F8" s="5"/>
      <c r="G8" s="5"/>
      <c r="H8" s="5"/>
      <c r="I8" s="5"/>
      <c r="J8" s="5"/>
      <c r="K8" s="5"/>
      <c r="L8" s="5"/>
      <c r="M8" s="5"/>
      <c r="N8" s="5"/>
      <c r="S8" s="42"/>
      <c r="T8" s="42"/>
      <c r="U8" s="42"/>
      <c r="V8" s="42"/>
      <c r="W8" s="42"/>
      <c r="X8" s="42"/>
      <c r="Y8" s="42"/>
      <c r="Z8" s="42"/>
      <c r="AA8" s="42"/>
    </row>
    <row r="9" spans="2:83">
      <c r="B9" s="41" t="s">
        <v>834</v>
      </c>
      <c r="C9" s="287">
        <f>Prices!$C$135</f>
        <v>42.67</v>
      </c>
      <c r="D9" s="531">
        <v>0</v>
      </c>
      <c r="E9" s="532">
        <v>0</v>
      </c>
      <c r="F9" s="532">
        <v>0</v>
      </c>
      <c r="G9" s="532">
        <v>0</v>
      </c>
      <c r="H9" s="249"/>
      <c r="I9" s="249"/>
      <c r="J9" s="5" t="s">
        <v>268</v>
      </c>
      <c r="L9" s="525">
        <f>'LATAM ALTNET &amp; CABLE'!D37</f>
        <v>1.9449789682645313</v>
      </c>
      <c r="M9" s="525">
        <f>'LATAM ALTNET &amp; CABLE'!E37</f>
        <v>1.8420758256002729</v>
      </c>
      <c r="N9" s="525">
        <f>'LATAM ALTNET &amp; CABLE'!F37</f>
        <v>1.9816311378972182</v>
      </c>
      <c r="O9" s="525">
        <f>'LATAM ALTNET &amp; CABLE'!G37</f>
        <v>1.8881405998579619</v>
      </c>
      <c r="P9" s="286">
        <f>'LATAM ALTNET &amp; CABLE'!H37</f>
        <v>2.8008435151252398E-2</v>
      </c>
      <c r="S9" s="42"/>
      <c r="T9" s="42"/>
      <c r="U9" s="42"/>
      <c r="V9" s="42"/>
      <c r="W9" s="42"/>
      <c r="X9" s="42"/>
      <c r="Y9" s="42"/>
      <c r="Z9" s="42"/>
      <c r="AA9" s="42"/>
    </row>
    <row r="10" spans="2:83">
      <c r="B10" s="5" t="s">
        <v>269</v>
      </c>
      <c r="C10" s="5"/>
      <c r="D10" s="527">
        <v>857.61749999999995</v>
      </c>
      <c r="E10" s="527">
        <v>857.61749999999995</v>
      </c>
      <c r="F10" s="527">
        <v>857.61749999999995</v>
      </c>
      <c r="G10" s="527">
        <v>857.61749999999995</v>
      </c>
      <c r="H10" s="247"/>
      <c r="I10" s="247"/>
      <c r="J10" s="5" t="s">
        <v>180</v>
      </c>
      <c r="L10" s="525">
        <f>'LATAM ALTNET &amp; CABLE'!D38</f>
        <v>5.074509890688975</v>
      </c>
      <c r="M10" s="525">
        <f>'LATAM ALTNET &amp; CABLE'!E38</f>
        <v>4.6421209435581048</v>
      </c>
      <c r="N10" s="525">
        <f>'LATAM ALTNET &amp; CABLE'!F38</f>
        <v>4.9091585624158229</v>
      </c>
      <c r="O10" s="525">
        <f>'LATAM ALTNET &amp; CABLE'!G38</f>
        <v>4.6241376865670754</v>
      </c>
      <c r="P10" s="286">
        <f>'LATAM ALTNET &amp; CABLE'!H38</f>
        <v>4.992336528871455E-2</v>
      </c>
      <c r="S10" s="42"/>
      <c r="T10" s="42"/>
      <c r="U10" s="42"/>
      <c r="V10" s="42"/>
      <c r="W10" s="288"/>
      <c r="X10" s="288"/>
      <c r="Y10" s="288"/>
      <c r="Z10" s="288"/>
      <c r="AA10" s="42"/>
    </row>
    <row r="11" spans="2:83">
      <c r="B11" s="41" t="s">
        <v>836</v>
      </c>
      <c r="C11" s="5"/>
      <c r="D11" s="528">
        <f>$C$9*D10</f>
        <v>36594.538724999999</v>
      </c>
      <c r="E11" s="528">
        <f>$C$9*E10</f>
        <v>36594.538724999999</v>
      </c>
      <c r="F11" s="528">
        <f>$C$9*F10</f>
        <v>36594.538724999999</v>
      </c>
      <c r="G11" s="528">
        <f>$C$9*G10</f>
        <v>36594.538724999999</v>
      </c>
      <c r="H11" s="249"/>
      <c r="I11" s="249"/>
      <c r="J11" s="5" t="s">
        <v>181</v>
      </c>
      <c r="L11" s="525">
        <f>'LATAM ALTNET &amp; CABLE'!D39</f>
        <v>12.320927856897759</v>
      </c>
      <c r="M11" s="525">
        <f>'LATAM ALTNET &amp; CABLE'!E39</f>
        <v>10.368680336618187</v>
      </c>
      <c r="N11" s="525">
        <f>'LATAM ALTNET &amp; CABLE'!F39</f>
        <v>9.5587219650692017</v>
      </c>
      <c r="O11" s="525">
        <f>'LATAM ALTNET &amp; CABLE'!G39</f>
        <v>8.662004274768087</v>
      </c>
      <c r="P11" s="286">
        <f>'LATAM ALTNET &amp; CABLE'!H39</f>
        <v>0.14475221432857377</v>
      </c>
      <c r="S11" s="42"/>
      <c r="T11" s="42"/>
      <c r="U11" s="42"/>
      <c r="V11" s="42"/>
      <c r="W11" s="288"/>
      <c r="X11" s="288"/>
      <c r="Y11" s="288"/>
      <c r="Z11" s="288"/>
      <c r="AA11" s="42"/>
    </row>
    <row r="12" spans="2:83">
      <c r="B12" s="5" t="s">
        <v>24</v>
      </c>
      <c r="C12" s="249"/>
      <c r="D12" s="529">
        <v>19109.877552976035</v>
      </c>
      <c r="E12" s="529">
        <v>23674.511398948198</v>
      </c>
      <c r="F12" s="529">
        <v>25193.712539599685</v>
      </c>
      <c r="G12" s="529">
        <v>24114.431636760499</v>
      </c>
      <c r="H12" s="247"/>
      <c r="I12" s="247"/>
      <c r="J12" s="5" t="s">
        <v>461</v>
      </c>
      <c r="L12" s="525">
        <f>'LATAM ALTNET &amp; CABLE'!D40</f>
        <v>17.112399801246887</v>
      </c>
      <c r="M12" s="525">
        <f>'LATAM ALTNET &amp; CABLE'!E40</f>
        <v>14.400944911969706</v>
      </c>
      <c r="N12" s="525">
        <f>'LATAM ALTNET &amp; CABLE'!F40</f>
        <v>13.276002729262778</v>
      </c>
      <c r="O12" s="525">
        <f>'LATAM ALTNET &amp; CABLE'!G40</f>
        <v>12.030561492733456</v>
      </c>
      <c r="P12" s="286">
        <f>'LATAM ALTNET &amp; CABLE'!H40</f>
        <v>0.14475221432857377</v>
      </c>
      <c r="S12" s="42"/>
      <c r="T12" s="42"/>
      <c r="U12" s="42"/>
      <c r="V12" s="42"/>
      <c r="W12" s="288"/>
      <c r="X12" s="288"/>
      <c r="Y12" s="288"/>
      <c r="Z12" s="288"/>
      <c r="AA12" s="42"/>
    </row>
    <row r="13" spans="2:83">
      <c r="B13" s="5" t="s">
        <v>524</v>
      </c>
      <c r="C13" s="257"/>
      <c r="D13" s="529">
        <v>0</v>
      </c>
      <c r="E13" s="529">
        <v>0</v>
      </c>
      <c r="F13" s="529">
        <v>0</v>
      </c>
      <c r="G13" s="529">
        <v>0</v>
      </c>
      <c r="H13" s="247"/>
      <c r="I13" s="247"/>
      <c r="J13" s="5" t="s">
        <v>525</v>
      </c>
      <c r="L13" s="525">
        <f>'LATAM ALTNET &amp; CABLE'!D41</f>
        <v>1.2007397446594752</v>
      </c>
      <c r="M13" s="525">
        <f>'LATAM ALTNET &amp; CABLE'!E41</f>
        <v>1.189103620138116</v>
      </c>
      <c r="N13" s="525">
        <f>'LATAM ALTNET &amp; CABLE'!F41</f>
        <v>1.3589051048177667</v>
      </c>
      <c r="O13" s="525">
        <f>'LATAM ALTNET &amp; CABLE'!G41</f>
        <v>1.3485000178303104</v>
      </c>
      <c r="P13" s="286">
        <f>'LATAM ALTNET &amp; CABLE'!H41</f>
        <v>-2.0729973523027856E-2</v>
      </c>
      <c r="S13" s="42"/>
      <c r="T13" s="42"/>
      <c r="U13" s="42"/>
      <c r="V13" s="42"/>
      <c r="W13" s="42"/>
      <c r="X13" s="42"/>
      <c r="Y13" s="42"/>
      <c r="Z13" s="42"/>
      <c r="AA13" s="42"/>
    </row>
    <row r="14" spans="2:83">
      <c r="B14" s="5" t="s">
        <v>527</v>
      </c>
      <c r="C14" s="257"/>
      <c r="D14" s="529">
        <v>0</v>
      </c>
      <c r="E14" s="529">
        <v>0</v>
      </c>
      <c r="F14" s="529">
        <v>0</v>
      </c>
      <c r="G14" s="529">
        <v>0</v>
      </c>
      <c r="H14" s="247"/>
      <c r="I14" s="247"/>
      <c r="J14" s="5" t="s">
        <v>588</v>
      </c>
      <c r="L14" s="525">
        <f>'LATAM ALTNET &amp; CABLE'!D42</f>
        <v>2.3774967737691939</v>
      </c>
      <c r="M14" s="525">
        <f>'LATAM ALTNET &amp; CABLE'!E42</f>
        <v>2.1276647884375359</v>
      </c>
      <c r="N14" s="525">
        <f>'LATAM ALTNET &amp; CABLE'!F42</f>
        <v>2.2439216252801724</v>
      </c>
      <c r="O14" s="525">
        <f>'LATAM ALTNET &amp; CABLE'!G42</f>
        <v>2.0773317386242183</v>
      </c>
      <c r="P14" s="286">
        <f>'LATAM ALTNET &amp; CABLE'!H42</f>
        <v>6.4734137256737601E-2</v>
      </c>
      <c r="S14" s="42"/>
      <c r="T14" s="42"/>
      <c r="U14" s="42"/>
      <c r="V14" s="42"/>
      <c r="W14" s="42"/>
      <c r="X14" s="42"/>
      <c r="Y14" s="42"/>
      <c r="Z14" s="42"/>
      <c r="AA14" s="42"/>
    </row>
    <row r="15" spans="2:83">
      <c r="B15" s="5" t="s">
        <v>526</v>
      </c>
      <c r="C15" s="274"/>
      <c r="D15" s="529">
        <v>4304.7561459904755</v>
      </c>
      <c r="E15" s="529">
        <v>4304.7561459904755</v>
      </c>
      <c r="F15" s="529">
        <v>4304.7561459904755</v>
      </c>
      <c r="G15" s="529">
        <v>4304.7561459904755</v>
      </c>
      <c r="H15" s="247"/>
      <c r="I15" s="247"/>
      <c r="J15" s="5" t="s">
        <v>470</v>
      </c>
      <c r="L15" s="525">
        <f>'LATAM ALTNET &amp; CABLE'!D43</f>
        <v>5.5109636185685771</v>
      </c>
      <c r="M15" s="525">
        <f>'LATAM ALTNET &amp; CABLE'!E43</f>
        <v>3.6397037108520314</v>
      </c>
      <c r="N15" s="525">
        <f>'LATAM ALTNET &amp; CABLE'!F43</f>
        <v>2.583368468069132</v>
      </c>
      <c r="O15" s="525">
        <f>'LATAM ALTNET &amp; CABLE'!G43</f>
        <v>2.3375894944260418</v>
      </c>
      <c r="P15" s="286">
        <f>'LATAM ALTNET &amp; CABLE'!H43</f>
        <v>0.33092351726064217</v>
      </c>
      <c r="S15" s="42"/>
      <c r="T15" s="42"/>
      <c r="U15" s="42"/>
      <c r="V15" s="42"/>
      <c r="W15" s="42"/>
      <c r="X15" s="42"/>
      <c r="Y15" s="42"/>
      <c r="Z15" s="42"/>
      <c r="AA15" s="42"/>
    </row>
    <row r="16" spans="2:83">
      <c r="B16" s="5" t="s">
        <v>529</v>
      </c>
      <c r="C16" s="257"/>
      <c r="D16" s="529">
        <v>0</v>
      </c>
      <c r="E16" s="529">
        <v>2665.4751900000001</v>
      </c>
      <c r="F16" s="529">
        <v>5464.2241395000001</v>
      </c>
      <c r="G16" s="529">
        <v>8542.8479839499996</v>
      </c>
      <c r="H16" s="247"/>
      <c r="I16" s="247"/>
      <c r="J16" s="5" t="s">
        <v>528</v>
      </c>
      <c r="L16" s="525">
        <f>'LATAM ALTNET &amp; CABLE'!D44</f>
        <v>7.6011918525835647</v>
      </c>
      <c r="M16" s="525">
        <f>'LATAM ALTNET &amp; CABLE'!E44</f>
        <v>4.3229009086570729</v>
      </c>
      <c r="N16" s="525">
        <f>'LATAM ALTNET &amp; CABLE'!F44</f>
        <v>4.5983522776507311</v>
      </c>
      <c r="O16" s="525">
        <f>'LATAM ALTNET &amp; CABLE'!G44</f>
        <v>4.444424088884638</v>
      </c>
      <c r="P16" s="286">
        <f>'LATAM ALTNET &amp; CABLE'!H44</f>
        <v>0.24559048535192352</v>
      </c>
      <c r="S16" s="42"/>
      <c r="T16" s="42"/>
      <c r="U16" s="42"/>
      <c r="V16" s="42"/>
      <c r="W16" s="42"/>
      <c r="X16" s="42"/>
      <c r="Y16" s="42"/>
      <c r="Z16" s="42"/>
      <c r="AA16" s="42"/>
    </row>
    <row r="17" spans="2:27">
      <c r="B17" s="5" t="s">
        <v>6</v>
      </c>
      <c r="C17" s="257"/>
      <c r="D17" s="529">
        <v>0</v>
      </c>
      <c r="E17" s="529">
        <v>0</v>
      </c>
      <c r="F17" s="529">
        <v>0</v>
      </c>
      <c r="G17" s="529">
        <v>0</v>
      </c>
      <c r="H17" s="247"/>
      <c r="I17" s="247"/>
      <c r="J17" s="5" t="s">
        <v>575</v>
      </c>
      <c r="L17" s="248">
        <f>'LATAM ALTNET &amp; CABLE'!D45</f>
        <v>3.7695921498269717E-2</v>
      </c>
      <c r="M17" s="248">
        <f>'LATAM ALTNET &amp; CABLE'!E45</f>
        <v>3.948167606742068E-2</v>
      </c>
      <c r="N17" s="248">
        <f>'LATAM ALTNET &amp; CABLE'!F45</f>
        <v>3.832361613940919E-2</v>
      </c>
      <c r="O17" s="248">
        <f>'LATAM ALTNET &amp; CABLE'!G45</f>
        <v>4.2384726849998111E-2</v>
      </c>
      <c r="P17" s="286">
        <f>'LATAM ALTNET &amp; CABLE'!H45</f>
        <v>8.3074231263342124E-2</v>
      </c>
      <c r="S17" s="42"/>
      <c r="T17" s="42"/>
      <c r="U17" s="42"/>
      <c r="V17" s="42"/>
      <c r="W17" s="42"/>
      <c r="X17" s="42"/>
      <c r="Y17" s="42"/>
      <c r="Z17" s="42"/>
      <c r="AA17" s="42"/>
    </row>
    <row r="18" spans="2:27" ht="12.6" thickBot="1">
      <c r="B18" s="41" t="s">
        <v>578</v>
      </c>
      <c r="C18" s="249"/>
      <c r="D18" s="530">
        <f>D11+D12+D13-D14+D15-D16-D17</f>
        <v>60009.172423966513</v>
      </c>
      <c r="E18" s="530">
        <f>E11+E12+E13-E14+E15-E16-E17</f>
        <v>61908.331079938675</v>
      </c>
      <c r="F18" s="530">
        <f>F11+F12+F13-F14+F15-F16-F17</f>
        <v>60628.783271090157</v>
      </c>
      <c r="G18" s="530">
        <f>G11+G12+G13-G14+G15-G16-G17</f>
        <v>56470.878523800973</v>
      </c>
      <c r="H18" s="276">
        <f>IF(D18=0,"nm",IF(G18=0,"nm",(G18/D18)^(1/3)-1))</f>
        <v>-2.0053644189139019E-2</v>
      </c>
      <c r="I18" s="254"/>
      <c r="J18" s="5" t="s">
        <v>36</v>
      </c>
      <c r="L18" s="248">
        <f>'LATAM ALTNET &amp; CABLE'!D46</f>
        <v>0.10737862547858126</v>
      </c>
      <c r="M18" s="248">
        <f>'LATAM ALTNET &amp; CABLE'!E46</f>
        <v>-4.3607510091825692E-3</v>
      </c>
      <c r="N18" s="248">
        <f>'LATAM ALTNET &amp; CABLE'!F46</f>
        <v>0.48771715451249231</v>
      </c>
      <c r="O18" s="248">
        <f>'LATAM ALTNET &amp; CABLE'!G46</f>
        <v>0.11627278367832435</v>
      </c>
      <c r="P18" s="286">
        <f>'LATAM ALTNET &amp; CABLE'!H46</f>
        <v>6.9563625971092335E-2</v>
      </c>
      <c r="S18" s="42"/>
      <c r="T18" s="42"/>
      <c r="U18" s="42"/>
      <c r="V18" s="42"/>
      <c r="W18" s="42"/>
      <c r="X18" s="42"/>
      <c r="Y18" s="42"/>
      <c r="Z18" s="42"/>
      <c r="AA18" s="42"/>
    </row>
    <row r="19" spans="2:27" ht="12.6" thickTop="1">
      <c r="B19" s="41"/>
      <c r="C19" s="249"/>
      <c r="D19" s="229"/>
      <c r="E19" s="229"/>
      <c r="F19" s="229"/>
      <c r="G19" s="229"/>
      <c r="H19" s="276"/>
      <c r="I19" s="254"/>
      <c r="J19" s="5" t="s">
        <v>576</v>
      </c>
      <c r="L19" s="248">
        <f>'LATAM ALTNET &amp; CABLE'!D47</f>
        <v>0.18145646917911262</v>
      </c>
      <c r="M19" s="248">
        <f>'LATAM ALTNET &amp; CABLE'!E47</f>
        <v>0.27474763866586999</v>
      </c>
      <c r="N19" s="248">
        <f>'LATAM ALTNET &amp; CABLE'!F47</f>
        <v>0.38709150953887062</v>
      </c>
      <c r="O19" s="248">
        <f>'LATAM ALTNET &amp; CABLE'!G47</f>
        <v>0.42779110805575132</v>
      </c>
      <c r="P19" s="286">
        <f>'LATAM ALTNET &amp; CABLE'!H47</f>
        <v>0.33092351726064217</v>
      </c>
      <c r="S19" s="42"/>
      <c r="T19" s="42"/>
      <c r="U19" s="42"/>
      <c r="V19" s="42"/>
      <c r="W19" s="42"/>
      <c r="X19" s="42"/>
      <c r="Y19" s="42"/>
      <c r="Z19" s="42"/>
      <c r="AA19" s="42"/>
    </row>
    <row r="20" spans="2:27">
      <c r="H20" s="277"/>
      <c r="I20" s="17"/>
      <c r="J20" s="5" t="s">
        <v>599</v>
      </c>
      <c r="L20" s="305">
        <f>'LATAM ALTNET &amp; CABLE'!D48</f>
        <v>0.40140789609822214</v>
      </c>
      <c r="M20" s="305">
        <f>'LATAM ALTNET &amp; CABLE'!E48</f>
        <v>0.27836440332773654</v>
      </c>
      <c r="N20" s="305">
        <f>'LATAM ALTNET &amp; CABLE'!F48</f>
        <v>0.21733351592609534</v>
      </c>
      <c r="O20" s="305">
        <f>'LATAM ALTNET &amp; CABLE'!G48</f>
        <v>0.21632229582594412</v>
      </c>
      <c r="P20" s="286" t="str">
        <f>'LATAM ALTNET &amp; CABLE'!H48</f>
        <v>nm</v>
      </c>
      <c r="S20" s="42"/>
      <c r="T20" s="42"/>
      <c r="U20" s="42"/>
      <c r="V20" s="42"/>
      <c r="W20" s="42"/>
      <c r="X20" s="42"/>
      <c r="Y20" s="42"/>
      <c r="Z20" s="42"/>
      <c r="AA20" s="42"/>
    </row>
    <row r="21" spans="2:27" ht="12.6" thickBot="1">
      <c r="B21" s="306" t="s">
        <v>936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27155.555</v>
      </c>
      <c r="D23" s="536">
        <v>29742.100554753248</v>
      </c>
      <c r="E23" s="536">
        <v>32892.497033917542</v>
      </c>
      <c r="F23" s="536">
        <v>35559.251936911569</v>
      </c>
      <c r="G23" s="536">
        <v>38214.985049524017</v>
      </c>
      <c r="H23" s="279">
        <f t="shared" ref="H23:H32" si="3">IF(D23=0,"nm",IF(G23=0,"nm",(G23/D23)^(1/3)-1))</f>
        <v>8.7144697988267739E-2</v>
      </c>
      <c r="I23" s="247"/>
      <c r="J23" s="306" t="s">
        <v>9</v>
      </c>
      <c r="K23" s="306"/>
      <c r="L23" s="265" t="str">
        <f>D21</f>
        <v>2023E</v>
      </c>
      <c r="M23" s="265" t="str">
        <f t="shared" ref="M23:P23" si="4">E21</f>
        <v>2024E</v>
      </c>
      <c r="N23" s="265" t="str">
        <f t="shared" si="4"/>
        <v>2025E</v>
      </c>
      <c r="O23" s="265" t="str">
        <f t="shared" si="4"/>
        <v>2026E</v>
      </c>
      <c r="P23" s="265" t="str">
        <f t="shared" si="4"/>
        <v>23E-26E</v>
      </c>
      <c r="S23" s="42"/>
      <c r="T23" s="42"/>
      <c r="U23" s="42"/>
      <c r="V23" s="42"/>
      <c r="W23" s="42"/>
      <c r="X23" s="42"/>
      <c r="Y23" s="42"/>
      <c r="Z23" s="42"/>
      <c r="AA23" s="42"/>
    </row>
    <row r="24" spans="2:27" ht="12.6" thickTop="1">
      <c r="B24" s="5" t="s">
        <v>478</v>
      </c>
      <c r="C24" s="545">
        <v>12769.018</v>
      </c>
      <c r="D24" s="536">
        <v>13221.466255186495</v>
      </c>
      <c r="E24" s="536">
        <v>14382.054907847689</v>
      </c>
      <c r="F24" s="536">
        <v>15797.396590979321</v>
      </c>
      <c r="G24" s="536">
        <v>16981.356331781048</v>
      </c>
      <c r="H24" s="279">
        <f t="shared" si="3"/>
        <v>8.7003439023187523E-2</v>
      </c>
      <c r="I24" s="249"/>
      <c r="J24" s="17"/>
      <c r="K24" s="17"/>
      <c r="L24" s="17"/>
      <c r="M24" s="17"/>
      <c r="N24" s="17"/>
      <c r="O24" s="248"/>
      <c r="S24" s="42"/>
      <c r="T24" s="42"/>
      <c r="U24" s="42"/>
      <c r="V24" s="42"/>
      <c r="W24" s="42" t="s">
        <v>817</v>
      </c>
      <c r="X24" s="42" t="s">
        <v>94</v>
      </c>
      <c r="Y24" s="42"/>
      <c r="Z24" s="42"/>
      <c r="AA24" s="42"/>
    </row>
    <row r="25" spans="2:27">
      <c r="B25" s="5" t="s">
        <v>179</v>
      </c>
      <c r="C25" s="544">
        <v>933.01800000000003</v>
      </c>
      <c r="D25" s="536">
        <v>1027.2050277376638</v>
      </c>
      <c r="E25" s="536">
        <v>1553.9810646198475</v>
      </c>
      <c r="F25" s="536">
        <v>4774.0284905367334</v>
      </c>
      <c r="G25" s="536">
        <v>7427.6100694000434</v>
      </c>
      <c r="H25" s="279">
        <f t="shared" si="3"/>
        <v>0.93373661215068116</v>
      </c>
      <c r="I25" s="248"/>
      <c r="J25" s="247" t="s">
        <v>10</v>
      </c>
      <c r="K25" s="247"/>
      <c r="L25" s="321">
        <v>0</v>
      </c>
      <c r="M25" s="321">
        <v>0</v>
      </c>
      <c r="N25" s="321">
        <v>0</v>
      </c>
      <c r="O25" s="321">
        <v>0</v>
      </c>
      <c r="P25" s="279" t="str">
        <f>IF(L25=0,"nm",IF(O25=0,"nm",(O25/L25)^(1/3)-1))</f>
        <v>nm</v>
      </c>
      <c r="S25" s="42"/>
      <c r="T25" s="42"/>
      <c r="U25" s="42"/>
      <c r="V25" s="147" t="s">
        <v>268</v>
      </c>
      <c r="W25" s="288">
        <f>D37/L9</f>
        <v>1.0373638040791364</v>
      </c>
      <c r="X25" s="288">
        <v>1</v>
      </c>
      <c r="Y25" s="42"/>
      <c r="Z25" s="42"/>
      <c r="AA25" s="42"/>
    </row>
    <row r="26" spans="2:27">
      <c r="B26" s="5" t="s">
        <v>581</v>
      </c>
      <c r="C26" s="544">
        <v>671.77296000000001</v>
      </c>
      <c r="D26" s="536">
        <v>739.58761997111799</v>
      </c>
      <c r="E26" s="536">
        <v>1118.8663665262902</v>
      </c>
      <c r="F26" s="536">
        <v>3437.3005131864479</v>
      </c>
      <c r="G26" s="536">
        <v>5347.8792499680312</v>
      </c>
      <c r="H26" s="279">
        <f t="shared" si="3"/>
        <v>0.93373661215068116</v>
      </c>
      <c r="I26" s="249"/>
      <c r="J26" s="249" t="s">
        <v>11</v>
      </c>
      <c r="K26" s="249"/>
      <c r="L26" s="281">
        <f>D11+L25</f>
        <v>36594.538724999999</v>
      </c>
      <c r="M26" s="281">
        <f>E11+M25</f>
        <v>36594.538724999999</v>
      </c>
      <c r="N26" s="281">
        <f>F11+N25</f>
        <v>36594.538724999999</v>
      </c>
      <c r="O26" s="281">
        <f>G11+O25</f>
        <v>36594.538724999999</v>
      </c>
      <c r="P26" s="279">
        <f>IF(L26=0,"nm",IF(O26=0,"nm",(O26/L26)^(1/3)-1))</f>
        <v>0</v>
      </c>
      <c r="Q26" s="5"/>
      <c r="S26" s="42"/>
      <c r="T26" s="42"/>
      <c r="U26" s="42"/>
      <c r="V26" s="147" t="s">
        <v>180</v>
      </c>
      <c r="W26" s="288">
        <f t="shared" ref="W26:W33" si="5">D38/L10</f>
        <v>0.89442496635078161</v>
      </c>
      <c r="X26" s="288">
        <v>1</v>
      </c>
      <c r="Y26" s="42"/>
      <c r="Z26" s="42"/>
      <c r="AA26" s="42"/>
    </row>
    <row r="27" spans="2:27">
      <c r="B27" s="5" t="s">
        <v>582</v>
      </c>
      <c r="C27" s="545">
        <v>47544.320999999996</v>
      </c>
      <c r="D27" s="536">
        <v>54100.975317733173</v>
      </c>
      <c r="E27" s="536">
        <v>58957.771290202203</v>
      </c>
      <c r="F27" s="536">
        <v>61490.885115926321</v>
      </c>
      <c r="G27" s="536">
        <v>62358.143410489669</v>
      </c>
      <c r="H27" s="279">
        <f t="shared" si="3"/>
        <v>4.8486140250052712E-2</v>
      </c>
      <c r="I27" s="249"/>
      <c r="Q27" s="41"/>
      <c r="S27" s="42"/>
      <c r="T27" s="42"/>
      <c r="U27" s="42"/>
      <c r="V27" s="147" t="s">
        <v>181</v>
      </c>
      <c r="W27" s="288">
        <f t="shared" si="5"/>
        <v>4.7415145377166503</v>
      </c>
      <c r="X27" s="288">
        <v>1</v>
      </c>
      <c r="Y27" s="42"/>
      <c r="Z27" s="42"/>
      <c r="AA27" s="42"/>
    </row>
    <row r="28" spans="2:27" ht="12.6" thickBot="1">
      <c r="B28" s="5" t="s">
        <v>587</v>
      </c>
      <c r="C28" s="544">
        <v>46236.025999999998</v>
      </c>
      <c r="D28" s="536">
        <v>49900.837217883869</v>
      </c>
      <c r="E28" s="536">
        <v>55103.098455615887</v>
      </c>
      <c r="F28" s="536">
        <v>57696.345764063837</v>
      </c>
      <c r="G28" s="536">
        <v>58420.187549683222</v>
      </c>
      <c r="H28" s="279">
        <f t="shared" si="3"/>
        <v>5.3946028302531701E-2</v>
      </c>
      <c r="I28" s="248"/>
      <c r="J28" s="306" t="s">
        <v>1352</v>
      </c>
      <c r="K28" s="306"/>
      <c r="L28" s="306"/>
      <c r="M28" s="306"/>
      <c r="N28" s="266"/>
      <c r="O28" s="266"/>
      <c r="P28" s="266"/>
      <c r="Q28" s="5"/>
      <c r="S28" s="42"/>
      <c r="T28" s="42"/>
      <c r="U28" s="42"/>
      <c r="V28" s="147" t="s">
        <v>461</v>
      </c>
      <c r="W28" s="288">
        <f t="shared" si="5"/>
        <v>4.7415145377166503</v>
      </c>
      <c r="X28" s="288">
        <v>1</v>
      </c>
      <c r="Y28" s="42"/>
      <c r="Z28" s="42"/>
      <c r="AA28" s="42"/>
    </row>
    <row r="29" spans="2:27" ht="12.6" thickTop="1">
      <c r="B29" s="5" t="s">
        <v>583</v>
      </c>
      <c r="C29" s="544">
        <v>-225.32793046591831</v>
      </c>
      <c r="D29" s="536">
        <v>1492.3009008801339</v>
      </c>
      <c r="E29" s="536">
        <v>2021.3860927579076</v>
      </c>
      <c r="F29" s="536">
        <v>4968.7630011968586</v>
      </c>
      <c r="G29" s="536">
        <v>7075.688524662809</v>
      </c>
      <c r="H29" s="279">
        <f t="shared" si="3"/>
        <v>0.67997996269311889</v>
      </c>
      <c r="I29" s="252"/>
      <c r="J29" s="249"/>
      <c r="K29" s="249"/>
      <c r="L29" s="249"/>
      <c r="M29" s="249"/>
      <c r="N29" s="249"/>
      <c r="O29" s="251"/>
      <c r="Q29" s="5"/>
      <c r="S29" s="42"/>
      <c r="T29" s="42"/>
      <c r="U29" s="42"/>
      <c r="V29" s="147" t="s">
        <v>525</v>
      </c>
      <c r="W29" s="288">
        <f t="shared" si="5"/>
        <v>0.92376958047369662</v>
      </c>
      <c r="X29" s="288">
        <v>1</v>
      </c>
      <c r="Y29" s="42"/>
      <c r="Z29" s="42"/>
      <c r="AA29" s="42"/>
    </row>
    <row r="30" spans="2:27">
      <c r="B30" s="5" t="s">
        <v>584</v>
      </c>
      <c r="C30" s="545">
        <v>5454.7901675560006</v>
      </c>
      <c r="D30" s="536">
        <v>6620.2032763935722</v>
      </c>
      <c r="E30" s="536">
        <v>7134.0330574466734</v>
      </c>
      <c r="F30" s="536">
        <v>7524.2884886978709</v>
      </c>
      <c r="G30" s="536">
        <v>7783.6518600395111</v>
      </c>
      <c r="H30" s="279">
        <f t="shared" si="3"/>
        <v>5.5449259116693295E-2</v>
      </c>
      <c r="I30" s="254"/>
      <c r="J30" s="248"/>
      <c r="K30" s="248"/>
      <c r="L30" s="248"/>
      <c r="M30" s="248"/>
      <c r="N30" s="248"/>
      <c r="O30" s="5"/>
      <c r="Q30" s="5"/>
      <c r="S30" s="42"/>
      <c r="T30" s="42"/>
      <c r="U30" s="42"/>
      <c r="V30" s="147" t="s">
        <v>588</v>
      </c>
      <c r="W30" s="288">
        <f t="shared" si="5"/>
        <v>0.50581286267525083</v>
      </c>
      <c r="X30" s="288">
        <v>1</v>
      </c>
      <c r="Y30" s="42"/>
      <c r="Z30" s="42"/>
      <c r="AA30" s="42"/>
    </row>
    <row r="31" spans="2:27">
      <c r="B31" s="5" t="s">
        <v>585</v>
      </c>
      <c r="C31" s="545">
        <v>2538.5477999999998</v>
      </c>
      <c r="D31" s="536">
        <v>2665.4751900000001</v>
      </c>
      <c r="E31" s="536">
        <v>2798.7489495</v>
      </c>
      <c r="F31" s="536">
        <v>3078.6238444500004</v>
      </c>
      <c r="G31" s="536">
        <v>3386.4862288950007</v>
      </c>
      <c r="H31" s="279">
        <f t="shared" si="3"/>
        <v>8.3074231263342124E-2</v>
      </c>
      <c r="I31" s="254"/>
      <c r="J31" s="252"/>
      <c r="K31" s="252"/>
      <c r="L31" s="252"/>
      <c r="M31" s="252"/>
      <c r="N31" s="252"/>
      <c r="O31" s="5"/>
      <c r="Q31" s="5"/>
      <c r="S31" s="42"/>
      <c r="T31" s="42"/>
      <c r="U31" s="42"/>
      <c r="V31" s="147" t="s">
        <v>470</v>
      </c>
      <c r="W31" s="288">
        <f t="shared" si="5"/>
        <v>4.4497163972496834</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42"/>
      <c r="T32" s="42"/>
      <c r="U32" s="42"/>
      <c r="V32" s="147" t="s">
        <v>528</v>
      </c>
      <c r="W32" s="288">
        <f t="shared" si="5"/>
        <v>0.72721571979193911</v>
      </c>
      <c r="X32" s="288">
        <v>1</v>
      </c>
      <c r="Y32" s="42"/>
      <c r="Z32" s="42"/>
      <c r="AA32" s="42"/>
    </row>
    <row r="33" spans="2:27">
      <c r="B33" s="5" t="s">
        <v>5</v>
      </c>
      <c r="C33" s="545">
        <v>-1196</v>
      </c>
      <c r="D33" s="536">
        <v>-1971.1278558182141</v>
      </c>
      <c r="E33" s="536">
        <v>-2088.1978704749054</v>
      </c>
      <c r="F33" s="536">
        <v>-1855.8134270626201</v>
      </c>
      <c r="G33" s="536">
        <v>-1379.2444090934889</v>
      </c>
      <c r="H33" s="279">
        <f>IF(D33=0,"nm",IF(G33=0,"nm",(G33/D33)^(1/3)-1))</f>
        <v>-0.11221293670387811</v>
      </c>
      <c r="I33" s="5"/>
      <c r="J33" s="254"/>
      <c r="K33" s="254"/>
      <c r="L33" s="254"/>
      <c r="M33" s="254"/>
      <c r="N33" s="254"/>
      <c r="O33" s="251"/>
      <c r="Q33" s="5"/>
      <c r="S33" s="42"/>
      <c r="T33" s="42"/>
      <c r="U33" s="42"/>
      <c r="V33" s="147" t="s">
        <v>575</v>
      </c>
      <c r="W33" s="288">
        <f t="shared" si="5"/>
        <v>1.9322530563404012</v>
      </c>
      <c r="X33" s="288">
        <v>1</v>
      </c>
      <c r="Y33" s="42"/>
      <c r="Z33" s="42"/>
      <c r="AA33" s="42"/>
    </row>
    <row r="34" spans="2:27">
      <c r="H34" s="277"/>
      <c r="I34" s="49"/>
      <c r="J34" s="254"/>
      <c r="K34" s="254"/>
      <c r="L34" s="254"/>
      <c r="M34" s="254"/>
      <c r="N34" s="254"/>
      <c r="O34" s="251"/>
      <c r="Q34" s="5"/>
      <c r="S34" s="42"/>
      <c r="T34" s="42"/>
      <c r="U34" s="42"/>
      <c r="V34" s="147" t="s">
        <v>576</v>
      </c>
      <c r="W34" s="288">
        <f>D47/L19</f>
        <v>0.22473342359933055</v>
      </c>
      <c r="X34" s="288">
        <v>1</v>
      </c>
      <c r="Y34" s="288"/>
      <c r="Z34" s="288"/>
      <c r="AA34" s="42"/>
    </row>
    <row r="35" spans="2:27" ht="12.6" thickBot="1">
      <c r="B35" s="306" t="s">
        <v>816</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2.017650781372808</v>
      </c>
      <c r="E37" s="525">
        <f t="shared" ref="E37:G41" si="7">E$18/E23</f>
        <v>1.8821414201573405</v>
      </c>
      <c r="F37" s="525">
        <f t="shared" si="7"/>
        <v>1.7050072757058103</v>
      </c>
      <c r="G37" s="525">
        <f t="shared" si="7"/>
        <v>1.4777155728471059</v>
      </c>
      <c r="H37" s="17">
        <f t="shared" ref="H37:H45" si="8">H23</f>
        <v>8.7144697988267739E-2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4.5387683382261947</v>
      </c>
      <c r="E38" s="525">
        <f t="shared" si="7"/>
        <v>4.3045539372929156</v>
      </c>
      <c r="F38" s="525">
        <f t="shared" si="7"/>
        <v>3.8378971447555221</v>
      </c>
      <c r="G38" s="525">
        <f t="shared" si="7"/>
        <v>3.3254633740954049</v>
      </c>
      <c r="H38" s="17">
        <f t="shared" si="8"/>
        <v>8.7003439023187523E-2</v>
      </c>
      <c r="I38" s="259"/>
      <c r="J38" s="17"/>
      <c r="K38" s="17"/>
      <c r="L38" s="17"/>
      <c r="M38" s="17"/>
      <c r="N38" s="17"/>
      <c r="O38" s="5"/>
      <c r="Q38" s="5"/>
      <c r="R38" s="5"/>
      <c r="S38" s="42"/>
      <c r="T38" s="42"/>
      <c r="U38" s="42"/>
      <c r="V38" s="42"/>
      <c r="W38" s="42"/>
      <c r="X38" s="42"/>
      <c r="Y38" s="42"/>
      <c r="Z38" s="42"/>
      <c r="AA38" s="42"/>
    </row>
    <row r="39" spans="2:27">
      <c r="B39" s="5" t="s">
        <v>181</v>
      </c>
      <c r="C39" s="247"/>
      <c r="D39" s="525">
        <f>D$18/D25</f>
        <v>58.419858551638782</v>
      </c>
      <c r="E39" s="525">
        <f t="shared" si="7"/>
        <v>39.838536317740392</v>
      </c>
      <c r="F39" s="525">
        <f t="shared" si="7"/>
        <v>12.699711237850991</v>
      </c>
      <c r="G39" s="525">
        <f t="shared" si="7"/>
        <v>7.6028329430549046</v>
      </c>
      <c r="H39" s="17">
        <f t="shared" si="8"/>
        <v>0.93373661215068116</v>
      </c>
      <c r="I39" s="17"/>
      <c r="J39" s="5"/>
      <c r="K39" s="5"/>
      <c r="L39" s="5"/>
      <c r="M39" s="5"/>
      <c r="N39" s="5"/>
      <c r="O39" s="5"/>
      <c r="Q39" s="5"/>
      <c r="R39" s="5"/>
      <c r="S39" s="42"/>
      <c r="T39" s="42"/>
      <c r="U39" s="42"/>
      <c r="V39" s="42"/>
      <c r="W39" s="42"/>
      <c r="X39" s="42"/>
      <c r="Y39" s="42"/>
      <c r="Z39" s="42"/>
      <c r="AA39" s="42"/>
    </row>
    <row r="40" spans="2:27">
      <c r="B40" s="5" t="s">
        <v>461</v>
      </c>
      <c r="C40" s="247"/>
      <c r="D40" s="525">
        <f>D$18/D26</f>
        <v>81.138692432831633</v>
      </c>
      <c r="E40" s="525">
        <f t="shared" si="7"/>
        <v>55.331300441306098</v>
      </c>
      <c r="F40" s="525">
        <f t="shared" si="7"/>
        <v>17.638487830348598</v>
      </c>
      <c r="G40" s="525">
        <f t="shared" si="7"/>
        <v>10.559490198687367</v>
      </c>
      <c r="H40" s="17">
        <f t="shared" si="8"/>
        <v>0.93373661215068116</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1.109206850182177</v>
      </c>
      <c r="E41" s="525">
        <f t="shared" si="7"/>
        <v>1.0500453074322165</v>
      </c>
      <c r="F41" s="525">
        <f t="shared" si="7"/>
        <v>0.98598000592753088</v>
      </c>
      <c r="G41" s="525">
        <f t="shared" si="7"/>
        <v>0.90558947773774867</v>
      </c>
      <c r="H41" s="17">
        <f t="shared" si="8"/>
        <v>4.8486140250052712E-2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1.2025684491413691</v>
      </c>
      <c r="E42" s="525">
        <f>E18/E28</f>
        <v>1.123499999365811</v>
      </c>
      <c r="F42" s="525">
        <f>F18/F28</f>
        <v>1.050825359356689</v>
      </c>
      <c r="G42" s="525">
        <f>G18/G28</f>
        <v>0.96663295501705693</v>
      </c>
      <c r="H42" s="17">
        <f t="shared" si="8"/>
        <v>5.3946028302531701E-2</v>
      </c>
      <c r="I42" s="248"/>
      <c r="J42" s="5"/>
      <c r="K42" s="5"/>
      <c r="L42" s="5"/>
      <c r="M42" s="5"/>
      <c r="N42" s="5"/>
      <c r="O42" s="5"/>
      <c r="Q42" s="5"/>
      <c r="R42" s="5"/>
      <c r="S42" s="42"/>
      <c r="T42" s="42"/>
      <c r="U42" s="42"/>
      <c r="V42" s="42"/>
      <c r="W42" s="288"/>
      <c r="X42" s="288"/>
      <c r="Y42" s="288"/>
      <c r="Z42" s="288"/>
      <c r="AA42" s="42"/>
    </row>
    <row r="43" spans="2:27">
      <c r="B43" s="5" t="s">
        <v>470</v>
      </c>
      <c r="C43" s="247"/>
      <c r="D43" s="525">
        <f>L26/D29</f>
        <v>24.522225178191047</v>
      </c>
      <c r="E43" s="525">
        <f>M26/E29</f>
        <v>18.103685810498334</v>
      </c>
      <c r="F43" s="525">
        <f>N26/F29</f>
        <v>7.3649193403237856</v>
      </c>
      <c r="G43" s="525">
        <f>O26/G29</f>
        <v>5.1718696487906675</v>
      </c>
      <c r="H43" s="17">
        <f t="shared" si="8"/>
        <v>0.67997996269311889</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5.5277062043531799</v>
      </c>
      <c r="E44" s="525">
        <f>E11/E30</f>
        <v>5.1295723513366323</v>
      </c>
      <c r="F44" s="525">
        <f>F11/F30</f>
        <v>4.8635214851169177</v>
      </c>
      <c r="G44" s="525">
        <f>G11/G30</f>
        <v>4.7014613940883834</v>
      </c>
      <c r="H44" s="17">
        <f t="shared" si="8"/>
        <v>5.5449259116693295E-2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7.2838059526599497E-2</v>
      </c>
      <c r="E45" s="248">
        <f>E31/E11</f>
        <v>7.6479962502929461E-2</v>
      </c>
      <c r="F45" s="248">
        <f>F31/F11</f>
        <v>8.4127958753222418E-2</v>
      </c>
      <c r="G45" s="248">
        <f>G31/G11</f>
        <v>9.2540754628544664E-2</v>
      </c>
      <c r="H45" s="17">
        <f t="shared" si="8"/>
        <v>8.3074231263342124E-2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7.2838059526599497E-2</v>
      </c>
      <c r="E46" s="248">
        <f>(E31+E32)/E11</f>
        <v>7.6479962502929461E-2</v>
      </c>
      <c r="F46" s="248">
        <f>(F31+F32)/F11</f>
        <v>8.4127958753222418E-2</v>
      </c>
      <c r="G46" s="248">
        <f>(G31+G32)/G11</f>
        <v>9.2540754628544664E-2</v>
      </c>
      <c r="H46" s="279">
        <f>((G31+G32)/(D31+D32))^(1/3)-1</f>
        <v>8.3074231263342124E-2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4.0779333552868384E-2</v>
      </c>
      <c r="E47" s="248">
        <f>1/E43</f>
        <v>5.5237370470719263E-2</v>
      </c>
      <c r="F47" s="248">
        <f>1/F43</f>
        <v>0.13577881220299104</v>
      </c>
      <c r="G47" s="248">
        <f>1/G43</f>
        <v>0.19335367437843853</v>
      </c>
      <c r="H47" s="17">
        <f>H29</f>
        <v>0.67997996269311889</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1.7861512972537561</v>
      </c>
      <c r="E48" s="305">
        <f>E31/E29</f>
        <v>1.3845692119517286</v>
      </c>
      <c r="F48" s="305">
        <f>F31/F29</f>
        <v>0.61959563048356947</v>
      </c>
      <c r="G48" s="305">
        <f>G31/G29</f>
        <v>0.47860872013955469</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ageMargins left="0.75" right="0.75" top="1" bottom="1" header="0.5" footer="0.5"/>
  <pageSetup scale="7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4">
    <tabColor theme="3" tint="0.79998168889431442"/>
    <pageSetUpPr autoPageBreaks="0"/>
  </sheetPr>
  <dimension ref="A1:DI812"/>
  <sheetViews>
    <sheetView showGridLines="0" zoomScale="80" zoomScaleNormal="80" zoomScaleSheetLayoutView="72" workbookViewId="0">
      <pane ySplit="5" topLeftCell="A6" activePane="bottomLeft" state="frozen"/>
      <selection pane="bottomLeft"/>
    </sheetView>
  </sheetViews>
  <sheetFormatPr defaultColWidth="8.88671875" defaultRowHeight="12"/>
  <cols>
    <col min="1" max="1" width="20" style="39" customWidth="1"/>
    <col min="2" max="2" width="2.33203125" style="42" customWidth="1"/>
    <col min="3" max="3" width="26.5546875" style="39" customWidth="1"/>
    <col min="4" max="4" width="11.109375" style="39" customWidth="1"/>
    <col min="5" max="7" width="11.109375" style="5" customWidth="1"/>
    <col min="8" max="8" width="2.33203125" style="39" customWidth="1"/>
    <col min="9" max="12" width="11.109375" style="39" customWidth="1"/>
    <col min="13" max="13" width="11.109375" style="69" customWidth="1"/>
    <col min="14" max="14" width="2.33203125" style="39" customWidth="1"/>
    <col min="15" max="18" width="11.109375" style="39" customWidth="1"/>
    <col min="19" max="19" width="11.109375" style="69" customWidth="1"/>
    <col min="20" max="20" width="2.33203125" style="39" customWidth="1"/>
    <col min="21" max="21" width="11.109375" style="39" customWidth="1"/>
    <col min="22" max="22" width="26.5546875" style="39" customWidth="1"/>
    <col min="23" max="24" width="9.44140625" style="5" bestFit="1" customWidth="1"/>
    <col min="25" max="25" width="10.33203125" style="5" customWidth="1"/>
    <col min="26" max="26" width="3.6640625" style="5" customWidth="1"/>
    <col min="27" max="27" width="10.5546875" style="5" customWidth="1"/>
    <col min="28" max="28" width="8.6640625" style="63" bestFit="1" customWidth="1"/>
    <col min="29" max="29" width="8" style="5" bestFit="1" customWidth="1"/>
    <col min="30" max="32" width="9.109375" style="5"/>
    <col min="33" max="33" width="10.44140625" style="5" bestFit="1" customWidth="1"/>
    <col min="34" max="46" width="9.109375" style="5"/>
    <col min="47" max="47" width="22.5546875" style="5" bestFit="1" customWidth="1"/>
    <col min="48" max="48" width="18.5546875" style="5" bestFit="1" customWidth="1"/>
    <col min="49" max="52" width="9.109375" style="5"/>
    <col min="53" max="53" width="26.33203125" style="5" customWidth="1"/>
    <col min="54" max="54" width="18" style="5" bestFit="1" customWidth="1"/>
    <col min="55" max="113" width="9.109375" style="5" customWidth="1"/>
    <col min="114" max="118" width="9.109375" style="39" customWidth="1"/>
    <col min="119" max="16384" width="8.88671875" style="39"/>
  </cols>
  <sheetData>
    <row r="1" spans="1:69" s="149" customFormat="1">
      <c r="A1" s="131"/>
      <c r="B1" s="148"/>
      <c r="F1" s="150"/>
      <c r="M1" s="151"/>
      <c r="S1" s="151"/>
      <c r="AB1" s="152"/>
      <c r="AC1" s="152"/>
    </row>
    <row r="2" spans="1:69" s="149" customFormat="1">
      <c r="A2" s="131"/>
      <c r="B2" s="148"/>
      <c r="M2" s="151"/>
      <c r="S2" s="151"/>
      <c r="AB2" s="152"/>
      <c r="AC2" s="152"/>
    </row>
    <row r="3" spans="1:69" s="149" customFormat="1">
      <c r="A3" s="131"/>
      <c r="B3" s="148"/>
      <c r="U3" s="153"/>
      <c r="AB3" s="152"/>
      <c r="AC3" s="152"/>
    </row>
    <row r="4" spans="1:69" s="156" customFormat="1" ht="21">
      <c r="A4" s="128"/>
      <c r="B4" s="154"/>
      <c r="C4" s="155" t="s">
        <v>195</v>
      </c>
      <c r="AB4" s="157"/>
      <c r="AC4" s="157"/>
    </row>
    <row r="5" spans="1:69" s="131" customFormat="1">
      <c r="B5" s="158"/>
      <c r="D5" s="153"/>
      <c r="E5" s="153"/>
      <c r="F5" s="153"/>
      <c r="G5" s="153"/>
      <c r="H5" s="153"/>
      <c r="I5" s="153" t="str" cm="1">
        <f t="array" ref="I5:M5">headings</f>
        <v>2023E</v>
      </c>
      <c r="J5" s="153" t="str">
        <v>2024E</v>
      </c>
      <c r="K5" s="153" t="str">
        <v>2025E</v>
      </c>
      <c r="L5" s="153" t="str">
        <v>2026E</v>
      </c>
      <c r="M5" s="153" t="str">
        <v>23E-26E</v>
      </c>
      <c r="O5" s="153" t="str" cm="1">
        <f t="array" ref="O5:S5">headings</f>
        <v>2023E</v>
      </c>
      <c r="P5" s="153" t="str">
        <v>2024E</v>
      </c>
      <c r="Q5" s="153" t="str">
        <v>2025E</v>
      </c>
      <c r="R5" s="153" t="str">
        <v>2026E</v>
      </c>
      <c r="S5" s="153" t="str">
        <v>23E-26E</v>
      </c>
      <c r="T5" s="153"/>
      <c r="U5" s="160"/>
      <c r="V5" s="161"/>
      <c r="Z5" s="153"/>
      <c r="AC5" s="161"/>
      <c r="AD5" s="162"/>
      <c r="AE5" s="162"/>
      <c r="AF5" s="162"/>
      <c r="AG5" s="162"/>
      <c r="AH5" s="162"/>
      <c r="AI5" s="162"/>
      <c r="AJ5" s="162"/>
      <c r="AK5" s="162"/>
      <c r="AL5" s="162"/>
      <c r="AM5" s="162"/>
      <c r="AN5" s="162"/>
      <c r="AO5" s="162"/>
      <c r="AP5" s="162"/>
      <c r="AQ5" s="162"/>
      <c r="AR5" s="162"/>
      <c r="AS5" s="162"/>
      <c r="AT5" s="162"/>
      <c r="AU5" s="162"/>
      <c r="AV5" s="162"/>
      <c r="AW5" s="162"/>
      <c r="BC5" s="163"/>
      <c r="BD5" s="163"/>
      <c r="BE5" s="163"/>
      <c r="BG5" s="163"/>
      <c r="BH5" s="163"/>
      <c r="BI5" s="163"/>
      <c r="BK5" s="163"/>
      <c r="BL5" s="163"/>
      <c r="BM5" s="163"/>
      <c r="BO5" s="163"/>
      <c r="BP5" s="163"/>
      <c r="BQ5" s="163"/>
    </row>
    <row r="6" spans="1:69" s="5" customFormat="1">
      <c r="B6" s="42"/>
      <c r="D6" s="49"/>
      <c r="E6" s="69"/>
      <c r="F6" s="69"/>
      <c r="G6" s="69"/>
      <c r="H6" s="134"/>
      <c r="I6" s="622"/>
      <c r="J6" s="622"/>
      <c r="K6" s="622"/>
      <c r="L6" s="622"/>
      <c r="M6" s="622"/>
      <c r="N6" s="46"/>
      <c r="O6" s="50"/>
      <c r="P6" s="50"/>
      <c r="Q6" s="50"/>
      <c r="R6" s="50"/>
      <c r="S6" s="50"/>
      <c r="T6" s="46"/>
      <c r="U6" s="134"/>
      <c r="V6" s="63"/>
      <c r="Z6" s="49"/>
      <c r="AT6" s="69"/>
      <c r="AU6" s="69"/>
      <c r="AV6" s="69"/>
      <c r="AW6" s="69"/>
      <c r="BC6" s="65"/>
      <c r="BD6" s="65"/>
      <c r="BE6" s="65"/>
      <c r="BG6" s="65"/>
      <c r="BH6" s="65"/>
      <c r="BI6" s="65"/>
      <c r="BK6" s="65"/>
      <c r="BL6" s="65"/>
      <c r="BM6" s="65"/>
      <c r="BO6" s="65"/>
      <c r="BP6" s="65"/>
      <c r="BQ6" s="65"/>
    </row>
    <row r="7" spans="1:69" s="41" customFormat="1">
      <c r="B7" s="147"/>
      <c r="C7" s="164"/>
      <c r="D7" s="165" t="s">
        <v>459</v>
      </c>
      <c r="E7" s="165" t="s">
        <v>56</v>
      </c>
      <c r="F7" s="165" t="s">
        <v>58</v>
      </c>
      <c r="G7" s="165" t="s">
        <v>55</v>
      </c>
      <c r="H7" s="134"/>
      <c r="I7" s="166" t="s">
        <v>180</v>
      </c>
      <c r="J7" s="166"/>
      <c r="K7" s="166"/>
      <c r="L7" s="166"/>
      <c r="M7" s="166"/>
      <c r="N7" s="46"/>
      <c r="O7" s="166" t="s">
        <v>181</v>
      </c>
      <c r="P7" s="166"/>
      <c r="Q7" s="166"/>
      <c r="R7" s="166"/>
      <c r="S7" s="166"/>
      <c r="T7" s="46"/>
      <c r="U7" s="167" t="s">
        <v>459</v>
      </c>
      <c r="V7" s="165"/>
      <c r="Z7" s="49"/>
      <c r="AC7" s="135"/>
      <c r="AD7" s="136"/>
      <c r="AE7" s="136"/>
      <c r="AF7" s="136"/>
      <c r="AG7" s="136"/>
      <c r="AH7" s="136"/>
      <c r="AI7" s="136"/>
      <c r="AJ7" s="136"/>
      <c r="AK7" s="136"/>
      <c r="AL7" s="136"/>
      <c r="AM7" s="136"/>
      <c r="AN7" s="136"/>
      <c r="AO7" s="136"/>
      <c r="AP7" s="136"/>
      <c r="AQ7" s="136"/>
      <c r="AR7" s="136"/>
      <c r="AS7" s="136"/>
      <c r="AT7" s="136"/>
      <c r="AU7" s="136"/>
      <c r="AV7" s="136"/>
      <c r="AW7" s="136"/>
      <c r="BC7" s="137"/>
      <c r="BD7" s="137"/>
      <c r="BE7" s="137"/>
      <c r="BG7" s="137"/>
      <c r="BH7" s="137"/>
      <c r="BI7" s="137"/>
      <c r="BK7" s="137"/>
      <c r="BL7" s="137"/>
      <c r="BM7" s="137"/>
      <c r="BO7" s="137"/>
      <c r="BP7" s="137"/>
      <c r="BQ7" s="137"/>
    </row>
    <row r="8" spans="1:69" s="5" customFormat="1">
      <c r="A8" s="41" t="s">
        <v>501</v>
      </c>
      <c r="B8" s="42" t="s">
        <v>226</v>
      </c>
      <c r="C8" s="48" t="s">
        <v>400</v>
      </c>
      <c r="D8" s="44" t="str">
        <f>'EM Multiples'!B8&amp;TEXT(Prices!C104/100,"0.0")</f>
        <v>ZAR 27.6</v>
      </c>
      <c r="E8" s="44" t="str">
        <f>'EM Multiples'!B8&amp;TEXT(Prices!E104/100,"0.0")</f>
        <v>ZAR 56.0</v>
      </c>
      <c r="F8" s="45">
        <f>Prices!F104</f>
        <v>1.0326678765880217</v>
      </c>
      <c r="G8" s="44" t="str">
        <f>Prices!D104</f>
        <v>Neutral</v>
      </c>
      <c r="H8" s="134"/>
      <c r="I8" s="47">
        <f>TKG!$D$38</f>
        <v>1.5988183551359907</v>
      </c>
      <c r="J8" s="47">
        <f>TKG!$E$38</f>
        <v>1.3858387424657825</v>
      </c>
      <c r="K8" s="47">
        <f>TKG!$F$38</f>
        <v>1.152691488671955</v>
      </c>
      <c r="L8" s="47">
        <f>TKG!$G$38</f>
        <v>0.90971350311033594</v>
      </c>
      <c r="M8" s="45">
        <f>TKG!$H$38</f>
        <v>6.71694721895566E-3</v>
      </c>
      <c r="N8" s="46"/>
      <c r="O8" s="47">
        <f>TKG!$D$39</f>
        <v>3.534026270652816</v>
      </c>
      <c r="P8" s="47">
        <f>TKG!$E$39</f>
        <v>3.0102198667929545</v>
      </c>
      <c r="Q8" s="47">
        <f>TKG!$F$39</f>
        <v>2.5517996503580394</v>
      </c>
      <c r="R8" s="47">
        <f>TKG!$G$39</f>
        <v>2.013901049826865</v>
      </c>
      <c r="S8" s="45">
        <f>TKG!$H$39</f>
        <v>6.2049124089686991E-3</v>
      </c>
      <c r="T8" s="46"/>
      <c r="U8" s="48" t="str">
        <f t="shared" ref="U8" si="0">D8</f>
        <v>ZAR 27.6</v>
      </c>
      <c r="V8" s="44" t="s">
        <v>400</v>
      </c>
      <c r="Z8" s="46"/>
      <c r="AE8" s="41"/>
      <c r="AF8" s="31"/>
      <c r="AG8" s="31"/>
      <c r="AI8" s="41"/>
      <c r="AJ8" s="64"/>
      <c r="AK8" s="64"/>
      <c r="AM8" s="41"/>
      <c r="AN8" s="64"/>
      <c r="AO8" s="64"/>
      <c r="AQ8" s="41"/>
      <c r="AR8" s="64"/>
      <c r="AS8" s="64"/>
      <c r="BC8" s="65"/>
      <c r="BD8" s="65"/>
      <c r="BE8" s="65"/>
      <c r="BG8" s="65"/>
      <c r="BH8" s="65"/>
      <c r="BI8" s="65"/>
      <c r="BK8" s="65"/>
      <c r="BL8" s="65"/>
      <c r="BM8" s="65"/>
      <c r="BO8" s="65"/>
      <c r="BP8" s="65"/>
      <c r="BQ8" s="65"/>
    </row>
    <row r="9" spans="1:69" s="5" customFormat="1">
      <c r="B9" s="42"/>
      <c r="C9" s="51" t="s">
        <v>94</v>
      </c>
      <c r="D9" s="58"/>
      <c r="E9" s="58"/>
      <c r="F9" s="55"/>
      <c r="G9" s="58"/>
      <c r="H9" s="134"/>
      <c r="I9" s="54">
        <f>'EMEA INCUMB'!$D$38</f>
        <v>1.5988183551359907</v>
      </c>
      <c r="J9" s="54">
        <f>'EMEA INCUMB'!$E$38</f>
        <v>1.3858387424657825</v>
      </c>
      <c r="K9" s="54">
        <f>'EMEA INCUMB'!$F$38</f>
        <v>1.152691488671955</v>
      </c>
      <c r="L9" s="54">
        <f>'EMEA INCUMB'!$G$38</f>
        <v>0.90971350311033605</v>
      </c>
      <c r="M9" s="55">
        <f>'EMEA INCUMB'!$H$38</f>
        <v>6.71694721895566E-3</v>
      </c>
      <c r="N9" s="56"/>
      <c r="O9" s="54">
        <f>'EMEA INCUMB'!$D$39</f>
        <v>3.534026270652816</v>
      </c>
      <c r="P9" s="54">
        <f>'EMEA INCUMB'!$E$39</f>
        <v>3.0102198667929545</v>
      </c>
      <c r="Q9" s="54">
        <f>'EMEA INCUMB'!$F$39</f>
        <v>2.5517996503580389</v>
      </c>
      <c r="R9" s="54">
        <f>'EMEA INCUMB'!$G$39</f>
        <v>2.0139010498268655</v>
      </c>
      <c r="S9" s="55">
        <f>'EMEA INCUMB'!$H$39</f>
        <v>6.2049124089686991E-3</v>
      </c>
      <c r="T9" s="56"/>
      <c r="U9" s="51"/>
      <c r="V9" s="58" t="s">
        <v>94</v>
      </c>
      <c r="Z9" s="46"/>
      <c r="AE9" s="41"/>
      <c r="AF9" s="31"/>
      <c r="AG9" s="31"/>
      <c r="AI9" s="41"/>
      <c r="AJ9" s="64"/>
      <c r="AK9" s="64"/>
      <c r="AM9" s="41"/>
      <c r="AN9" s="64"/>
      <c r="AO9" s="64"/>
      <c r="AQ9" s="41"/>
      <c r="AR9" s="64"/>
      <c r="AS9" s="64"/>
      <c r="BC9" s="65"/>
      <c r="BD9" s="65"/>
      <c r="BE9" s="65"/>
      <c r="BG9" s="65"/>
      <c r="BH9" s="65"/>
      <c r="BI9" s="65"/>
      <c r="BK9" s="65"/>
      <c r="BL9" s="65"/>
      <c r="BM9" s="65"/>
      <c r="BO9" s="65"/>
      <c r="BP9" s="65"/>
      <c r="BQ9" s="65"/>
    </row>
    <row r="10" spans="1:69" s="5" customFormat="1">
      <c r="B10" s="42"/>
      <c r="C10" s="48"/>
      <c r="D10" s="44"/>
      <c r="E10" s="44"/>
      <c r="F10" s="68"/>
      <c r="G10" s="44"/>
      <c r="H10" s="134"/>
      <c r="I10" s="62"/>
      <c r="J10" s="62"/>
      <c r="K10" s="62"/>
      <c r="L10" s="62"/>
      <c r="M10" s="61"/>
      <c r="N10" s="46"/>
      <c r="O10" s="62"/>
      <c r="P10" s="62"/>
      <c r="Q10" s="62"/>
      <c r="R10" s="62"/>
      <c r="S10" s="61"/>
      <c r="T10" s="46"/>
      <c r="U10" s="48"/>
      <c r="V10" s="44"/>
      <c r="Z10" s="46"/>
      <c r="AE10" s="41"/>
      <c r="AF10" s="31"/>
      <c r="AG10" s="31"/>
      <c r="AI10" s="41"/>
      <c r="AJ10" s="64"/>
      <c r="AK10" s="64"/>
      <c r="AM10" s="41"/>
      <c r="AN10" s="64"/>
      <c r="AO10" s="64"/>
      <c r="AQ10" s="41"/>
      <c r="AR10" s="64"/>
      <c r="AS10" s="64"/>
      <c r="BC10" s="65"/>
      <c r="BD10" s="65"/>
      <c r="BE10" s="65"/>
      <c r="BG10" s="65"/>
      <c r="BH10" s="65"/>
      <c r="BI10" s="65"/>
      <c r="BK10" s="65"/>
      <c r="BL10" s="65"/>
      <c r="BM10" s="65"/>
      <c r="BO10" s="65"/>
      <c r="BP10" s="65"/>
      <c r="BQ10" s="65"/>
    </row>
    <row r="11" spans="1:69" s="5" customFormat="1">
      <c r="B11" s="42" t="s">
        <v>1405</v>
      </c>
      <c r="C11" s="48" t="s">
        <v>339</v>
      </c>
      <c r="D11" s="44" t="str">
        <f>'EM Multiples'!B11&amp;TEXT(Prices!C123,"0.0")</f>
        <v>USD 16.3</v>
      </c>
      <c r="E11" s="44" t="str">
        <f>'EM Multiples'!B11&amp;TEXT(Prices!E123,"0.0")</f>
        <v>USD 24.0</v>
      </c>
      <c r="F11" s="45">
        <f>Prices!F123</f>
        <v>0.4714898835070509</v>
      </c>
      <c r="G11" s="44" t="str">
        <f>Prices!D123</f>
        <v>Buy</v>
      </c>
      <c r="H11" s="46"/>
      <c r="I11" s="47">
        <f>AMX!$D$38</f>
        <v>4.8444434081884751</v>
      </c>
      <c r="J11" s="47">
        <f>AMX!$E$38</f>
        <v>4.3427553339139218</v>
      </c>
      <c r="K11" s="47">
        <f>AMX!$F$38</f>
        <v>3.8821602607155659</v>
      </c>
      <c r="L11" s="47">
        <f>AMX!$G$38</f>
        <v>3.4952111868237368</v>
      </c>
      <c r="M11" s="45">
        <f>AMX!$H$38</f>
        <v>4.8956975895425581E-2</v>
      </c>
      <c r="N11" s="46"/>
      <c r="O11" s="47">
        <f>AMX!$D$39</f>
        <v>8.7800062916520059</v>
      </c>
      <c r="P11" s="47">
        <f>AMX!$E$39</f>
        <v>7.1070392615800024</v>
      </c>
      <c r="Q11" s="47">
        <f>AMX!$F$39</f>
        <v>6.0906550045588332</v>
      </c>
      <c r="R11" s="47">
        <f>AMX!$G$39</f>
        <v>5.2468971281359131</v>
      </c>
      <c r="S11" s="45">
        <f>AMX!$H$39</f>
        <v>0.11694454902488172</v>
      </c>
      <c r="T11" s="46"/>
      <c r="U11" s="48" t="str">
        <f>D11</f>
        <v>USD 16.3</v>
      </c>
      <c r="V11" s="44" t="s">
        <v>339</v>
      </c>
      <c r="Z11" s="46"/>
      <c r="AE11" s="41"/>
      <c r="AF11" s="31"/>
      <c r="AG11" s="31"/>
      <c r="AI11" s="41"/>
      <c r="AJ11" s="64"/>
      <c r="AK11" s="64"/>
      <c r="AM11" s="41"/>
      <c r="AN11" s="64"/>
      <c r="AO11" s="64"/>
      <c r="AQ11" s="41"/>
      <c r="AR11" s="64"/>
      <c r="AS11" s="64"/>
      <c r="BC11" s="65"/>
      <c r="BD11" s="65"/>
      <c r="BE11" s="65"/>
      <c r="BG11" s="65"/>
      <c r="BH11" s="65"/>
      <c r="BI11" s="65"/>
      <c r="BK11" s="65"/>
      <c r="BL11" s="65"/>
      <c r="BM11" s="65"/>
      <c r="BO11" s="65"/>
      <c r="BP11" s="65"/>
      <c r="BQ11" s="65"/>
    </row>
    <row r="12" spans="1:69" s="5" customFormat="1">
      <c r="B12" s="42" t="s">
        <v>142</v>
      </c>
      <c r="C12" s="48" t="s">
        <v>656</v>
      </c>
      <c r="D12" s="44" t="str">
        <f>'EM Multiples'!B12&amp;TEXT(Prices!C127,"0.00")</f>
        <v>BRL 12.10</v>
      </c>
      <c r="E12" s="44" t="str">
        <f>'EM Multiples'!B12&amp;TEXT(Prices!E127,"0.00")</f>
        <v>BRL 0.90</v>
      </c>
      <c r="F12" s="45">
        <f>Prices!F127</f>
        <v>-0.92561983471074383</v>
      </c>
      <c r="G12" s="44" t="str">
        <f>Prices!D126</f>
        <v>Neutral</v>
      </c>
      <c r="H12" s="46"/>
      <c r="I12" s="47">
        <f>OIBR!$D$38</f>
        <v>11.339147120893298</v>
      </c>
      <c r="J12" s="47">
        <f>OIBR!$E$38</f>
        <v>11.183611825590322</v>
      </c>
      <c r="K12" s="47">
        <f>OIBR!$F$38</f>
        <v>10.815611566590183</v>
      </c>
      <c r="L12" s="47">
        <f>OIBR!$G$38</f>
        <v>10.813427192561996</v>
      </c>
      <c r="M12" s="45">
        <f>OIBR!$H$38</f>
        <v>8.0660330902892818E-2</v>
      </c>
      <c r="N12" s="46"/>
      <c r="O12" s="47">
        <f>OIBR!$D$39</f>
        <v>-18.214532034039816</v>
      </c>
      <c r="P12" s="47">
        <f>OIBR!$E$39</f>
        <v>-26.345864527074752</v>
      </c>
      <c r="Q12" s="47">
        <f>OIBR!$F$39</f>
        <v>-871.83701967726245</v>
      </c>
      <c r="R12" s="47">
        <f>OIBR!$G$39</f>
        <v>55.80771179413788</v>
      </c>
      <c r="S12" s="45">
        <f>OIBR!$H$39</f>
        <v>-1.7323603107617997</v>
      </c>
      <c r="T12" s="46"/>
      <c r="U12" s="48" t="str">
        <f>D12</f>
        <v>BRL 12.10</v>
      </c>
      <c r="V12" s="44" t="s">
        <v>656</v>
      </c>
      <c r="Z12" s="46"/>
      <c r="AE12" s="41"/>
      <c r="AF12" s="31"/>
      <c r="AG12" s="31"/>
      <c r="AI12" s="41"/>
      <c r="AJ12" s="64"/>
      <c r="AK12" s="64"/>
      <c r="AM12" s="41"/>
      <c r="AN12" s="64"/>
      <c r="AO12" s="64"/>
      <c r="AQ12" s="41"/>
      <c r="AR12" s="64"/>
      <c r="AS12" s="64"/>
      <c r="BC12" s="65"/>
      <c r="BD12" s="65"/>
      <c r="BE12" s="65"/>
      <c r="BG12" s="65"/>
      <c r="BH12" s="65"/>
      <c r="BI12" s="65"/>
      <c r="BK12" s="65"/>
      <c r="BL12" s="65"/>
      <c r="BM12" s="65"/>
      <c r="BO12" s="65"/>
      <c r="BP12" s="65"/>
      <c r="BQ12" s="65"/>
    </row>
    <row r="13" spans="1:69" s="5" customFormat="1">
      <c r="B13" s="42" t="s">
        <v>142</v>
      </c>
      <c r="C13" s="48" t="s">
        <v>614</v>
      </c>
      <c r="D13" s="44" t="str">
        <f>'EM Multiples'!B13&amp;TEXT(Prices!C125,"0.00")</f>
        <v>BRL 55.12</v>
      </c>
      <c r="E13" s="44" t="str">
        <f>'EM Multiples'!B13&amp;TEXT(Prices!E125,"0.00")</f>
        <v>BRL 61.00</v>
      </c>
      <c r="F13" s="45">
        <f>Prices!F125</f>
        <v>0.10667634252539915</v>
      </c>
      <c r="G13" s="44" t="str">
        <f>Prices!D125</f>
        <v>Buy</v>
      </c>
      <c r="H13" s="46"/>
      <c r="I13" s="47">
        <f>VIVO!$D$38</f>
        <v>4.6352471501798593</v>
      </c>
      <c r="J13" s="47">
        <f>VIVO!$E$38</f>
        <v>4.0647158545706361</v>
      </c>
      <c r="K13" s="47">
        <f>VIVO!$F$38</f>
        <v>3.4826334706529898</v>
      </c>
      <c r="L13" s="47">
        <f>VIVO!$G$38</f>
        <v>3.0181135297602304</v>
      </c>
      <c r="M13" s="45">
        <f>VIVO!$H$38</f>
        <v>7.4479561881599876E-2</v>
      </c>
      <c r="N13" s="46"/>
      <c r="O13" s="47">
        <f>VIVO!$D$39</f>
        <v>8.0089595008469825</v>
      </c>
      <c r="P13" s="47">
        <f>VIVO!$E$39</f>
        <v>6.5614285283310823</v>
      </c>
      <c r="Q13" s="47">
        <f>VIVO!$F$39</f>
        <v>5.4841231300547273</v>
      </c>
      <c r="R13" s="47">
        <f>VIVO!$G$39</f>
        <v>4.654285061862427</v>
      </c>
      <c r="S13" s="45">
        <f>VIVO!$H$39</f>
        <v>0.11598945437726726</v>
      </c>
      <c r="T13" s="46"/>
      <c r="U13" s="48" t="str">
        <f>D13</f>
        <v>BRL 55.12</v>
      </c>
      <c r="V13" s="44" t="s">
        <v>614</v>
      </c>
      <c r="Z13" s="46"/>
      <c r="AE13" s="41"/>
      <c r="AF13" s="31"/>
      <c r="AG13" s="31"/>
      <c r="AI13" s="41"/>
      <c r="AJ13" s="64"/>
      <c r="AK13" s="64"/>
      <c r="AM13" s="41"/>
      <c r="AN13" s="64"/>
      <c r="AO13" s="64"/>
      <c r="AQ13" s="41"/>
      <c r="AR13" s="64"/>
      <c r="AS13" s="64"/>
      <c r="BC13" s="65"/>
      <c r="BD13" s="65"/>
      <c r="BE13" s="65"/>
      <c r="BG13" s="65"/>
      <c r="BH13" s="65"/>
      <c r="BI13" s="65"/>
      <c r="BK13" s="65"/>
      <c r="BL13" s="65"/>
      <c r="BM13" s="65"/>
      <c r="BO13" s="65"/>
      <c r="BP13" s="65"/>
      <c r="BQ13" s="65"/>
    </row>
    <row r="14" spans="1:69" s="5" customFormat="1">
      <c r="B14" s="42" t="s">
        <v>1405</v>
      </c>
      <c r="C14" s="48" t="s">
        <v>667</v>
      </c>
      <c r="D14" s="44" t="str">
        <f>'EM Multiples'!B14&amp;TEXT(Prices!C124,"0.0")</f>
        <v>USD 1.8</v>
      </c>
      <c r="E14" s="44" t="str">
        <f>'EM Multiples'!B14&amp;TEXT(Prices!E124,"0.0")</f>
        <v>USD 3.7</v>
      </c>
      <c r="F14" s="45">
        <f>Prices!F124</f>
        <v>1.0903954802259888</v>
      </c>
      <c r="G14" s="44" t="str">
        <f>Prices!D124</f>
        <v>Neutral</v>
      </c>
      <c r="H14" s="46"/>
      <c r="I14" s="47">
        <f>TVIS!$D$38</f>
        <v>-0.41726243938466645</v>
      </c>
      <c r="J14" s="47">
        <f>TVIS!$E$38</f>
        <v>-0.56615797498944753</v>
      </c>
      <c r="K14" s="47">
        <f>TVIS!$F$38</f>
        <v>-0.66810820812704319</v>
      </c>
      <c r="L14" s="47">
        <f>TVIS!$G$38</f>
        <v>-0.8196827030604894</v>
      </c>
      <c r="M14" s="45">
        <f>TVIS!$H$38</f>
        <v>1.485187073949934E-2</v>
      </c>
      <c r="N14" s="46"/>
      <c r="O14" s="47">
        <f>TVIS!$D$39</f>
        <v>-1.1041270424106651</v>
      </c>
      <c r="P14" s="47">
        <f>TVIS!$E$39</f>
        <v>-1.4037652121116162</v>
      </c>
      <c r="Q14" s="47">
        <f>TVIS!$F$39</f>
        <v>-1.6580263539960129</v>
      </c>
      <c r="R14" s="47">
        <f>TVIS!$G$39</f>
        <v>-2.0157283471993614</v>
      </c>
      <c r="S14" s="45">
        <f>TVIS!$H$39</f>
        <v>3.9945301517286813E-2</v>
      </c>
      <c r="T14" s="46"/>
      <c r="U14" s="48" t="str">
        <f>D14</f>
        <v>USD 1.8</v>
      </c>
      <c r="V14" s="44" t="s">
        <v>667</v>
      </c>
      <c r="Z14" s="46"/>
      <c r="AE14" s="41"/>
      <c r="AF14" s="31"/>
      <c r="AG14" s="31"/>
      <c r="AI14" s="41"/>
      <c r="AJ14" s="64"/>
      <c r="AK14" s="64"/>
      <c r="AM14" s="41"/>
      <c r="AN14" s="64"/>
      <c r="AO14" s="64"/>
      <c r="AQ14" s="41"/>
      <c r="AR14" s="64"/>
      <c r="AS14" s="64"/>
      <c r="BC14" s="65"/>
      <c r="BD14" s="65"/>
      <c r="BE14" s="65"/>
      <c r="BG14" s="65"/>
      <c r="BH14" s="65"/>
      <c r="BI14" s="65"/>
      <c r="BK14" s="65"/>
      <c r="BL14" s="65"/>
      <c r="BM14" s="65"/>
      <c r="BO14" s="65"/>
      <c r="BP14" s="65"/>
      <c r="BQ14" s="65"/>
    </row>
    <row r="15" spans="1:69" s="5" customFormat="1">
      <c r="B15" s="42"/>
      <c r="C15" s="51" t="s">
        <v>507</v>
      </c>
      <c r="D15" s="52"/>
      <c r="E15" s="52"/>
      <c r="F15" s="53"/>
      <c r="G15" s="52"/>
      <c r="H15" s="46"/>
      <c r="I15" s="54">
        <f>'LATAM INCUMB'!$D$38</f>
        <v>4.7512746785783913</v>
      </c>
      <c r="J15" s="54">
        <f>'LATAM INCUMB'!$E$38</f>
        <v>4.280865063792997</v>
      </c>
      <c r="K15" s="54">
        <f>'LATAM INCUMB'!$F$38</f>
        <v>3.8384069733071251</v>
      </c>
      <c r="L15" s="54">
        <f>'LATAM INCUMB'!$G$38</f>
        <v>3.473863325911124</v>
      </c>
      <c r="M15" s="55">
        <f>'LATAM INCUMB'!$H$38</f>
        <v>5.2441939874377175E-2</v>
      </c>
      <c r="N15" s="56"/>
      <c r="O15" s="54">
        <f>'LATAM INCUMB'!$D$39</f>
        <v>9.3432661340600287</v>
      </c>
      <c r="P15" s="54">
        <f>'LATAM INCUMB'!$E$39</f>
        <v>7.5472128390826727</v>
      </c>
      <c r="Q15" s="54">
        <f>'LATAM INCUMB'!$F$39</f>
        <v>6.3647667031009485</v>
      </c>
      <c r="R15" s="54">
        <f>'LATAM INCUMB'!$G$39</f>
        <v>5.4763649870724755</v>
      </c>
      <c r="S15" s="55">
        <f>'LATAM INCUMB'!$H$39</f>
        <v>0.13292489725074952</v>
      </c>
      <c r="T15" s="46"/>
      <c r="U15" s="57"/>
      <c r="V15" s="58" t="s">
        <v>507</v>
      </c>
      <c r="Z15" s="46"/>
      <c r="AE15" s="41"/>
      <c r="AF15" s="31"/>
      <c r="AG15" s="31"/>
      <c r="AI15" s="41"/>
      <c r="AJ15" s="64"/>
      <c r="AK15" s="64"/>
      <c r="AM15" s="41"/>
      <c r="AN15" s="64"/>
      <c r="AO15" s="64"/>
      <c r="AQ15" s="41"/>
      <c r="AR15" s="64"/>
      <c r="AS15" s="64"/>
      <c r="BC15" s="65"/>
      <c r="BD15" s="65"/>
      <c r="BE15" s="65"/>
      <c r="BG15" s="65"/>
      <c r="BH15" s="65"/>
      <c r="BI15" s="65"/>
      <c r="BK15" s="65"/>
      <c r="BL15" s="65"/>
      <c r="BM15" s="65"/>
      <c r="BO15" s="65"/>
      <c r="BP15" s="65"/>
      <c r="BQ15" s="65"/>
    </row>
    <row r="16" spans="1:69" s="5" customFormat="1">
      <c r="A16" s="39"/>
      <c r="B16" s="42"/>
      <c r="C16" s="48"/>
      <c r="D16" s="44"/>
      <c r="E16" s="44"/>
      <c r="F16" s="45"/>
      <c r="G16" s="44"/>
      <c r="H16" s="46"/>
      <c r="I16" s="47"/>
      <c r="J16" s="47"/>
      <c r="K16" s="47"/>
      <c r="L16" s="47"/>
      <c r="M16" s="45"/>
      <c r="N16" s="56"/>
      <c r="O16" s="47"/>
      <c r="P16" s="47"/>
      <c r="Q16" s="47"/>
      <c r="R16" s="47"/>
      <c r="S16" s="45"/>
      <c r="T16" s="46"/>
      <c r="U16" s="48"/>
      <c r="V16" s="50"/>
      <c r="Z16" s="46"/>
      <c r="AE16" s="41"/>
      <c r="AF16" s="31"/>
      <c r="AG16" s="31"/>
      <c r="AI16" s="41"/>
      <c r="AJ16" s="64"/>
      <c r="AK16" s="64"/>
      <c r="AM16" s="41"/>
      <c r="AN16" s="64"/>
      <c r="AO16" s="64"/>
      <c r="AQ16" s="41"/>
      <c r="AR16" s="64"/>
      <c r="AS16" s="64"/>
      <c r="BC16" s="65"/>
      <c r="BD16" s="65"/>
      <c r="BE16" s="65"/>
      <c r="BG16" s="65"/>
      <c r="BH16" s="65"/>
      <c r="BI16" s="65"/>
      <c r="BK16" s="65"/>
      <c r="BL16" s="65"/>
      <c r="BM16" s="65"/>
      <c r="BO16" s="65"/>
      <c r="BP16" s="65"/>
      <c r="BQ16" s="65"/>
    </row>
    <row r="17" spans="1:69" s="5" customFormat="1">
      <c r="B17" s="42" t="s">
        <v>1407</v>
      </c>
      <c r="C17" s="48" t="s">
        <v>292</v>
      </c>
      <c r="D17" s="44" t="str">
        <f>'EM Multiples'!B17&amp;TEXT(Prices!C74,"0.00")</f>
        <v>HKD 4.48</v>
      </c>
      <c r="E17" s="44" t="str">
        <f>'EM Multiples'!B17&amp;TEXT(Prices!E74,"0.00")</f>
        <v>HKD 8.75</v>
      </c>
      <c r="F17" s="45">
        <f>Prices!F74</f>
        <v>0.95312499999999978</v>
      </c>
      <c r="G17" s="44" t="str">
        <f>Prices!D74</f>
        <v>Buy</v>
      </c>
      <c r="H17" s="46"/>
      <c r="I17" s="47">
        <f>_CT!$D$38</f>
        <v>1.5823669143032084</v>
      </c>
      <c r="J17" s="47">
        <f>_CT!$E$38</f>
        <v>1.4201751627267651</v>
      </c>
      <c r="K17" s="47">
        <f>_CT!$F$38</f>
        <v>1.2555495096809586</v>
      </c>
      <c r="L17" s="47">
        <f>_CT!$G$38</f>
        <v>1.0744953000185411</v>
      </c>
      <c r="M17" s="45">
        <f>_CT!$H$38</f>
        <v>4.6282054325352373E-2</v>
      </c>
      <c r="N17" s="56"/>
      <c r="O17" s="47">
        <f>_CT!$D$39</f>
        <v>5.6989699116684571</v>
      </c>
      <c r="P17" s="47">
        <f>_CT!$E$39</f>
        <v>4.3640809549466892</v>
      </c>
      <c r="Q17" s="47">
        <f>_CT!$F$39</f>
        <v>3.6923835407880672</v>
      </c>
      <c r="R17" s="47">
        <f>_CT!$G$39</f>
        <v>2.9312174642324562</v>
      </c>
      <c r="S17" s="169">
        <f>_CT!$H$39</f>
        <v>0.14779411433436151</v>
      </c>
      <c r="T17" s="46"/>
      <c r="U17" s="48" t="str">
        <f t="shared" ref="U17:U21" si="1">D17</f>
        <v>HKD 4.48</v>
      </c>
      <c r="V17" s="44" t="s">
        <v>292</v>
      </c>
      <c r="Z17" s="46"/>
      <c r="AE17" s="41"/>
      <c r="AF17" s="31"/>
      <c r="AG17" s="31"/>
      <c r="AI17" s="41"/>
      <c r="AJ17" s="64"/>
      <c r="AK17" s="64"/>
      <c r="AM17" s="41"/>
      <c r="AN17" s="64"/>
      <c r="AO17" s="64"/>
      <c r="AQ17" s="41"/>
      <c r="AR17" s="64"/>
      <c r="AS17" s="64"/>
      <c r="BC17" s="65"/>
      <c r="BD17" s="65"/>
      <c r="BE17" s="65"/>
      <c r="BG17" s="65"/>
      <c r="BH17" s="65"/>
      <c r="BI17" s="65"/>
      <c r="BK17" s="65"/>
      <c r="BL17" s="65"/>
      <c r="BM17" s="65"/>
      <c r="BO17" s="65"/>
      <c r="BP17" s="65"/>
      <c r="BQ17" s="65"/>
    </row>
    <row r="18" spans="1:69" s="5" customFormat="1">
      <c r="B18" s="42" t="s">
        <v>1407</v>
      </c>
      <c r="C18" s="48" t="s">
        <v>235</v>
      </c>
      <c r="D18" s="44" t="str">
        <f>'EM Multiples'!B18&amp;TEXT(Prices!C75,"0.00")</f>
        <v>HKD 6.32</v>
      </c>
      <c r="E18" s="44" t="str">
        <f>'EM Multiples'!B18&amp;TEXT(Prices!E75,"0.00")</f>
        <v>HKD 13.20</v>
      </c>
      <c r="F18" s="45">
        <f>Prices!F75</f>
        <v>1.0886075949367084</v>
      </c>
      <c r="G18" s="44" t="str">
        <f>Prices!D75</f>
        <v>Buy</v>
      </c>
      <c r="H18" s="46"/>
      <c r="I18" s="47">
        <f>_CU!$D$38</f>
        <v>0.87228831922511063</v>
      </c>
      <c r="J18" s="47">
        <f>_CU!$E$38</f>
        <v>0.70267621127744861</v>
      </c>
      <c r="K18" s="47">
        <f>_CU!$F$38</f>
        <v>0.53596753988582713</v>
      </c>
      <c r="L18" s="47">
        <f>_CU!$G$38</f>
        <v>0.40228459897975366</v>
      </c>
      <c r="M18" s="45">
        <f>_CU!$H$38</f>
        <v>3.0033243982205304E-2</v>
      </c>
      <c r="N18" s="56"/>
      <c r="O18" s="47">
        <f>_CU!$D$39</f>
        <v>3.3600201342426961</v>
      </c>
      <c r="P18" s="47">
        <f>_CU!$E$39</f>
        <v>1.9933557854279267</v>
      </c>
      <c r="Q18" s="47">
        <f>_CU!$F$39</f>
        <v>1.478170984809422</v>
      </c>
      <c r="R18" s="47">
        <f>_CU!$G$39</f>
        <v>1.0706950534610622</v>
      </c>
      <c r="S18" s="169">
        <f>_CU!$H$39</f>
        <v>0.1651121181976094</v>
      </c>
      <c r="T18" s="46"/>
      <c r="U18" s="48" t="str">
        <f t="shared" si="1"/>
        <v>HKD 6.32</v>
      </c>
      <c r="V18" s="44" t="s">
        <v>235</v>
      </c>
      <c r="Z18" s="46"/>
      <c r="AE18" s="41"/>
      <c r="AF18" s="31"/>
      <c r="AG18" s="31"/>
      <c r="AI18" s="41"/>
      <c r="AJ18" s="64"/>
      <c r="AK18" s="64"/>
      <c r="AM18" s="41"/>
      <c r="AN18" s="64"/>
      <c r="AO18" s="64"/>
      <c r="AQ18" s="41"/>
      <c r="AR18" s="64"/>
      <c r="AS18" s="64"/>
      <c r="BC18" s="65"/>
      <c r="BD18" s="65"/>
      <c r="BE18" s="65"/>
      <c r="BG18" s="65"/>
      <c r="BH18" s="65"/>
      <c r="BI18" s="65"/>
      <c r="BK18" s="65"/>
      <c r="BL18" s="65"/>
      <c r="BM18" s="65"/>
      <c r="BO18" s="65"/>
      <c r="BP18" s="65"/>
      <c r="BQ18" s="65"/>
    </row>
    <row r="19" spans="1:69" s="5" customFormat="1">
      <c r="A19" s="39"/>
      <c r="B19" s="42" t="s">
        <v>243</v>
      </c>
      <c r="C19" s="48" t="s">
        <v>415</v>
      </c>
      <c r="D19" s="44" t="str">
        <f>'EM Multiples'!B19&amp;TEXT(Prices!C76,"0.00")</f>
        <v>TWD 124.00</v>
      </c>
      <c r="E19" s="44" t="str">
        <f>'EM Multiples'!B19&amp;TEXT(Prices!E76,"0.00")</f>
        <v>TWD n/r</v>
      </c>
      <c r="F19" s="45" t="str">
        <f>Prices!F76</f>
        <v>-</v>
      </c>
      <c r="G19" s="44" t="str">
        <f>Prices!D76</f>
        <v>n/r</v>
      </c>
      <c r="H19" s="46"/>
      <c r="I19" s="47">
        <f>CHUNG!$D$38</f>
        <v>10.425977862935188</v>
      </c>
      <c r="J19" s="47">
        <f>CHUNG!$E$38</f>
        <v>9.676779402924149</v>
      </c>
      <c r="K19" s="47">
        <f>CHUNG!$F$38</f>
        <v>8.9044024229098735</v>
      </c>
      <c r="L19" s="47">
        <f>CHUNG!$G$38</f>
        <v>8.1375348148433293</v>
      </c>
      <c r="M19" s="45">
        <f>CHUNG!$H$38</f>
        <v>1.4487858365059614E-2</v>
      </c>
      <c r="N19" s="56"/>
      <c r="O19" s="47">
        <f>CHUNG!$D$39</f>
        <v>15.939402591842953</v>
      </c>
      <c r="P19" s="47">
        <f>CHUNG!$E$39</f>
        <v>13.668720315730335</v>
      </c>
      <c r="Q19" s="47">
        <f>CHUNG!$F$39</f>
        <v>12.11096237657973</v>
      </c>
      <c r="R19" s="47">
        <f>CHUNG!$G$39</f>
        <v>11.054659399360833</v>
      </c>
      <c r="S19" s="45">
        <f>CHUNG!$H$39</f>
        <v>5.5231544534847021E-2</v>
      </c>
      <c r="T19" s="46"/>
      <c r="U19" s="48" t="str">
        <f t="shared" si="1"/>
        <v>TWD 124.00</v>
      </c>
      <c r="V19" s="44" t="s">
        <v>415</v>
      </c>
      <c r="Z19" s="46"/>
      <c r="AE19" s="41"/>
      <c r="AF19" s="31"/>
      <c r="AG19" s="31"/>
      <c r="AI19" s="41"/>
      <c r="AJ19" s="64"/>
      <c r="AK19" s="64"/>
      <c r="AM19" s="41"/>
      <c r="AN19" s="64"/>
      <c r="AO19" s="64"/>
      <c r="AQ19" s="41"/>
      <c r="AR19" s="64"/>
      <c r="AS19" s="64"/>
      <c r="BC19" s="65"/>
      <c r="BD19" s="65"/>
      <c r="BE19" s="65"/>
      <c r="BG19" s="65"/>
      <c r="BH19" s="65"/>
      <c r="BI19" s="65"/>
      <c r="BK19" s="65"/>
      <c r="BL19" s="65"/>
      <c r="BM19" s="65"/>
      <c r="BO19" s="65"/>
      <c r="BP19" s="65"/>
      <c r="BQ19" s="65"/>
    </row>
    <row r="20" spans="1:69" s="5" customFormat="1">
      <c r="A20" s="39"/>
      <c r="B20" s="42" t="s">
        <v>573</v>
      </c>
      <c r="C20" s="48" t="s">
        <v>359</v>
      </c>
      <c r="D20" s="44" t="str">
        <f>'EM Multiples'!B20&amp;TEXT(Prices!C88,"0,0")</f>
        <v>KRW 41,200</v>
      </c>
      <c r="E20" s="44" t="str">
        <f>'EM Multiples'!B20&amp;TEXT(Prices!E88,"0,0")</f>
        <v>KRW 70,000</v>
      </c>
      <c r="F20" s="45">
        <f>Prices!F88</f>
        <v>0.69902912621359214</v>
      </c>
      <c r="G20" s="44" t="str">
        <f>Prices!D88</f>
        <v>Buy</v>
      </c>
      <c r="H20" s="46"/>
      <c r="I20" s="47">
        <f>_KT!$D$38</f>
        <v>3.3669863257252408</v>
      </c>
      <c r="J20" s="47">
        <f>_KT!$E$38</f>
        <v>3.1447221493641271</v>
      </c>
      <c r="K20" s="47">
        <f>_KT!$F$38</f>
        <v>2.6655514289307871</v>
      </c>
      <c r="L20" s="47">
        <f>_KT!$G$38</f>
        <v>2.3218278205296841</v>
      </c>
      <c r="M20" s="45">
        <f>_KT!$H$38</f>
        <v>4.6165944374719992E-2</v>
      </c>
      <c r="N20" s="56"/>
      <c r="O20" s="47">
        <f>_KT!$D$39</f>
        <v>8.5867666120917558</v>
      </c>
      <c r="P20" s="47">
        <f>_KT!$E$39</f>
        <v>8.3631643149072641</v>
      </c>
      <c r="Q20" s="47">
        <f>_KT!$F$39</f>
        <v>5.9104773278330844</v>
      </c>
      <c r="R20" s="47">
        <f>_KT!$G$39</f>
        <v>4.9277668550161327</v>
      </c>
      <c r="S20" s="45">
        <f>_KT!$H$39</f>
        <v>0.11221812132162357</v>
      </c>
      <c r="T20" s="46"/>
      <c r="U20" s="48" t="str">
        <f t="shared" si="1"/>
        <v>KRW 41,200</v>
      </c>
      <c r="V20" s="44" t="s">
        <v>359</v>
      </c>
      <c r="Z20" s="46"/>
      <c r="AE20" s="41"/>
      <c r="AF20" s="31"/>
      <c r="AG20" s="31"/>
      <c r="AI20" s="41"/>
      <c r="AJ20" s="64"/>
      <c r="AK20" s="64"/>
      <c r="AM20" s="41"/>
      <c r="AN20" s="64"/>
      <c r="AO20" s="64"/>
      <c r="AQ20" s="41"/>
      <c r="AR20" s="64"/>
      <c r="AS20" s="64"/>
      <c r="BC20" s="65"/>
      <c r="BD20" s="65"/>
      <c r="BE20" s="65"/>
      <c r="BG20" s="65"/>
      <c r="BH20" s="65"/>
      <c r="BI20" s="65"/>
      <c r="BK20" s="65"/>
      <c r="BL20" s="65"/>
      <c r="BM20" s="65"/>
      <c r="BO20" s="65"/>
      <c r="BP20" s="65"/>
      <c r="BQ20" s="65"/>
    </row>
    <row r="21" spans="1:69" s="5" customFormat="1">
      <c r="A21" s="39"/>
      <c r="B21" s="42" t="s">
        <v>380</v>
      </c>
      <c r="C21" s="48" t="s">
        <v>552</v>
      </c>
      <c r="D21" s="44" t="str">
        <f>'EM Multiples'!B21&amp;TEXT(Prices!C77,"0,00")</f>
        <v>IDR 3,040</v>
      </c>
      <c r="E21" s="44" t="str">
        <f>'EM Multiples'!B21&amp;TEXT(Prices!E77,"0,00")</f>
        <v>IDR 4,500</v>
      </c>
      <c r="F21" s="45">
        <f>Prices!F77</f>
        <v>0.48026315789473695</v>
      </c>
      <c r="G21" s="44" t="str">
        <f>Prices!D77</f>
        <v>Buy</v>
      </c>
      <c r="H21" s="46"/>
      <c r="I21" s="47">
        <f>PTT!$D$38</f>
        <v>6.7373514046049339</v>
      </c>
      <c r="J21" s="47">
        <f>PTT!$E$38</f>
        <v>6.4880259816555821</v>
      </c>
      <c r="K21" s="47">
        <f>PTT!$F$38</f>
        <v>5.7886008403469464</v>
      </c>
      <c r="L21" s="47">
        <f>PTT!$G$38</f>
        <v>5.1461401764843249</v>
      </c>
      <c r="M21" s="45">
        <f>PTT!$H$38</f>
        <v>3.922217449285248E-2</v>
      </c>
      <c r="N21" s="56"/>
      <c r="O21" s="47">
        <f>PTT!$D$39</f>
        <v>11.7163252251204</v>
      </c>
      <c r="P21" s="47">
        <f>PTT!$E$39</f>
        <v>10.887147756791036</v>
      </c>
      <c r="Q21" s="47">
        <f>PTT!$F$39</f>
        <v>9.3906042025141563</v>
      </c>
      <c r="R21" s="47">
        <f>PTT!$G$39</f>
        <v>8.186943988463149</v>
      </c>
      <c r="S21" s="169">
        <f>PTT!$H$39</f>
        <v>7.0522358187728118E-2</v>
      </c>
      <c r="T21" s="46"/>
      <c r="U21" s="48" t="str">
        <f t="shared" si="1"/>
        <v>IDR 3,040</v>
      </c>
      <c r="V21" s="44" t="s">
        <v>552</v>
      </c>
      <c r="Z21" s="46"/>
      <c r="AE21" s="41"/>
      <c r="AF21" s="31"/>
      <c r="AG21" s="31"/>
      <c r="AI21" s="41"/>
      <c r="AJ21" s="64"/>
      <c r="AK21" s="64"/>
      <c r="AM21" s="41"/>
      <c r="AN21" s="64"/>
      <c r="AO21" s="64"/>
      <c r="AQ21" s="41"/>
      <c r="AR21" s="64"/>
      <c r="AS21" s="64"/>
      <c r="BC21" s="65"/>
      <c r="BD21" s="65"/>
      <c r="BE21" s="65"/>
      <c r="BG21" s="65"/>
      <c r="BH21" s="65"/>
      <c r="BI21" s="65"/>
      <c r="BK21" s="65"/>
      <c r="BL21" s="65"/>
      <c r="BM21" s="65"/>
      <c r="BO21" s="65"/>
      <c r="BP21" s="65"/>
      <c r="BQ21" s="65"/>
    </row>
    <row r="22" spans="1:69" s="5" customFormat="1">
      <c r="A22" s="39"/>
      <c r="B22" s="42"/>
      <c r="C22" s="51" t="s">
        <v>624</v>
      </c>
      <c r="D22" s="52"/>
      <c r="E22" s="52"/>
      <c r="F22" s="53"/>
      <c r="G22" s="52"/>
      <c r="H22" s="46"/>
      <c r="I22" s="54">
        <f>'EM ASIA INCUMB'!D38</f>
        <v>2.5844603218563007</v>
      </c>
      <c r="J22" s="54">
        <f>'EM ASIA INCUMB'!E38</f>
        <v>2.3596435443262704</v>
      </c>
      <c r="K22" s="54">
        <f>'EM ASIA INCUMB'!F38</f>
        <v>2.0737621135299946</v>
      </c>
      <c r="L22" s="54">
        <f>'EM ASIA INCUMB'!G38</f>
        <v>1.8025366166966303</v>
      </c>
      <c r="M22" s="55">
        <f>'EM ASIA INCUMB'!H38</f>
        <v>3.8741314755313283E-2</v>
      </c>
      <c r="N22" s="56"/>
      <c r="O22" s="54">
        <f>'EM ASIA INCUMB'!D39</f>
        <v>7.6830084749731702</v>
      </c>
      <c r="P22" s="54">
        <f>'EM ASIA INCUMB'!E39</f>
        <v>6.0682497469028203</v>
      </c>
      <c r="Q22" s="54">
        <f>'EM ASIA INCUMB'!F39</f>
        <v>5.0701991562889379</v>
      </c>
      <c r="R22" s="54">
        <f>'EM ASIA INCUMB'!G39</f>
        <v>4.2178450053552377</v>
      </c>
      <c r="S22" s="55">
        <f>'EM ASIA INCUMB'!H39</f>
        <v>0.12501689969524077</v>
      </c>
      <c r="T22" s="46"/>
      <c r="U22" s="57"/>
      <c r="V22" s="58" t="s">
        <v>624</v>
      </c>
      <c r="Z22" s="46"/>
      <c r="AE22" s="41"/>
      <c r="AF22" s="31"/>
      <c r="AG22" s="31"/>
      <c r="AI22" s="41"/>
      <c r="AJ22" s="64"/>
      <c r="AK22" s="64"/>
      <c r="AM22" s="41"/>
      <c r="AN22" s="64"/>
      <c r="AO22" s="64"/>
      <c r="AQ22" s="41"/>
      <c r="AR22" s="64"/>
      <c r="AS22" s="64"/>
      <c r="BC22" s="65"/>
      <c r="BD22" s="65"/>
      <c r="BE22" s="65"/>
      <c r="BG22" s="65"/>
      <c r="BH22" s="65"/>
      <c r="BI22" s="65"/>
      <c r="BK22" s="65"/>
      <c r="BL22" s="65"/>
      <c r="BM22" s="65"/>
      <c r="BO22" s="65"/>
      <c r="BP22" s="65"/>
      <c r="BQ22" s="65"/>
    </row>
    <row r="23" spans="1:69" s="5" customFormat="1">
      <c r="A23" s="39"/>
      <c r="B23" s="42"/>
      <c r="C23" s="43"/>
      <c r="D23" s="44"/>
      <c r="E23" s="44"/>
      <c r="F23" s="68"/>
      <c r="G23" s="44"/>
      <c r="H23" s="46"/>
      <c r="I23" s="62"/>
      <c r="J23" s="62"/>
      <c r="K23" s="62"/>
      <c r="L23" s="62"/>
      <c r="M23" s="61"/>
      <c r="N23" s="56"/>
      <c r="O23" s="62"/>
      <c r="P23" s="62"/>
      <c r="Q23" s="62"/>
      <c r="R23" s="62"/>
      <c r="S23" s="61"/>
      <c r="T23" s="46"/>
      <c r="U23" s="48"/>
      <c r="V23" s="50"/>
      <c r="Z23" s="46"/>
      <c r="AE23" s="41"/>
      <c r="AF23" s="31"/>
      <c r="AG23" s="31"/>
      <c r="AI23" s="41"/>
      <c r="AJ23" s="64"/>
      <c r="AK23" s="64"/>
      <c r="AM23" s="41"/>
      <c r="AN23" s="64"/>
      <c r="AO23" s="64"/>
      <c r="AQ23" s="41"/>
      <c r="AR23" s="64"/>
      <c r="AS23" s="64"/>
      <c r="BC23" s="65"/>
      <c r="BD23" s="65"/>
      <c r="BE23" s="65"/>
      <c r="BG23" s="65"/>
      <c r="BH23" s="65"/>
      <c r="BI23" s="65"/>
      <c r="BK23" s="65"/>
      <c r="BL23" s="65"/>
      <c r="BM23" s="65"/>
      <c r="BO23" s="65"/>
      <c r="BP23" s="65"/>
      <c r="BQ23" s="65"/>
    </row>
    <row r="24" spans="1:69" s="5" customFormat="1">
      <c r="A24" s="39"/>
      <c r="B24" s="42"/>
      <c r="C24" s="51" t="s">
        <v>861</v>
      </c>
      <c r="D24" s="52"/>
      <c r="E24" s="52"/>
      <c r="F24" s="53"/>
      <c r="G24" s="52"/>
      <c r="H24" s="46"/>
      <c r="I24" s="54">
        <f>'EM INCUMB'!D38</f>
        <v>3.3175350374258823</v>
      </c>
      <c r="J24" s="54">
        <f>'EM INCUMB'!E38</f>
        <v>3.0223783223658711</v>
      </c>
      <c r="K24" s="54">
        <f>'EM INCUMB'!F38</f>
        <v>2.6862546809972083</v>
      </c>
      <c r="L24" s="54">
        <f>'EM INCUMB'!G38</f>
        <v>2.3829836713571781</v>
      </c>
      <c r="M24" s="55">
        <f>'EM INCUMB'!H38</f>
        <v>4.3154001905154393E-2</v>
      </c>
      <c r="N24" s="56"/>
      <c r="O24" s="54">
        <f>'EM INCUMB'!D39</f>
        <v>8.3626832656520378</v>
      </c>
      <c r="P24" s="54">
        <f>'EM INCUMB'!E39</f>
        <v>6.6862965464471191</v>
      </c>
      <c r="Q24" s="54">
        <f>'EM INCUMB'!F39</f>
        <v>5.6223434210064793</v>
      </c>
      <c r="R24" s="54">
        <f>'EM INCUMB'!G39</f>
        <v>4.7608020965038236</v>
      </c>
      <c r="S24" s="55">
        <f>'EM INCUMB'!H39</f>
        <v>0.12721160462737946</v>
      </c>
      <c r="T24" s="46"/>
      <c r="U24" s="57"/>
      <c r="V24" s="58" t="str">
        <f>C24</f>
        <v>Agg. Emerging Incumbent</v>
      </c>
      <c r="Z24" s="46"/>
      <c r="AE24" s="41"/>
      <c r="AF24" s="31"/>
      <c r="AG24" s="31"/>
      <c r="AI24" s="41"/>
      <c r="AJ24" s="64"/>
      <c r="AK24" s="64"/>
      <c r="AM24" s="41"/>
      <c r="AN24" s="64"/>
      <c r="AO24" s="64"/>
      <c r="AQ24" s="41"/>
      <c r="AR24" s="64"/>
      <c r="AS24" s="64"/>
      <c r="BC24" s="65"/>
      <c r="BD24" s="65"/>
      <c r="BE24" s="65"/>
      <c r="BG24" s="65"/>
      <c r="BH24" s="65"/>
      <c r="BI24" s="65"/>
      <c r="BK24" s="65"/>
      <c r="BL24" s="65"/>
      <c r="BM24" s="65"/>
      <c r="BO24" s="65"/>
      <c r="BP24" s="65"/>
      <c r="BQ24" s="65"/>
    </row>
    <row r="25" spans="1:69" s="5" customFormat="1">
      <c r="A25" s="39"/>
      <c r="B25" s="42"/>
      <c r="C25" s="43"/>
      <c r="D25" s="44"/>
      <c r="E25" s="44"/>
      <c r="F25" s="45"/>
      <c r="G25" s="44"/>
      <c r="H25" s="46"/>
      <c r="I25" s="47"/>
      <c r="J25" s="47"/>
      <c r="K25" s="47"/>
      <c r="L25" s="47"/>
      <c r="M25" s="45"/>
      <c r="N25" s="56"/>
      <c r="O25" s="47"/>
      <c r="P25" s="47"/>
      <c r="Q25" s="47"/>
      <c r="R25" s="47"/>
      <c r="S25" s="45"/>
      <c r="T25" s="46"/>
      <c r="U25" s="48"/>
      <c r="V25" s="50"/>
      <c r="Z25" s="46"/>
      <c r="AE25" s="41"/>
      <c r="AF25" s="31"/>
      <c r="AG25" s="31"/>
      <c r="AI25" s="41"/>
      <c r="AJ25" s="64"/>
      <c r="AK25" s="64"/>
      <c r="AM25" s="41"/>
      <c r="AN25" s="64"/>
      <c r="AO25" s="64"/>
      <c r="AQ25" s="41"/>
      <c r="AR25" s="64"/>
      <c r="AS25" s="64"/>
      <c r="BC25" s="65"/>
      <c r="BD25" s="65"/>
      <c r="BE25" s="65"/>
      <c r="BG25" s="65"/>
      <c r="BH25" s="65"/>
      <c r="BI25" s="65"/>
      <c r="BK25" s="65"/>
      <c r="BL25" s="65"/>
      <c r="BM25" s="65"/>
      <c r="BO25" s="65"/>
      <c r="BP25" s="65"/>
      <c r="BQ25" s="65"/>
    </row>
    <row r="26" spans="1:69" s="5" customFormat="1">
      <c r="A26" s="41" t="s">
        <v>502</v>
      </c>
      <c r="B26" s="42" t="s">
        <v>1405</v>
      </c>
      <c r="C26" s="48" t="s">
        <v>1075</v>
      </c>
      <c r="D26" s="44" t="str">
        <f>'EM Multiples'!B26&amp;TEXT(Prices!C108,"0.00")</f>
        <v>USD 1.13</v>
      </c>
      <c r="E26" s="44" t="str">
        <f>'EM Multiples'!B26&amp;TEXT(Prices!E108,"0.00")</f>
        <v>USD 2.00</v>
      </c>
      <c r="F26" s="45">
        <f>Prices!F108</f>
        <v>0.77619893428063969</v>
      </c>
      <c r="G26" s="44" t="str">
        <f>Prices!D108</f>
        <v>Buy</v>
      </c>
      <c r="H26" s="46"/>
      <c r="I26" s="47">
        <f>AAF!$D$38</f>
        <v>5.5770174784999238</v>
      </c>
      <c r="J26" s="47">
        <f>AAF!$E$38</f>
        <v>5.6977762997925652</v>
      </c>
      <c r="K26" s="47">
        <f>AAF!$F$38</f>
        <v>4.6210186143131295</v>
      </c>
      <c r="L26" s="47">
        <f>AAF!$G$38</f>
        <v>3.7955934298630409</v>
      </c>
      <c r="M26" s="45">
        <f>AAF!$H$38</f>
        <v>8.2765589799916217E-2</v>
      </c>
      <c r="N26" s="56"/>
      <c r="O26" s="47">
        <f>AAF!$D$39</f>
        <v>8.5837928125558438</v>
      </c>
      <c r="P26" s="47">
        <f>AAF!$E$39</f>
        <v>9.0164728587224712</v>
      </c>
      <c r="Q26" s="47">
        <f>AAF!$F$39</f>
        <v>7.2918034457191432</v>
      </c>
      <c r="R26" s="47">
        <f>AAF!$G$39</f>
        <v>5.8709592035797069</v>
      </c>
      <c r="S26" s="169">
        <f>AAF!$H$39</f>
        <v>8.0978510320863561E-2</v>
      </c>
      <c r="T26" s="46"/>
      <c r="U26" s="48" t="str">
        <f t="shared" ref="U26" si="2">D26</f>
        <v>USD 1.13</v>
      </c>
      <c r="V26" s="44" t="s">
        <v>1075</v>
      </c>
      <c r="Z26" s="46"/>
      <c r="AE26" s="41"/>
      <c r="AF26" s="31"/>
      <c r="AG26" s="31"/>
      <c r="AI26" s="41"/>
      <c r="AJ26" s="64"/>
      <c r="AK26" s="64"/>
      <c r="AM26" s="41"/>
      <c r="AN26" s="64"/>
      <c r="AO26" s="64"/>
      <c r="AQ26" s="41"/>
      <c r="AR26" s="64"/>
      <c r="AS26" s="64"/>
      <c r="BC26" s="65"/>
      <c r="BD26" s="65"/>
      <c r="BE26" s="65"/>
      <c r="BG26" s="65"/>
      <c r="BH26" s="65"/>
      <c r="BI26" s="65"/>
      <c r="BK26" s="65"/>
      <c r="BL26" s="65"/>
      <c r="BM26" s="65"/>
      <c r="BO26" s="65"/>
      <c r="BP26" s="65"/>
      <c r="BQ26" s="65"/>
    </row>
    <row r="27" spans="1:69" s="5" customFormat="1">
      <c r="A27" s="41"/>
      <c r="B27" s="42" t="s">
        <v>1405</v>
      </c>
      <c r="C27" s="48" t="s">
        <v>287</v>
      </c>
      <c r="D27" s="44" t="str">
        <f>'EM Multiples'!B27&amp;TEXT(Prices!C109,"0.00")</f>
        <v>USD 10.00</v>
      </c>
      <c r="E27" s="44" t="str">
        <f>'EM Multiples'!B27&amp;TEXT(Prices!E109,"0.00")</f>
        <v>USD 10.10</v>
      </c>
      <c r="F27" s="45">
        <f>Prices!F109</f>
        <v>1.0000000000000009E-2</v>
      </c>
      <c r="G27" s="44" t="str">
        <f>Prices!D109</f>
        <v>Buy</v>
      </c>
      <c r="H27" s="46"/>
      <c r="I27" s="47">
        <f>MTS!$D$38</f>
        <v>6.8460028655583676</v>
      </c>
      <c r="J27" s="47">
        <f>MTS!$E$38</f>
        <v>6.5970097623661905</v>
      </c>
      <c r="K27" s="47">
        <f>MTS!$F$38</f>
        <v>6.3392540459890103</v>
      </c>
      <c r="L27" s="47">
        <f>MTS!$G$38</f>
        <v>6.0955787141535192</v>
      </c>
      <c r="M27" s="45">
        <f>MTS!$H$38</f>
        <v>1.8741464069604863E-3</v>
      </c>
      <c r="N27" s="56"/>
      <c r="O27" s="47">
        <f>MTS!$D$39</f>
        <v>11.76556157433623</v>
      </c>
      <c r="P27" s="47">
        <f>MTS!$E$39</f>
        <v>10.834052707576824</v>
      </c>
      <c r="Q27" s="47">
        <f>MTS!$F$39</f>
        <v>10.532137706695863</v>
      </c>
      <c r="R27" s="47">
        <f>MTS!$G$39</f>
        <v>10.251137001703572</v>
      </c>
      <c r="S27" s="169">
        <f>MTS!$H$39</f>
        <v>9.1428942790983125E-3</v>
      </c>
      <c r="T27" s="46"/>
      <c r="U27" s="48" t="str">
        <f t="shared" ref="U27:U32" si="3">D27</f>
        <v>USD 10.00</v>
      </c>
      <c r="V27" s="44" t="s">
        <v>287</v>
      </c>
      <c r="Z27" s="46"/>
      <c r="AE27" s="41"/>
      <c r="AF27" s="31"/>
      <c r="AG27" s="31"/>
      <c r="AI27" s="41"/>
      <c r="AJ27" s="64"/>
      <c r="AK27" s="64"/>
      <c r="AM27" s="41"/>
      <c r="AN27" s="64"/>
      <c r="AO27" s="64"/>
      <c r="AQ27" s="41"/>
      <c r="AR27" s="64"/>
      <c r="AS27" s="64"/>
      <c r="BC27" s="65"/>
      <c r="BD27" s="65"/>
      <c r="BE27" s="65"/>
      <c r="BG27" s="65"/>
      <c r="BH27" s="65"/>
      <c r="BI27" s="65"/>
      <c r="BK27" s="65"/>
      <c r="BL27" s="65"/>
      <c r="BM27" s="65"/>
      <c r="BO27" s="65"/>
      <c r="BP27" s="65"/>
      <c r="BQ27" s="65"/>
    </row>
    <row r="28" spans="1:69" s="5" customFormat="1">
      <c r="A28" s="39"/>
      <c r="B28" s="42" t="s">
        <v>226</v>
      </c>
      <c r="C28" s="48" t="s">
        <v>399</v>
      </c>
      <c r="D28" s="44" t="str">
        <f>'EM Multiples'!B28&amp;TEXT(Prices!C110/100,"0.00")</f>
        <v>ZAR 92.00</v>
      </c>
      <c r="E28" s="44" t="str">
        <f>'EM Multiples'!B28&amp;TEXT(Prices!E110/100,"0.00")</f>
        <v>ZAR 130.00</v>
      </c>
      <c r="F28" s="45">
        <f>Prices!F110</f>
        <v>0.41304347826086962</v>
      </c>
      <c r="G28" s="44" t="str">
        <f>Prices!D110</f>
        <v>Buy</v>
      </c>
      <c r="H28" s="46"/>
      <c r="I28" s="47">
        <f>MTN!$D$38</f>
        <v>3.6505808740707368</v>
      </c>
      <c r="J28" s="47">
        <f>MTN!$E$38</f>
        <v>4.688654060330034</v>
      </c>
      <c r="K28" s="47">
        <f>MTN!$F$38</f>
        <v>4.1524457882502279</v>
      </c>
      <c r="L28" s="47">
        <f>MTN!$G$38</f>
        <v>3.6140015915158452</v>
      </c>
      <c r="M28" s="45">
        <f>MTN!$H$38</f>
        <v>1.4576885597962663E-2</v>
      </c>
      <c r="N28" s="56"/>
      <c r="O28" s="47">
        <f>MTN!$D$39</f>
        <v>12.882525240480165</v>
      </c>
      <c r="P28" s="47">
        <f>MTN!$E$39</f>
        <v>11.072499941640888</v>
      </c>
      <c r="Q28" s="47">
        <f>MTN!$F$39</f>
        <v>8.6819823243538909</v>
      </c>
      <c r="R28" s="47">
        <f>MTN!$G$39</f>
        <v>7.353989372277872</v>
      </c>
      <c r="S28" s="169">
        <f>MTN!$H$39</f>
        <v>0.21895148380249196</v>
      </c>
      <c r="T28" s="46"/>
      <c r="U28" s="48" t="str">
        <f t="shared" si="3"/>
        <v>ZAR 92.00</v>
      </c>
      <c r="V28" s="44" t="s">
        <v>399</v>
      </c>
      <c r="Z28" s="46"/>
      <c r="AE28" s="41"/>
      <c r="AF28" s="31"/>
      <c r="AG28" s="31"/>
      <c r="AI28" s="41"/>
      <c r="AJ28" s="64"/>
      <c r="AK28" s="64"/>
      <c r="AM28" s="41"/>
      <c r="AN28" s="64"/>
      <c r="AO28" s="64"/>
      <c r="AQ28" s="41"/>
      <c r="AR28" s="64"/>
      <c r="AS28" s="64"/>
      <c r="BC28" s="65"/>
      <c r="BD28" s="65"/>
      <c r="BE28" s="65"/>
      <c r="BG28" s="65"/>
      <c r="BH28" s="65"/>
      <c r="BI28" s="65"/>
      <c r="BK28" s="65"/>
      <c r="BL28" s="65"/>
      <c r="BM28" s="65"/>
      <c r="BO28" s="65"/>
      <c r="BP28" s="65"/>
      <c r="BQ28" s="65"/>
    </row>
    <row r="29" spans="1:69" s="5" customFormat="1">
      <c r="A29" s="39"/>
      <c r="B29" s="42" t="s">
        <v>1415</v>
      </c>
      <c r="C29" s="48" t="s">
        <v>409</v>
      </c>
      <c r="D29" s="44" t="str">
        <f>'EM Multiples'!B29&amp;TEXT(Prices!C111,"0.00")</f>
        <v>KES 14.80</v>
      </c>
      <c r="E29" s="44" t="str">
        <f>'EM Multiples'!B29&amp;TEXT(Prices!E111,"0.0")</f>
        <v>KES 17.0</v>
      </c>
      <c r="F29" s="45">
        <f>Prices!F111</f>
        <v>0.14864864864864868</v>
      </c>
      <c r="G29" s="44" t="str">
        <f>Prices!D111</f>
        <v>Neutral</v>
      </c>
      <c r="H29" s="46"/>
      <c r="I29" s="47">
        <f>SAF!$D$38</f>
        <v>4.259685454652681</v>
      </c>
      <c r="J29" s="47">
        <f>SAF!$E$38</f>
        <v>3.7808371550404947</v>
      </c>
      <c r="K29" s="47">
        <f>SAF!$F$38</f>
        <v>3.2341280106918169</v>
      </c>
      <c r="L29" s="47">
        <f>SAF!$G$38</f>
        <v>2.7012667081754764</v>
      </c>
      <c r="M29" s="45">
        <f>SAF!$H$38</f>
        <v>7.8068541407177117E-2</v>
      </c>
      <c r="N29" s="56"/>
      <c r="O29" s="47">
        <f>SAF!$D$39</f>
        <v>9.1859623554168977</v>
      </c>
      <c r="P29" s="47">
        <f>SAF!$E$39</f>
        <v>9.9186589615721754</v>
      </c>
      <c r="Q29" s="47">
        <f>SAF!$F$39</f>
        <v>6.0600679548463932</v>
      </c>
      <c r="R29" s="47">
        <f>SAF!$G$39</f>
        <v>4.1972949831898134</v>
      </c>
      <c r="S29" s="169">
        <f>SAF!$H$39</f>
        <v>0.20252673734908933</v>
      </c>
      <c r="T29" s="46"/>
      <c r="U29" s="48" t="str">
        <f>D29</f>
        <v>KES 14.80</v>
      </c>
      <c r="V29" s="44" t="str">
        <f>C29</f>
        <v>Safaricom</v>
      </c>
      <c r="Z29" s="46"/>
      <c r="AE29" s="41"/>
      <c r="AF29" s="31"/>
      <c r="AG29" s="31"/>
      <c r="AI29" s="41"/>
      <c r="AJ29" s="64"/>
      <c r="AK29" s="64"/>
      <c r="AM29" s="41"/>
      <c r="AN29" s="64"/>
      <c r="AO29" s="64"/>
      <c r="AQ29" s="41"/>
      <c r="AR29" s="64"/>
      <c r="AS29" s="64"/>
      <c r="BC29" s="65"/>
      <c r="BD29" s="65"/>
      <c r="BE29" s="65"/>
      <c r="BG29" s="65"/>
      <c r="BH29" s="65"/>
      <c r="BI29" s="65"/>
      <c r="BK29" s="65"/>
      <c r="BL29" s="65"/>
      <c r="BM29" s="65"/>
      <c r="BO29" s="65"/>
      <c r="BP29" s="65"/>
      <c r="BQ29" s="65"/>
    </row>
    <row r="30" spans="1:69" s="5" customFormat="1">
      <c r="A30" s="39"/>
      <c r="B30" s="42" t="s">
        <v>1405</v>
      </c>
      <c r="C30" s="48" t="s">
        <v>387</v>
      </c>
      <c r="D30" s="44" t="str">
        <f>'EM Multiples'!B30&amp;TEXT(Prices!C112,"0.00")</f>
        <v>USD 99.65</v>
      </c>
      <c r="E30" s="44" t="str">
        <f>'EM Multiples'!B30&amp;TEXT(Prices!E112,"0.00")</f>
        <v>USD 16.90</v>
      </c>
      <c r="F30" s="45">
        <f>Prices!F112</f>
        <v>-0.83040642247867535</v>
      </c>
      <c r="G30" s="44" t="str">
        <f>Prices!D112</f>
        <v>Buy</v>
      </c>
      <c r="H30" s="46"/>
      <c r="I30" s="47">
        <f>TKC!$D$38</f>
        <v>16.085145401051676</v>
      </c>
      <c r="J30" s="47">
        <f>TKC!$E$38</f>
        <v>14.86487444574349</v>
      </c>
      <c r="K30" s="47">
        <f>TKC!$F$38</f>
        <v>13.699606989518664</v>
      </c>
      <c r="L30" s="47">
        <f>TKC!$G$38</f>
        <v>12.609564839019825</v>
      </c>
      <c r="M30" s="45">
        <f>TKC!$H$38</f>
        <v>5.8545726276221677E-2</v>
      </c>
      <c r="N30" s="56"/>
      <c r="O30" s="47">
        <f>TKC!$D$39</f>
        <v>27.063254868033134</v>
      </c>
      <c r="P30" s="47">
        <f>TKC!$E$39</f>
        <v>24.198495770521525</v>
      </c>
      <c r="Q30" s="47">
        <f>TKC!$F$39</f>
        <v>21.641278474821746</v>
      </c>
      <c r="R30" s="47">
        <f>TKC!$G$39</f>
        <v>20.050660490598453</v>
      </c>
      <c r="S30" s="169">
        <f>TKC!$H$39</f>
        <v>7.8661324138610045E-2</v>
      </c>
      <c r="T30" s="46"/>
      <c r="U30" s="48" t="str">
        <f t="shared" si="3"/>
        <v>USD 99.65</v>
      </c>
      <c r="V30" s="44" t="s">
        <v>387</v>
      </c>
      <c r="Z30" s="46"/>
      <c r="AE30" s="41"/>
      <c r="AF30" s="31"/>
      <c r="AG30" s="31"/>
      <c r="AI30" s="41"/>
      <c r="AJ30" s="64"/>
      <c r="AK30" s="64"/>
      <c r="AM30" s="41"/>
      <c r="AN30" s="64"/>
      <c r="AO30" s="64"/>
      <c r="AQ30" s="41"/>
      <c r="AR30" s="64"/>
      <c r="AS30" s="64"/>
      <c r="BC30" s="65"/>
      <c r="BD30" s="65"/>
      <c r="BE30" s="65"/>
      <c r="BG30" s="65"/>
      <c r="BH30" s="65"/>
      <c r="BI30" s="65"/>
      <c r="BK30" s="65"/>
      <c r="BL30" s="65"/>
      <c r="BM30" s="65"/>
      <c r="BO30" s="65"/>
      <c r="BP30" s="65"/>
      <c r="BQ30" s="65"/>
    </row>
    <row r="31" spans="1:69" s="5" customFormat="1">
      <c r="A31" s="39"/>
      <c r="B31" s="42" t="s">
        <v>1405</v>
      </c>
      <c r="C31" s="48" t="s">
        <v>979</v>
      </c>
      <c r="D31" s="44" t="str">
        <f>'EM Multiples'!B31&amp;TEXT(Prices!C113,"0.0")</f>
        <v>USD 27.2</v>
      </c>
      <c r="E31" s="44" t="str">
        <f>'EM Multiples'!B31&amp;TEXT(Prices!E113,"0.0")</f>
        <v>USD 40.0</v>
      </c>
      <c r="F31" s="45">
        <f>Prices!F113</f>
        <v>0.47058823529411775</v>
      </c>
      <c r="G31" s="44" t="str">
        <f>Prices!D113</f>
        <v>Buy</v>
      </c>
      <c r="H31" s="46"/>
      <c r="I31" s="47">
        <f>VIMP!$D$38</f>
        <v>31.390507185770701</v>
      </c>
      <c r="J31" s="47">
        <f>VIMP!$E$38</f>
        <v>26.870492472859322</v>
      </c>
      <c r="K31" s="47">
        <f>VIMP!$F$38</f>
        <v>24.891145327284548</v>
      </c>
      <c r="L31" s="47">
        <f>VIMP!$G$38</f>
        <v>23.153395593565978</v>
      </c>
      <c r="M31" s="45">
        <f>VIMP!$H$38</f>
        <v>8.9695673255873132E-2</v>
      </c>
      <c r="N31" s="56"/>
      <c r="O31" s="47">
        <f>VIMP!$D$39</f>
        <v>52.715745434355235</v>
      </c>
      <c r="P31" s="47">
        <f>VIMP!$E$39</f>
        <v>42.932102846575098</v>
      </c>
      <c r="Q31" s="47">
        <f>VIMP!$F$39</f>
        <v>40.861785303983233</v>
      </c>
      <c r="R31" s="47">
        <f>VIMP!$G$39</f>
        <v>37.74063472633172</v>
      </c>
      <c r="S31" s="45">
        <f>VIMP!$H$39</f>
        <v>0.10057859914116829</v>
      </c>
      <c r="T31" s="46"/>
      <c r="U31" s="48" t="str">
        <f t="shared" si="3"/>
        <v>USD 27.2</v>
      </c>
      <c r="V31" s="44" t="s">
        <v>402</v>
      </c>
      <c r="Z31" s="46"/>
      <c r="AE31" s="41"/>
      <c r="AF31" s="31"/>
      <c r="AG31" s="31"/>
      <c r="AI31" s="41"/>
      <c r="AJ31" s="64"/>
      <c r="AK31" s="64"/>
      <c r="AM31" s="41"/>
      <c r="AN31" s="64"/>
      <c r="AO31" s="64"/>
      <c r="AQ31" s="41"/>
      <c r="AR31" s="64"/>
      <c r="AS31" s="64"/>
      <c r="BC31" s="65"/>
      <c r="BD31" s="65"/>
      <c r="BE31" s="65"/>
      <c r="BG31" s="65"/>
      <c r="BH31" s="65"/>
      <c r="BI31" s="65"/>
      <c r="BK31" s="65"/>
      <c r="BL31" s="65"/>
      <c r="BM31" s="65"/>
      <c r="BO31" s="65"/>
      <c r="BP31" s="65"/>
      <c r="BQ31" s="65"/>
    </row>
    <row r="32" spans="1:69" s="5" customFormat="1">
      <c r="A32" s="39"/>
      <c r="B32" s="42" t="s">
        <v>226</v>
      </c>
      <c r="C32" s="48" t="s">
        <v>376</v>
      </c>
      <c r="D32" s="44" t="str">
        <f>'EM Multiples'!B32&amp;TEXT(Prices!C114/100,"0.0")</f>
        <v>ZAR 111.1</v>
      </c>
      <c r="E32" s="44" t="str">
        <f>'EM Multiples'!B32&amp;TEXT(Prices!E114/100,"0.0")</f>
        <v>ZAR 150.0</v>
      </c>
      <c r="F32" s="45">
        <f>Prices!F114</f>
        <v>0.34989200863930892</v>
      </c>
      <c r="G32" s="44" t="str">
        <f>Prices!D114</f>
        <v>Buy</v>
      </c>
      <c r="H32" s="46"/>
      <c r="I32" s="47">
        <f>VODA!$D$38</f>
        <v>4.6160845065476419</v>
      </c>
      <c r="J32" s="47">
        <f>VODA!$E$38</f>
        <v>4.8029489845473998</v>
      </c>
      <c r="K32" s="47">
        <f>VODA!$F$38</f>
        <v>4.0307642091467546</v>
      </c>
      <c r="L32" s="47">
        <f>VODA!$G$38</f>
        <v>3.403516196383944</v>
      </c>
      <c r="M32" s="45">
        <f>VODA!$H$38</f>
        <v>5.8380324139227779E-2</v>
      </c>
      <c r="N32" s="56"/>
      <c r="O32" s="47">
        <f>VODA!$D$39</f>
        <v>7.2571356017657722</v>
      </c>
      <c r="P32" s="47">
        <f>VODA!$E$39</f>
        <v>7.7004725337803679</v>
      </c>
      <c r="Q32" s="47">
        <f>VODA!$F$39</f>
        <v>6.393012801017961</v>
      </c>
      <c r="R32" s="47">
        <f>VODA!$G$39</f>
        <v>5.3593866100949734</v>
      </c>
      <c r="S32" s="45">
        <f>VODA!$H$39</f>
        <v>5.7815268871281411E-2</v>
      </c>
      <c r="T32" s="46"/>
      <c r="U32" s="48" t="str">
        <f t="shared" si="3"/>
        <v>ZAR 111.1</v>
      </c>
      <c r="V32" s="44" t="s">
        <v>376</v>
      </c>
      <c r="Z32" s="46"/>
      <c r="AE32" s="41"/>
      <c r="AF32" s="31"/>
      <c r="AG32" s="31"/>
      <c r="AI32" s="41"/>
      <c r="AJ32" s="64"/>
      <c r="AK32" s="64"/>
      <c r="AM32" s="41"/>
      <c r="AN32" s="64"/>
      <c r="AO32" s="64"/>
      <c r="AQ32" s="41"/>
      <c r="AR32" s="64"/>
      <c r="AS32" s="64"/>
      <c r="BC32" s="65"/>
      <c r="BD32" s="65"/>
      <c r="BE32" s="65"/>
      <c r="BG32" s="65"/>
      <c r="BH32" s="65"/>
      <c r="BI32" s="65"/>
      <c r="BK32" s="65"/>
      <c r="BL32" s="65"/>
      <c r="BM32" s="65"/>
      <c r="BO32" s="65"/>
      <c r="BP32" s="65"/>
      <c r="BQ32" s="65"/>
    </row>
    <row r="33" spans="1:69" s="5" customFormat="1">
      <c r="B33" s="42"/>
      <c r="C33" s="51" t="s">
        <v>508</v>
      </c>
      <c r="D33" s="52"/>
      <c r="E33" s="52"/>
      <c r="F33" s="53"/>
      <c r="G33" s="52"/>
      <c r="H33" s="46"/>
      <c r="I33" s="54">
        <f>'EMEA CELLULAR'!$D$38</f>
        <v>7.7572766871744339</v>
      </c>
      <c r="J33" s="54">
        <f>'EMEA CELLULAR'!$E$38</f>
        <v>8.095415565986066</v>
      </c>
      <c r="K33" s="54">
        <f>'EMEA CELLULAR'!$F$38</f>
        <v>7.1463601536743644</v>
      </c>
      <c r="L33" s="54">
        <f>'EMEA CELLULAR'!$G$38</f>
        <v>6.3123163660270478</v>
      </c>
      <c r="M33" s="55">
        <f>'EMEA CELLULAR'!$H$38</f>
        <v>4.6652398847596643E-2</v>
      </c>
      <c r="N33" s="56"/>
      <c r="O33" s="54">
        <f>'EMEA CELLULAR'!$D$39</f>
        <v>15.605152275252255</v>
      </c>
      <c r="P33" s="54">
        <f>'EMEA CELLULAR'!$E$39</f>
        <v>14.854063145861112</v>
      </c>
      <c r="Q33" s="54">
        <f>'EMEA CELLULAR'!$F$39</f>
        <v>12.469863163008389</v>
      </c>
      <c r="R33" s="54">
        <f>'EMEA CELLULAR'!$G$39</f>
        <v>10.733351248281235</v>
      </c>
      <c r="S33" s="55">
        <f>'EMEA CELLULAR'!$H$39</f>
        <v>0.10698020388173712</v>
      </c>
      <c r="T33" s="46"/>
      <c r="U33" s="57"/>
      <c r="V33" s="58" t="s">
        <v>508</v>
      </c>
      <c r="Z33" s="46"/>
      <c r="AE33" s="41"/>
      <c r="AF33" s="31"/>
      <c r="AG33" s="31"/>
      <c r="AI33" s="41"/>
      <c r="AJ33" s="64"/>
      <c r="AK33" s="64"/>
      <c r="AM33" s="41"/>
      <c r="AN33" s="64"/>
      <c r="AO33" s="64"/>
      <c r="AQ33" s="41"/>
      <c r="AR33" s="64"/>
      <c r="AS33" s="64"/>
      <c r="BC33" s="65"/>
      <c r="BD33" s="65"/>
      <c r="BE33" s="65"/>
      <c r="BG33" s="65"/>
      <c r="BH33" s="65"/>
      <c r="BI33" s="65"/>
      <c r="BK33" s="65"/>
      <c r="BL33" s="65"/>
      <c r="BM33" s="65"/>
      <c r="BO33" s="65"/>
      <c r="BP33" s="65"/>
      <c r="BQ33" s="65"/>
    </row>
    <row r="34" spans="1:69" s="5" customFormat="1">
      <c r="B34" s="42"/>
      <c r="C34" s="43"/>
      <c r="D34" s="44"/>
      <c r="E34" s="44"/>
      <c r="F34" s="45"/>
      <c r="G34" s="44"/>
      <c r="H34" s="46"/>
      <c r="I34" s="47"/>
      <c r="J34" s="47"/>
      <c r="K34" s="47"/>
      <c r="L34" s="47"/>
      <c r="M34" s="45"/>
      <c r="N34" s="56"/>
      <c r="O34" s="47"/>
      <c r="P34" s="47"/>
      <c r="Q34" s="47"/>
      <c r="R34" s="47"/>
      <c r="S34" s="45"/>
      <c r="T34" s="46"/>
      <c r="U34" s="48"/>
      <c r="V34" s="50"/>
      <c r="Z34" s="46"/>
      <c r="AE34" s="41"/>
      <c r="AF34" s="31"/>
      <c r="AG34" s="31"/>
      <c r="AI34" s="41"/>
      <c r="AJ34" s="64"/>
      <c r="AK34" s="64"/>
      <c r="AM34" s="41"/>
      <c r="AN34" s="64"/>
      <c r="AO34" s="64"/>
      <c r="AQ34" s="41"/>
      <c r="AR34" s="64"/>
      <c r="AS34" s="64"/>
      <c r="BC34" s="65"/>
      <c r="BD34" s="65"/>
      <c r="BE34" s="65"/>
      <c r="BG34" s="65"/>
      <c r="BH34" s="65"/>
      <c r="BI34" s="65"/>
      <c r="BK34" s="65"/>
      <c r="BL34" s="65"/>
      <c r="BM34" s="65"/>
      <c r="BO34" s="65"/>
      <c r="BP34" s="65"/>
      <c r="BQ34" s="65"/>
    </row>
    <row r="35" spans="1:69" s="5" customFormat="1">
      <c r="B35" s="42" t="s">
        <v>432</v>
      </c>
      <c r="C35" s="48" t="s">
        <v>632</v>
      </c>
      <c r="D35" s="44" t="str">
        <f>'EM Multiples'!B35&amp;TEXT(Prices!C130," 0,0")</f>
        <v>CLP 2,900</v>
      </c>
      <c r="E35" s="44" t="str">
        <f>'EM Multiples'!B35&amp;TEXT(Prices!E130," 0,0")</f>
        <v>CLP 3,150</v>
      </c>
      <c r="F35" s="45">
        <f>Prices!F130</f>
        <v>8.6206896551724199E-2</v>
      </c>
      <c r="G35" s="44" t="str">
        <f>Prices!D130</f>
        <v>Neutral</v>
      </c>
      <c r="H35" s="46"/>
      <c r="I35" s="47">
        <f>ENTEL!$D$38</f>
        <v>3.5070394142417114</v>
      </c>
      <c r="J35" s="47">
        <f>ENTEL!$E$38</f>
        <v>3.0758506657665134</v>
      </c>
      <c r="K35" s="47">
        <f>ENTEL!$F$38</f>
        <v>2.5788549421628835</v>
      </c>
      <c r="L35" s="47">
        <f>ENTEL!$G$38</f>
        <v>2.0406628825403987</v>
      </c>
      <c r="M35" s="45">
        <f>ENTEL!$H$38</f>
        <v>6.28752032525417E-2</v>
      </c>
      <c r="N35" s="56"/>
      <c r="O35" s="47">
        <f>ENTEL!$D$39</f>
        <v>8.7434760913099705</v>
      </c>
      <c r="P35" s="47">
        <f>ENTEL!$E$39</f>
        <v>7.0242308098617379</v>
      </c>
      <c r="Q35" s="47">
        <f>ENTEL!$F$39</f>
        <v>5.4009589455999958</v>
      </c>
      <c r="R35" s="47">
        <f>ENTEL!$G$39</f>
        <v>4.0744485404539921</v>
      </c>
      <c r="S35" s="169">
        <f>ENTEL!$H$39</f>
        <v>0.1445398311886632</v>
      </c>
      <c r="T35" s="46"/>
      <c r="U35" s="48" t="str">
        <f>D35</f>
        <v>CLP 2,900</v>
      </c>
      <c r="V35" s="44" t="s">
        <v>632</v>
      </c>
      <c r="Z35" s="46"/>
      <c r="AE35" s="41"/>
      <c r="AF35" s="31"/>
      <c r="AG35" s="31"/>
      <c r="AI35" s="41"/>
      <c r="AJ35" s="64"/>
      <c r="AK35" s="64"/>
      <c r="AM35" s="41"/>
      <c r="AN35" s="64"/>
      <c r="AO35" s="64"/>
      <c r="AQ35" s="41"/>
      <c r="AR35" s="64"/>
      <c r="AS35" s="64"/>
      <c r="BC35" s="65"/>
      <c r="BD35" s="65"/>
      <c r="BE35" s="65"/>
      <c r="BG35" s="65"/>
      <c r="BH35" s="65"/>
      <c r="BI35" s="65"/>
      <c r="BK35" s="65"/>
      <c r="BL35" s="65"/>
      <c r="BM35" s="65"/>
      <c r="BO35" s="65"/>
      <c r="BP35" s="65"/>
      <c r="BQ35" s="65"/>
    </row>
    <row r="36" spans="1:69" s="5" customFormat="1">
      <c r="B36" s="42" t="s">
        <v>1405</v>
      </c>
      <c r="C36" s="48" t="s">
        <v>398</v>
      </c>
      <c r="D36" s="44" t="str">
        <f>'EM Multiples'!B36&amp;TEXT(Prices!C131," 0.0")</f>
        <v>USD  26.6</v>
      </c>
      <c r="E36" s="44" t="str">
        <f>'EM Multiples'!B36&amp;TEXT(Prices!E131,"0.0")</f>
        <v>USD 18.0</v>
      </c>
      <c r="F36" s="45">
        <f>Prices!F131</f>
        <v>-0.32407059707097252</v>
      </c>
      <c r="G36" s="44" t="str">
        <f>Prices!D131</f>
        <v>Neutral</v>
      </c>
      <c r="H36" s="46"/>
      <c r="I36" s="47">
        <f>MILLI!$D$38</f>
        <v>7.776276566124892</v>
      </c>
      <c r="J36" s="47">
        <f>MILLI!$E$38</f>
        <v>7.635413909912879</v>
      </c>
      <c r="K36" s="47">
        <f>MILLI!$F$38</f>
        <v>7.2331706649928185</v>
      </c>
      <c r="L36" s="47">
        <f>MILLI!$G$38</f>
        <v>6.7662101248371433</v>
      </c>
      <c r="M36" s="45">
        <f>MILLI!$H$38</f>
        <v>2.6439969252693762E-2</v>
      </c>
      <c r="N36" s="56"/>
      <c r="O36" s="47">
        <f>MILLI!$D$39</f>
        <v>13.007156500385417</v>
      </c>
      <c r="P36" s="47">
        <f>MILLI!$E$39</f>
        <v>12.556899004387496</v>
      </c>
      <c r="Q36" s="47">
        <f>MILLI!$F$39</f>
        <v>11.668663849382328</v>
      </c>
      <c r="R36" s="47">
        <f>MILLI!$G$39</f>
        <v>10.799246451388035</v>
      </c>
      <c r="S36" s="169">
        <f>MILLI!$H$39</f>
        <v>4.2608161608423067E-2</v>
      </c>
      <c r="T36" s="46"/>
      <c r="U36" s="48" t="str">
        <f>D36</f>
        <v>USD  26.6</v>
      </c>
      <c r="V36" s="44" t="s">
        <v>398</v>
      </c>
      <c r="Z36" s="46"/>
      <c r="AE36" s="41"/>
      <c r="AF36" s="31"/>
      <c r="AG36" s="31"/>
      <c r="AI36" s="41"/>
      <c r="AJ36" s="64"/>
      <c r="AK36" s="64"/>
      <c r="AM36" s="41"/>
      <c r="AN36" s="64"/>
      <c r="AO36" s="64"/>
      <c r="AQ36" s="41"/>
      <c r="AR36" s="64"/>
      <c r="AS36" s="64"/>
      <c r="BC36" s="65"/>
      <c r="BD36" s="65"/>
      <c r="BE36" s="65"/>
      <c r="BG36" s="65"/>
      <c r="BH36" s="65"/>
      <c r="BI36" s="65"/>
      <c r="BK36" s="65"/>
      <c r="BL36" s="65"/>
      <c r="BM36" s="65"/>
      <c r="BO36" s="65"/>
      <c r="BP36" s="65"/>
      <c r="BQ36" s="65"/>
    </row>
    <row r="37" spans="1:69" s="5" customFormat="1">
      <c r="B37" s="42" t="s">
        <v>142</v>
      </c>
      <c r="C37" s="48" t="s">
        <v>110</v>
      </c>
      <c r="D37" s="44" t="str">
        <f>'EM Multiples'!B37&amp;TEXT(Prices!C132,"0.00")</f>
        <v>BRL 18.63</v>
      </c>
      <c r="E37" s="44" t="str">
        <f>'EM Multiples'!B37&amp;TEXT(Prices!E132,"0.00")</f>
        <v>BRL 23.00</v>
      </c>
      <c r="F37" s="45">
        <f>Prices!F132</f>
        <v>0.23456790123456805</v>
      </c>
      <c r="G37" s="44" t="str">
        <f>Prices!D132</f>
        <v>Buy</v>
      </c>
      <c r="H37" s="46"/>
      <c r="I37" s="47">
        <f>TIMP!$D$38</f>
        <v>3.9889126545095897</v>
      </c>
      <c r="J37" s="47">
        <f>TIMP!$E$38</f>
        <v>3.2583026802964468</v>
      </c>
      <c r="K37" s="47">
        <f>TIMP!$F$38</f>
        <v>2.5989767944237996</v>
      </c>
      <c r="L37" s="47">
        <f>TIMP!$G$38</f>
        <v>2.0046998961028448</v>
      </c>
      <c r="M37" s="45">
        <f>TIMP!$H$38</f>
        <v>7.1701870419550895E-2</v>
      </c>
      <c r="N37" s="56"/>
      <c r="O37" s="47">
        <f>TIMP!$D$39</f>
        <v>6.5070798956210885</v>
      </c>
      <c r="P37" s="47">
        <f>TIMP!$E$39</f>
        <v>5.0035668596839091</v>
      </c>
      <c r="Q37" s="47">
        <f>TIMP!$F$39</f>
        <v>3.8241588176856176</v>
      </c>
      <c r="R37" s="47">
        <f>TIMP!$G$39</f>
        <v>2.9501041167016293</v>
      </c>
      <c r="S37" s="45">
        <f>TIMP!$H$39</f>
        <v>0.10914553252012116</v>
      </c>
      <c r="T37" s="46"/>
      <c r="U37" s="48" t="str">
        <f>D37</f>
        <v>BRL 18.63</v>
      </c>
      <c r="V37" s="44" t="s">
        <v>110</v>
      </c>
      <c r="Z37" s="46"/>
      <c r="AE37" s="41"/>
      <c r="AF37" s="31"/>
      <c r="AG37" s="31"/>
      <c r="AI37" s="41"/>
      <c r="AJ37" s="64"/>
      <c r="AK37" s="64"/>
      <c r="AM37" s="41"/>
      <c r="AN37" s="64"/>
      <c r="AO37" s="64"/>
      <c r="AQ37" s="41"/>
      <c r="AR37" s="64"/>
      <c r="AS37" s="64"/>
      <c r="BC37" s="65"/>
      <c r="BD37" s="65"/>
      <c r="BE37" s="65"/>
      <c r="BG37" s="65"/>
      <c r="BH37" s="65"/>
      <c r="BI37" s="65"/>
      <c r="BK37" s="65"/>
      <c r="BL37" s="65"/>
      <c r="BM37" s="65"/>
      <c r="BO37" s="65"/>
      <c r="BP37" s="65"/>
      <c r="BQ37" s="65"/>
    </row>
    <row r="38" spans="1:69" s="5" customFormat="1">
      <c r="A38" s="39"/>
      <c r="B38" s="42"/>
      <c r="C38" s="51" t="s">
        <v>509</v>
      </c>
      <c r="D38" s="52"/>
      <c r="E38" s="52"/>
      <c r="F38" s="53"/>
      <c r="G38" s="52"/>
      <c r="H38" s="46"/>
      <c r="I38" s="54">
        <f>'LATAM CELLULAR'!$D$38</f>
        <v>5.5513222442043304</v>
      </c>
      <c r="J38" s="54">
        <f>'LATAM CELLULAR'!$E$38</f>
        <v>5.0412781171960415</v>
      </c>
      <c r="K38" s="54">
        <f>'LATAM CELLULAR'!$F$38</f>
        <v>4.4661676121823097</v>
      </c>
      <c r="L38" s="54">
        <f>'LATAM CELLULAR'!$G$38</f>
        <v>3.9207027473271143</v>
      </c>
      <c r="M38" s="55">
        <f>'LATAM CELLULAR'!$H$38</f>
        <v>5.1333149380524246E-2</v>
      </c>
      <c r="N38" s="56"/>
      <c r="O38" s="54">
        <f>'LATAM CELLULAR'!$D$39</f>
        <v>9.646923587005535</v>
      </c>
      <c r="P38" s="54">
        <f>'LATAM CELLULAR'!$E$39</f>
        <v>8.3754437433760849</v>
      </c>
      <c r="Q38" s="54">
        <f>'LATAM CELLULAR'!$F$39</f>
        <v>7.1399931104472305</v>
      </c>
      <c r="R38" s="54">
        <f>'LATAM CELLULAR'!$G$39</f>
        <v>6.2110946745245244</v>
      </c>
      <c r="S38" s="55">
        <f>'LATAM CELLULAR'!$H$39</f>
        <v>8.4267435127213242E-2</v>
      </c>
      <c r="T38" s="46"/>
      <c r="U38" s="57"/>
      <c r="V38" s="58" t="s">
        <v>509</v>
      </c>
      <c r="Z38" s="46"/>
      <c r="AE38" s="41"/>
      <c r="AF38" s="31"/>
      <c r="AG38" s="31"/>
      <c r="AI38" s="41"/>
      <c r="AJ38" s="64"/>
      <c r="AK38" s="64"/>
      <c r="AM38" s="41"/>
      <c r="AN38" s="64"/>
      <c r="AO38" s="64"/>
      <c r="AQ38" s="41"/>
      <c r="AR38" s="64"/>
      <c r="AS38" s="64"/>
      <c r="BC38" s="65"/>
      <c r="BD38" s="65"/>
      <c r="BE38" s="65"/>
      <c r="BG38" s="65"/>
      <c r="BH38" s="65"/>
      <c r="BI38" s="65"/>
      <c r="BK38" s="65"/>
      <c r="BL38" s="65"/>
      <c r="BM38" s="65"/>
      <c r="BO38" s="65"/>
      <c r="BP38" s="65"/>
      <c r="BQ38" s="65"/>
    </row>
    <row r="39" spans="1:69" s="5" customFormat="1">
      <c r="B39" s="42"/>
      <c r="C39" s="43"/>
      <c r="D39" s="44"/>
      <c r="E39" s="44"/>
      <c r="F39" s="45"/>
      <c r="G39" s="44"/>
      <c r="H39" s="46"/>
      <c r="I39" s="47"/>
      <c r="J39" s="47"/>
      <c r="K39" s="47"/>
      <c r="L39" s="47"/>
      <c r="M39" s="45"/>
      <c r="N39" s="46"/>
      <c r="O39" s="47"/>
      <c r="P39" s="47"/>
      <c r="Q39" s="47"/>
      <c r="R39" s="47"/>
      <c r="S39" s="45"/>
      <c r="T39" s="46"/>
      <c r="U39" s="48"/>
      <c r="V39" s="50"/>
      <c r="Z39" s="46"/>
      <c r="AE39" s="41"/>
      <c r="AF39" s="31"/>
      <c r="AG39" s="31"/>
      <c r="AI39" s="41"/>
      <c r="AJ39" s="64"/>
      <c r="AK39" s="64"/>
      <c r="AM39" s="41"/>
      <c r="AN39" s="64"/>
      <c r="AO39" s="64"/>
      <c r="AQ39" s="41"/>
      <c r="AR39" s="64"/>
      <c r="AS39" s="64"/>
      <c r="BC39" s="65"/>
      <c r="BD39" s="65"/>
      <c r="BE39" s="65"/>
      <c r="BG39" s="65"/>
      <c r="BH39" s="65"/>
      <c r="BI39" s="65"/>
      <c r="BK39" s="65"/>
      <c r="BL39" s="65"/>
      <c r="BM39" s="65"/>
      <c r="BO39" s="65"/>
      <c r="BP39" s="65"/>
      <c r="BQ39" s="65"/>
    </row>
    <row r="40" spans="1:69" s="5" customFormat="1">
      <c r="A40" s="39"/>
      <c r="B40" s="42" t="s">
        <v>202</v>
      </c>
      <c r="C40" s="48" t="s">
        <v>555</v>
      </c>
      <c r="D40" s="44" t="str">
        <f>'EM Multiples'!B40&amp;TEXT(Prices!C80,"0.0")</f>
        <v>THB 269.0</v>
      </c>
      <c r="E40" s="44" t="str">
        <f>'EM Multiples'!B40&amp;TEXT(Prices!E80,"0.0")</f>
        <v>THB 300.0</v>
      </c>
      <c r="F40" s="45">
        <f>Prices!F80</f>
        <v>0.11524163568773238</v>
      </c>
      <c r="G40" s="44" t="str">
        <f>Prices!D80</f>
        <v>Buy</v>
      </c>
      <c r="H40" s="46"/>
      <c r="I40" s="47">
        <f>ADVANCED!$D$38</f>
        <v>11.238196990971502</v>
      </c>
      <c r="J40" s="47">
        <f>ADVANCED!$E$38</f>
        <v>9.2770114418582637</v>
      </c>
      <c r="K40" s="47">
        <f>ADVANCED!$F$38</f>
        <v>8.0525658303592014</v>
      </c>
      <c r="L40" s="47">
        <f>ADVANCED!$G$38</f>
        <v>7.1659760904424106</v>
      </c>
      <c r="M40" s="45">
        <f>ADVANCED!$H$38</f>
        <v>8.6293987917293702E-2</v>
      </c>
      <c r="N40" s="46"/>
      <c r="O40" s="47">
        <f>ADVANCED!$D$39</f>
        <v>18.643670224472757</v>
      </c>
      <c r="P40" s="47">
        <f>ADVANCED!$E$39</f>
        <v>12.194735719076458</v>
      </c>
      <c r="Q40" s="47">
        <f>ADVANCED!$F$39</f>
        <v>10.385224961765289</v>
      </c>
      <c r="R40" s="47">
        <f>ADVANCED!$G$39</f>
        <v>9.5455223098051221</v>
      </c>
      <c r="S40" s="45">
        <f>ADVANCED!$H$39</f>
        <v>0.16873895371596181</v>
      </c>
      <c r="T40" s="46"/>
      <c r="U40" s="48" t="str">
        <f t="shared" ref="U40:U53" si="4">D40</f>
        <v>THB 269.0</v>
      </c>
      <c r="V40" s="44" t="s">
        <v>555</v>
      </c>
      <c r="Z40" s="46"/>
      <c r="AE40" s="41"/>
      <c r="AF40" s="31"/>
      <c r="AG40" s="31"/>
      <c r="AI40" s="41"/>
      <c r="AJ40" s="64"/>
      <c r="AK40" s="64"/>
      <c r="AM40" s="41"/>
      <c r="AN40" s="64"/>
      <c r="AO40" s="64"/>
      <c r="AQ40" s="41"/>
      <c r="AR40" s="64"/>
      <c r="AS40" s="64"/>
      <c r="BC40" s="65"/>
      <c r="BD40" s="65"/>
      <c r="BE40" s="65"/>
      <c r="BG40" s="65"/>
      <c r="BH40" s="65"/>
      <c r="BI40" s="65"/>
      <c r="BK40" s="65"/>
      <c r="BL40" s="65"/>
      <c r="BM40" s="65"/>
      <c r="BO40" s="65"/>
      <c r="BP40" s="65"/>
      <c r="BQ40" s="65"/>
    </row>
    <row r="41" spans="1:69" s="5" customFormat="1">
      <c r="A41" s="39"/>
      <c r="B41" s="42" t="s">
        <v>125</v>
      </c>
      <c r="C41" s="48" t="s">
        <v>324</v>
      </c>
      <c r="D41" s="44" t="str">
        <f>'EM Multiples'!B41&amp;TEXT(Prices!C81,"0.00")</f>
        <v>MYR 2.44</v>
      </c>
      <c r="E41" s="44" t="str">
        <f>'EM Multiples'!B41&amp;TEXT(Prices!E81,"0.00")</f>
        <v>MYR 4.50</v>
      </c>
      <c r="F41" s="45">
        <f>Prices!F81</f>
        <v>0.84426229508196715</v>
      </c>
      <c r="G41" s="44" t="str">
        <f>Prices!D81</f>
        <v>Buy</v>
      </c>
      <c r="H41" s="46"/>
      <c r="I41" s="47">
        <f>AXI!$D$38</f>
        <v>4.1575827411470447</v>
      </c>
      <c r="J41" s="47">
        <f>AXI!$E$38</f>
        <v>4.6263300672401684</v>
      </c>
      <c r="K41" s="47">
        <f>AXI!$F$38</f>
        <v>4.2090563738062157</v>
      </c>
      <c r="L41" s="47">
        <f>AXI!$G$38</f>
        <v>3.8633492113578178</v>
      </c>
      <c r="M41" s="45">
        <f>AXI!$H$38</f>
        <v>5.6575017875276856E-2</v>
      </c>
      <c r="N41" s="46"/>
      <c r="O41" s="47">
        <f>AXI!$D$39</f>
        <v>10.315136385371574</v>
      </c>
      <c r="P41" s="47">
        <f>AXI!$E$39</f>
        <v>11.551079782495972</v>
      </c>
      <c r="Q41" s="47">
        <f>AXI!$F$39</f>
        <v>11.1297175773493</v>
      </c>
      <c r="R41" s="47">
        <f>AXI!$G$39</f>
        <v>10.085338847273142</v>
      </c>
      <c r="S41" s="45">
        <f>AXI!$H$39</f>
        <v>3.8810154632409111E-2</v>
      </c>
      <c r="T41" s="46"/>
      <c r="U41" s="48" t="str">
        <f t="shared" si="4"/>
        <v>MYR 2.44</v>
      </c>
      <c r="V41" s="44" t="s">
        <v>324</v>
      </c>
      <c r="Z41" s="46"/>
      <c r="AE41" s="41"/>
      <c r="AF41" s="31"/>
      <c r="AG41" s="31"/>
      <c r="AI41" s="41"/>
      <c r="AJ41" s="64"/>
      <c r="AK41" s="64"/>
      <c r="AM41" s="41"/>
      <c r="AN41" s="64"/>
      <c r="AO41" s="64"/>
      <c r="AQ41" s="41"/>
      <c r="AR41" s="64"/>
      <c r="AS41" s="64"/>
      <c r="BC41" s="65"/>
      <c r="BD41" s="65"/>
      <c r="BE41" s="65"/>
      <c r="BG41" s="65"/>
      <c r="BH41" s="65"/>
      <c r="BI41" s="65"/>
      <c r="BK41" s="65"/>
      <c r="BL41" s="65"/>
      <c r="BM41" s="65"/>
      <c r="BO41" s="65"/>
      <c r="BP41" s="65"/>
      <c r="BQ41" s="65"/>
    </row>
    <row r="42" spans="1:69">
      <c r="A42" s="5"/>
      <c r="B42" s="42" t="s">
        <v>109</v>
      </c>
      <c r="C42" s="48" t="s">
        <v>338</v>
      </c>
      <c r="D42" s="44" t="str">
        <f>'EM Multiples'!B42&amp;TEXT(Prices!C82,"0")</f>
        <v>INR 1539</v>
      </c>
      <c r="E42" s="44" t="str">
        <f>'EM Multiples'!B42&amp;TEXT(Prices!E82,"0")</f>
        <v>INR 1500</v>
      </c>
      <c r="F42" s="45">
        <f>Prices!F82</f>
        <v>-2.5404457150282611E-2</v>
      </c>
      <c r="G42" s="44" t="str">
        <f>Prices!D82</f>
        <v>Neutral</v>
      </c>
      <c r="H42" s="46"/>
      <c r="I42" s="47">
        <f>BHART!$D$38</f>
        <v>15.49519282441336</v>
      </c>
      <c r="J42" s="47">
        <f>BHART!$E$38</f>
        <v>13.281123960699325</v>
      </c>
      <c r="K42" s="47">
        <f>BHART!$F$38</f>
        <v>10.967212460784923</v>
      </c>
      <c r="L42" s="47">
        <f>BHART!$G$38</f>
        <v>9.1303934255396939</v>
      </c>
      <c r="M42" s="45">
        <f>BHART!$H$38</f>
        <v>0.15296706595857801</v>
      </c>
      <c r="N42" s="46"/>
      <c r="O42" s="47">
        <f>BHART!$D$39</f>
        <v>30.958434379739387</v>
      </c>
      <c r="P42" s="47">
        <f>BHART!$E$39</f>
        <v>22.662713528996292</v>
      </c>
      <c r="Q42" s="47">
        <f>BHART!$F$39</f>
        <v>17.12315719532501</v>
      </c>
      <c r="R42" s="47">
        <f>BHART!$G$39</f>
        <v>13.208226886768619</v>
      </c>
      <c r="S42" s="45">
        <f>BHART!$H$39</f>
        <v>0.28398286260087913</v>
      </c>
      <c r="T42" s="46"/>
      <c r="U42" s="48" t="str">
        <f t="shared" si="4"/>
        <v>INR 1539</v>
      </c>
      <c r="V42" s="44" t="s">
        <v>338</v>
      </c>
      <c r="Z42" s="46"/>
      <c r="AE42" s="41"/>
      <c r="AF42" s="31"/>
      <c r="AG42" s="31"/>
      <c r="AI42" s="41"/>
      <c r="AJ42" s="64"/>
      <c r="AK42" s="64"/>
      <c r="AM42" s="41"/>
      <c r="AN42" s="64"/>
      <c r="AO42" s="64"/>
      <c r="AQ42" s="41"/>
      <c r="AR42" s="64"/>
      <c r="AS42" s="64"/>
    </row>
    <row r="43" spans="1:69">
      <c r="A43" s="5"/>
      <c r="B43" s="42" t="s">
        <v>1407</v>
      </c>
      <c r="C43" s="48" t="s">
        <v>473</v>
      </c>
      <c r="D43" s="44" t="str">
        <f>'EM Multiples'!B43&amp;TEXT(Prices!C83,"0.0")</f>
        <v>HKD 72.0</v>
      </c>
      <c r="E43" s="44" t="str">
        <f>'EM Multiples'!B43&amp;TEXT(Prices!E83,"0.0")</f>
        <v>HKD 115.0</v>
      </c>
      <c r="F43" s="45">
        <f>Prices!F83</f>
        <v>0.59722222222222232</v>
      </c>
      <c r="G43" s="44" t="str">
        <f>Prices!D83</f>
        <v>Buy</v>
      </c>
      <c r="H43" s="46"/>
      <c r="I43" s="47">
        <f>_CM!$D$38</f>
        <v>3.5786218477917875</v>
      </c>
      <c r="J43" s="47">
        <f>_CM!$E$38</f>
        <v>3.4247931507688723</v>
      </c>
      <c r="K43" s="47">
        <f>_CM!$F$38</f>
        <v>2.9207456133444225</v>
      </c>
      <c r="L43" s="47">
        <f>_CM!$G$38</f>
        <v>2.4074687779559398</v>
      </c>
      <c r="M43" s="45">
        <f>_CM!$H$38</f>
        <v>2.6054428351446557E-2</v>
      </c>
      <c r="N43" s="46"/>
      <c r="O43" s="47">
        <f>_CM!$D$39</f>
        <v>7.1462776904242906</v>
      </c>
      <c r="P43" s="47">
        <f>_CM!$E$39</f>
        <v>6.5339664724301718</v>
      </c>
      <c r="Q43" s="47">
        <f>_CM!$F$39</f>
        <v>5.3015238108778791</v>
      </c>
      <c r="R43" s="47">
        <f>_CM!$G$39</f>
        <v>4.3035855613974716</v>
      </c>
      <c r="S43" s="45">
        <f>_CM!$H$39</f>
        <v>6.4637679710742635E-2</v>
      </c>
      <c r="T43" s="46"/>
      <c r="U43" s="48" t="str">
        <f t="shared" si="4"/>
        <v>HKD 72.0</v>
      </c>
      <c r="V43" s="44" t="s">
        <v>473</v>
      </c>
      <c r="Z43" s="46"/>
      <c r="AE43" s="41"/>
      <c r="AF43" s="31"/>
      <c r="AG43" s="31"/>
      <c r="AI43" s="41"/>
      <c r="AJ43" s="64"/>
      <c r="AK43" s="64"/>
      <c r="AM43" s="41"/>
      <c r="AN43" s="64"/>
      <c r="AO43" s="64"/>
      <c r="AQ43" s="41"/>
      <c r="AR43" s="64"/>
      <c r="AS43" s="64"/>
    </row>
    <row r="44" spans="1:69" s="5" customFormat="1">
      <c r="B44" s="42" t="s">
        <v>125</v>
      </c>
      <c r="C44" s="48" t="s">
        <v>1561</v>
      </c>
      <c r="D44" s="44" t="str">
        <f>'EM Multiples'!B44&amp;TEXT(Prices!C84,"0.0")</f>
        <v>MYR 3.7</v>
      </c>
      <c r="E44" s="44" t="str">
        <f>'EM Multiples'!B44&amp;TEXT(Prices!E84,"0.0")</f>
        <v>MYR 6.0</v>
      </c>
      <c r="F44" s="45">
        <f>Prices!F84</f>
        <v>0.63934426229508201</v>
      </c>
      <c r="G44" s="44" t="str">
        <f>Prices!D84</f>
        <v>Buy</v>
      </c>
      <c r="H44" s="46"/>
      <c r="I44" s="47">
        <f>DIGI!$D$38</f>
        <v>9.4428086457919598</v>
      </c>
      <c r="J44" s="47">
        <f>DIGI!$E$38</f>
        <v>8.8173560145518177</v>
      </c>
      <c r="K44" s="47">
        <f>DIGI!$F$38</f>
        <v>7.9771342186839114</v>
      </c>
      <c r="L44" s="47">
        <f>DIGI!$G$38</f>
        <v>7.13078917043907</v>
      </c>
      <c r="M44" s="45">
        <f>DIGI!$H$38</f>
        <v>3.8396670293431745E-2</v>
      </c>
      <c r="N44" s="46"/>
      <c r="O44" s="47">
        <f>DIGI!$D$39</f>
        <v>13.210290825054638</v>
      </c>
      <c r="P44" s="47">
        <f>DIGI!$D$39</f>
        <v>13.210290825054638</v>
      </c>
      <c r="Q44" s="47">
        <f>DIGI!$F$39</f>
        <v>11.340016518904003</v>
      </c>
      <c r="R44" s="47">
        <f>DIGI!$G$39</f>
        <v>9.7990798436296558</v>
      </c>
      <c r="S44" s="45">
        <f>DIGI!$H$39</f>
        <v>4.460263434813605E-2</v>
      </c>
      <c r="T44" s="46"/>
      <c r="U44" s="48" t="str">
        <f t="shared" si="4"/>
        <v>MYR 3.7</v>
      </c>
      <c r="V44" s="44" t="s">
        <v>1561</v>
      </c>
      <c r="Z44" s="46"/>
      <c r="AE44" s="41"/>
      <c r="AF44" s="31"/>
      <c r="AG44" s="31"/>
      <c r="AI44" s="41"/>
      <c r="AJ44" s="64"/>
      <c r="AK44" s="64"/>
      <c r="AM44" s="41"/>
      <c r="AN44" s="64"/>
      <c r="AO44" s="64"/>
      <c r="AQ44" s="41"/>
      <c r="AR44" s="64"/>
      <c r="AS44" s="64"/>
      <c r="BC44" s="65"/>
      <c r="BD44" s="65"/>
      <c r="BE44" s="65"/>
      <c r="BG44" s="65"/>
      <c r="BH44" s="65"/>
      <c r="BI44" s="65"/>
      <c r="BK44" s="65"/>
      <c r="BL44" s="65"/>
      <c r="BM44" s="65"/>
      <c r="BO44" s="65"/>
      <c r="BP44" s="65"/>
      <c r="BQ44" s="65"/>
    </row>
    <row r="45" spans="1:69" s="5" customFormat="1">
      <c r="B45" s="42" t="s">
        <v>243</v>
      </c>
      <c r="C45" s="48" t="s">
        <v>416</v>
      </c>
      <c r="D45" s="44" t="str">
        <f>'EM Multiples'!B45&amp;TEXT(Prices!C85,"0.0")</f>
        <v>TWD 91.9</v>
      </c>
      <c r="E45" s="44" t="str">
        <f>'EM Multiples'!B45&amp;TEXT(Prices!E85,"0.0")</f>
        <v>TWD n/r</v>
      </c>
      <c r="F45" s="45" t="str">
        <f>Prices!F85</f>
        <v>-</v>
      </c>
      <c r="G45" s="44" t="str">
        <f>Prices!D85</f>
        <v>n/r</v>
      </c>
      <c r="H45" s="46"/>
      <c r="I45" s="47">
        <f>FAR!$D$38</f>
        <v>11.273978836368698</v>
      </c>
      <c r="J45" s="47">
        <f>FAR!$E$38</f>
        <v>10.628083212053305</v>
      </c>
      <c r="K45" s="47">
        <f>FAR!$F$38</f>
        <v>9.9923850472435838</v>
      </c>
      <c r="L45" s="47">
        <f>FAR!$G$38</f>
        <v>9.3664976673586828</v>
      </c>
      <c r="M45" s="45">
        <f>FAR!$H$38</f>
        <v>1.8162609649959416E-2</v>
      </c>
      <c r="N45" s="46"/>
      <c r="O45" s="47">
        <f>FAR!$D$39</f>
        <v>16.010908298768232</v>
      </c>
      <c r="P45" s="47">
        <f>FAR!$E$39</f>
        <v>14.831154772751582</v>
      </c>
      <c r="Q45" s="47">
        <f>FAR!$F$39</f>
        <v>13.991059593598045</v>
      </c>
      <c r="R45" s="47">
        <f>FAR!$G$39</f>
        <v>13.16049626136035</v>
      </c>
      <c r="S45" s="45">
        <f>FAR!$H$39</f>
        <v>2.1798004661201187E-2</v>
      </c>
      <c r="T45" s="46"/>
      <c r="U45" s="48" t="str">
        <f t="shared" si="4"/>
        <v>TWD 91.9</v>
      </c>
      <c r="V45" s="44" t="s">
        <v>416</v>
      </c>
      <c r="Z45" s="46"/>
      <c r="AE45" s="41"/>
      <c r="AF45" s="31"/>
      <c r="AG45" s="31"/>
      <c r="AI45" s="41"/>
      <c r="AJ45" s="64"/>
      <c r="AK45" s="64"/>
      <c r="AM45" s="41"/>
      <c r="AN45" s="64"/>
      <c r="AO45" s="64"/>
      <c r="AQ45" s="41"/>
      <c r="AR45" s="64"/>
      <c r="AS45" s="64"/>
      <c r="BC45" s="65"/>
      <c r="BD45" s="65"/>
      <c r="BE45" s="65"/>
      <c r="BG45" s="65"/>
      <c r="BH45" s="65"/>
      <c r="BI45" s="65"/>
      <c r="BK45" s="65"/>
      <c r="BL45" s="65"/>
      <c r="BM45" s="65"/>
      <c r="BO45" s="65"/>
      <c r="BP45" s="65"/>
      <c r="BQ45" s="65"/>
    </row>
    <row r="46" spans="1:69">
      <c r="A46" s="5"/>
      <c r="B46" s="42" t="s">
        <v>109</v>
      </c>
      <c r="C46" s="48" t="s">
        <v>1069</v>
      </c>
      <c r="D46" s="44" t="str">
        <f>'EM Multiples'!B46&amp;TEXT(Prices!C86,"0.0")</f>
        <v>INR 13.4</v>
      </c>
      <c r="E46" s="44" t="str">
        <f>'EM Multiples'!B46&amp;TEXT(Prices!E86,"0.0")</f>
        <v>INR 5.0</v>
      </c>
      <c r="F46" s="45">
        <f>Prices!F86</f>
        <v>-0.62574850299401197</v>
      </c>
      <c r="G46" s="44" t="str">
        <f>Prices!D86</f>
        <v>Reduce</v>
      </c>
      <c r="H46" s="46"/>
      <c r="I46" s="47">
        <f>IDEA!$D$38</f>
        <v>16.023721406049283</v>
      </c>
      <c r="J46" s="47">
        <f>IDEA!$E$38</f>
        <v>16.123254839035862</v>
      </c>
      <c r="K46" s="47">
        <f>IDEA!$F$38</f>
        <v>14.737657571197117</v>
      </c>
      <c r="L46" s="47">
        <f>IDEA!$G$38</f>
        <v>13.77582293385044</v>
      </c>
      <c r="M46" s="45">
        <f>IDEA!$H$38</f>
        <v>0.13186890558136688</v>
      </c>
      <c r="N46" s="46"/>
      <c r="O46" s="47">
        <f>IDEA!$D$39</f>
        <v>17.964274207907831</v>
      </c>
      <c r="P46" s="47">
        <f>IDEA!$E$39</f>
        <v>226.37161962608661</v>
      </c>
      <c r="Q46" s="47">
        <f>IDEA!$F$39</f>
        <v>148.31424650367481</v>
      </c>
      <c r="R46" s="47">
        <f>IDEA!$G$39</f>
        <v>25.780870103416159</v>
      </c>
      <c r="S46" s="45">
        <f>IDEA!$H$39</f>
        <v>-4.5846561559431231E-2</v>
      </c>
      <c r="T46" s="46"/>
      <c r="U46" s="48" t="str">
        <f t="shared" si="4"/>
        <v>INR 13.4</v>
      </c>
      <c r="V46" s="44" t="s">
        <v>1069</v>
      </c>
      <c r="Z46" s="46"/>
      <c r="AE46" s="41"/>
      <c r="AF46" s="31"/>
      <c r="AG46" s="31"/>
      <c r="AI46" s="41"/>
      <c r="AJ46" s="64"/>
      <c r="AK46" s="64"/>
      <c r="AM46" s="41"/>
      <c r="AN46" s="64"/>
      <c r="AO46" s="64"/>
      <c r="AQ46" s="41"/>
      <c r="AR46" s="64"/>
      <c r="AS46" s="64"/>
      <c r="BC46" s="65"/>
      <c r="BD46" s="65"/>
      <c r="BE46" s="65"/>
      <c r="BG46" s="65"/>
      <c r="BH46" s="65"/>
      <c r="BI46" s="65"/>
      <c r="BK46" s="65"/>
      <c r="BL46" s="65"/>
      <c r="BM46" s="65"/>
      <c r="BO46" s="65"/>
      <c r="BP46" s="65"/>
      <c r="BQ46" s="65"/>
    </row>
    <row r="47" spans="1:69">
      <c r="A47" s="5"/>
      <c r="B47" s="42" t="s">
        <v>380</v>
      </c>
      <c r="C47" s="48" t="s">
        <v>553</v>
      </c>
      <c r="D47" s="44" t="str">
        <f>'EM Multiples'!B47&amp;TEXT(Prices!C87,"0,0")</f>
        <v>IDR 10,900</v>
      </c>
      <c r="E47" s="44" t="str">
        <f>'EM Multiples'!B47&amp;TEXT(Prices!E87,"0,0")</f>
        <v>IDR 12,500</v>
      </c>
      <c r="F47" s="45">
        <f>Prices!F87</f>
        <v>0.14678899082568808</v>
      </c>
      <c r="G47" s="44" t="str">
        <f>Prices!D87</f>
        <v>Buy</v>
      </c>
      <c r="H47" s="46"/>
      <c r="I47" s="47">
        <f>INDO!$D$38</f>
        <v>5.7042203079607967</v>
      </c>
      <c r="J47" s="47">
        <f>INDO!$E$38</f>
        <v>4.6585291939920044</v>
      </c>
      <c r="K47" s="47">
        <f>INDO!$F$38</f>
        <v>3.5879239786937109</v>
      </c>
      <c r="L47" s="47">
        <f>INDO!$G$38</f>
        <v>2.5506641462493973</v>
      </c>
      <c r="M47" s="45">
        <f>INDO!$H$38</f>
        <v>0.11753047636265901</v>
      </c>
      <c r="N47" s="46"/>
      <c r="O47" s="47">
        <f>INDO!$D$39</f>
        <v>12.241384128602935</v>
      </c>
      <c r="P47" s="47">
        <f>INDO!$E$39</f>
        <v>8.372658672391287</v>
      </c>
      <c r="Q47" s="47">
        <f>INDO!$F$39</f>
        <v>6.0480831923061613</v>
      </c>
      <c r="R47" s="47">
        <f>INDO!$G$39</f>
        <v>4.2823738078790008</v>
      </c>
      <c r="S47" s="45">
        <f>INDO!$H$39</f>
        <v>0.21281256776527746</v>
      </c>
      <c r="T47" s="46"/>
      <c r="U47" s="48" t="str">
        <f t="shared" si="4"/>
        <v>IDR 10,900</v>
      </c>
      <c r="V47" s="44" t="s">
        <v>553</v>
      </c>
      <c r="Z47" s="46"/>
      <c r="AE47" s="41"/>
      <c r="AF47" s="31"/>
      <c r="AG47" s="31"/>
      <c r="AI47" s="41"/>
      <c r="AJ47" s="64"/>
      <c r="AK47" s="64"/>
      <c r="AM47" s="41"/>
      <c r="AN47" s="64"/>
      <c r="AO47" s="64"/>
      <c r="AQ47" s="41"/>
      <c r="AR47" s="64"/>
      <c r="AS47" s="64"/>
      <c r="BC47" s="65"/>
      <c r="BD47" s="65"/>
      <c r="BE47" s="65"/>
      <c r="BG47" s="65"/>
      <c r="BH47" s="65"/>
      <c r="BI47" s="65"/>
      <c r="BK47" s="65"/>
      <c r="BL47" s="65"/>
      <c r="BM47" s="65"/>
      <c r="BO47" s="65"/>
      <c r="BP47" s="65"/>
      <c r="BQ47" s="65"/>
    </row>
    <row r="48" spans="1:69">
      <c r="B48" s="42" t="s">
        <v>573</v>
      </c>
      <c r="C48" s="48" t="s">
        <v>220</v>
      </c>
      <c r="D48" s="44" t="str">
        <f>'EM Multiples'!B48&amp;TEXT(Prices!C89,"0,0")</f>
        <v>KRW 9,890</v>
      </c>
      <c r="E48" s="44" t="str">
        <f>'EM Multiples'!B48&amp;TEXT(Prices!E89,"0,0")</f>
        <v>KRW 21,000</v>
      </c>
      <c r="F48" s="45">
        <f>Prices!F89</f>
        <v>1.1233569261880687</v>
      </c>
      <c r="G48" s="44" t="str">
        <f>Prices!D89</f>
        <v>Buy</v>
      </c>
      <c r="H48" s="46"/>
      <c r="I48" s="47">
        <f>_LG!$D$38</f>
        <v>3.3913496996408337</v>
      </c>
      <c r="J48" s="47">
        <f>_LG!$E$38</f>
        <v>3.3364676263942705</v>
      </c>
      <c r="K48" s="47">
        <f>_LG!$F$38</f>
        <v>3.1643970644503736</v>
      </c>
      <c r="L48" s="47">
        <f>_LG!$G$38</f>
        <v>2.9748839652957577</v>
      </c>
      <c r="M48" s="45">
        <f>_LG!$H$38</f>
        <v>2.09993316265773E-2</v>
      </c>
      <c r="N48" s="46"/>
      <c r="O48" s="47">
        <f>_LG!$D$39</f>
        <v>11.47369145301235</v>
      </c>
      <c r="P48" s="47">
        <f>_LG!$E$39</f>
        <v>8.9651082144842462</v>
      </c>
      <c r="Q48" s="47">
        <f>_LG!$F$39</f>
        <v>8.2127472353855548</v>
      </c>
      <c r="R48" s="47">
        <f>_LG!$G$39</f>
        <v>7.4386438877862249</v>
      </c>
      <c r="S48" s="45">
        <f>_LG!$H$39</f>
        <v>0.12926120752589632</v>
      </c>
      <c r="T48" s="46"/>
      <c r="U48" s="48" t="str">
        <f t="shared" si="4"/>
        <v>KRW 9,890</v>
      </c>
      <c r="V48" s="44" t="s">
        <v>220</v>
      </c>
      <c r="Z48" s="46"/>
      <c r="AE48" s="41"/>
      <c r="AF48" s="31"/>
      <c r="AG48" s="31"/>
      <c r="AI48" s="41"/>
      <c r="AJ48" s="64"/>
      <c r="AK48" s="64"/>
      <c r="AM48" s="41"/>
      <c r="AN48" s="64"/>
      <c r="AO48" s="64"/>
      <c r="AQ48" s="41"/>
      <c r="AR48" s="64"/>
      <c r="AS48" s="64"/>
      <c r="BC48" s="65"/>
      <c r="BD48" s="65"/>
      <c r="BE48" s="65"/>
      <c r="BG48" s="65"/>
      <c r="BH48" s="65"/>
      <c r="BI48" s="65"/>
      <c r="BK48" s="65"/>
      <c r="BL48" s="65"/>
      <c r="BM48" s="65"/>
      <c r="BO48" s="65"/>
      <c r="BP48" s="65"/>
      <c r="BQ48" s="65"/>
    </row>
    <row r="49" spans="1:69">
      <c r="B49" s="42" t="s">
        <v>125</v>
      </c>
      <c r="C49" s="48" t="s">
        <v>357</v>
      </c>
      <c r="D49" s="44" t="str">
        <f>'EM Multiples'!B49&amp;TEXT(Prices!C90,"0.00")</f>
        <v>MYR 3.82</v>
      </c>
      <c r="E49" s="44" t="str">
        <f>'EM Multiples'!B49&amp;TEXT(Prices!E90,"0.00")</f>
        <v>MYR 5.60</v>
      </c>
      <c r="F49" s="45">
        <f>Prices!F90</f>
        <v>0.46596858638743455</v>
      </c>
      <c r="G49" s="44" t="str">
        <f>Prices!D90</f>
        <v>Buy</v>
      </c>
      <c r="H49" s="46"/>
      <c r="I49" s="47">
        <f>MAXI!$D$38</f>
        <v>9.8752424242424244</v>
      </c>
      <c r="J49" s="47">
        <f>MAXI!$E$38</f>
        <v>9.2546974479345376</v>
      </c>
      <c r="K49" s="47">
        <f>MAXI!$F$38</f>
        <v>8.4939432388604548</v>
      </c>
      <c r="L49" s="47">
        <f>MAXI!$G$38</f>
        <v>7.7517497998573761</v>
      </c>
      <c r="M49" s="45">
        <f>MAXI!$H$38</f>
        <v>3.8592001793239294E-2</v>
      </c>
      <c r="N49" s="46"/>
      <c r="O49" s="47">
        <f>MAXI!$D$39</f>
        <v>12.426425166825547</v>
      </c>
      <c r="P49" s="47">
        <f>MAXI!$E$39</f>
        <v>12.860405150635179</v>
      </c>
      <c r="Q49" s="47">
        <f>MAXI!$F$39</f>
        <v>11.783535242946883</v>
      </c>
      <c r="R49" s="47">
        <f>MAXI!$G$39</f>
        <v>10.735650593932123</v>
      </c>
      <c r="S49" s="45">
        <f>MAXI!$H$39</f>
        <v>5.9311284383554153E-3</v>
      </c>
      <c r="T49" s="46"/>
      <c r="U49" s="48" t="str">
        <f t="shared" si="4"/>
        <v>MYR 3.82</v>
      </c>
      <c r="V49" s="44" t="s">
        <v>357</v>
      </c>
      <c r="Z49" s="46"/>
      <c r="AE49" s="41"/>
      <c r="AF49" s="31"/>
      <c r="AG49" s="31"/>
      <c r="AI49" s="41"/>
      <c r="AJ49" s="64"/>
      <c r="AK49" s="64"/>
      <c r="AM49" s="41"/>
      <c r="AN49" s="64"/>
      <c r="AO49" s="64"/>
      <c r="AQ49" s="41"/>
      <c r="AR49" s="64"/>
      <c r="AS49" s="64"/>
      <c r="BC49" s="65"/>
      <c r="BD49" s="65"/>
      <c r="BE49" s="65"/>
      <c r="BG49" s="65"/>
      <c r="BH49" s="65"/>
      <c r="BI49" s="65"/>
      <c r="BK49" s="65"/>
      <c r="BL49" s="65"/>
      <c r="BM49" s="65"/>
      <c r="BO49" s="65"/>
      <c r="BP49" s="65"/>
      <c r="BQ49" s="65"/>
    </row>
    <row r="50" spans="1:69">
      <c r="A50" s="5"/>
      <c r="B50" s="42" t="s">
        <v>573</v>
      </c>
      <c r="C50" s="48" t="s">
        <v>436</v>
      </c>
      <c r="D50" s="44" t="str">
        <f>'EM Multiples'!B50&amp;TEXT(Prices!C91,"0,0")</f>
        <v>KRW 57,800</v>
      </c>
      <c r="E50" s="44" t="str">
        <f>'EM Multiples'!B50&amp;TEXT(Prices!E91,"0,0")</f>
        <v>KRW 116,000</v>
      </c>
      <c r="F50" s="45">
        <f>Prices!F91</f>
        <v>1.0069204152249136</v>
      </c>
      <c r="G50" s="44" t="str">
        <f>Prices!D91</f>
        <v>Buy</v>
      </c>
      <c r="H50" s="46"/>
      <c r="I50" s="47">
        <f>SKT!$D$38</f>
        <v>4.4608271578171426</v>
      </c>
      <c r="J50" s="47">
        <f>SKT!$E$38</f>
        <v>4.1682518136099453</v>
      </c>
      <c r="K50" s="47">
        <f>SKT!$F$38</f>
        <v>3.8849783893581655</v>
      </c>
      <c r="L50" s="47">
        <f>SKT!$G$38</f>
        <v>3.5549775881892418</v>
      </c>
      <c r="M50" s="45">
        <f>SKT!$H$38</f>
        <v>2.1474848655110845E-2</v>
      </c>
      <c r="N50" s="46"/>
      <c r="O50" s="47">
        <f>SKT!$D$39</f>
        <v>8.8912072168064302</v>
      </c>
      <c r="P50" s="47">
        <f>SKT!$E$39</f>
        <v>7.7712574705149917</v>
      </c>
      <c r="Q50" s="47">
        <f>SKT!$F$39</f>
        <v>7.1409088923146484</v>
      </c>
      <c r="R50" s="47">
        <f>SKT!$G$39</f>
        <v>6.4436650807168796</v>
      </c>
      <c r="S50" s="45">
        <f>SKT!$H$39</f>
        <v>5.4332091262206506E-2</v>
      </c>
      <c r="T50" s="46"/>
      <c r="U50" s="48" t="str">
        <f t="shared" si="4"/>
        <v>KRW 57,800</v>
      </c>
      <c r="V50" s="44" t="s">
        <v>436</v>
      </c>
      <c r="Z50" s="46"/>
      <c r="AE50" s="41"/>
      <c r="AF50" s="31"/>
      <c r="AG50" s="31"/>
      <c r="AI50" s="41"/>
      <c r="AJ50" s="64"/>
      <c r="AK50" s="64"/>
      <c r="AM50" s="41"/>
      <c r="AN50" s="64"/>
      <c r="AO50" s="64"/>
      <c r="AQ50" s="41"/>
      <c r="AR50" s="64"/>
      <c r="AS50" s="64"/>
      <c r="BC50" s="65"/>
      <c r="BD50" s="65"/>
      <c r="BE50" s="65"/>
      <c r="BG50" s="65"/>
      <c r="BH50" s="65"/>
      <c r="BI50" s="65"/>
      <c r="BK50" s="65"/>
      <c r="BL50" s="65"/>
      <c r="BM50" s="65"/>
      <c r="BO50" s="65"/>
      <c r="BP50" s="65"/>
      <c r="BQ50" s="65"/>
    </row>
    <row r="51" spans="1:69">
      <c r="A51" s="5"/>
      <c r="B51" s="42" t="s">
        <v>243</v>
      </c>
      <c r="C51" s="48" t="s">
        <v>242</v>
      </c>
      <c r="D51" s="44" t="str">
        <f>'EM Multiples'!B51&amp;TEXT(Prices!C92,"0.0")</f>
        <v>TWD 115.0</v>
      </c>
      <c r="E51" s="44" t="str">
        <f>'EM Multiples'!B51&amp;TEXT(Prices!E92,"0.0")</f>
        <v>TWD n/r</v>
      </c>
      <c r="F51" s="45" t="str">
        <f>Prices!F92</f>
        <v>-</v>
      </c>
      <c r="G51" s="44" t="str">
        <f>Prices!D92</f>
        <v>n/r</v>
      </c>
      <c r="H51" s="46"/>
      <c r="I51" s="47">
        <f>TAIWAN!$D$38</f>
        <v>9.4214445144793455</v>
      </c>
      <c r="J51" s="47">
        <f>TAIWAN!$E$38</f>
        <v>8.4919049644918534</v>
      </c>
      <c r="K51" s="47">
        <f>TAIWAN!$F$38</f>
        <v>7.5672995547674438</v>
      </c>
      <c r="L51" s="47">
        <f>TAIWAN!$G$38</f>
        <v>6.49542318253273</v>
      </c>
      <c r="M51" s="45">
        <f>TAIWAN!$H$38</f>
        <v>5.7002752048651795E-2</v>
      </c>
      <c r="N51" s="46"/>
      <c r="O51" s="47">
        <f>TAIWAN!$D$39</f>
        <v>13.682794496286538</v>
      </c>
      <c r="P51" s="47">
        <f>TAIWAN!$E$39</f>
        <v>11.527340373604247</v>
      </c>
      <c r="Q51" s="47">
        <f>TAIWAN!$F$39</f>
        <v>10.519633787298128</v>
      </c>
      <c r="R51" s="47">
        <f>TAIWAN!$G$39</f>
        <v>8.8912972800027639</v>
      </c>
      <c r="S51" s="45">
        <f>TAIWAN!$H$39</f>
        <v>7.8059326725372857E-2</v>
      </c>
      <c r="T51" s="46"/>
      <c r="U51" s="48" t="str">
        <f t="shared" si="4"/>
        <v>TWD 115.0</v>
      </c>
      <c r="V51" s="44" t="s">
        <v>242</v>
      </c>
      <c r="Z51" s="46"/>
      <c r="AE51" s="41"/>
      <c r="AF51" s="31"/>
      <c r="AG51" s="31"/>
      <c r="AI51" s="41"/>
      <c r="AJ51" s="64"/>
      <c r="AK51" s="64"/>
      <c r="AM51" s="41"/>
      <c r="AN51" s="64"/>
      <c r="AO51" s="64"/>
      <c r="AQ51" s="41"/>
      <c r="AR51" s="64"/>
      <c r="AS51" s="64"/>
      <c r="BC51" s="65"/>
      <c r="BD51" s="65"/>
      <c r="BE51" s="65"/>
      <c r="BG51" s="65"/>
      <c r="BH51" s="65"/>
      <c r="BI51" s="65"/>
      <c r="BK51" s="65"/>
      <c r="BL51" s="65"/>
      <c r="BM51" s="65"/>
      <c r="BO51" s="65"/>
      <c r="BP51" s="65"/>
      <c r="BQ51" s="65"/>
    </row>
    <row r="52" spans="1:69">
      <c r="A52" s="5"/>
      <c r="B52" s="42" t="s">
        <v>202</v>
      </c>
      <c r="C52" s="48" t="s">
        <v>37</v>
      </c>
      <c r="D52" s="44" t="str">
        <f>'EM Multiples'!B52&amp;TEXT(Prices!C93,"0.0")</f>
        <v>THB 10.7</v>
      </c>
      <c r="E52" s="44" t="str">
        <f>'EM Multiples'!B52&amp;TEXT(Prices!E93,"0.0")</f>
        <v>THB 15.0</v>
      </c>
      <c r="F52" s="45">
        <f>Prices!F93</f>
        <v>0.40186915887850483</v>
      </c>
      <c r="G52" s="44" t="str">
        <f>Prices!D93</f>
        <v>Buy</v>
      </c>
      <c r="H52" s="46"/>
      <c r="I52" s="47">
        <f>TRUECORP!$D$38</f>
        <v>10.081302601862715</v>
      </c>
      <c r="J52" s="47">
        <f>TRUECORP!$E$38</f>
        <v>8.5687762605650803</v>
      </c>
      <c r="K52" s="47">
        <f>TRUECORP!$F$38</f>
        <v>7.4144983352093403</v>
      </c>
      <c r="L52" s="47">
        <f>TRUECORP!$G$38</f>
        <v>6.3304129517424998</v>
      </c>
      <c r="M52" s="45">
        <f>TRUECORP!$H$38</f>
        <v>0.10670531330914002</v>
      </c>
      <c r="N52" s="46"/>
      <c r="O52" s="47">
        <f>TRUECORP!$D$39</f>
        <v>17.775959495931964</v>
      </c>
      <c r="P52" s="47">
        <f>TRUECORP!$E$39</f>
        <v>12.316013772502961</v>
      </c>
      <c r="Q52" s="47">
        <f>TRUECORP!$F$39</f>
        <v>10.090080654570089</v>
      </c>
      <c r="R52" s="47">
        <f>TRUECORP!$G$39</f>
        <v>8.4564882042287373</v>
      </c>
      <c r="S52" s="45">
        <f>TRUECORP!$H$39</f>
        <v>0.21399843450490885</v>
      </c>
      <c r="T52" s="46"/>
      <c r="U52" s="48" t="str">
        <f>D52</f>
        <v>THB 10.7</v>
      </c>
      <c r="V52" s="44" t="s">
        <v>37</v>
      </c>
      <c r="Z52" s="46"/>
      <c r="AE52" s="41"/>
      <c r="AF52" s="31"/>
      <c r="AG52" s="31"/>
      <c r="AI52" s="41"/>
      <c r="AJ52" s="64"/>
      <c r="AK52" s="64"/>
      <c r="AM52" s="41"/>
      <c r="AN52" s="64"/>
      <c r="AO52" s="64"/>
      <c r="AQ52" s="41"/>
      <c r="AR52" s="64"/>
      <c r="AS52" s="64"/>
      <c r="BC52" s="65"/>
      <c r="BD52" s="65"/>
      <c r="BE52" s="65"/>
      <c r="BG52" s="65"/>
      <c r="BH52" s="65"/>
      <c r="BI52" s="65"/>
      <c r="BK52" s="65"/>
      <c r="BL52" s="65"/>
      <c r="BM52" s="65"/>
      <c r="BO52" s="65"/>
      <c r="BP52" s="65"/>
      <c r="BQ52" s="65"/>
    </row>
    <row r="53" spans="1:69">
      <c r="A53" s="5"/>
      <c r="B53" s="42" t="s">
        <v>380</v>
      </c>
      <c r="C53" s="48" t="s">
        <v>353</v>
      </c>
      <c r="D53" s="44" t="str">
        <f>'EM Multiples'!B53&amp;TEXT(Prices!C94,"0,00")</f>
        <v>IDR 2,330</v>
      </c>
      <c r="E53" s="44" t="str">
        <f>'EM Multiples'!B53&amp;TEXT(Prices!E94,"0,00")</f>
        <v>IDR 5,000</v>
      </c>
      <c r="F53" s="45">
        <f>Prices!F94</f>
        <v>1.1459227467811157</v>
      </c>
      <c r="G53" s="44" t="str">
        <f>Prices!D94</f>
        <v>Buy</v>
      </c>
      <c r="H53" s="46"/>
      <c r="I53" s="47">
        <f>XLAX!$D$38</f>
        <v>4.75550836949638</v>
      </c>
      <c r="J53" s="47">
        <f>XLAX!$E$38</f>
        <v>3.9660203416291644</v>
      </c>
      <c r="K53" s="47">
        <f>XLAX!$F$38</f>
        <v>3.3888701595073147</v>
      </c>
      <c r="L53" s="47">
        <f>XLAX!$G$38</f>
        <v>2.8247991441578253</v>
      </c>
      <c r="M53" s="45">
        <f>XLAX!$H$38</f>
        <v>7.0515978419444014E-2</v>
      </c>
      <c r="N53" s="56"/>
      <c r="O53" s="47">
        <f>XLAX!$D$39</f>
        <v>8.6560387818780793</v>
      </c>
      <c r="P53" s="47">
        <f>XLAX!$E$39</f>
        <v>7.3876571292812727</v>
      </c>
      <c r="Q53" s="47">
        <f>XLAX!$F$39</f>
        <v>6.0795071296992163</v>
      </c>
      <c r="R53" s="47">
        <f>XLAX!$G$39</f>
        <v>5.0596983482015956</v>
      </c>
      <c r="S53" s="45">
        <f>XLAX!$H$39</f>
        <v>7.6270782791585834E-2</v>
      </c>
      <c r="T53" s="46"/>
      <c r="U53" s="48" t="str">
        <f t="shared" si="4"/>
        <v>IDR 2,330</v>
      </c>
      <c r="V53" s="44" t="s">
        <v>353</v>
      </c>
      <c r="Z53" s="46"/>
      <c r="AE53" s="41"/>
      <c r="AF53" s="31"/>
      <c r="AG53" s="31"/>
      <c r="AI53" s="41"/>
      <c r="AJ53" s="64"/>
      <c r="AK53" s="64"/>
      <c r="AM53" s="41"/>
      <c r="AN53" s="64"/>
      <c r="AO53" s="64"/>
      <c r="AQ53" s="41"/>
      <c r="AR53" s="64"/>
      <c r="AS53" s="64"/>
      <c r="BC53" s="65"/>
      <c r="BD53" s="65"/>
      <c r="BE53" s="65"/>
      <c r="BG53" s="65"/>
      <c r="BH53" s="65"/>
      <c r="BI53" s="65"/>
      <c r="BK53" s="65"/>
      <c r="BL53" s="65"/>
      <c r="BM53" s="65"/>
      <c r="BO53" s="65"/>
      <c r="BP53" s="65"/>
      <c r="BQ53" s="65"/>
    </row>
    <row r="54" spans="1:69">
      <c r="C54" s="51" t="s">
        <v>625</v>
      </c>
      <c r="D54" s="52"/>
      <c r="E54" s="52"/>
      <c r="F54" s="53"/>
      <c r="G54" s="52"/>
      <c r="H54" s="46"/>
      <c r="I54" s="54">
        <f>'EM ASIA CELLULAR'!D38</f>
        <v>6.1927540343996812</v>
      </c>
      <c r="J54" s="54">
        <f>'EM ASIA CELLULAR'!E38</f>
        <v>5.8202228024087796</v>
      </c>
      <c r="K54" s="54">
        <f>'EM ASIA CELLULAR'!F38</f>
        <v>5.1515450683440598</v>
      </c>
      <c r="L54" s="54">
        <f>'EM ASIA CELLULAR'!G38</f>
        <v>4.4926685668961923</v>
      </c>
      <c r="M54" s="55">
        <f>'EM ASIA CELLULAR'!H38</f>
        <v>5.3557833944543054E-2</v>
      </c>
      <c r="N54" s="56"/>
      <c r="O54" s="54">
        <f>'EM ASIA CELLULAR'!D39</f>
        <v>11.947374777160258</v>
      </c>
      <c r="P54" s="54">
        <f>'EM ASIA CELLULAR'!E39</f>
        <v>10.826292548639838</v>
      </c>
      <c r="Q54" s="54">
        <f>'EM ASIA CELLULAR'!F39</f>
        <v>9.1327223110045264</v>
      </c>
      <c r="R54" s="54">
        <f>'EM ASIA CELLULAR'!G39</f>
        <v>7.59398231709734</v>
      </c>
      <c r="S54" s="55">
        <f>'EM ASIA CELLULAR'!H39</f>
        <v>0.10103096398056932</v>
      </c>
      <c r="T54" s="46"/>
      <c r="U54" s="57"/>
      <c r="V54" s="58" t="s">
        <v>625</v>
      </c>
      <c r="Z54" s="46"/>
      <c r="AE54" s="41"/>
      <c r="AF54" s="31"/>
      <c r="AG54" s="31"/>
      <c r="AI54" s="41"/>
      <c r="AJ54" s="64"/>
      <c r="AK54" s="64"/>
      <c r="AM54" s="41"/>
      <c r="AN54" s="64"/>
      <c r="AO54" s="64"/>
      <c r="AQ54" s="41"/>
      <c r="AR54" s="64"/>
      <c r="AS54" s="64"/>
      <c r="BC54" s="65"/>
      <c r="BD54" s="65"/>
      <c r="BE54" s="65"/>
      <c r="BG54" s="65"/>
      <c r="BH54" s="65"/>
      <c r="BI54" s="65"/>
      <c r="BK54" s="65"/>
      <c r="BL54" s="65"/>
      <c r="BM54" s="65"/>
      <c r="BO54" s="65"/>
      <c r="BP54" s="65"/>
      <c r="BQ54" s="65"/>
    </row>
    <row r="55" spans="1:69">
      <c r="C55" s="43"/>
      <c r="D55" s="44"/>
      <c r="E55" s="44"/>
      <c r="F55" s="68"/>
      <c r="G55" s="44"/>
      <c r="H55" s="46"/>
      <c r="I55" s="62"/>
      <c r="J55" s="62"/>
      <c r="K55" s="62"/>
      <c r="L55" s="62"/>
      <c r="M55" s="61"/>
      <c r="N55" s="46"/>
      <c r="O55" s="62"/>
      <c r="P55" s="62"/>
      <c r="Q55" s="62"/>
      <c r="R55" s="62"/>
      <c r="S55" s="61"/>
      <c r="T55" s="46"/>
      <c r="U55" s="48"/>
      <c r="V55" s="50"/>
      <c r="Z55" s="46"/>
      <c r="AE55" s="41"/>
      <c r="AF55" s="31"/>
      <c r="AG55" s="31"/>
      <c r="AI55" s="41"/>
      <c r="AJ55" s="64"/>
      <c r="AK55" s="64"/>
      <c r="AM55" s="41"/>
      <c r="AN55" s="64"/>
      <c r="AO55" s="64"/>
      <c r="AQ55" s="41"/>
      <c r="AR55" s="64"/>
      <c r="AS55" s="64"/>
      <c r="BC55" s="65"/>
      <c r="BD55" s="65"/>
      <c r="BE55" s="65"/>
      <c r="BG55" s="65"/>
      <c r="BH55" s="65"/>
      <c r="BI55" s="65"/>
      <c r="BK55" s="65"/>
      <c r="BL55" s="65"/>
      <c r="BM55" s="65"/>
      <c r="BO55" s="65"/>
      <c r="BP55" s="65"/>
      <c r="BQ55" s="65"/>
    </row>
    <row r="56" spans="1:69">
      <c r="C56" s="51" t="s">
        <v>862</v>
      </c>
      <c r="D56" s="52"/>
      <c r="E56" s="52"/>
      <c r="F56" s="53"/>
      <c r="G56" s="52"/>
      <c r="H56" s="46"/>
      <c r="I56" s="54">
        <f>'EM CELLULAR'!D38</f>
        <v>6.3987600118023149</v>
      </c>
      <c r="J56" s="54">
        <f>'EM CELLULAR'!E38</f>
        <v>6.0988539640971684</v>
      </c>
      <c r="K56" s="54">
        <f>'EM CELLULAR'!F38</f>
        <v>5.4062212910944272</v>
      </c>
      <c r="L56" s="54">
        <f>'EM CELLULAR'!G38</f>
        <v>4.7363909360102729</v>
      </c>
      <c r="M56" s="55">
        <f>'EM CELLULAR'!H38</f>
        <v>5.2406256537620211E-2</v>
      </c>
      <c r="N56" s="46"/>
      <c r="O56" s="54">
        <f>'EM CELLULAR'!D39</f>
        <v>12.354841094717424</v>
      </c>
      <c r="P56" s="54">
        <f>'EM CELLULAR'!E39</f>
        <v>11.255278834896844</v>
      </c>
      <c r="Q56" s="54">
        <f>'EM CELLULAR'!F39</f>
        <v>9.5104933094138762</v>
      </c>
      <c r="R56" s="54">
        <f>'EM CELLULAR'!G39</f>
        <v>7.9868347347493183</v>
      </c>
      <c r="S56" s="55">
        <f>'EM CELLULAR'!H39</f>
        <v>0.10100210602425808</v>
      </c>
      <c r="T56" s="46"/>
      <c r="U56" s="57"/>
      <c r="V56" s="58" t="str">
        <f>C56</f>
        <v>Agg. Emerging  Cellular</v>
      </c>
      <c r="Z56" s="46"/>
      <c r="AE56" s="41"/>
      <c r="AF56" s="31"/>
      <c r="AG56" s="31"/>
      <c r="AI56" s="41"/>
      <c r="AJ56" s="64"/>
      <c r="AK56" s="64"/>
      <c r="AM56" s="41"/>
      <c r="AN56" s="64"/>
      <c r="AO56" s="64"/>
      <c r="AQ56" s="41"/>
      <c r="AR56" s="64"/>
      <c r="AS56" s="64"/>
      <c r="BC56" s="65"/>
      <c r="BD56" s="65"/>
      <c r="BE56" s="65"/>
      <c r="BG56" s="65"/>
      <c r="BH56" s="65"/>
      <c r="BI56" s="65"/>
      <c r="BK56" s="65"/>
      <c r="BL56" s="65"/>
      <c r="BM56" s="65"/>
      <c r="BO56" s="65"/>
      <c r="BP56" s="65"/>
      <c r="BQ56" s="65"/>
    </row>
    <row r="57" spans="1:69">
      <c r="A57" s="5"/>
      <c r="C57" s="43"/>
      <c r="D57" s="44"/>
      <c r="E57" s="44"/>
      <c r="F57" s="45"/>
      <c r="G57" s="44"/>
      <c r="H57" s="46"/>
      <c r="I57" s="47"/>
      <c r="J57" s="47"/>
      <c r="K57" s="47"/>
      <c r="L57" s="47"/>
      <c r="M57" s="45"/>
      <c r="N57" s="46"/>
      <c r="O57" s="47"/>
      <c r="P57" s="47"/>
      <c r="Q57" s="47"/>
      <c r="R57" s="47"/>
      <c r="S57" s="45"/>
      <c r="T57" s="46"/>
      <c r="U57" s="48"/>
      <c r="V57" s="50"/>
      <c r="Z57" s="46"/>
      <c r="AE57" s="41"/>
      <c r="AF57" s="31"/>
      <c r="AG57" s="31"/>
      <c r="AI57" s="41"/>
      <c r="AJ57" s="64"/>
      <c r="AK57" s="64"/>
      <c r="AM57" s="41"/>
      <c r="AN57" s="64"/>
      <c r="AO57" s="64"/>
      <c r="AQ57" s="41"/>
      <c r="AR57" s="64"/>
      <c r="AS57" s="64"/>
      <c r="BC57" s="65"/>
      <c r="BD57" s="65"/>
      <c r="BE57" s="65"/>
      <c r="BG57" s="65"/>
      <c r="BH57" s="65"/>
      <c r="BI57" s="65"/>
      <c r="BK57" s="65"/>
      <c r="BL57" s="65"/>
      <c r="BM57" s="65"/>
      <c r="BO57" s="65"/>
      <c r="BP57" s="65"/>
      <c r="BQ57" s="65"/>
    </row>
    <row r="58" spans="1:69">
      <c r="A58" s="41" t="s">
        <v>503</v>
      </c>
      <c r="B58" s="42" t="s">
        <v>1408</v>
      </c>
      <c r="C58" s="48" t="s">
        <v>811</v>
      </c>
      <c r="D58" s="44" t="str">
        <f>'EM Multiples'!B58&amp;TEXT(Prices!C$135,"0.00")</f>
        <v>MXN 42.67</v>
      </c>
      <c r="E58" s="44" t="str">
        <f>'EM Multiples'!B58&amp;TEXT(Prices!E$135,"0.00")</f>
        <v>MXN 55.00</v>
      </c>
      <c r="F58" s="45">
        <f>Prices!F$135</f>
        <v>0.28896179985938586</v>
      </c>
      <c r="G58" s="44" t="str">
        <f>Prices!D$135</f>
        <v>Buy</v>
      </c>
      <c r="H58" s="46"/>
      <c r="I58" s="47">
        <f>MEGA!$D$38</f>
        <v>4.5387683382261947</v>
      </c>
      <c r="J58" s="47">
        <f>MEGA!$E$38</f>
        <v>4.3045539372929156</v>
      </c>
      <c r="K58" s="47">
        <f>MEGA!$F$38</f>
        <v>3.8378971447555221</v>
      </c>
      <c r="L58" s="47">
        <f>MEGA!$G$38</f>
        <v>3.3254633740954049</v>
      </c>
      <c r="M58" s="45">
        <f>MEGA!$H$38</f>
        <v>8.7003439023187523E-2</v>
      </c>
      <c r="N58" s="46"/>
      <c r="O58" s="47">
        <f>MEGA!$D$39</f>
        <v>58.419858551638782</v>
      </c>
      <c r="P58" s="47">
        <f>MEGA!$E$39</f>
        <v>39.838536317740392</v>
      </c>
      <c r="Q58" s="47">
        <f>MEGA!$F$39</f>
        <v>12.699711237850991</v>
      </c>
      <c r="R58" s="47">
        <f>MEGA!$G$39</f>
        <v>7.6028329430549046</v>
      </c>
      <c r="S58" s="45">
        <f>MEGA!$H$39</f>
        <v>0.93373661215068116</v>
      </c>
      <c r="T58" s="46"/>
      <c r="U58" s="48" t="str">
        <f>D58</f>
        <v>MXN 42.67</v>
      </c>
      <c r="V58" s="44" t="str">
        <f>C58</f>
        <v>Megacable</v>
      </c>
      <c r="Z58" s="46"/>
      <c r="AE58" s="41"/>
      <c r="AF58" s="31"/>
      <c r="AG58" s="31"/>
      <c r="AI58" s="41"/>
      <c r="AJ58" s="64"/>
      <c r="AK58" s="64"/>
      <c r="AM58" s="41"/>
      <c r="AN58" s="64"/>
      <c r="AO58" s="64"/>
      <c r="AQ58" s="41"/>
      <c r="AR58" s="64"/>
      <c r="AS58" s="64"/>
      <c r="BC58" s="65"/>
      <c r="BD58" s="65"/>
      <c r="BE58" s="65"/>
      <c r="BG58" s="65"/>
      <c r="BH58" s="65"/>
      <c r="BI58" s="65"/>
      <c r="BK58" s="65"/>
      <c r="BL58" s="65"/>
      <c r="BM58" s="65"/>
      <c r="BO58" s="65"/>
      <c r="BP58" s="65"/>
      <c r="BQ58" s="65"/>
    </row>
    <row r="59" spans="1:69">
      <c r="A59" s="5"/>
      <c r="B59" s="42" t="s">
        <v>1405</v>
      </c>
      <c r="C59" s="48" t="s">
        <v>797</v>
      </c>
      <c r="D59" s="44" t="str">
        <f>'EM Multiples'!B59&amp;TEXT(Prices!C138,"0.00")</f>
        <v>USD 9.48</v>
      </c>
      <c r="E59" s="44" t="str">
        <f>'EM Multiples'!B59&amp;TEXT(Prices!E138,"0.00")</f>
        <v>USD 14.00</v>
      </c>
      <c r="F59" s="45">
        <f>Prices!F138</f>
        <v>0.47679324894514763</v>
      </c>
      <c r="G59" s="44" t="str">
        <f>Prices!D138</f>
        <v>Buy</v>
      </c>
      <c r="H59" s="46"/>
      <c r="I59" s="47">
        <f>LiLAC!$D$38</f>
        <v>5.2880213242655323</v>
      </c>
      <c r="J59" s="47">
        <f>LiLAC!$E$38</f>
        <v>4.7787152170221701</v>
      </c>
      <c r="K59" s="47">
        <f>LiLAC!$F$38</f>
        <v>5.3690429210893091</v>
      </c>
      <c r="L59" s="47">
        <f>LiLAC!$G$38</f>
        <v>5.2247679700114817</v>
      </c>
      <c r="M59" s="45">
        <f>LiLAC!$H$38</f>
        <v>3.4388923456728726E-2</v>
      </c>
      <c r="N59" s="46"/>
      <c r="O59" s="47">
        <f>LiLAC!$D$39</f>
        <v>9.7021010980810178</v>
      </c>
      <c r="P59" s="47">
        <f>LiLAC!$E$39</f>
        <v>8.166710743294793</v>
      </c>
      <c r="Q59" s="47">
        <f>LiLAC!$F$39</f>
        <v>8.8844244828951133</v>
      </c>
      <c r="R59" s="47">
        <f>LiLAC!$G$39</f>
        <v>9.0324178773002153</v>
      </c>
      <c r="S59" s="45">
        <f>LiLAC!$H$39</f>
        <v>5.5105101534048684E-2</v>
      </c>
      <c r="T59" s="46"/>
      <c r="U59" s="48" t="str">
        <f>D59</f>
        <v>USD 9.48</v>
      </c>
      <c r="V59" s="44" t="str">
        <f>C59</f>
        <v>LiLAC</v>
      </c>
      <c r="Z59" s="46"/>
      <c r="AE59" s="41"/>
      <c r="AF59" s="31"/>
      <c r="AG59" s="31"/>
      <c r="AI59" s="41"/>
      <c r="AJ59" s="64"/>
      <c r="AK59" s="64"/>
      <c r="AM59" s="41"/>
      <c r="AN59" s="64"/>
      <c r="AO59" s="64"/>
      <c r="AQ59" s="41"/>
      <c r="AR59" s="64"/>
      <c r="AS59" s="64"/>
      <c r="BC59" s="65"/>
      <c r="BD59" s="65"/>
      <c r="BE59" s="65"/>
      <c r="BG59" s="65"/>
      <c r="BH59" s="65"/>
      <c r="BI59" s="65"/>
      <c r="BK59" s="65"/>
      <c r="BL59" s="65"/>
      <c r="BM59" s="65"/>
      <c r="BO59" s="65"/>
      <c r="BP59" s="65"/>
      <c r="BQ59" s="65"/>
    </row>
    <row r="60" spans="1:69">
      <c r="A60" s="5"/>
      <c r="C60" s="67" t="s">
        <v>814</v>
      </c>
      <c r="D60" s="52"/>
      <c r="E60" s="52"/>
      <c r="F60" s="53"/>
      <c r="G60" s="52"/>
      <c r="H60" s="46"/>
      <c r="I60" s="54">
        <f>'LATAM ALTNET &amp; CABLE'!D38</f>
        <v>5.074509890688975</v>
      </c>
      <c r="J60" s="54">
        <f>'LATAM ALTNET &amp; CABLE'!E38</f>
        <v>4.6421209435581048</v>
      </c>
      <c r="K60" s="54">
        <f>'LATAM ALTNET &amp; CABLE'!F38</f>
        <v>4.9091585624158229</v>
      </c>
      <c r="L60" s="54">
        <f>'LATAM ALTNET &amp; CABLE'!G38</f>
        <v>4.6241376865670754</v>
      </c>
      <c r="M60" s="55">
        <f>'LATAM ALTNET &amp; CABLE'!H38</f>
        <v>4.992336528871455E-2</v>
      </c>
      <c r="N60" s="46"/>
      <c r="O60" s="54">
        <f>'LATAM ALTNET &amp; CABLE'!D39</f>
        <v>12.320927856897759</v>
      </c>
      <c r="P60" s="54">
        <f>'LATAM ALTNET &amp; CABLE'!E39</f>
        <v>10.368680336618187</v>
      </c>
      <c r="Q60" s="54">
        <f>'LATAM ALTNET &amp; CABLE'!F39</f>
        <v>9.5587219650692017</v>
      </c>
      <c r="R60" s="54">
        <f>'LATAM ALTNET &amp; CABLE'!G39</f>
        <v>8.662004274768087</v>
      </c>
      <c r="S60" s="55">
        <f>'LATAM ALTNET &amp; CABLE'!H39</f>
        <v>0.14475221432857377</v>
      </c>
      <c r="T60" s="46"/>
      <c r="U60" s="57"/>
      <c r="V60" s="58" t="str">
        <f>C60</f>
        <v>Agg. Emerging LatAm Altnets &amp; Cable</v>
      </c>
      <c r="Z60" s="46"/>
      <c r="AE60" s="41"/>
      <c r="AF60" s="31"/>
      <c r="AG60" s="31"/>
      <c r="AI60" s="41"/>
      <c r="AJ60" s="64"/>
      <c r="AK60" s="64"/>
      <c r="AM60" s="41"/>
      <c r="AN60" s="64"/>
      <c r="AO60" s="64"/>
      <c r="AQ60" s="41"/>
      <c r="AR60" s="64"/>
      <c r="AS60" s="64"/>
      <c r="BC60" s="65"/>
      <c r="BD60" s="65"/>
      <c r="BE60" s="65"/>
      <c r="BG60" s="65"/>
      <c r="BH60" s="65"/>
      <c r="BI60" s="65"/>
      <c r="BK60" s="65"/>
      <c r="BL60" s="65"/>
      <c r="BM60" s="65"/>
      <c r="BO60" s="65"/>
      <c r="BP60" s="65"/>
      <c r="BQ60" s="65"/>
    </row>
    <row r="61" spans="1:69">
      <c r="A61" s="5"/>
      <c r="C61" s="43"/>
      <c r="D61" s="44"/>
      <c r="E61" s="44"/>
      <c r="F61" s="45"/>
      <c r="G61" s="44"/>
      <c r="H61" s="46"/>
      <c r="I61" s="47"/>
      <c r="J61" s="47"/>
      <c r="K61" s="47"/>
      <c r="L61" s="47"/>
      <c r="M61" s="45"/>
      <c r="N61" s="46"/>
      <c r="O61" s="47"/>
      <c r="P61" s="47"/>
      <c r="Q61" s="47"/>
      <c r="R61" s="47"/>
      <c r="S61" s="45"/>
      <c r="T61" s="46"/>
      <c r="U61" s="48"/>
      <c r="V61" s="50"/>
      <c r="Z61" s="46"/>
      <c r="AE61" s="41"/>
      <c r="AF61" s="31"/>
      <c r="AG61" s="31"/>
      <c r="AI61" s="41"/>
      <c r="AJ61" s="64"/>
      <c r="AK61" s="64"/>
      <c r="AM61" s="41"/>
      <c r="AN61" s="64"/>
      <c r="AO61" s="64"/>
      <c r="AQ61" s="41"/>
      <c r="AR61" s="64"/>
      <c r="AS61" s="64"/>
      <c r="BC61" s="65"/>
      <c r="BD61" s="65"/>
      <c r="BE61" s="65"/>
      <c r="BG61" s="65"/>
      <c r="BH61" s="65"/>
      <c r="BI61" s="65"/>
      <c r="BK61" s="65"/>
      <c r="BL61" s="65"/>
      <c r="BM61" s="65"/>
      <c r="BO61" s="65"/>
      <c r="BP61" s="65"/>
      <c r="BQ61" s="65"/>
    </row>
    <row r="62" spans="1:69">
      <c r="A62" s="5"/>
      <c r="C62" s="67" t="s">
        <v>510</v>
      </c>
      <c r="D62" s="52"/>
      <c r="E62" s="52"/>
      <c r="F62" s="53"/>
      <c r="G62" s="52"/>
      <c r="H62" s="46"/>
      <c r="I62" s="54">
        <f>'EMEA AGG'!$D$38</f>
        <v>7.472679073380502</v>
      </c>
      <c r="J62" s="54">
        <f>'EMEA AGG'!$E$38</f>
        <v>7.7721930146354854</v>
      </c>
      <c r="K62" s="54">
        <f>'EMEA AGG'!$F$38</f>
        <v>6.8814391368016308</v>
      </c>
      <c r="L62" s="54">
        <f>'EMEA AGG'!$G$38</f>
        <v>6.0890139438361972</v>
      </c>
      <c r="M62" s="55">
        <f>'EMEA AGG'!$H$38</f>
        <v>4.4873381424675785E-2</v>
      </c>
      <c r="N62" s="56"/>
      <c r="O62" s="54">
        <f>'EMEA AGG'!$D$39</f>
        <v>15.095348332150351</v>
      </c>
      <c r="P62" s="54">
        <f>'EMEA AGG'!$E$39</f>
        <v>14.368461285710483</v>
      </c>
      <c r="Q62" s="54">
        <f>'EMEA AGG'!$F$39</f>
        <v>12.121061566416232</v>
      </c>
      <c r="R62" s="54">
        <f>'EMEA AGG'!$G$39</f>
        <v>10.453855298004832</v>
      </c>
      <c r="S62" s="55">
        <f>'EMEA AGG'!$H$39</f>
        <v>0.10308614435668972</v>
      </c>
      <c r="T62" s="46"/>
      <c r="U62" s="57"/>
      <c r="V62" s="58" t="s">
        <v>510</v>
      </c>
      <c r="Z62" s="46"/>
      <c r="AE62" s="41"/>
      <c r="AF62" s="31"/>
      <c r="AG62" s="31"/>
      <c r="AI62" s="41"/>
      <c r="AJ62" s="64"/>
      <c r="AK62" s="64"/>
      <c r="AM62" s="41"/>
      <c r="AN62" s="64"/>
      <c r="AO62" s="64"/>
      <c r="AQ62" s="41"/>
      <c r="AR62" s="64"/>
      <c r="AS62" s="64"/>
      <c r="BC62" s="65"/>
      <c r="BD62" s="65"/>
      <c r="BE62" s="65"/>
      <c r="BG62" s="65"/>
      <c r="BH62" s="65"/>
      <c r="BI62" s="65"/>
      <c r="BK62" s="65"/>
      <c r="BL62" s="65"/>
      <c r="BM62" s="65"/>
      <c r="BO62" s="65"/>
      <c r="BP62" s="65"/>
      <c r="BQ62" s="65"/>
    </row>
    <row r="63" spans="1:69">
      <c r="A63" s="5"/>
      <c r="C63" s="41" t="s">
        <v>511</v>
      </c>
      <c r="D63" s="44"/>
      <c r="E63" s="44"/>
      <c r="F63" s="45"/>
      <c r="G63" s="44"/>
      <c r="H63" s="46"/>
      <c r="I63" s="60">
        <f>'LATAM AGG'!$D$38</f>
        <v>4.9031182922911007</v>
      </c>
      <c r="J63" s="60">
        <f>'LATAM AGG'!$E$38</f>
        <v>4.4285892840907186</v>
      </c>
      <c r="K63" s="60">
        <f>'LATAM AGG'!$F$38</f>
        <v>4.019338837982974</v>
      </c>
      <c r="L63" s="60">
        <f>'LATAM AGG'!$G$38</f>
        <v>3.6304635022331366</v>
      </c>
      <c r="M63" s="59">
        <f>'LATAM AGG'!$H$38</f>
        <v>5.207726801776924E-2</v>
      </c>
      <c r="N63" s="56"/>
      <c r="O63" s="60">
        <f>'LATAM AGG'!$D$39</f>
        <v>9.5767491305146226</v>
      </c>
      <c r="P63" s="60">
        <f>'LATAM AGG'!$E$39</f>
        <v>7.8565262221682524</v>
      </c>
      <c r="Q63" s="60">
        <f>'LATAM AGG'!$F$39</f>
        <v>6.7003472972625779</v>
      </c>
      <c r="R63" s="60">
        <f>'LATAM AGG'!$G$39</f>
        <v>5.7959427082146169</v>
      </c>
      <c r="S63" s="59">
        <f>'LATAM AGG'!$H$39</f>
        <v>0.12523236171018404</v>
      </c>
      <c r="T63" s="46"/>
      <c r="U63" s="48"/>
      <c r="V63" s="50" t="s">
        <v>511</v>
      </c>
      <c r="Z63" s="46"/>
      <c r="AE63" s="41"/>
      <c r="AF63" s="31"/>
      <c r="AG63" s="31"/>
      <c r="AI63" s="41"/>
      <c r="AJ63" s="64"/>
      <c r="AK63" s="64"/>
      <c r="AM63" s="41"/>
      <c r="AN63" s="64"/>
      <c r="AO63" s="64"/>
      <c r="AQ63" s="41"/>
      <c r="AR63" s="64"/>
      <c r="AS63" s="64"/>
      <c r="BC63" s="65"/>
      <c r="BD63" s="65"/>
      <c r="BE63" s="65"/>
      <c r="BG63" s="65"/>
      <c r="BH63" s="65"/>
      <c r="BI63" s="65"/>
      <c r="BK63" s="65"/>
      <c r="BL63" s="65"/>
      <c r="BM63" s="65"/>
      <c r="BO63" s="65"/>
      <c r="BP63" s="65"/>
      <c r="BQ63" s="65"/>
    </row>
    <row r="64" spans="1:69">
      <c r="C64" s="67" t="s">
        <v>626</v>
      </c>
      <c r="D64" s="52"/>
      <c r="E64" s="52"/>
      <c r="F64" s="53"/>
      <c r="G64" s="52"/>
      <c r="H64" s="46"/>
      <c r="I64" s="54">
        <f>'AGG EM ASIA'!$D$38</f>
        <v>4.9053639727655307</v>
      </c>
      <c r="J64" s="54">
        <f>'AGG EM ASIA'!$E$38</f>
        <v>4.5947096971206491</v>
      </c>
      <c r="K64" s="54">
        <f>'AGG EM ASIA'!$F$38</f>
        <v>4.0724826857703373</v>
      </c>
      <c r="L64" s="54">
        <f>'AGG EM ASIA'!$G$38</f>
        <v>3.5589347586440461</v>
      </c>
      <c r="M64" s="55">
        <f>'AGG EM ASIA'!$H$38</f>
        <v>4.831949442030492E-2</v>
      </c>
      <c r="N64" s="56"/>
      <c r="O64" s="54">
        <f>'AGG EM ASIA'!$D$39</f>
        <v>10.818614449665217</v>
      </c>
      <c r="P64" s="54">
        <f>'AGG EM ASIA'!$E$39</f>
        <v>9.4751301070989307</v>
      </c>
      <c r="Q64" s="54">
        <f>'AGG EM ASIA'!$F$39</f>
        <v>7.9898039596622423</v>
      </c>
      <c r="R64" s="54">
        <f>'AGG EM ASIA'!$G$39</f>
        <v>6.6572076098246065</v>
      </c>
      <c r="S64" s="55">
        <f>'AGG EM ASIA'!$H$39</f>
        <v>0.10748139595966522</v>
      </c>
      <c r="T64" s="46"/>
      <c r="U64" s="57"/>
      <c r="V64" s="58" t="s">
        <v>626</v>
      </c>
      <c r="Z64" s="46"/>
      <c r="AE64" s="41"/>
      <c r="AF64" s="31"/>
      <c r="AG64" s="31"/>
      <c r="AI64" s="41"/>
      <c r="AJ64" s="64"/>
      <c r="AK64" s="64"/>
      <c r="AM64" s="41"/>
      <c r="AN64" s="64"/>
      <c r="AO64" s="64"/>
      <c r="AQ64" s="41"/>
      <c r="AR64" s="64"/>
      <c r="AS64" s="64"/>
      <c r="BC64" s="65"/>
      <c r="BD64" s="65"/>
      <c r="BE64" s="65"/>
      <c r="BG64" s="65"/>
      <c r="BH64" s="65"/>
      <c r="BI64" s="65"/>
      <c r="BK64" s="65"/>
      <c r="BL64" s="65"/>
      <c r="BM64" s="65"/>
      <c r="BO64" s="65"/>
      <c r="BP64" s="65"/>
      <c r="BQ64" s="65"/>
    </row>
    <row r="65" spans="1:69">
      <c r="C65" s="41"/>
      <c r="D65" s="44"/>
      <c r="E65" s="44"/>
      <c r="F65" s="45"/>
      <c r="G65" s="44"/>
      <c r="H65" s="46"/>
      <c r="I65" s="60"/>
      <c r="J65" s="60"/>
      <c r="K65" s="60"/>
      <c r="L65" s="60"/>
      <c r="M65" s="59"/>
      <c r="N65" s="56"/>
      <c r="O65" s="60"/>
      <c r="P65" s="60"/>
      <c r="Q65" s="60"/>
      <c r="R65" s="60"/>
      <c r="S65" s="59"/>
      <c r="T65" s="46"/>
      <c r="U65" s="48"/>
      <c r="V65" s="50"/>
      <c r="Z65" s="46"/>
      <c r="AE65" s="41"/>
      <c r="AF65" s="31"/>
      <c r="AG65" s="31"/>
      <c r="AI65" s="41"/>
      <c r="AJ65" s="64"/>
      <c r="AK65" s="64"/>
      <c r="AM65" s="41"/>
      <c r="AN65" s="64"/>
      <c r="AO65" s="64"/>
      <c r="AQ65" s="41"/>
      <c r="AR65" s="64"/>
      <c r="AS65" s="64"/>
      <c r="BC65" s="65"/>
      <c r="BD65" s="65"/>
      <c r="BE65" s="65"/>
      <c r="BG65" s="65"/>
      <c r="BH65" s="65"/>
      <c r="BI65" s="65"/>
      <c r="BK65" s="65"/>
      <c r="BL65" s="65"/>
      <c r="BM65" s="65"/>
      <c r="BO65" s="65"/>
      <c r="BP65" s="65"/>
      <c r="BQ65" s="65"/>
    </row>
    <row r="66" spans="1:69">
      <c r="C66" s="67" t="s">
        <v>512</v>
      </c>
      <c r="D66" s="52"/>
      <c r="E66" s="52"/>
      <c r="F66" s="53"/>
      <c r="G66" s="52"/>
      <c r="H66" s="46"/>
      <c r="I66" s="54">
        <f>'AGG EM'!$D$38</f>
        <v>5.1440316657520277</v>
      </c>
      <c r="J66" s="54">
        <f>'AGG EM'!$E$38</f>
        <v>4.8353866940625734</v>
      </c>
      <c r="K66" s="54">
        <f>'AGG EM'!$F$38</f>
        <v>4.3122989607565385</v>
      </c>
      <c r="L66" s="54">
        <f>'AGG EM'!$G$38</f>
        <v>3.8049801727031363</v>
      </c>
      <c r="M66" s="55">
        <f>'AGG EM'!$H$38</f>
        <v>4.8678106743502703E-2</v>
      </c>
      <c r="N66" s="56"/>
      <c r="O66" s="54">
        <f>'AGG EM'!$D$39</f>
        <v>10.995479606644533</v>
      </c>
      <c r="P66" s="54">
        <f>'AGG EM'!$E$39</f>
        <v>9.5892649604733364</v>
      </c>
      <c r="Q66" s="54">
        <f>'AGG EM'!$F$39</f>
        <v>8.1142047815241369</v>
      </c>
      <c r="R66" s="54">
        <f>'AGG EM'!$G$39</f>
        <v>6.8473836589479324</v>
      </c>
      <c r="S66" s="55">
        <f>'AGG EM'!$H$39</f>
        <v>0.11059307549826269</v>
      </c>
      <c r="T66" s="46"/>
      <c r="U66" s="57"/>
      <c r="V66" s="58" t="s">
        <v>512</v>
      </c>
      <c r="Z66" s="46"/>
      <c r="AE66" s="41"/>
      <c r="AF66" s="31"/>
      <c r="AG66" s="31"/>
      <c r="AI66" s="41"/>
      <c r="AJ66" s="64"/>
      <c r="AK66" s="64"/>
      <c r="AM66" s="41"/>
      <c r="AN66" s="64"/>
      <c r="AO66" s="64"/>
      <c r="AQ66" s="41"/>
      <c r="AR66" s="64"/>
      <c r="AS66" s="64"/>
      <c r="BC66" s="65"/>
      <c r="BD66" s="65"/>
      <c r="BE66" s="65"/>
      <c r="BG66" s="65"/>
      <c r="BH66" s="65"/>
      <c r="BI66" s="65"/>
      <c r="BK66" s="65"/>
      <c r="BL66" s="65"/>
      <c r="BM66" s="65"/>
      <c r="BO66" s="65"/>
      <c r="BP66" s="65"/>
      <c r="BQ66" s="65"/>
    </row>
    <row r="67" spans="1:69">
      <c r="C67" s="43"/>
      <c r="D67" s="44"/>
      <c r="E67" s="44"/>
      <c r="F67" s="45"/>
      <c r="G67" s="44"/>
      <c r="H67" s="46"/>
      <c r="I67" s="47"/>
      <c r="J67" s="47"/>
      <c r="K67" s="47"/>
      <c r="L67" s="47"/>
      <c r="M67" s="45"/>
      <c r="N67" s="46"/>
      <c r="O67" s="47"/>
      <c r="P67" s="47"/>
      <c r="Q67" s="47"/>
      <c r="R67" s="47"/>
      <c r="S67" s="45"/>
      <c r="T67" s="46"/>
      <c r="U67" s="48"/>
      <c r="V67" s="50"/>
      <c r="Z67" s="46"/>
      <c r="AE67" s="41"/>
      <c r="AF67" s="31"/>
      <c r="AG67" s="31"/>
      <c r="AI67" s="41"/>
      <c r="AJ67" s="64"/>
      <c r="AK67" s="64"/>
      <c r="AM67" s="41"/>
      <c r="AN67" s="64"/>
      <c r="AO67" s="64"/>
      <c r="AQ67" s="41"/>
      <c r="AR67" s="64"/>
      <c r="AS67" s="64"/>
      <c r="BC67" s="65"/>
      <c r="BD67" s="65"/>
      <c r="BE67" s="65"/>
      <c r="BG67" s="65"/>
      <c r="BH67" s="65"/>
      <c r="BI67" s="65"/>
      <c r="BK67" s="65"/>
      <c r="BL67" s="65"/>
      <c r="BM67" s="65"/>
      <c r="BO67" s="65"/>
      <c r="BP67" s="65"/>
      <c r="BQ67" s="65"/>
    </row>
    <row r="68" spans="1:69">
      <c r="C68" s="43"/>
      <c r="D68" s="44"/>
      <c r="E68" s="44"/>
      <c r="F68" s="45"/>
      <c r="G68" s="44"/>
      <c r="H68" s="46"/>
      <c r="I68" s="47"/>
      <c r="J68" s="47"/>
      <c r="K68" s="47"/>
      <c r="L68" s="47"/>
      <c r="M68" s="45"/>
      <c r="N68" s="46"/>
      <c r="O68" s="47"/>
      <c r="P68" s="47"/>
      <c r="Q68" s="47"/>
      <c r="R68" s="47"/>
      <c r="S68" s="45"/>
      <c r="T68" s="46"/>
      <c r="U68" s="48"/>
      <c r="V68" s="50"/>
      <c r="Z68" s="46"/>
      <c r="AE68" s="41"/>
      <c r="AF68" s="31"/>
      <c r="AG68" s="31"/>
      <c r="AI68" s="41"/>
      <c r="AJ68" s="64"/>
      <c r="AK68" s="64"/>
      <c r="AM68" s="41"/>
      <c r="AN68" s="64"/>
      <c r="AO68" s="64"/>
      <c r="AQ68" s="41"/>
      <c r="AR68" s="64"/>
      <c r="AS68" s="64"/>
      <c r="BC68" s="65"/>
      <c r="BD68" s="65"/>
      <c r="BE68" s="65"/>
      <c r="BG68" s="65"/>
      <c r="BH68" s="65"/>
      <c r="BI68" s="65"/>
      <c r="BK68" s="65"/>
      <c r="BL68" s="65"/>
      <c r="BM68" s="65"/>
      <c r="BO68" s="65"/>
      <c r="BP68" s="65"/>
      <c r="BQ68" s="65"/>
    </row>
    <row r="69" spans="1:69" s="41" customFormat="1">
      <c r="B69" s="147"/>
      <c r="C69" s="164"/>
      <c r="D69" s="165" t="s">
        <v>459</v>
      </c>
      <c r="E69" s="165" t="s">
        <v>56</v>
      </c>
      <c r="F69" s="165" t="s">
        <v>58</v>
      </c>
      <c r="G69" s="165" t="s">
        <v>55</v>
      </c>
      <c r="H69" s="134"/>
      <c r="I69" s="166" t="s">
        <v>461</v>
      </c>
      <c r="J69" s="166"/>
      <c r="K69" s="166"/>
      <c r="L69" s="166"/>
      <c r="M69" s="166"/>
      <c r="N69" s="46"/>
      <c r="O69" s="166" t="s">
        <v>462</v>
      </c>
      <c r="P69" s="166"/>
      <c r="Q69" s="166"/>
      <c r="R69" s="166"/>
      <c r="S69" s="166"/>
      <c r="T69" s="46"/>
      <c r="U69" s="167" t="s">
        <v>459</v>
      </c>
      <c r="V69" s="165"/>
      <c r="Z69" s="49"/>
      <c r="AC69" s="135"/>
      <c r="AD69" s="136"/>
      <c r="AE69" s="136"/>
      <c r="AF69" s="136"/>
      <c r="AG69" s="136"/>
      <c r="AH69" s="136"/>
      <c r="AI69" s="136"/>
      <c r="AJ69" s="136"/>
      <c r="AK69" s="136"/>
      <c r="AL69" s="136"/>
      <c r="AM69" s="136"/>
      <c r="AN69" s="136"/>
      <c r="AO69" s="136"/>
      <c r="AP69" s="136"/>
      <c r="AQ69" s="136"/>
      <c r="AR69" s="136"/>
      <c r="AS69" s="136"/>
      <c r="AT69" s="136"/>
      <c r="AU69" s="136"/>
      <c r="AV69" s="136"/>
      <c r="AW69" s="136"/>
      <c r="BC69" s="137"/>
      <c r="BD69" s="137"/>
      <c r="BE69" s="137"/>
      <c r="BG69" s="137"/>
      <c r="BH69" s="137"/>
      <c r="BI69" s="137"/>
      <c r="BK69" s="137"/>
      <c r="BL69" s="137"/>
      <c r="BM69" s="137"/>
      <c r="BO69" s="137"/>
      <c r="BP69" s="137"/>
      <c r="BQ69" s="137"/>
    </row>
    <row r="70" spans="1:69">
      <c r="A70" s="41" t="s">
        <v>501</v>
      </c>
      <c r="C70" s="48" t="str">
        <f>C8</f>
        <v>Telkom SA</v>
      </c>
      <c r="D70" s="44" t="str">
        <f>D8</f>
        <v>ZAR 27.6</v>
      </c>
      <c r="E70" s="44" t="str">
        <f>E8</f>
        <v>ZAR 56.0</v>
      </c>
      <c r="F70" s="45">
        <f>F8</f>
        <v>1.0326678765880217</v>
      </c>
      <c r="G70" s="44" t="str">
        <f>G8</f>
        <v>Neutral</v>
      </c>
      <c r="H70" s="134"/>
      <c r="I70" s="47">
        <f>TKG!$D$40</f>
        <v>4.9083698203511332</v>
      </c>
      <c r="J70" s="47">
        <f>TKG!$E$40</f>
        <v>4.1808609261013263</v>
      </c>
      <c r="K70" s="47">
        <f>TKG!$F$40</f>
        <v>3.5441661810528324</v>
      </c>
      <c r="L70" s="47">
        <f>TKG!$G$40</f>
        <v>2.7970847914262018</v>
      </c>
      <c r="M70" s="45">
        <f>TKG!$H$40</f>
        <v>6.2049124089686991E-3</v>
      </c>
      <c r="N70" s="46"/>
      <c r="O70" s="47">
        <f>TKG!$D$44</f>
        <v>3.6437103160838271</v>
      </c>
      <c r="P70" s="47">
        <f>TKG!$E$44</f>
        <v>3.7862765840865631</v>
      </c>
      <c r="Q70" s="47">
        <f>TKG!$F$44</f>
        <v>3.7540690578449594</v>
      </c>
      <c r="R70" s="47">
        <f>TKG!$G$44</f>
        <v>3.6770493730511467</v>
      </c>
      <c r="S70" s="45">
        <f>TKG!$H$44</f>
        <v>-3.031445748740591E-3</v>
      </c>
      <c r="T70" s="46"/>
      <c r="U70" s="48" t="str">
        <f>U8</f>
        <v>ZAR 27.6</v>
      </c>
      <c r="V70" s="44" t="str">
        <f>V8</f>
        <v>Telkom SA</v>
      </c>
      <c r="AE70" s="41"/>
      <c r="AF70" s="31"/>
      <c r="AG70" s="31"/>
      <c r="AI70" s="41"/>
      <c r="AJ70" s="64"/>
      <c r="AK70" s="64"/>
      <c r="AM70" s="41"/>
      <c r="AN70" s="64"/>
      <c r="AO70" s="64"/>
      <c r="AQ70" s="41"/>
      <c r="AR70" s="64"/>
      <c r="AS70" s="64"/>
      <c r="AT70" s="69"/>
      <c r="AU70" s="69"/>
      <c r="AV70" s="69"/>
      <c r="AW70" s="69"/>
      <c r="BC70" s="65"/>
      <c r="BD70" s="65"/>
      <c r="BE70" s="65"/>
      <c r="BG70" s="65"/>
      <c r="BH70" s="65"/>
      <c r="BI70" s="65"/>
      <c r="BK70" s="65"/>
      <c r="BL70" s="65"/>
      <c r="BM70" s="65"/>
      <c r="BO70" s="65"/>
      <c r="BP70" s="65"/>
      <c r="BQ70" s="65"/>
    </row>
    <row r="71" spans="1:69">
      <c r="A71" s="5"/>
      <c r="C71" s="51" t="str">
        <f>C9</f>
        <v>Agg. EMEA Incumbent</v>
      </c>
      <c r="D71" s="58"/>
      <c r="E71" s="58"/>
      <c r="F71" s="55"/>
      <c r="G71" s="58"/>
      <c r="H71" s="134"/>
      <c r="I71" s="54">
        <f>'EMEA INCUMB'!$D$40</f>
        <v>4.9083698203511332</v>
      </c>
      <c r="J71" s="54">
        <f>'EMEA INCUMB'!$E$40</f>
        <v>4.1808609261013263</v>
      </c>
      <c r="K71" s="54">
        <f>'EMEA INCUMB'!$F$40</f>
        <v>3.5441661810528324</v>
      </c>
      <c r="L71" s="54">
        <f>'EMEA INCUMB'!$G$40</f>
        <v>2.7970847914262018</v>
      </c>
      <c r="M71" s="55">
        <f>'EMEA INCUMB'!$H$40</f>
        <v>6.2049124089684771E-3</v>
      </c>
      <c r="N71" s="56"/>
      <c r="O71" s="54">
        <f>'EMEA INCUMB'!$D$44</f>
        <v>3.6437103160838267</v>
      </c>
      <c r="P71" s="54">
        <f>'EMEA INCUMB'!$E$44</f>
        <v>3.7862765840865626</v>
      </c>
      <c r="Q71" s="54">
        <f>'EMEA INCUMB'!$F$44</f>
        <v>3.7540690578449594</v>
      </c>
      <c r="R71" s="54">
        <f>'EMEA INCUMB'!$G$44</f>
        <v>3.6770493730511467</v>
      </c>
      <c r="S71" s="55">
        <f>'EMEA INCUMB'!$H$44</f>
        <v>-3.031445748740591E-3</v>
      </c>
      <c r="T71" s="56"/>
      <c r="U71" s="51"/>
      <c r="V71" s="58" t="str">
        <f>V9</f>
        <v>Agg. EMEA Incumbent</v>
      </c>
      <c r="AE71" s="41"/>
      <c r="AF71" s="31"/>
      <c r="AG71" s="31"/>
      <c r="AI71" s="41"/>
      <c r="AJ71" s="64"/>
      <c r="AK71" s="64"/>
      <c r="AM71" s="41"/>
      <c r="AN71" s="64"/>
      <c r="AO71" s="64"/>
      <c r="AQ71" s="41"/>
      <c r="AR71" s="64"/>
      <c r="AS71" s="64"/>
      <c r="AT71" s="69"/>
      <c r="BC71" s="65"/>
      <c r="BD71" s="65"/>
      <c r="BE71" s="65"/>
      <c r="BG71" s="65"/>
      <c r="BH71" s="65"/>
      <c r="BI71" s="65"/>
      <c r="BK71" s="65"/>
      <c r="BL71" s="65"/>
      <c r="BM71" s="65"/>
      <c r="BO71" s="65"/>
      <c r="BP71" s="65"/>
      <c r="BQ71" s="65"/>
    </row>
    <row r="72" spans="1:69">
      <c r="A72" s="5"/>
      <c r="C72" s="48"/>
      <c r="D72" s="44"/>
      <c r="E72" s="44"/>
      <c r="F72" s="68"/>
      <c r="G72" s="44"/>
      <c r="H72" s="134"/>
      <c r="I72" s="62"/>
      <c r="J72" s="62"/>
      <c r="K72" s="62"/>
      <c r="L72" s="62"/>
      <c r="M72" s="61"/>
      <c r="N72" s="46"/>
      <c r="O72" s="62"/>
      <c r="P72" s="62"/>
      <c r="Q72" s="62"/>
      <c r="R72" s="62"/>
      <c r="S72" s="61"/>
      <c r="T72" s="46"/>
      <c r="U72" s="48"/>
      <c r="V72" s="44"/>
      <c r="AE72" s="41"/>
      <c r="AF72" s="31"/>
      <c r="AG72" s="31"/>
      <c r="AI72" s="41"/>
      <c r="AJ72" s="64"/>
      <c r="AK72" s="64"/>
      <c r="AM72" s="41"/>
      <c r="AN72" s="64"/>
      <c r="AO72" s="64"/>
      <c r="AQ72" s="41"/>
      <c r="AR72" s="64"/>
      <c r="AS72" s="64"/>
      <c r="AT72" s="69"/>
      <c r="BC72" s="65"/>
      <c r="BD72" s="65"/>
      <c r="BE72" s="65"/>
      <c r="BG72" s="65"/>
      <c r="BH72" s="65"/>
      <c r="BI72" s="65"/>
      <c r="BK72" s="65"/>
      <c r="BL72" s="65"/>
      <c r="BM72" s="65"/>
      <c r="BO72" s="65"/>
      <c r="BP72" s="65"/>
      <c r="BQ72" s="65"/>
    </row>
    <row r="73" spans="1:69">
      <c r="A73" s="5"/>
      <c r="C73" s="48" t="str">
        <f t="shared" ref="C73:G75" si="5">C11</f>
        <v>America Movil</v>
      </c>
      <c r="D73" s="44" t="str">
        <f t="shared" si="5"/>
        <v>USD 16.3</v>
      </c>
      <c r="E73" s="44" t="str">
        <f t="shared" si="5"/>
        <v>USD 24.0</v>
      </c>
      <c r="F73" s="45">
        <f t="shared" si="5"/>
        <v>0.4714898835070509</v>
      </c>
      <c r="G73" s="44" t="str">
        <f t="shared" si="5"/>
        <v>Buy</v>
      </c>
      <c r="H73" s="46"/>
      <c r="I73" s="47">
        <f>AMX!$D$40</f>
        <v>14.633343819420011</v>
      </c>
      <c r="J73" s="47">
        <f>AMX!$E$40</f>
        <v>10.451528325852946</v>
      </c>
      <c r="K73" s="47">
        <f>AMX!$F$40</f>
        <v>8.827036238491063</v>
      </c>
      <c r="L73" s="47">
        <f>AMX!$G$40</f>
        <v>7.4955673259084472</v>
      </c>
      <c r="M73" s="45">
        <f>AMX!$H$40</f>
        <v>0.17583723704721455</v>
      </c>
      <c r="N73" s="46"/>
      <c r="O73" s="47">
        <f>AMX!$D$44</f>
        <v>12.22030289385348</v>
      </c>
      <c r="P73" s="47">
        <f>AMX!$E$44</f>
        <v>9.4223472917689879</v>
      </c>
      <c r="Q73" s="47">
        <f>AMX!$F$44</f>
        <v>7.3470228409856757</v>
      </c>
      <c r="R73" s="47">
        <f>AMX!$G$44</f>
        <v>5.9128924110040275</v>
      </c>
      <c r="S73" s="45">
        <f>AMX!$H$44</f>
        <v>0.22420898009497869</v>
      </c>
      <c r="T73" s="46"/>
      <c r="U73" s="48" t="str">
        <f t="shared" ref="U73:V76" si="6">U11</f>
        <v>USD 16.3</v>
      </c>
      <c r="V73" s="44" t="str">
        <f t="shared" si="6"/>
        <v>America Movil</v>
      </c>
      <c r="AE73" s="41"/>
      <c r="AF73" s="31"/>
      <c r="AG73" s="31"/>
      <c r="AI73" s="41"/>
      <c r="AJ73" s="64"/>
      <c r="AK73" s="64"/>
      <c r="AM73" s="41"/>
      <c r="AN73" s="64"/>
      <c r="AO73" s="64"/>
      <c r="AQ73" s="41"/>
      <c r="AR73" s="64"/>
      <c r="AS73" s="64"/>
      <c r="AT73" s="69"/>
    </row>
    <row r="74" spans="1:69">
      <c r="A74" s="5"/>
      <c r="C74" s="48" t="str">
        <f t="shared" si="5"/>
        <v>Oi</v>
      </c>
      <c r="D74" s="44" t="str">
        <f t="shared" si="5"/>
        <v>BRL 12.10</v>
      </c>
      <c r="E74" s="44" t="str">
        <f t="shared" si="5"/>
        <v>BRL 0.90</v>
      </c>
      <c r="F74" s="45">
        <f t="shared" si="5"/>
        <v>-0.92561983471074383</v>
      </c>
      <c r="G74" s="44" t="str">
        <f t="shared" si="5"/>
        <v>Neutral</v>
      </c>
      <c r="H74" s="46"/>
      <c r="I74" s="47">
        <f>OIBR!$D$40</f>
        <v>-27.597775809151241</v>
      </c>
      <c r="J74" s="47">
        <f>OIBR!$E$40</f>
        <v>-39.917976556173876</v>
      </c>
      <c r="K74" s="47">
        <f>OIBR!$F$40</f>
        <v>-1320.9651813291855</v>
      </c>
      <c r="L74" s="47">
        <f>OIBR!$G$40</f>
        <v>84.557139082027106</v>
      </c>
      <c r="M74" s="45">
        <f>OIBR!$H$40</f>
        <v>-1.7323603107617997</v>
      </c>
      <c r="N74" s="46"/>
      <c r="O74" s="47">
        <f>OIBR!$D$44</f>
        <v>-8.717860954363319</v>
      </c>
      <c r="P74" s="47">
        <f>OIBR!$E$44</f>
        <v>-10.521886063157158</v>
      </c>
      <c r="Q74" s="47">
        <f>OIBR!$F$44</f>
        <v>-14.538056800744419</v>
      </c>
      <c r="R74" s="47">
        <f>OIBR!$G$44</f>
        <v>-19.781065717389517</v>
      </c>
      <c r="S74" s="45">
        <f>OIBR!$H$44</f>
        <v>-0.23899633082579186</v>
      </c>
      <c r="T74" s="46"/>
      <c r="U74" s="48" t="str">
        <f t="shared" si="6"/>
        <v>BRL 12.10</v>
      </c>
      <c r="V74" s="44" t="str">
        <f t="shared" si="6"/>
        <v>Oi</v>
      </c>
      <c r="AE74" s="41"/>
      <c r="AF74" s="31"/>
      <c r="AG74" s="31"/>
      <c r="AI74" s="41"/>
      <c r="AJ74" s="64"/>
      <c r="AK74" s="64"/>
      <c r="AM74" s="41"/>
      <c r="AN74" s="64"/>
      <c r="AO74" s="64"/>
      <c r="AQ74" s="41"/>
      <c r="AR74" s="64"/>
      <c r="AS74" s="64"/>
      <c r="AT74" s="69"/>
      <c r="BC74" s="65"/>
      <c r="BD74" s="65"/>
      <c r="BE74" s="65"/>
      <c r="BG74" s="65"/>
      <c r="BH74" s="65"/>
      <c r="BI74" s="65"/>
      <c r="BK74" s="65"/>
      <c r="BL74" s="65"/>
      <c r="BM74" s="65"/>
      <c r="BO74" s="65"/>
      <c r="BP74" s="65"/>
      <c r="BQ74" s="65"/>
    </row>
    <row r="75" spans="1:69" s="5" customFormat="1">
      <c r="B75" s="42"/>
      <c r="C75" s="48" t="str">
        <f t="shared" si="5"/>
        <v>Telefonica Brasil</v>
      </c>
      <c r="D75" s="44" t="str">
        <f t="shared" si="5"/>
        <v>BRL 55.12</v>
      </c>
      <c r="E75" s="44" t="str">
        <f t="shared" si="5"/>
        <v>BRL 61.00</v>
      </c>
      <c r="F75" s="45">
        <f t="shared" si="5"/>
        <v>0.10667634252539915</v>
      </c>
      <c r="G75" s="44" t="str">
        <f t="shared" si="5"/>
        <v>Buy</v>
      </c>
      <c r="H75" s="46"/>
      <c r="I75" s="47">
        <f>VIVO!$D$40</f>
        <v>12.13478712249543</v>
      </c>
      <c r="J75" s="47">
        <f>VIVO!$E$40</f>
        <v>9.9415583762592181</v>
      </c>
      <c r="K75" s="47">
        <f>VIVO!$F$40</f>
        <v>8.3092774697798912</v>
      </c>
      <c r="L75" s="47">
        <f>VIVO!$G$40</f>
        <v>7.05194706342792</v>
      </c>
      <c r="M75" s="45">
        <f>VIVO!$H$40</f>
        <v>0.11598945437726726</v>
      </c>
      <c r="N75" s="46"/>
      <c r="O75" s="47">
        <f>VIVO!$D$44</f>
        <v>16.986336764271407</v>
      </c>
      <c r="P75" s="47">
        <f>VIVO!$E$44</f>
        <v>13.827175021436323</v>
      </c>
      <c r="Q75" s="47">
        <f>VIVO!$F$44</f>
        <v>11.050753853914607</v>
      </c>
      <c r="R75" s="47">
        <f>VIVO!$G$44</f>
        <v>9.6745695173804904</v>
      </c>
      <c r="S75" s="45">
        <f>VIVO!$H$44</f>
        <v>0.19733950436133263</v>
      </c>
      <c r="T75" s="46"/>
      <c r="U75" s="48" t="str">
        <f t="shared" si="6"/>
        <v>BRL 55.12</v>
      </c>
      <c r="V75" s="44" t="str">
        <f t="shared" si="6"/>
        <v>Telefonica Brasil</v>
      </c>
      <c r="AE75" s="41"/>
      <c r="AF75" s="31"/>
      <c r="AG75" s="31"/>
      <c r="AI75" s="41"/>
      <c r="AJ75" s="64"/>
      <c r="AK75" s="64"/>
      <c r="AM75" s="41"/>
      <c r="AN75" s="64"/>
      <c r="AO75" s="64"/>
      <c r="AQ75" s="41"/>
      <c r="AR75" s="64"/>
      <c r="AS75" s="64"/>
    </row>
    <row r="76" spans="1:69" s="5" customFormat="1">
      <c r="B76" s="42"/>
      <c r="C76" s="48" t="s">
        <v>667</v>
      </c>
      <c r="D76" s="44" t="str">
        <f>D14</f>
        <v>USD 1.8</v>
      </c>
      <c r="E76" s="44" t="str">
        <f>E14</f>
        <v>USD 3.7</v>
      </c>
      <c r="F76" s="45">
        <f>F14</f>
        <v>1.0903954802259888</v>
      </c>
      <c r="G76" s="44" t="str">
        <f>G14</f>
        <v>Neutral</v>
      </c>
      <c r="H76" s="46"/>
      <c r="I76" s="47">
        <f>TVIS!$D$40</f>
        <v>-1.4721693898808867</v>
      </c>
      <c r="J76" s="47">
        <f>TVIS!$E$40</f>
        <v>-1.9496739057105781</v>
      </c>
      <c r="K76" s="47">
        <f>TVIS!$F$40</f>
        <v>-2.3028143805500179</v>
      </c>
      <c r="L76" s="47">
        <f>TVIS!$G$40</f>
        <v>-2.7996227044435571</v>
      </c>
      <c r="M76" s="45">
        <f>TVIS!$H$40</f>
        <v>2.5890263698069571E-2</v>
      </c>
      <c r="N76" s="46"/>
      <c r="O76" s="47">
        <f>TVIS!$D$44</f>
        <v>-14.609322762353852</v>
      </c>
      <c r="P76" s="47">
        <f>TVIS!$E$44</f>
        <v>33.795253638394932</v>
      </c>
      <c r="Q76" s="47">
        <f>TVIS!$F$44</f>
        <v>9.9532824181294934</v>
      </c>
      <c r="R76" s="47">
        <f>TVIS!$G$44</f>
        <v>5.3365852849714628</v>
      </c>
      <c r="S76" s="45">
        <f>TVIS!$H$44</f>
        <v>-2.3989071069474379</v>
      </c>
      <c r="T76" s="46"/>
      <c r="U76" s="48" t="str">
        <f t="shared" si="6"/>
        <v>USD 1.8</v>
      </c>
      <c r="V76" s="44" t="str">
        <f t="shared" si="6"/>
        <v>Televisa</v>
      </c>
      <c r="AE76" s="41"/>
      <c r="AF76" s="31"/>
      <c r="AG76" s="31"/>
      <c r="AI76" s="41"/>
      <c r="AJ76" s="64"/>
      <c r="AK76" s="64"/>
      <c r="AM76" s="41"/>
      <c r="AN76" s="64"/>
      <c r="AO76" s="64"/>
      <c r="AQ76" s="41"/>
      <c r="AR76" s="64"/>
      <c r="AS76" s="64"/>
      <c r="AT76" s="69"/>
    </row>
    <row r="77" spans="1:69" s="5" customFormat="1">
      <c r="B77" s="42"/>
      <c r="C77" s="51" t="str">
        <f>C15</f>
        <v>Agg. LatAm Incumbent</v>
      </c>
      <c r="D77" s="52"/>
      <c r="E77" s="52"/>
      <c r="F77" s="53"/>
      <c r="G77" s="52"/>
      <c r="H77" s="46"/>
      <c r="I77" s="54">
        <f>'LATAM INCUMB'!$D$40</f>
        <v>15.212560266492316</v>
      </c>
      <c r="J77" s="54">
        <f>'LATAM INCUMB'!$E$40</f>
        <v>11.124381688326695</v>
      </c>
      <c r="K77" s="54">
        <f>'LATAM INCUMB'!$F$40</f>
        <v>9.2813342134669856</v>
      </c>
      <c r="L77" s="54">
        <f>'LATAM INCUMB'!$G$40</f>
        <v>7.8992460056032359</v>
      </c>
      <c r="M77" s="55">
        <f>'LATAM INCUMB'!$H$40</f>
        <v>0.17960851918674359</v>
      </c>
      <c r="N77" s="56"/>
      <c r="O77" s="54">
        <f>'LATAM INCUMB'!$D$44</f>
        <v>16.651538951838202</v>
      </c>
      <c r="P77" s="54">
        <f>'LATAM INCUMB'!$E$44</f>
        <v>12.18073372584948</v>
      </c>
      <c r="Q77" s="54">
        <f>'LATAM INCUMB'!$F$44</f>
        <v>9.1775904647564932</v>
      </c>
      <c r="R77" s="54">
        <f>'LATAM INCUMB'!$G$44</f>
        <v>7.3507020212907745</v>
      </c>
      <c r="S77" s="55">
        <f>'LATAM INCUMB'!$H$44</f>
        <v>0.27622076039307863</v>
      </c>
      <c r="T77" s="46"/>
      <c r="U77" s="57"/>
      <c r="V77" s="58" t="str">
        <f>V15</f>
        <v>Agg. LatAm Incumbent</v>
      </c>
      <c r="AE77" s="41"/>
      <c r="AF77" s="31"/>
      <c r="AG77" s="31"/>
      <c r="AI77" s="41"/>
      <c r="AJ77" s="64"/>
      <c r="AK77" s="64"/>
      <c r="AM77" s="41"/>
      <c r="AN77" s="64"/>
      <c r="AO77" s="64"/>
      <c r="AQ77" s="41"/>
      <c r="AR77" s="64"/>
      <c r="AS77" s="64"/>
      <c r="AT77" s="69"/>
    </row>
    <row r="78" spans="1:69" s="5" customFormat="1">
      <c r="A78" s="39"/>
      <c r="B78" s="42"/>
      <c r="C78" s="48"/>
      <c r="D78" s="44"/>
      <c r="E78" s="44"/>
      <c r="F78" s="45"/>
      <c r="G78" s="44"/>
      <c r="H78" s="46"/>
      <c r="I78" s="47"/>
      <c r="J78" s="47"/>
      <c r="K78" s="47"/>
      <c r="L78" s="47"/>
      <c r="M78" s="45"/>
      <c r="N78" s="56"/>
      <c r="O78" s="47"/>
      <c r="P78" s="47"/>
      <c r="Q78" s="47"/>
      <c r="R78" s="47"/>
      <c r="S78" s="45"/>
      <c r="T78" s="46"/>
      <c r="U78" s="48"/>
      <c r="V78" s="50"/>
      <c r="AE78" s="41"/>
      <c r="AF78" s="31"/>
      <c r="AG78" s="31"/>
      <c r="AI78" s="41"/>
      <c r="AJ78" s="64"/>
      <c r="AK78" s="64"/>
      <c r="AM78" s="41"/>
      <c r="AN78" s="64"/>
      <c r="AO78" s="64"/>
      <c r="AQ78" s="41"/>
      <c r="AR78" s="64"/>
      <c r="AS78" s="64"/>
      <c r="AT78" s="69"/>
      <c r="AU78" s="69"/>
      <c r="AV78" s="69"/>
      <c r="AW78" s="69"/>
    </row>
    <row r="79" spans="1:69" s="5" customFormat="1">
      <c r="B79" s="42"/>
      <c r="C79" s="48" t="str">
        <f t="shared" ref="C79:G83" si="7">C17</f>
        <v>China Telecom</v>
      </c>
      <c r="D79" s="44" t="str">
        <f t="shared" si="7"/>
        <v>HKD 4.48</v>
      </c>
      <c r="E79" s="44" t="str">
        <f t="shared" si="7"/>
        <v>HKD 8.75</v>
      </c>
      <c r="F79" s="45">
        <f t="shared" si="7"/>
        <v>0.95312499999999978</v>
      </c>
      <c r="G79" s="44" t="str">
        <f t="shared" si="7"/>
        <v>Buy</v>
      </c>
      <c r="H79" s="46"/>
      <c r="I79" s="47">
        <f>_CT!$D$40</f>
        <v>7.3426586176235764</v>
      </c>
      <c r="J79" s="47">
        <f>_CT!$E$40</f>
        <v>5.6227629077734322</v>
      </c>
      <c r="K79" s="47">
        <f>_CT!$F$40</f>
        <v>4.757335491424195</v>
      </c>
      <c r="L79" s="47">
        <f>_CT!$G$40</f>
        <v>3.7766349897387022</v>
      </c>
      <c r="M79" s="45">
        <f>_CT!$H$40</f>
        <v>0.14779411433436151</v>
      </c>
      <c r="N79" s="56"/>
      <c r="O79" s="47">
        <f>_CT!$D$44</f>
        <v>12.240468686344215</v>
      </c>
      <c r="P79" s="47">
        <f>_CT!$E$44</f>
        <v>11.297876577888102</v>
      </c>
      <c r="Q79" s="47">
        <f>_CT!$F$44</f>
        <v>10.234199212775831</v>
      </c>
      <c r="R79" s="47">
        <f>_CT!$G$44</f>
        <v>9.0134940536986541</v>
      </c>
      <c r="S79" s="169">
        <f>_CT!$H$44</f>
        <v>0.10739261652729892</v>
      </c>
      <c r="T79" s="46"/>
      <c r="U79" s="48" t="str">
        <f t="shared" ref="U79:V83" si="8">U17</f>
        <v>HKD 4.48</v>
      </c>
      <c r="V79" s="44" t="str">
        <f t="shared" si="8"/>
        <v>China Telecom</v>
      </c>
      <c r="AE79" s="41"/>
      <c r="AF79" s="31"/>
      <c r="AG79" s="31"/>
      <c r="AI79" s="41"/>
      <c r="AJ79" s="64"/>
      <c r="AK79" s="64"/>
      <c r="AM79" s="41"/>
      <c r="AN79" s="64"/>
      <c r="AO79" s="64"/>
      <c r="AQ79" s="41"/>
      <c r="AR79" s="64"/>
      <c r="AS79" s="64"/>
      <c r="AT79" s="69"/>
    </row>
    <row r="80" spans="1:69" s="5" customFormat="1">
      <c r="B80" s="42"/>
      <c r="C80" s="48" t="str">
        <f t="shared" si="7"/>
        <v>China Unicom</v>
      </c>
      <c r="D80" s="44" t="str">
        <f t="shared" si="7"/>
        <v>HKD 6.32</v>
      </c>
      <c r="E80" s="44" t="str">
        <f t="shared" si="7"/>
        <v>HKD 13.20</v>
      </c>
      <c r="F80" s="45">
        <f t="shared" si="7"/>
        <v>1.0886075949367084</v>
      </c>
      <c r="G80" s="44" t="str">
        <f t="shared" si="7"/>
        <v>Buy</v>
      </c>
      <c r="H80" s="46"/>
      <c r="I80" s="47">
        <f>_CU!$D$40</f>
        <v>4.0743928749708624</v>
      </c>
      <c r="J80" s="47">
        <f>_CU!$E$40</f>
        <v>2.4171624826468543</v>
      </c>
      <c r="K80" s="47">
        <f>_CU!$F$40</f>
        <v>1.7924444163646649</v>
      </c>
      <c r="L80" s="47">
        <f>_CU!$G$40</f>
        <v>1.2983351655038615</v>
      </c>
      <c r="M80" s="45">
        <f>_CU!$H$40</f>
        <v>0.1651121181976094</v>
      </c>
      <c r="N80" s="56"/>
      <c r="O80" s="47">
        <f>_CU!$D$44</f>
        <v>10.203462278684793</v>
      </c>
      <c r="P80" s="47">
        <f>_CU!$E$44</f>
        <v>8.7248907985220825</v>
      </c>
      <c r="Q80" s="47">
        <f>_CU!$F$44</f>
        <v>9.1268535934130472</v>
      </c>
      <c r="R80" s="47">
        <f>_CU!$G$44</f>
        <v>7.4822886967981042</v>
      </c>
      <c r="S80" s="169">
        <f>_CU!$H$44</f>
        <v>0.10893059946653949</v>
      </c>
      <c r="T80" s="46"/>
      <c r="U80" s="48" t="str">
        <f t="shared" si="8"/>
        <v>HKD 6.32</v>
      </c>
      <c r="V80" s="44" t="str">
        <f t="shared" si="8"/>
        <v>China Unicom</v>
      </c>
      <c r="AE80" s="41"/>
      <c r="AF80" s="31"/>
      <c r="AG80" s="31"/>
      <c r="AI80" s="41"/>
      <c r="AJ80" s="64"/>
      <c r="AK80" s="64"/>
      <c r="AM80" s="41"/>
      <c r="AN80" s="64"/>
      <c r="AO80" s="64"/>
      <c r="AQ80" s="41"/>
      <c r="AR80" s="64"/>
      <c r="AS80" s="64"/>
      <c r="AT80" s="69"/>
    </row>
    <row r="81" spans="1:49" s="5" customFormat="1">
      <c r="A81" s="39"/>
      <c r="B81" s="42"/>
      <c r="C81" s="48" t="str">
        <f t="shared" si="7"/>
        <v>Chunghwa Telecom</v>
      </c>
      <c r="D81" s="44" t="str">
        <f t="shared" si="7"/>
        <v>TWD 124.00</v>
      </c>
      <c r="E81" s="44" t="str">
        <f t="shared" si="7"/>
        <v>TWD n/r</v>
      </c>
      <c r="F81" s="45" t="str">
        <f t="shared" si="7"/>
        <v>-</v>
      </c>
      <c r="G81" s="44" t="str">
        <f t="shared" si="7"/>
        <v>n/r</v>
      </c>
      <c r="H81" s="46"/>
      <c r="I81" s="47">
        <f>CHUNG!$D$40</f>
        <v>19.709591542185279</v>
      </c>
      <c r="J81" s="47">
        <f>CHUNG!$E$40</f>
        <v>16.901818796225378</v>
      </c>
      <c r="K81" s="47">
        <f>CHUNG!$F$40</f>
        <v>14.975600261663297</v>
      </c>
      <c r="L81" s="47">
        <f>CHUNG!$G$40</f>
        <v>13.669447154241755</v>
      </c>
      <c r="M81" s="45">
        <f>CHUNG!$H$40</f>
        <v>5.5231544534847021E-2</v>
      </c>
      <c r="N81" s="56"/>
      <c r="O81" s="47">
        <f>CHUNG!$D$44</f>
        <v>28.012442782445611</v>
      </c>
      <c r="P81" s="47">
        <f>CHUNG!$E$44</f>
        <v>26.727833247480572</v>
      </c>
      <c r="Q81" s="47">
        <f>CHUNG!$F$44</f>
        <v>25.333731187216529</v>
      </c>
      <c r="R81" s="47">
        <f>CHUNG!$G$44</f>
        <v>24.004158935818321</v>
      </c>
      <c r="S81" s="45">
        <f>CHUNG!$H$44</f>
        <v>5.2821704558468241E-2</v>
      </c>
      <c r="T81" s="46"/>
      <c r="U81" s="48" t="str">
        <f t="shared" si="8"/>
        <v>TWD 124.00</v>
      </c>
      <c r="V81" s="44" t="str">
        <f t="shared" si="8"/>
        <v>Chunghwa Telecom</v>
      </c>
      <c r="AE81" s="41"/>
      <c r="AF81" s="31"/>
      <c r="AG81" s="31"/>
      <c r="AI81" s="41"/>
      <c r="AJ81" s="64"/>
      <c r="AK81" s="64"/>
      <c r="AM81" s="41"/>
      <c r="AN81" s="64"/>
      <c r="AO81" s="64"/>
      <c r="AQ81" s="41"/>
      <c r="AR81" s="64"/>
      <c r="AS81" s="64"/>
      <c r="AT81" s="69"/>
    </row>
    <row r="82" spans="1:49" s="5" customFormat="1">
      <c r="A82" s="39"/>
      <c r="B82" s="42"/>
      <c r="C82" s="48" t="str">
        <f t="shared" si="7"/>
        <v>KT Corp</v>
      </c>
      <c r="D82" s="44" t="str">
        <f t="shared" si="7"/>
        <v>KRW 41,200</v>
      </c>
      <c r="E82" s="44" t="str">
        <f t="shared" si="7"/>
        <v>KRW 70,000</v>
      </c>
      <c r="F82" s="45">
        <f t="shared" si="7"/>
        <v>0.69902912621359214</v>
      </c>
      <c r="G82" s="44" t="str">
        <f t="shared" si="7"/>
        <v>Buy</v>
      </c>
      <c r="H82" s="46"/>
      <c r="I82" s="47">
        <f>_KT!$D$40</f>
        <v>11.843816016678284</v>
      </c>
      <c r="J82" s="47">
        <f>_KT!$E$40</f>
        <v>11.535399055044504</v>
      </c>
      <c r="K82" s="47">
        <f>_KT!$F$40</f>
        <v>8.1523825211490824</v>
      </c>
      <c r="L82" s="47">
        <f>_KT!$G$40</f>
        <v>6.7969198000222519</v>
      </c>
      <c r="M82" s="45">
        <f>_KT!$H$40</f>
        <v>0.11221812132162357</v>
      </c>
      <c r="N82" s="56"/>
      <c r="O82" s="47">
        <f>_KT!$D$44</f>
        <v>10.052711146054065</v>
      </c>
      <c r="P82" s="47">
        <f>_KT!$E$44</f>
        <v>8.6586643241023626</v>
      </c>
      <c r="Q82" s="47">
        <f>_KT!$F$44</f>
        <v>6.6719813777857304</v>
      </c>
      <c r="R82" s="47">
        <f>_KT!$G$44</f>
        <v>6.0337925758154363</v>
      </c>
      <c r="S82" s="45">
        <f>_KT!$H$44</f>
        <v>0.19368058845630709</v>
      </c>
      <c r="T82" s="46"/>
      <c r="U82" s="48" t="str">
        <f t="shared" si="8"/>
        <v>KRW 41,200</v>
      </c>
      <c r="V82" s="44" t="str">
        <f t="shared" si="8"/>
        <v>KT Corp</v>
      </c>
      <c r="AE82" s="41"/>
      <c r="AF82" s="31"/>
      <c r="AG82" s="31"/>
      <c r="AI82" s="41"/>
      <c r="AJ82" s="64"/>
      <c r="AK82" s="64"/>
      <c r="AM82" s="41"/>
      <c r="AN82" s="64"/>
      <c r="AO82" s="64"/>
      <c r="AQ82" s="41"/>
      <c r="AR82" s="64"/>
      <c r="AS82" s="64"/>
      <c r="AT82" s="69"/>
    </row>
    <row r="83" spans="1:49" s="5" customFormat="1">
      <c r="A83" s="39"/>
      <c r="B83" s="42"/>
      <c r="C83" s="48" t="str">
        <f t="shared" si="7"/>
        <v>PT Telkom</v>
      </c>
      <c r="D83" s="44" t="str">
        <f t="shared" si="7"/>
        <v>IDR 3,040</v>
      </c>
      <c r="E83" s="44" t="str">
        <f t="shared" si="7"/>
        <v>IDR 4,500</v>
      </c>
      <c r="F83" s="45">
        <f t="shared" si="7"/>
        <v>0.48026315789473695</v>
      </c>
      <c r="G83" s="44" t="str">
        <f t="shared" si="7"/>
        <v>Buy</v>
      </c>
      <c r="H83" s="46"/>
      <c r="I83" s="47">
        <f>PTT!$D$40</f>
        <v>14.839660060654545</v>
      </c>
      <c r="J83" s="47">
        <f>PTT!$E$40</f>
        <v>14.29292132709644</v>
      </c>
      <c r="K83" s="47">
        <f>PTT!$F$40</f>
        <v>12.328221319189375</v>
      </c>
      <c r="L83" s="47">
        <f>PTT!$G$40</f>
        <v>10.748025924738524</v>
      </c>
      <c r="M83" s="45">
        <f>PTT!$H$40</f>
        <v>5.7801774880395396E-2</v>
      </c>
      <c r="N83" s="56"/>
      <c r="O83" s="47">
        <f>PTT!$D$44</f>
        <v>12.001798918539775</v>
      </c>
      <c r="P83" s="47">
        <f>PTT!$E$44</f>
        <v>12.578077633936385</v>
      </c>
      <c r="Q83" s="47">
        <f>PTT!$F$44</f>
        <v>11.133744613190474</v>
      </c>
      <c r="R83" s="47">
        <f>PTT!$G$44</f>
        <v>10.062797384508341</v>
      </c>
      <c r="S83" s="169">
        <f>PTT!$H$44</f>
        <v>6.0496418101977145E-2</v>
      </c>
      <c r="T83" s="46"/>
      <c r="U83" s="48" t="str">
        <f t="shared" si="8"/>
        <v>IDR 3,040</v>
      </c>
      <c r="V83" s="44" t="str">
        <f t="shared" si="8"/>
        <v>PT Telkom</v>
      </c>
      <c r="AE83" s="41"/>
      <c r="AF83" s="31"/>
      <c r="AG83" s="31"/>
      <c r="AI83" s="41"/>
      <c r="AJ83" s="64"/>
      <c r="AK83" s="64"/>
      <c r="AM83" s="41"/>
      <c r="AN83" s="64"/>
      <c r="AO83" s="64"/>
      <c r="AQ83" s="41"/>
      <c r="AR83" s="64"/>
      <c r="AS83" s="64"/>
      <c r="AV83" s="69"/>
      <c r="AW83" s="69"/>
    </row>
    <row r="84" spans="1:49">
      <c r="C84" s="51" t="str">
        <f>C22</f>
        <v>Agg. Emerging Asia Incumbent</v>
      </c>
      <c r="D84" s="52"/>
      <c r="E84" s="52"/>
      <c r="F84" s="53"/>
      <c r="G84" s="52"/>
      <c r="H84" s="46"/>
      <c r="I84" s="54">
        <f>'EM ASIA INCUMB'!$D$40</f>
        <v>9.7445981023773971</v>
      </c>
      <c r="J84" s="54">
        <f>'EM ASIA INCUMB'!$E$40</f>
        <v>7.7213843044960884</v>
      </c>
      <c r="K84" s="54">
        <f>'EM ASIA INCUMB'!$F$40</f>
        <v>6.4619823390887365</v>
      </c>
      <c r="L84" s="54">
        <f>'EM ASIA INCUMB'!$G$40</f>
        <v>5.3774055925875457</v>
      </c>
      <c r="M84" s="55">
        <f>'EM ASIA INCUMB'!$H$40</f>
        <v>0.1230761218841967</v>
      </c>
      <c r="N84" s="56"/>
      <c r="O84" s="54">
        <f>'EM ASIA INCUMB'!$D$44</f>
        <v>13.216128747778813</v>
      </c>
      <c r="P84" s="54">
        <f>'EM ASIA INCUMB'!$E$44</f>
        <v>12.171437698931255</v>
      </c>
      <c r="Q84" s="54">
        <f>'EM ASIA INCUMB'!$F$44</f>
        <v>11.265766850391591</v>
      </c>
      <c r="R84" s="54">
        <f>'EM ASIA INCUMB'!$G$44</f>
        <v>9.8868019601887909</v>
      </c>
      <c r="S84" s="55">
        <f>'EM ASIA INCUMB'!$H$44</f>
        <v>0.10201493844112686</v>
      </c>
      <c r="T84" s="46"/>
      <c r="U84" s="57"/>
      <c r="V84" s="58" t="str">
        <f>V22</f>
        <v>Agg. Emerging Asia Incumbent</v>
      </c>
      <c r="AE84" s="41"/>
      <c r="AF84" s="31"/>
      <c r="AG84" s="31"/>
      <c r="AI84" s="41"/>
      <c r="AJ84" s="64"/>
      <c r="AK84" s="64"/>
      <c r="AM84" s="41"/>
      <c r="AN84" s="64"/>
      <c r="AO84" s="64"/>
      <c r="AQ84" s="41"/>
      <c r="AR84" s="64"/>
      <c r="AS84" s="64"/>
      <c r="AT84" s="69"/>
      <c r="AU84" s="69"/>
      <c r="AV84" s="69"/>
      <c r="AW84" s="69"/>
    </row>
    <row r="85" spans="1:49">
      <c r="C85" s="43"/>
      <c r="D85" s="44"/>
      <c r="E85" s="44"/>
      <c r="F85" s="68"/>
      <c r="G85" s="44"/>
      <c r="H85" s="46"/>
      <c r="I85" s="62"/>
      <c r="J85" s="62"/>
      <c r="K85" s="62"/>
      <c r="L85" s="62"/>
      <c r="M85" s="61"/>
      <c r="N85" s="56"/>
      <c r="O85" s="62"/>
      <c r="P85" s="62"/>
      <c r="Q85" s="62"/>
      <c r="R85" s="62"/>
      <c r="S85" s="61"/>
      <c r="T85" s="46"/>
      <c r="U85" s="48"/>
      <c r="V85" s="50"/>
      <c r="AE85" s="41"/>
      <c r="AF85" s="31"/>
      <c r="AG85" s="31"/>
      <c r="AI85" s="41"/>
      <c r="AJ85" s="64"/>
      <c r="AK85" s="64"/>
      <c r="AM85" s="41"/>
      <c r="AN85" s="64"/>
      <c r="AO85" s="64"/>
      <c r="AQ85" s="41"/>
      <c r="AR85" s="64"/>
      <c r="AS85" s="64"/>
      <c r="AT85" s="69"/>
      <c r="AU85" s="69"/>
      <c r="AV85" s="69"/>
      <c r="AW85" s="69"/>
    </row>
    <row r="86" spans="1:49">
      <c r="C86" s="51" t="str">
        <f>C24</f>
        <v>Agg. Emerging Incumbent</v>
      </c>
      <c r="D86" s="52"/>
      <c r="E86" s="52"/>
      <c r="F86" s="53"/>
      <c r="G86" s="52"/>
      <c r="H86" s="46"/>
      <c r="I86" s="54">
        <f>'EM INCUMB'!$D$40</f>
        <v>11.762846823892597</v>
      </c>
      <c r="J86" s="54">
        <f>'EM INCUMB'!$E$40</f>
        <v>9.0599421174657948</v>
      </c>
      <c r="K86" s="54">
        <f>'EM INCUMB'!$F$40</f>
        <v>7.5970645551793998</v>
      </c>
      <c r="L86" s="54">
        <f>'EM INCUMB'!$G$40</f>
        <v>6.4065033921566776</v>
      </c>
      <c r="M86" s="55">
        <f>'EM INCUMB'!$H$40</f>
        <v>0.14396851486850371</v>
      </c>
      <c r="N86" s="56"/>
      <c r="O86" s="54">
        <f>'EM INCUMB'!$D$44</f>
        <v>14.104957257301441</v>
      </c>
      <c r="P86" s="54">
        <f>'EM INCUMB'!$E$44</f>
        <v>12.075601575663633</v>
      </c>
      <c r="Q86" s="54">
        <f>'EM INCUMB'!$F$44</f>
        <v>10.385279656189478</v>
      </c>
      <c r="R86" s="54">
        <f>'EM INCUMB'!$G$44</f>
        <v>8.8185004542193948</v>
      </c>
      <c r="S86" s="55">
        <f>'EM INCUMB'!$H$44</f>
        <v>0.15835578063954037</v>
      </c>
      <c r="T86" s="46"/>
      <c r="U86" s="57"/>
      <c r="V86" s="58" t="str">
        <f>V24</f>
        <v>Agg. Emerging Incumbent</v>
      </c>
      <c r="AE86" s="41"/>
      <c r="AF86" s="31"/>
      <c r="AG86" s="31"/>
      <c r="AI86" s="41"/>
      <c r="AJ86" s="64"/>
      <c r="AK86" s="64"/>
      <c r="AM86" s="41"/>
      <c r="AN86" s="64"/>
      <c r="AO86" s="64"/>
      <c r="AQ86" s="41"/>
      <c r="AR86" s="64"/>
      <c r="AS86" s="64"/>
      <c r="AT86" s="69"/>
      <c r="AU86" s="69"/>
      <c r="AV86" s="69"/>
      <c r="AW86" s="69"/>
    </row>
    <row r="87" spans="1:49">
      <c r="C87" s="43"/>
      <c r="D87" s="44"/>
      <c r="E87" s="44"/>
      <c r="F87" s="45"/>
      <c r="G87" s="44"/>
      <c r="H87" s="46"/>
      <c r="I87" s="47"/>
      <c r="J87" s="47"/>
      <c r="K87" s="47"/>
      <c r="L87" s="47"/>
      <c r="M87" s="45"/>
      <c r="N87" s="56"/>
      <c r="O87" s="47"/>
      <c r="P87" s="47"/>
      <c r="Q87" s="47"/>
      <c r="R87" s="47"/>
      <c r="S87" s="45"/>
      <c r="T87" s="46"/>
      <c r="U87" s="48"/>
      <c r="V87" s="50"/>
      <c r="AE87" s="41"/>
      <c r="AF87" s="31"/>
      <c r="AG87" s="31"/>
      <c r="AI87" s="41"/>
      <c r="AJ87" s="64"/>
      <c r="AK87" s="64"/>
      <c r="AM87" s="41"/>
      <c r="AN87" s="64"/>
      <c r="AO87" s="64"/>
      <c r="AQ87" s="41"/>
      <c r="AR87" s="64"/>
      <c r="AS87" s="64"/>
      <c r="AT87" s="69"/>
      <c r="AU87" s="69"/>
      <c r="AV87" s="69"/>
      <c r="AW87" s="69"/>
    </row>
    <row r="88" spans="1:49" s="5" customFormat="1">
      <c r="A88" s="41" t="s">
        <v>502</v>
      </c>
      <c r="B88" s="42"/>
      <c r="C88" s="48" t="str">
        <f t="shared" ref="C88:G90" si="9">C26</f>
        <v>Airtel Africa</v>
      </c>
      <c r="D88" s="44" t="str">
        <f t="shared" si="9"/>
        <v>USD 1.13</v>
      </c>
      <c r="E88" s="44" t="str">
        <f t="shared" si="9"/>
        <v>USD 2.00</v>
      </c>
      <c r="F88" s="45">
        <f t="shared" si="9"/>
        <v>0.77619893428063969</v>
      </c>
      <c r="G88" s="44" t="str">
        <f t="shared" si="9"/>
        <v>Buy</v>
      </c>
      <c r="H88" s="46"/>
      <c r="I88" s="47">
        <f>AAF!$D$40</f>
        <v>6.076167945966497</v>
      </c>
      <c r="J88" s="47">
        <f>AAF!$E$40</f>
        <v>12.880675512460673</v>
      </c>
      <c r="K88" s="47">
        <f>AAF!$F$40</f>
        <v>10.416862065313062</v>
      </c>
      <c r="L88" s="47">
        <f>AAF!$G$40</f>
        <v>8.3870845765424402</v>
      </c>
      <c r="M88" s="45">
        <f>AAF!$H$40</f>
        <v>-0.14460523522171143</v>
      </c>
      <c r="N88" s="56"/>
      <c r="O88" s="47">
        <f>AAF!$D$44</f>
        <v>-11.965578625956264</v>
      </c>
      <c r="P88" s="47">
        <f>AAF!$E$44</f>
        <v>35.065795374047475</v>
      </c>
      <c r="Q88" s="47">
        <f>AAF!$F$44</f>
        <v>6.0372831634663937</v>
      </c>
      <c r="R88" s="47">
        <f>AAF!$G$44</f>
        <v>4.727732760898637</v>
      </c>
      <c r="S88" s="169">
        <f>AAF!$H$44</f>
        <v>-2.3532713363510203</v>
      </c>
      <c r="T88" s="46"/>
      <c r="U88" s="48" t="str">
        <f t="shared" ref="U88:V94" si="10">U26</f>
        <v>USD 1.13</v>
      </c>
      <c r="V88" s="44" t="str">
        <f t="shared" si="10"/>
        <v>Airtel Africa</v>
      </c>
      <c r="AE88" s="41"/>
      <c r="AF88" s="31"/>
      <c r="AG88" s="31"/>
      <c r="AI88" s="41"/>
      <c r="AJ88" s="64"/>
      <c r="AK88" s="64"/>
      <c r="AM88" s="41"/>
      <c r="AN88" s="64"/>
      <c r="AO88" s="64"/>
      <c r="AQ88" s="41"/>
      <c r="AR88" s="64"/>
      <c r="AS88" s="64"/>
    </row>
    <row r="89" spans="1:49" s="5" customFormat="1">
      <c r="A89" s="41"/>
      <c r="B89" s="42"/>
      <c r="C89" s="48" t="str">
        <f t="shared" si="9"/>
        <v>MobileTeleSystems</v>
      </c>
      <c r="D89" s="44" t="str">
        <f t="shared" si="9"/>
        <v>USD 10.00</v>
      </c>
      <c r="E89" s="44" t="str">
        <f t="shared" si="9"/>
        <v>USD 10.10</v>
      </c>
      <c r="F89" s="45">
        <f t="shared" si="9"/>
        <v>1.0000000000000009E-2</v>
      </c>
      <c r="G89" s="44" t="str">
        <f t="shared" si="9"/>
        <v>Buy</v>
      </c>
      <c r="H89" s="46"/>
      <c r="I89" s="47">
        <f>MTS!$D$40</f>
        <v>15.546037629496597</v>
      </c>
      <c r="J89" s="47">
        <f>MTS!$E$40</f>
        <v>14.315219040570174</v>
      </c>
      <c r="K89" s="47">
        <f>MTS!$F$40</f>
        <v>13.916293588950181</v>
      </c>
      <c r="L89" s="47">
        <f>MTS!$G$40</f>
        <v>13.545002553998314</v>
      </c>
      <c r="M89" s="45">
        <f>MTS!$H$40</f>
        <v>9.1428942790983125E-3</v>
      </c>
      <c r="N89" s="56"/>
      <c r="O89" s="47">
        <f>MTS!$D$44</f>
        <v>19.721277422403986</v>
      </c>
      <c r="P89" s="47">
        <f>MTS!$E$44</f>
        <v>19.843513812426227</v>
      </c>
      <c r="Q89" s="47">
        <f>MTS!$F$44</f>
        <v>19.307265217813296</v>
      </c>
      <c r="R89" s="47">
        <f>MTS!$G$44</f>
        <v>19.012315923718088</v>
      </c>
      <c r="S89" s="169">
        <f>MTS!$H$44</f>
        <v>1.2278485660941918E-2</v>
      </c>
      <c r="T89" s="46"/>
      <c r="U89" s="48" t="str">
        <f t="shared" si="10"/>
        <v>USD 10.00</v>
      </c>
      <c r="V89" s="44" t="str">
        <f t="shared" si="10"/>
        <v>MobileTeleSystems</v>
      </c>
      <c r="AE89" s="41"/>
      <c r="AF89" s="31"/>
      <c r="AG89" s="31"/>
      <c r="AI89" s="41"/>
      <c r="AJ89" s="64"/>
      <c r="AK89" s="64"/>
      <c r="AM89" s="41"/>
      <c r="AN89" s="64"/>
      <c r="AO89" s="64"/>
      <c r="AQ89" s="41"/>
      <c r="AR89" s="64"/>
      <c r="AS89" s="64"/>
    </row>
    <row r="90" spans="1:49" s="5" customFormat="1">
      <c r="A90" s="39"/>
      <c r="B90" s="42"/>
      <c r="C90" s="48" t="str">
        <f t="shared" si="9"/>
        <v>MTN</v>
      </c>
      <c r="D90" s="44" t="str">
        <f t="shared" si="9"/>
        <v>ZAR 92.00</v>
      </c>
      <c r="E90" s="44" t="str">
        <f t="shared" si="9"/>
        <v>ZAR 130.00</v>
      </c>
      <c r="F90" s="45">
        <f t="shared" si="9"/>
        <v>0.41304347826086962</v>
      </c>
      <c r="G90" s="44" t="str">
        <f t="shared" si="9"/>
        <v>Buy</v>
      </c>
      <c r="H90" s="46"/>
      <c r="I90" s="47">
        <f>MTN!$D$40</f>
        <v>37.739994281795028</v>
      </c>
      <c r="J90" s="47">
        <f>MTN!$E$40</f>
        <v>11.072499941640888</v>
      </c>
      <c r="K90" s="47">
        <f>MTN!$F$40</f>
        <v>14.968935041989463</v>
      </c>
      <c r="L90" s="47">
        <f>MTN!$G$40</f>
        <v>12.679292021168745</v>
      </c>
      <c r="M90" s="45">
        <f>MTN!$H$40</f>
        <v>0.45455236524478071</v>
      </c>
      <c r="N90" s="56"/>
      <c r="O90" s="47">
        <f>MTN!$D$44</f>
        <v>7.5822412347373005</v>
      </c>
      <c r="P90" s="47">
        <f>MTN!$E$44</f>
        <v>16.529718639628495</v>
      </c>
      <c r="Q90" s="47">
        <f>MTN!$F$44</f>
        <v>12.080540671714486</v>
      </c>
      <c r="R90" s="47">
        <f>MTN!$G$44</f>
        <v>8.1129386941869335</v>
      </c>
      <c r="S90" s="169">
        <f>MTN!$H$44</f>
        <v>-2.2298080487964334E-2</v>
      </c>
      <c r="T90" s="46"/>
      <c r="U90" s="48" t="str">
        <f t="shared" si="10"/>
        <v>ZAR 92.00</v>
      </c>
      <c r="V90" s="44" t="str">
        <f t="shared" si="10"/>
        <v>MTN</v>
      </c>
      <c r="AE90" s="41"/>
      <c r="AF90" s="31"/>
      <c r="AG90" s="31"/>
      <c r="AI90" s="41"/>
      <c r="AJ90" s="64"/>
      <c r="AK90" s="64"/>
      <c r="AM90" s="41"/>
      <c r="AN90" s="64"/>
      <c r="AO90" s="64"/>
      <c r="AQ90" s="41"/>
      <c r="AR90" s="64"/>
      <c r="AS90" s="64"/>
    </row>
    <row r="91" spans="1:49" s="5" customFormat="1">
      <c r="A91" s="39"/>
      <c r="B91" s="42"/>
      <c r="C91" s="48" t="s">
        <v>409</v>
      </c>
      <c r="D91" s="44" t="str">
        <f t="shared" ref="D91:G94" si="11">D29</f>
        <v>KES 14.80</v>
      </c>
      <c r="E91" s="44" t="str">
        <f t="shared" si="11"/>
        <v>KES 17.0</v>
      </c>
      <c r="F91" s="45">
        <f t="shared" si="11"/>
        <v>0.14864864864864868</v>
      </c>
      <c r="G91" s="44" t="str">
        <f t="shared" si="11"/>
        <v>Neutral</v>
      </c>
      <c r="H91" s="46"/>
      <c r="I91" s="47">
        <f>SAF!$D$40</f>
        <v>13.122803364881282</v>
      </c>
      <c r="J91" s="47">
        <f>SAF!$E$40</f>
        <v>14.169512802245965</v>
      </c>
      <c r="K91" s="47">
        <f>SAF!$F$40</f>
        <v>8.6572399354948484</v>
      </c>
      <c r="L91" s="47">
        <f>SAF!$G$40</f>
        <v>5.9961356902711627</v>
      </c>
      <c r="M91" s="45">
        <f>SAF!$H$40</f>
        <v>0.20252673734908933</v>
      </c>
      <c r="N91" s="56"/>
      <c r="O91" s="47">
        <f>SAF!$D$44</f>
        <v>9.0484973513229718</v>
      </c>
      <c r="P91" s="47">
        <f>SAF!$E$44</f>
        <v>9.1244255354742734</v>
      </c>
      <c r="Q91" s="47">
        <f>SAF!$F$44</f>
        <v>8.4545818284356287</v>
      </c>
      <c r="R91" s="47">
        <f>SAF!$G$44</f>
        <v>7.8699080854241599</v>
      </c>
      <c r="S91" s="169">
        <f>SAF!$H$44</f>
        <v>4.7616350087195558E-2</v>
      </c>
      <c r="T91" s="46"/>
      <c r="U91" s="48" t="str">
        <f t="shared" si="10"/>
        <v>KES 14.80</v>
      </c>
      <c r="V91" s="44" t="str">
        <f t="shared" si="10"/>
        <v>Safaricom</v>
      </c>
      <c r="AE91" s="41"/>
      <c r="AF91" s="31"/>
      <c r="AG91" s="31"/>
      <c r="AI91" s="41"/>
      <c r="AJ91" s="64"/>
      <c r="AK91" s="64"/>
      <c r="AM91" s="41"/>
      <c r="AN91" s="64"/>
      <c r="AO91" s="64"/>
      <c r="AQ91" s="41"/>
      <c r="AR91" s="64"/>
      <c r="AS91" s="64"/>
      <c r="AU91" s="69"/>
      <c r="AV91" s="69"/>
      <c r="AW91" s="69"/>
    </row>
    <row r="92" spans="1:49" s="5" customFormat="1">
      <c r="A92" s="39"/>
      <c r="B92" s="42"/>
      <c r="C92" s="48" t="str">
        <f>C30</f>
        <v>Turkcell</v>
      </c>
      <c r="D92" s="44" t="str">
        <f t="shared" si="11"/>
        <v>USD 99.65</v>
      </c>
      <c r="E92" s="44" t="str">
        <f t="shared" si="11"/>
        <v>USD 16.90</v>
      </c>
      <c r="F92" s="45">
        <f t="shared" si="11"/>
        <v>-0.83040642247867535</v>
      </c>
      <c r="G92" s="44" t="str">
        <f t="shared" si="11"/>
        <v>Buy</v>
      </c>
      <c r="H92" s="46"/>
      <c r="I92" s="47">
        <f>TKC!$D$40</f>
        <v>34.696480600042477</v>
      </c>
      <c r="J92" s="47">
        <f>TKC!$E$40</f>
        <v>31.023712526309644</v>
      </c>
      <c r="K92" s="47">
        <f>TKC!$F$40</f>
        <v>27.745228813874032</v>
      </c>
      <c r="L92" s="47">
        <f>TKC!$G$40</f>
        <v>25.705974987946732</v>
      </c>
      <c r="M92" s="45">
        <f>TKC!$H$40</f>
        <v>7.8661324138609823E-2</v>
      </c>
      <c r="N92" s="56"/>
      <c r="O92" s="47">
        <f>TKC!$D$44</f>
        <v>36.695085681111358</v>
      </c>
      <c r="P92" s="47">
        <f>TKC!$E$44</f>
        <v>34.545739241790805</v>
      </c>
      <c r="Q92" s="47">
        <f>TKC!$F$44</f>
        <v>32.137556185744522</v>
      </c>
      <c r="R92" s="47">
        <f>TKC!$G$44</f>
        <v>29.674180051801461</v>
      </c>
      <c r="S92" s="169">
        <f>TKC!$H$44</f>
        <v>7.3354198818009531E-2</v>
      </c>
      <c r="T92" s="46"/>
      <c r="U92" s="48" t="str">
        <f t="shared" si="10"/>
        <v>USD 99.65</v>
      </c>
      <c r="V92" s="44" t="str">
        <f t="shared" si="10"/>
        <v>Turkcell</v>
      </c>
      <c r="AE92" s="41"/>
      <c r="AF92" s="31"/>
      <c r="AG92" s="31"/>
      <c r="AI92" s="41"/>
      <c r="AJ92" s="64"/>
      <c r="AK92" s="64"/>
      <c r="AM92" s="41"/>
      <c r="AN92" s="64"/>
      <c r="AO92" s="64"/>
      <c r="AQ92" s="41"/>
      <c r="AR92" s="64"/>
      <c r="AS92" s="64"/>
      <c r="AU92" s="69"/>
      <c r="AV92" s="69"/>
      <c r="AW92" s="69"/>
    </row>
    <row r="93" spans="1:49" s="5" customFormat="1">
      <c r="A93" s="39"/>
      <c r="B93" s="42"/>
      <c r="C93" s="48" t="str">
        <f>C31</f>
        <v>VEON</v>
      </c>
      <c r="D93" s="44" t="str">
        <f t="shared" si="11"/>
        <v>USD 27.2</v>
      </c>
      <c r="E93" s="44" t="str">
        <f t="shared" si="11"/>
        <v>USD 40.0</v>
      </c>
      <c r="F93" s="45">
        <f t="shared" si="11"/>
        <v>0.47058823529411775</v>
      </c>
      <c r="G93" s="44" t="str">
        <f t="shared" si="11"/>
        <v>Buy</v>
      </c>
      <c r="H93" s="46"/>
      <c r="I93" s="47">
        <f>VIMP!$D$40</f>
        <v>71.045479022042102</v>
      </c>
      <c r="J93" s="47">
        <f>VIMP!$E$40</f>
        <v>57.859976882176682</v>
      </c>
      <c r="K93" s="47">
        <f>VIMP!$F$40</f>
        <v>55.069791514802198</v>
      </c>
      <c r="L93" s="47">
        <f>VIMP!$G$40</f>
        <v>50.863389119045451</v>
      </c>
      <c r="M93" s="45">
        <f>VIMP!$H$40</f>
        <v>0.10057859914116829</v>
      </c>
      <c r="N93" s="56"/>
      <c r="O93" s="47">
        <f>VIMP!$D$44</f>
        <v>138.49258336350786</v>
      </c>
      <c r="P93" s="47">
        <f>VIMP!$E$44</f>
        <v>73.992881779191123</v>
      </c>
      <c r="Q93" s="47">
        <f>VIMP!$F$44</f>
        <v>63.675408138513795</v>
      </c>
      <c r="R93" s="47">
        <f>VIMP!$G$44</f>
        <v>57.685926382796644</v>
      </c>
      <c r="S93" s="45">
        <f>VIMP!$H$44</f>
        <v>0.3390153275127985</v>
      </c>
      <c r="T93" s="46"/>
      <c r="U93" s="48" t="str">
        <f t="shared" si="10"/>
        <v>USD 27.2</v>
      </c>
      <c r="V93" s="44" t="str">
        <f t="shared" si="10"/>
        <v>Vimpel Com</v>
      </c>
      <c r="AE93" s="41"/>
      <c r="AF93" s="31"/>
      <c r="AG93" s="31"/>
      <c r="AI93" s="41"/>
      <c r="AJ93" s="64"/>
      <c r="AK93" s="64"/>
      <c r="AM93" s="41"/>
      <c r="AN93" s="64"/>
      <c r="AO93" s="64"/>
      <c r="AQ93" s="41"/>
      <c r="AR93" s="64"/>
      <c r="AS93" s="64"/>
      <c r="AU93" s="69"/>
      <c r="AV93" s="69"/>
      <c r="AW93" s="69"/>
    </row>
    <row r="94" spans="1:49">
      <c r="C94" s="48" t="str">
        <f>C32</f>
        <v>Vodacom</v>
      </c>
      <c r="D94" s="44" t="str">
        <f t="shared" si="11"/>
        <v>ZAR 111.1</v>
      </c>
      <c r="E94" s="44" t="str">
        <f t="shared" si="11"/>
        <v>ZAR 150.0</v>
      </c>
      <c r="F94" s="45">
        <f t="shared" si="11"/>
        <v>0.34989200863930892</v>
      </c>
      <c r="G94" s="44" t="str">
        <f t="shared" si="11"/>
        <v>Buy</v>
      </c>
      <c r="H94" s="46"/>
      <c r="I94" s="47">
        <f>VODA!$D$40</f>
        <v>10.079355002452461</v>
      </c>
      <c r="J94" s="47">
        <f>VODA!$E$40</f>
        <v>10.695100741361623</v>
      </c>
      <c r="K94" s="47">
        <f>VODA!$F$40</f>
        <v>8.8791844458582805</v>
      </c>
      <c r="L94" s="47">
        <f>VODA!$G$40</f>
        <v>7.4435925140207972</v>
      </c>
      <c r="M94" s="45">
        <f>VODA!$H$40</f>
        <v>5.7815268871281411E-2</v>
      </c>
      <c r="N94" s="56"/>
      <c r="O94" s="47">
        <f>VODA!$D$44</f>
        <v>13.997556345559261</v>
      </c>
      <c r="P94" s="47">
        <f>VODA!$E$44</f>
        <v>13.13948387539256</v>
      </c>
      <c r="Q94" s="47">
        <f>VODA!$F$44</f>
        <v>10.482288626355071</v>
      </c>
      <c r="R94" s="47">
        <f>VODA!$G$44</f>
        <v>9.0226708318885471</v>
      </c>
      <c r="S94" s="45">
        <f>VODA!$H$44</f>
        <v>0.15763692312350419</v>
      </c>
      <c r="T94" s="46"/>
      <c r="U94" s="48" t="str">
        <f t="shared" si="10"/>
        <v>ZAR 111.1</v>
      </c>
      <c r="V94" s="44" t="str">
        <f t="shared" si="10"/>
        <v>Vodacom</v>
      </c>
      <c r="AE94" s="41"/>
      <c r="AF94" s="31"/>
      <c r="AG94" s="31"/>
      <c r="AI94" s="41"/>
      <c r="AJ94" s="64"/>
      <c r="AK94" s="64"/>
      <c r="AM94" s="41"/>
      <c r="AN94" s="64"/>
      <c r="AO94" s="64"/>
      <c r="AQ94" s="41"/>
      <c r="AR94" s="64"/>
      <c r="AS94" s="64"/>
      <c r="AT94" s="69"/>
      <c r="AU94" s="69"/>
      <c r="AV94" s="69"/>
      <c r="AW94" s="69"/>
    </row>
    <row r="95" spans="1:49" s="5" customFormat="1">
      <c r="A95" s="39"/>
      <c r="B95" s="42"/>
      <c r="C95" s="51" t="str">
        <f>C33</f>
        <v>Agg. EMEA Cellular</v>
      </c>
      <c r="D95" s="52"/>
      <c r="E95" s="52"/>
      <c r="F95" s="53"/>
      <c r="G95" s="52"/>
      <c r="H95" s="46"/>
      <c r="I95" s="54">
        <f>'EMEA CELLULAR'!$D$40</f>
        <v>19.965576466556715</v>
      </c>
      <c r="J95" s="54">
        <f>'EMEA CELLULAR'!$E$40</f>
        <v>18.915055159311862</v>
      </c>
      <c r="K95" s="54">
        <f>'EMEA CELLULAR'!$F$40</f>
        <v>18.041615049136492</v>
      </c>
      <c r="L95" s="54">
        <f>'EMEA CELLULAR'!$G$40</f>
        <v>15.593250523045757</v>
      </c>
      <c r="M95" s="55">
        <f>'EMEA CELLULAR'!$H$40</f>
        <v>6.1069987666233061E-2</v>
      </c>
      <c r="N95" s="56"/>
      <c r="O95" s="54">
        <f>'EMEA CELLULAR'!$D$44</f>
        <v>29.727847806043954</v>
      </c>
      <c r="P95" s="54">
        <f>'EMEA CELLULAR'!$E$44</f>
        <v>27.159249380804312</v>
      </c>
      <c r="Q95" s="54">
        <f>'EMEA CELLULAR'!$F$44</f>
        <v>19.560820863413703</v>
      </c>
      <c r="R95" s="54">
        <f>'EMEA CELLULAR'!$G$44</f>
        <v>16.324783869234651</v>
      </c>
      <c r="S95" s="55">
        <f>'EMEA CELLULAR'!$H$44</f>
        <v>0.22067184815723828</v>
      </c>
      <c r="T95" s="46"/>
      <c r="U95" s="57"/>
      <c r="V95" s="58" t="str">
        <f>V33</f>
        <v>Agg. EMEA Cellular</v>
      </c>
      <c r="AE95" s="41"/>
      <c r="AF95" s="31"/>
      <c r="AG95" s="31"/>
      <c r="AI95" s="41"/>
      <c r="AJ95" s="64"/>
      <c r="AK95" s="64"/>
      <c r="AM95" s="41"/>
      <c r="AN95" s="64"/>
      <c r="AO95" s="64"/>
      <c r="AQ95" s="41"/>
      <c r="AR95" s="64"/>
      <c r="AS95" s="64"/>
      <c r="AT95" s="69"/>
    </row>
    <row r="96" spans="1:49" s="5" customFormat="1">
      <c r="B96" s="42"/>
      <c r="C96" s="43"/>
      <c r="D96" s="44"/>
      <c r="E96" s="44"/>
      <c r="F96" s="45"/>
      <c r="G96" s="44"/>
      <c r="H96" s="46"/>
      <c r="I96" s="47"/>
      <c r="J96" s="47"/>
      <c r="K96" s="47"/>
      <c r="L96" s="47"/>
      <c r="M96" s="45"/>
      <c r="N96" s="56"/>
      <c r="O96" s="47"/>
      <c r="P96" s="47"/>
      <c r="Q96" s="47"/>
      <c r="R96" s="47"/>
      <c r="S96" s="45"/>
      <c r="T96" s="46"/>
      <c r="U96" s="48"/>
      <c r="V96" s="50"/>
      <c r="AE96" s="41"/>
      <c r="AF96" s="31"/>
      <c r="AG96" s="31"/>
      <c r="AI96" s="41"/>
      <c r="AJ96" s="64"/>
      <c r="AK96" s="64"/>
      <c r="AM96" s="41"/>
      <c r="AN96" s="64"/>
      <c r="AO96" s="64"/>
      <c r="AQ96" s="41"/>
      <c r="AR96" s="64"/>
      <c r="AS96" s="64"/>
    </row>
    <row r="97" spans="1:45" s="5" customFormat="1">
      <c r="B97" s="42"/>
      <c r="C97" s="48" t="str">
        <f t="shared" ref="C97:G99" si="12">C35</f>
        <v>Entel</v>
      </c>
      <c r="D97" s="44" t="str">
        <f t="shared" si="12"/>
        <v>CLP 2,900</v>
      </c>
      <c r="E97" s="44" t="str">
        <f t="shared" si="12"/>
        <v>CLP 3,150</v>
      </c>
      <c r="F97" s="45">
        <f t="shared" si="12"/>
        <v>8.6206896551724199E-2</v>
      </c>
      <c r="G97" s="44" t="str">
        <f t="shared" si="12"/>
        <v>Neutral</v>
      </c>
      <c r="H97" s="46"/>
      <c r="I97" s="47">
        <f>ENTEL!$D$40</f>
        <v>11.977364508643795</v>
      </c>
      <c r="J97" s="47">
        <f>ENTEL!$E$40</f>
        <v>9.6222339861119703</v>
      </c>
      <c r="K97" s="47">
        <f>ENTEL!$F$40</f>
        <v>7.3985738980821862</v>
      </c>
      <c r="L97" s="47">
        <f>ENTEL!$G$40</f>
        <v>5.5814363567862904</v>
      </c>
      <c r="M97" s="45">
        <f>ENTEL!$H$40</f>
        <v>0.1445398311886632</v>
      </c>
      <c r="N97" s="56"/>
      <c r="O97" s="47">
        <f>ENTEL!$D$44</f>
        <v>5.2847071125622467</v>
      </c>
      <c r="P97" s="47">
        <f>ENTEL!$E$44</f>
        <v>4.4694936705544883</v>
      </c>
      <c r="Q97" s="47">
        <f>ENTEL!$F$44</f>
        <v>3.8279885500591817</v>
      </c>
      <c r="R97" s="47">
        <f>ENTEL!$G$44</f>
        <v>3.379369359768273</v>
      </c>
      <c r="S97" s="169">
        <f>ENTEL!$H$44</f>
        <v>0.16072254598340718</v>
      </c>
      <c r="T97" s="46"/>
      <c r="U97" s="48" t="str">
        <f t="shared" ref="U97:V99" si="13">U35</f>
        <v>CLP 2,900</v>
      </c>
      <c r="V97" s="44" t="str">
        <f t="shared" si="13"/>
        <v>Entel</v>
      </c>
      <c r="AE97" s="41"/>
      <c r="AF97" s="31"/>
      <c r="AG97" s="31"/>
      <c r="AI97" s="41"/>
      <c r="AJ97" s="64"/>
      <c r="AK97" s="64"/>
      <c r="AM97" s="41"/>
      <c r="AN97" s="64"/>
      <c r="AO97" s="64"/>
      <c r="AQ97" s="41"/>
      <c r="AR97" s="64"/>
      <c r="AS97" s="64"/>
    </row>
    <row r="98" spans="1:45" s="5" customFormat="1">
      <c r="B98" s="42"/>
      <c r="C98" s="48" t="str">
        <f t="shared" si="12"/>
        <v>Millicom</v>
      </c>
      <c r="D98" s="44" t="str">
        <f t="shared" si="12"/>
        <v>USD  26.6</v>
      </c>
      <c r="E98" s="44" t="str">
        <f t="shared" si="12"/>
        <v>USD 18.0</v>
      </c>
      <c r="F98" s="45">
        <f t="shared" si="12"/>
        <v>-0.32407059707097252</v>
      </c>
      <c r="G98" s="44" t="str">
        <f t="shared" si="12"/>
        <v>Neutral</v>
      </c>
      <c r="H98" s="46"/>
      <c r="I98" s="47">
        <f>MILLI!$D$40</f>
        <v>17.818022603267696</v>
      </c>
      <c r="J98" s="47">
        <f>MILLI!$E$40</f>
        <v>17.201231512859586</v>
      </c>
      <c r="K98" s="47">
        <f>MILLI!$F$40</f>
        <v>15.984471026551136</v>
      </c>
      <c r="L98" s="47">
        <f>MILLI!$G$40</f>
        <v>14.79348828957265</v>
      </c>
      <c r="M98" s="45">
        <f>MILLI!$H$40</f>
        <v>4.2608161608423067E-2</v>
      </c>
      <c r="N98" s="56"/>
      <c r="O98" s="47">
        <f>MILLI!$D$44</f>
        <v>14.629096333307835</v>
      </c>
      <c r="P98" s="47">
        <f>MILLI!$E$44</f>
        <v>13.003198215426702</v>
      </c>
      <c r="Q98" s="47">
        <f>MILLI!$F$44</f>
        <v>9.2779099012676856</v>
      </c>
      <c r="R98" s="47">
        <f>MILLI!$G$44</f>
        <v>7.9222772662813083</v>
      </c>
      <c r="S98" s="169">
        <f>MILLI!$H$44</f>
        <v>0.17638932495014359</v>
      </c>
      <c r="T98" s="46"/>
      <c r="U98" s="48" t="str">
        <f t="shared" si="13"/>
        <v>USD  26.6</v>
      </c>
      <c r="V98" s="44" t="str">
        <f t="shared" si="13"/>
        <v>Millicom</v>
      </c>
      <c r="AE98" s="41"/>
      <c r="AF98" s="31"/>
      <c r="AG98" s="31"/>
      <c r="AI98" s="41"/>
      <c r="AJ98" s="64"/>
      <c r="AK98" s="64"/>
      <c r="AM98" s="41"/>
      <c r="AN98" s="64"/>
      <c r="AO98" s="64"/>
      <c r="AQ98" s="41"/>
      <c r="AR98" s="64"/>
      <c r="AS98" s="64"/>
    </row>
    <row r="99" spans="1:45">
      <c r="A99" s="5"/>
      <c r="C99" s="48" t="str">
        <f t="shared" si="12"/>
        <v>TIM Participacoes</v>
      </c>
      <c r="D99" s="44" t="str">
        <f t="shared" si="12"/>
        <v>BRL 18.63</v>
      </c>
      <c r="E99" s="44" t="str">
        <f t="shared" si="12"/>
        <v>BRL 23.00</v>
      </c>
      <c r="F99" s="45">
        <f t="shared" si="12"/>
        <v>0.23456790123456805</v>
      </c>
      <c r="G99" s="44" t="str">
        <f t="shared" si="12"/>
        <v>Buy</v>
      </c>
      <c r="H99" s="46"/>
      <c r="I99" s="47">
        <f>TIMP!$D$40</f>
        <v>7.3944089722966915</v>
      </c>
      <c r="J99" s="47">
        <f>TIMP!$E$40</f>
        <v>5.8181009996324526</v>
      </c>
      <c r="K99" s="47">
        <f>TIMP!$F$40</f>
        <v>4.7211837255377995</v>
      </c>
      <c r="L99" s="47">
        <f>TIMP!$G$40</f>
        <v>3.7821847650020888</v>
      </c>
      <c r="M99" s="45">
        <f>TIMP!$H$40</f>
        <v>6.5432264633138004E-2</v>
      </c>
      <c r="N99" s="56"/>
      <c r="O99" s="47">
        <f>TIMP!$D$44</f>
        <v>12.873115311873185</v>
      </c>
      <c r="P99" s="47">
        <f>TIMP!$E$44</f>
        <v>8.5782015404777976</v>
      </c>
      <c r="Q99" s="47">
        <f>TIMP!$F$44</f>
        <v>6.3779482465268131</v>
      </c>
      <c r="R99" s="47">
        <f>TIMP!$G$44</f>
        <v>5.3519705542587399</v>
      </c>
      <c r="S99" s="45">
        <f>TIMP!$H$44</f>
        <v>0.33985144217270324</v>
      </c>
      <c r="T99" s="46"/>
      <c r="U99" s="48" t="str">
        <f t="shared" si="13"/>
        <v>BRL 18.63</v>
      </c>
      <c r="V99" s="44" t="str">
        <f t="shared" si="13"/>
        <v>TIM Participacoes</v>
      </c>
      <c r="AE99" s="41"/>
      <c r="AF99" s="31"/>
      <c r="AG99" s="31"/>
      <c r="AI99" s="41"/>
      <c r="AJ99" s="64"/>
      <c r="AK99" s="64"/>
      <c r="AM99" s="41"/>
      <c r="AN99" s="64"/>
      <c r="AO99" s="64"/>
      <c r="AQ99" s="41"/>
      <c r="AR99" s="64"/>
      <c r="AS99" s="64"/>
    </row>
    <row r="100" spans="1:45" s="5" customFormat="1">
      <c r="B100" s="42"/>
      <c r="C100" s="51" t="str">
        <f>C38</f>
        <v>Agg. LatAm Cellular</v>
      </c>
      <c r="D100" s="52"/>
      <c r="E100" s="52"/>
      <c r="F100" s="53"/>
      <c r="G100" s="52"/>
      <c r="H100" s="46"/>
      <c r="I100" s="54">
        <f>'LATAM CELLULAR'!$D$40</f>
        <v>12.09641294846241</v>
      </c>
      <c r="J100" s="54">
        <f>'LATAM CELLULAR'!$E$40</f>
        <v>10.578357242399944</v>
      </c>
      <c r="K100" s="54">
        <f>'LATAM CELLULAR'!$F$40</f>
        <v>9.2854568924535332</v>
      </c>
      <c r="L100" s="54">
        <f>'LATAM CELLULAR'!$G$40</f>
        <v>8.2365912346931154</v>
      </c>
      <c r="M100" s="55">
        <f>'LATAM CELLULAR'!$H$40</f>
        <v>6.4222773587057747E-2</v>
      </c>
      <c r="N100" s="56"/>
      <c r="O100" s="54">
        <f>'LATAM CELLULAR'!$D$44</f>
        <v>12.032481425695035</v>
      </c>
      <c r="P100" s="54">
        <f>'LATAM CELLULAR'!$E$44</f>
        <v>9.1314970189163951</v>
      </c>
      <c r="Q100" s="54">
        <f>'LATAM CELLULAR'!$F$44</f>
        <v>6.8170283475189164</v>
      </c>
      <c r="R100" s="54">
        <f>'LATAM CELLULAR'!$G$44</f>
        <v>5.7531932566725024</v>
      </c>
      <c r="S100" s="55">
        <f>'LATAM CELLULAR'!$H$44</f>
        <v>0.25833924352795901</v>
      </c>
      <c r="T100" s="46"/>
      <c r="U100" s="57"/>
      <c r="V100" s="58" t="str">
        <f>V38</f>
        <v>Agg. LatAm Cellular</v>
      </c>
      <c r="Z100" s="46"/>
      <c r="AE100" s="41"/>
      <c r="AF100" s="31"/>
      <c r="AG100" s="31"/>
      <c r="AI100" s="41"/>
      <c r="AJ100" s="64"/>
      <c r="AK100" s="64"/>
      <c r="AM100" s="41"/>
      <c r="AN100" s="64"/>
      <c r="AO100" s="64"/>
      <c r="AQ100" s="41"/>
      <c r="AR100" s="64"/>
      <c r="AS100" s="64"/>
    </row>
    <row r="101" spans="1:45" s="5" customFormat="1">
      <c r="A101" s="39"/>
      <c r="B101" s="42"/>
      <c r="C101" s="43"/>
      <c r="D101" s="44"/>
      <c r="E101" s="44"/>
      <c r="F101" s="45"/>
      <c r="G101" s="44"/>
      <c r="H101" s="46"/>
      <c r="I101" s="47"/>
      <c r="J101" s="47"/>
      <c r="K101" s="47"/>
      <c r="L101" s="47"/>
      <c r="M101" s="45"/>
      <c r="N101" s="46"/>
      <c r="O101" s="47"/>
      <c r="P101" s="47"/>
      <c r="Q101" s="47"/>
      <c r="R101" s="47"/>
      <c r="S101" s="45"/>
      <c r="T101" s="46"/>
      <c r="U101" s="48"/>
      <c r="V101" s="50"/>
      <c r="Z101" s="46"/>
      <c r="AE101" s="41"/>
      <c r="AF101" s="31"/>
      <c r="AG101" s="31"/>
      <c r="AJ101" s="64"/>
      <c r="AK101" s="64"/>
      <c r="AM101" s="41"/>
      <c r="AN101" s="64"/>
      <c r="AO101" s="64"/>
      <c r="AQ101" s="41"/>
      <c r="AR101" s="64"/>
      <c r="AS101" s="64"/>
    </row>
    <row r="102" spans="1:45" s="5" customFormat="1">
      <c r="B102" s="42"/>
      <c r="C102" s="48" t="str">
        <f t="shared" ref="C102:G115" si="14">C40</f>
        <v>AIS</v>
      </c>
      <c r="D102" s="44" t="str">
        <f t="shared" si="14"/>
        <v>THB 269.0</v>
      </c>
      <c r="E102" s="44" t="str">
        <f t="shared" si="14"/>
        <v>THB 300.0</v>
      </c>
      <c r="F102" s="45">
        <f t="shared" si="14"/>
        <v>0.11524163568773238</v>
      </c>
      <c r="G102" s="44" t="str">
        <f t="shared" si="14"/>
        <v>Buy</v>
      </c>
      <c r="H102" s="46"/>
      <c r="I102" s="47">
        <f>ADVANCED!$D$40</f>
        <v>23.072230960939859</v>
      </c>
      <c r="J102" s="47">
        <f>ADVANCED!$E$40</f>
        <v>15.091436162007739</v>
      </c>
      <c r="K102" s="47">
        <f>ADVANCED!$F$40</f>
        <v>12.852099721472239</v>
      </c>
      <c r="L102" s="47">
        <f>ADVANCED!$G$40</f>
        <v>11.812936654797337</v>
      </c>
      <c r="M102" s="45">
        <f>ADVANCED!$H$40</f>
        <v>0.16873895371596181</v>
      </c>
      <c r="N102" s="46"/>
      <c r="O102" s="47">
        <f>ADVANCED!$D$44</f>
        <v>27.66861821190129</v>
      </c>
      <c r="P102" s="47">
        <f>ADVANCED!$E$44</f>
        <v>24.08473653569045</v>
      </c>
      <c r="Q102" s="47">
        <f>ADVANCED!$F$44</f>
        <v>17.385713701830003</v>
      </c>
      <c r="R102" s="47">
        <f>ADVANCED!$G$44</f>
        <v>14.720214524130322</v>
      </c>
      <c r="S102" s="45">
        <f>ADVANCED!$H$44</f>
        <v>0.23412109882484144</v>
      </c>
      <c r="T102" s="46"/>
      <c r="U102" s="48" t="str">
        <f t="shared" ref="U102:V115" si="15">U40</f>
        <v>THB 269.0</v>
      </c>
      <c r="V102" s="44" t="str">
        <f t="shared" si="15"/>
        <v>AIS</v>
      </c>
      <c r="Z102" s="46"/>
      <c r="AE102" s="41"/>
      <c r="AF102" s="31"/>
      <c r="AG102" s="31"/>
      <c r="AI102" s="41"/>
      <c r="AJ102" s="64"/>
      <c r="AK102" s="64"/>
      <c r="AM102" s="41"/>
      <c r="AN102" s="64"/>
      <c r="AO102" s="64"/>
      <c r="AQ102" s="41"/>
      <c r="AR102" s="64"/>
      <c r="AS102" s="64"/>
    </row>
    <row r="103" spans="1:45" s="5" customFormat="1">
      <c r="A103" s="39"/>
      <c r="B103" s="42"/>
      <c r="C103" s="48" t="str">
        <f t="shared" si="14"/>
        <v>Axiata</v>
      </c>
      <c r="D103" s="44" t="str">
        <f t="shared" si="14"/>
        <v>MYR 2.44</v>
      </c>
      <c r="E103" s="44" t="str">
        <f t="shared" si="14"/>
        <v>MYR 4.50</v>
      </c>
      <c r="F103" s="45">
        <f t="shared" si="14"/>
        <v>0.84426229508196715</v>
      </c>
      <c r="G103" s="44" t="str">
        <f t="shared" si="14"/>
        <v>Buy</v>
      </c>
      <c r="H103" s="46"/>
      <c r="I103" s="47">
        <f>AXI!$D$40</f>
        <v>17.191893975619291</v>
      </c>
      <c r="J103" s="47">
        <f>AXI!$E$40</f>
        <v>19.251799637493285</v>
      </c>
      <c r="K103" s="47">
        <f>AXI!$F$40</f>
        <v>18.549529295582168</v>
      </c>
      <c r="L103" s="47">
        <f>AXI!$G$40</f>
        <v>16.808898078788573</v>
      </c>
      <c r="M103" s="45">
        <f>AXI!$H$40</f>
        <v>3.8810154632409111E-2</v>
      </c>
      <c r="N103" s="46"/>
      <c r="O103" s="47">
        <f>AXI!$D$44</f>
        <v>10.923673888526254</v>
      </c>
      <c r="P103" s="47">
        <f>AXI!$E$44</f>
        <v>6.4455855913263003</v>
      </c>
      <c r="Q103" s="47">
        <f>AXI!$F$44</f>
        <v>5.6134828491764317</v>
      </c>
      <c r="R103" s="47">
        <f>AXI!$G$44</f>
        <v>5.0720923326358998</v>
      </c>
      <c r="S103" s="45">
        <f>AXI!$H$44</f>
        <v>0.29139923610651675</v>
      </c>
      <c r="T103" s="46"/>
      <c r="U103" s="48" t="str">
        <f t="shared" si="15"/>
        <v>MYR 2.44</v>
      </c>
      <c r="V103" s="44" t="str">
        <f t="shared" si="15"/>
        <v>Axiata</v>
      </c>
      <c r="Z103" s="46"/>
      <c r="AF103" s="31"/>
      <c r="AG103" s="31"/>
      <c r="AJ103" s="64"/>
      <c r="AK103" s="64"/>
      <c r="AN103" s="64"/>
      <c r="AO103" s="64"/>
      <c r="AR103" s="64"/>
      <c r="AS103" s="64"/>
    </row>
    <row r="104" spans="1:45" s="5" customFormat="1">
      <c r="A104" s="39"/>
      <c r="B104" s="42"/>
      <c r="C104" s="48" t="str">
        <f t="shared" si="14"/>
        <v>Bharti Airtel</v>
      </c>
      <c r="D104" s="44" t="str">
        <f t="shared" si="14"/>
        <v>INR 1539</v>
      </c>
      <c r="E104" s="44" t="str">
        <f t="shared" si="14"/>
        <v>INR 1500</v>
      </c>
      <c r="F104" s="45">
        <f t="shared" si="14"/>
        <v>-2.5404457150282611E-2</v>
      </c>
      <c r="G104" s="44" t="str">
        <f t="shared" si="14"/>
        <v>Neutral</v>
      </c>
      <c r="H104" s="46"/>
      <c r="I104" s="47">
        <f>BHART!$D$40</f>
        <v>38.69804297467423</v>
      </c>
      <c r="J104" s="47">
        <f>BHART!$E$40</f>
        <v>28.328391911245362</v>
      </c>
      <c r="K104" s="47">
        <f>BHART!$F$40</f>
        <v>21.403946494156258</v>
      </c>
      <c r="L104" s="47">
        <f>BHART!$G$40</f>
        <v>16.510283608460774</v>
      </c>
      <c r="M104" s="45">
        <f>BHART!$H$40</f>
        <v>0.28398286260087913</v>
      </c>
      <c r="N104" s="46"/>
      <c r="O104" s="47">
        <f>BHART!$D$44</f>
        <v>61.884114952158676</v>
      </c>
      <c r="P104" s="47">
        <f>BHART!$E$44</f>
        <v>46.616062016023569</v>
      </c>
      <c r="Q104" s="47">
        <f>BHART!$F$44</f>
        <v>30.676127279838759</v>
      </c>
      <c r="R104" s="47">
        <f>BHART!$G$44</f>
        <v>22.564396620784709</v>
      </c>
      <c r="S104" s="45">
        <f>BHART!$H$44</f>
        <v>0.39975433052608622</v>
      </c>
      <c r="T104" s="46"/>
      <c r="U104" s="48" t="str">
        <f t="shared" si="15"/>
        <v>INR 1539</v>
      </c>
      <c r="V104" s="44" t="str">
        <f t="shared" si="15"/>
        <v>Bharti Airtel</v>
      </c>
      <c r="Z104" s="46"/>
      <c r="AF104" s="31"/>
      <c r="AG104" s="31"/>
      <c r="AJ104" s="64"/>
      <c r="AK104" s="64"/>
      <c r="AN104" s="64"/>
      <c r="AO104" s="64"/>
      <c r="AR104" s="64"/>
      <c r="AS104" s="64"/>
    </row>
    <row r="105" spans="1:45" s="5" customFormat="1">
      <c r="B105" s="42"/>
      <c r="C105" s="48" t="str">
        <f t="shared" si="14"/>
        <v>China Mobile</v>
      </c>
      <c r="D105" s="44" t="str">
        <f t="shared" si="14"/>
        <v>HKD 72.0</v>
      </c>
      <c r="E105" s="44" t="str">
        <f t="shared" si="14"/>
        <v>HKD 115.0</v>
      </c>
      <c r="F105" s="45">
        <f t="shared" si="14"/>
        <v>0.59722222222222232</v>
      </c>
      <c r="G105" s="44" t="str">
        <f t="shared" si="14"/>
        <v>Buy</v>
      </c>
      <c r="H105" s="46"/>
      <c r="I105" s="47">
        <f>_CM!$D$40</f>
        <v>9.2368354176355378</v>
      </c>
      <c r="J105" s="47">
        <f>_CM!$E$40</f>
        <v>8.4453999053320921</v>
      </c>
      <c r="K105" s="47">
        <f>_CM!$F$40</f>
        <v>6.8524209420761411</v>
      </c>
      <c r="L105" s="47">
        <f>_CM!$G$40</f>
        <v>5.5625478407600131</v>
      </c>
      <c r="M105" s="45">
        <f>_CM!$H$40</f>
        <v>6.4637679710742635E-2</v>
      </c>
      <c r="N105" s="46"/>
      <c r="O105" s="47">
        <f>_CM!$D$44</f>
        <v>10.640804938355176</v>
      </c>
      <c r="P105" s="47">
        <f>_CM!$E$44</f>
        <v>10.09878313560476</v>
      </c>
      <c r="Q105" s="47">
        <f>_CM!$F$44</f>
        <v>9.5839984373638742</v>
      </c>
      <c r="R105" s="47">
        <f>_CM!$G$44</f>
        <v>8.8913410266811379</v>
      </c>
      <c r="S105" s="45">
        <f>_CM!$H$44</f>
        <v>6.1701435860154197E-2</v>
      </c>
      <c r="T105" s="46"/>
      <c r="U105" s="48" t="str">
        <f t="shared" si="15"/>
        <v>HKD 72.0</v>
      </c>
      <c r="V105" s="44" t="str">
        <f t="shared" si="15"/>
        <v>China Mobile</v>
      </c>
      <c r="Z105" s="46"/>
      <c r="AE105" s="41"/>
      <c r="AF105" s="31"/>
      <c r="AG105" s="31"/>
      <c r="AI105" s="41"/>
      <c r="AJ105" s="64"/>
      <c r="AK105" s="64"/>
      <c r="AN105" s="64"/>
      <c r="AO105" s="64"/>
      <c r="AR105" s="64"/>
      <c r="AS105" s="64"/>
    </row>
    <row r="106" spans="1:45" s="5" customFormat="1">
      <c r="B106" s="42"/>
      <c r="C106" s="48" t="str">
        <f t="shared" si="14"/>
        <v>CelcomDigi</v>
      </c>
      <c r="D106" s="44" t="str">
        <f t="shared" si="14"/>
        <v>MYR 3.7</v>
      </c>
      <c r="E106" s="44" t="str">
        <f t="shared" si="14"/>
        <v>MYR 6.0</v>
      </c>
      <c r="F106" s="45">
        <f t="shared" si="14"/>
        <v>0.63934426229508201</v>
      </c>
      <c r="G106" s="44" t="str">
        <f t="shared" si="14"/>
        <v>Buy</v>
      </c>
      <c r="H106" s="46"/>
      <c r="I106" s="47">
        <f>DIGI!$D$40</f>
        <v>17.613721100072851</v>
      </c>
      <c r="J106" s="47">
        <f>DIGI!$E$40</f>
        <v>17.307441777188274</v>
      </c>
      <c r="K106" s="47">
        <f>DIGI!$F$40</f>
        <v>15.120022025205337</v>
      </c>
      <c r="L106" s="47">
        <f>DIGI!$G$40</f>
        <v>13.065439791506206</v>
      </c>
      <c r="M106" s="45">
        <f>DIGI!$H$40</f>
        <v>4.460263434813605E-2</v>
      </c>
      <c r="N106" s="46"/>
      <c r="O106" s="47">
        <f>DIGI!$D$44</f>
        <v>19.971697319106976</v>
      </c>
      <c r="P106" s="47">
        <f>DIGI!$E$44</f>
        <v>22.429469537698992</v>
      </c>
      <c r="Q106" s="47">
        <f>DIGI!$F$44</f>
        <v>18.622176204861162</v>
      </c>
      <c r="R106" s="47">
        <f>DIGI!$G$44</f>
        <v>15.977298705433194</v>
      </c>
      <c r="S106" s="45">
        <f>DIGI!$H$44</f>
        <v>7.7218674343038751E-2</v>
      </c>
      <c r="T106" s="46"/>
      <c r="U106" s="48" t="str">
        <f t="shared" si="15"/>
        <v>MYR 3.7</v>
      </c>
      <c r="V106" s="44" t="str">
        <f t="shared" si="15"/>
        <v>CelcomDigi</v>
      </c>
      <c r="Z106" s="46"/>
      <c r="AE106" s="41"/>
      <c r="AF106" s="31"/>
      <c r="AG106" s="31"/>
      <c r="AI106" s="41"/>
      <c r="AJ106" s="64"/>
      <c r="AK106" s="64"/>
      <c r="AM106" s="41"/>
      <c r="AN106" s="64"/>
      <c r="AO106" s="64"/>
      <c r="AQ106" s="41"/>
      <c r="AR106" s="64"/>
      <c r="AS106" s="64"/>
    </row>
    <row r="107" spans="1:45" s="5" customFormat="1">
      <c r="B107" s="42"/>
      <c r="C107" s="48" t="str">
        <f t="shared" si="14"/>
        <v>Far EasTone</v>
      </c>
      <c r="D107" s="44" t="str">
        <f t="shared" si="14"/>
        <v>TWD 91.9</v>
      </c>
      <c r="E107" s="44" t="str">
        <f t="shared" si="14"/>
        <v>TWD n/r</v>
      </c>
      <c r="F107" s="45" t="str">
        <f t="shared" si="14"/>
        <v>-</v>
      </c>
      <c r="G107" s="44" t="str">
        <f t="shared" si="14"/>
        <v>n/r</v>
      </c>
      <c r="H107" s="46"/>
      <c r="I107" s="47">
        <f>FAR!$D$40</f>
        <v>19.525497925327112</v>
      </c>
      <c r="J107" s="47">
        <f>FAR!$E$40</f>
        <v>18.08677411311168</v>
      </c>
      <c r="K107" s="47">
        <f>FAR!$F$40</f>
        <v>17.062267797070785</v>
      </c>
      <c r="L107" s="47">
        <f>FAR!$G$40</f>
        <v>16.049385684585793</v>
      </c>
      <c r="M107" s="45">
        <f>FAR!$H$40</f>
        <v>2.1798004661201187E-2</v>
      </c>
      <c r="N107" s="46"/>
      <c r="O107" s="47">
        <f>FAR!$D$44</f>
        <v>23.412442711621971</v>
      </c>
      <c r="P107" s="47">
        <f>FAR!$E$44</f>
        <v>22.33065390973594</v>
      </c>
      <c r="Q107" s="47">
        <f>FAR!$F$44</f>
        <v>21.294911533032064</v>
      </c>
      <c r="R107" s="47">
        <f>FAR!$G$44</f>
        <v>20.447209450672304</v>
      </c>
      <c r="S107" s="45">
        <f>FAR!$H$44</f>
        <v>4.6174734223593417E-2</v>
      </c>
      <c r="T107" s="46"/>
      <c r="U107" s="48" t="str">
        <f t="shared" si="15"/>
        <v>TWD 91.9</v>
      </c>
      <c r="V107" s="44" t="str">
        <f t="shared" si="15"/>
        <v>Far EasTone</v>
      </c>
      <c r="Z107" s="46"/>
      <c r="AE107" s="41"/>
      <c r="AF107" s="31"/>
      <c r="AG107" s="31"/>
      <c r="AI107" s="41"/>
      <c r="AJ107" s="64"/>
      <c r="AK107" s="64"/>
      <c r="AM107" s="41"/>
      <c r="AN107" s="64"/>
      <c r="AO107" s="64"/>
      <c r="AQ107" s="41"/>
      <c r="AR107" s="64"/>
      <c r="AS107" s="64"/>
    </row>
    <row r="108" spans="1:45" s="5" customFormat="1">
      <c r="B108" s="42"/>
      <c r="C108" s="48" t="str">
        <f t="shared" si="14"/>
        <v>Vodafone IDEA</v>
      </c>
      <c r="D108" s="44" t="str">
        <f t="shared" si="14"/>
        <v>INR 13.4</v>
      </c>
      <c r="E108" s="44" t="str">
        <f t="shared" si="14"/>
        <v>INR 5.0</v>
      </c>
      <c r="F108" s="45">
        <f t="shared" si="14"/>
        <v>-0.62574850299401197</v>
      </c>
      <c r="G108" s="44" t="str">
        <f t="shared" si="14"/>
        <v>Reduce</v>
      </c>
      <c r="H108" s="46"/>
      <c r="I108" s="47">
        <f>IDEA!$D$40</f>
        <v>24.950380844316435</v>
      </c>
      <c r="J108" s="47">
        <f>IDEA!$E$40</f>
        <v>314.40502725845369</v>
      </c>
      <c r="K108" s="47">
        <f>IDEA!$F$40</f>
        <v>205.9920090328817</v>
      </c>
      <c r="L108" s="47">
        <f>IDEA!$G$40</f>
        <v>35.806764032522445</v>
      </c>
      <c r="M108" s="45">
        <f>IDEA!$H$40</f>
        <v>-4.5846561559431231E-2</v>
      </c>
      <c r="N108" s="46"/>
      <c r="O108" s="47">
        <f>IDEA!$D$44</f>
        <v>-2.1440389871537073</v>
      </c>
      <c r="P108" s="47">
        <f>IDEA!$E$44</f>
        <v>-3.5692538254564812</v>
      </c>
      <c r="Q108" s="47">
        <f>IDEA!$F$44</f>
        <v>-3.794414056121802</v>
      </c>
      <c r="R108" s="47">
        <f>IDEA!$G$44</f>
        <v>-3.6153625898824915</v>
      </c>
      <c r="S108" s="45">
        <f>IDEA!$H$44</f>
        <v>-6.4613667498900407E-2</v>
      </c>
      <c r="T108" s="46"/>
      <c r="U108" s="48" t="str">
        <f t="shared" si="15"/>
        <v>INR 13.4</v>
      </c>
      <c r="V108" s="44" t="str">
        <f t="shared" si="15"/>
        <v>Vodafone IDEA</v>
      </c>
      <c r="Z108" s="46"/>
      <c r="AF108" s="31"/>
      <c r="AG108" s="31"/>
      <c r="AJ108" s="64"/>
      <c r="AK108" s="64"/>
      <c r="AN108" s="64"/>
      <c r="AO108" s="64"/>
      <c r="AR108" s="64"/>
      <c r="AS108" s="64"/>
    </row>
    <row r="109" spans="1:45" s="5" customFormat="1">
      <c r="B109" s="42"/>
      <c r="C109" s="48" t="str">
        <f t="shared" si="14"/>
        <v>Indosat</v>
      </c>
      <c r="D109" s="44" t="str">
        <f t="shared" si="14"/>
        <v>IDR 10,900</v>
      </c>
      <c r="E109" s="44" t="str">
        <f t="shared" si="14"/>
        <v>IDR 12,500</v>
      </c>
      <c r="F109" s="45">
        <f t="shared" si="14"/>
        <v>0.14678899082568808</v>
      </c>
      <c r="G109" s="44" t="str">
        <f t="shared" si="14"/>
        <v>Buy</v>
      </c>
      <c r="H109" s="46"/>
      <c r="I109" s="47">
        <f>INDO!$D$40</f>
        <v>17.487691612289908</v>
      </c>
      <c r="J109" s="47">
        <f>INDO!$E$40</f>
        <v>11.960940960558982</v>
      </c>
      <c r="K109" s="47">
        <f>INDO!$F$40</f>
        <v>8.6401188461516583</v>
      </c>
      <c r="L109" s="47">
        <f>INDO!$G$40</f>
        <v>6.1176768683985729</v>
      </c>
      <c r="M109" s="45">
        <f>INDO!$H$40</f>
        <v>0.21281256776527746</v>
      </c>
      <c r="N109" s="46"/>
      <c r="O109" s="47">
        <f>INDO!$D$44</f>
        <v>19.501949026070143</v>
      </c>
      <c r="P109" s="47">
        <f>INDO!$E$44</f>
        <v>14.836467023296942</v>
      </c>
      <c r="Q109" s="47">
        <f>INDO!$F$44</f>
        <v>11.992685941625059</v>
      </c>
      <c r="R109" s="47">
        <f>INDO!$G$44</f>
        <v>9.9145458564734703</v>
      </c>
      <c r="S109" s="45">
        <f>INDO!$H$44</f>
        <v>0.25295381763064406</v>
      </c>
      <c r="T109" s="46"/>
      <c r="U109" s="48" t="str">
        <f t="shared" si="15"/>
        <v>IDR 10,900</v>
      </c>
      <c r="V109" s="44" t="str">
        <f t="shared" si="15"/>
        <v>Indosat</v>
      </c>
      <c r="Z109" s="46"/>
      <c r="AF109" s="31"/>
      <c r="AG109" s="31"/>
      <c r="AI109" s="41"/>
      <c r="AJ109" s="64"/>
      <c r="AK109" s="64"/>
      <c r="AN109" s="64"/>
      <c r="AO109" s="64"/>
      <c r="AR109" s="64"/>
      <c r="AS109" s="64"/>
    </row>
    <row r="110" spans="1:45" s="5" customFormat="1">
      <c r="B110" s="42"/>
      <c r="C110" s="48" t="str">
        <f t="shared" si="14"/>
        <v>LG Uplus</v>
      </c>
      <c r="D110" s="44" t="str">
        <f t="shared" si="14"/>
        <v>KRW 9,890</v>
      </c>
      <c r="E110" s="44" t="str">
        <f t="shared" si="14"/>
        <v>KRW 21,000</v>
      </c>
      <c r="F110" s="45">
        <f t="shared" si="14"/>
        <v>1.1233569261880687</v>
      </c>
      <c r="G110" s="44" t="str">
        <f t="shared" si="14"/>
        <v>Buy</v>
      </c>
      <c r="H110" s="46"/>
      <c r="I110" s="47">
        <f>_LG!$D$40</f>
        <v>14.035214051807767</v>
      </c>
      <c r="J110" s="47">
        <f>_LG!$E$40</f>
        <v>12.365666502736891</v>
      </c>
      <c r="K110" s="47">
        <f>_LG!$F$40</f>
        <v>11.327927221221456</v>
      </c>
      <c r="L110" s="47">
        <f>_LG!$G$40</f>
        <v>10.260198465912035</v>
      </c>
      <c r="M110" s="45">
        <f>_LG!$H$40</f>
        <v>8.4956608750677676E-2</v>
      </c>
      <c r="N110" s="46"/>
      <c r="O110" s="47">
        <f>_LG!$D$44</f>
        <v>5.8694992265991663</v>
      </c>
      <c r="P110" s="47">
        <f>_LG!$E$44</f>
        <v>6.1197263277051706</v>
      </c>
      <c r="Q110" s="47">
        <f>_LG!$F$44</f>
        <v>5.5646561826113494</v>
      </c>
      <c r="R110" s="47">
        <f>_LG!$G$44</f>
        <v>5.0380737334280496</v>
      </c>
      <c r="S110" s="45">
        <f>_LG!$H$44</f>
        <v>5.2233627217444401E-2</v>
      </c>
      <c r="T110" s="46"/>
      <c r="U110" s="48" t="str">
        <f t="shared" si="15"/>
        <v>KRW 9,890</v>
      </c>
      <c r="V110" s="44" t="str">
        <f t="shared" si="15"/>
        <v>LG Uplus</v>
      </c>
      <c r="Z110" s="46"/>
      <c r="AF110" s="31"/>
      <c r="AG110" s="31"/>
      <c r="AI110" s="41"/>
      <c r="AJ110" s="64"/>
      <c r="AK110" s="64"/>
      <c r="AN110" s="64"/>
      <c r="AO110" s="64"/>
      <c r="AR110" s="64"/>
      <c r="AS110" s="64"/>
    </row>
    <row r="111" spans="1:45" s="5" customFormat="1">
      <c r="A111" s="39"/>
      <c r="B111" s="42"/>
      <c r="C111" s="48" t="str">
        <f t="shared" si="14"/>
        <v>Maxis</v>
      </c>
      <c r="D111" s="44" t="str">
        <f t="shared" si="14"/>
        <v>MYR 3.82</v>
      </c>
      <c r="E111" s="44" t="str">
        <f t="shared" si="14"/>
        <v>MYR 5.60</v>
      </c>
      <c r="F111" s="45">
        <f t="shared" si="14"/>
        <v>0.46596858638743455</v>
      </c>
      <c r="G111" s="44" t="str">
        <f t="shared" si="14"/>
        <v>Buy</v>
      </c>
      <c r="H111" s="46"/>
      <c r="I111" s="47">
        <f>MAXI!$D$40</f>
        <v>16.56856688910073</v>
      </c>
      <c r="J111" s="47">
        <f>MAXI!$E$40</f>
        <v>17.147206867513571</v>
      </c>
      <c r="K111" s="47">
        <f>MAXI!$F$40</f>
        <v>15.711380323929177</v>
      </c>
      <c r="L111" s="47">
        <f>MAXI!$G$40</f>
        <v>14.314200791909496</v>
      </c>
      <c r="M111" s="45">
        <f>MAXI!$H$40</f>
        <v>5.9311284383554153E-3</v>
      </c>
      <c r="N111" s="46"/>
      <c r="O111" s="47">
        <f>MAXI!$D$44</f>
        <v>30.113306451612903</v>
      </c>
      <c r="P111" s="47">
        <f>MAXI!$E$44</f>
        <v>21.088133517977656</v>
      </c>
      <c r="Q111" s="47">
        <f>MAXI!$F$44</f>
        <v>18.619230710816566</v>
      </c>
      <c r="R111" s="47">
        <f>MAXI!$G$44</f>
        <v>16.886381265916743</v>
      </c>
      <c r="S111" s="45">
        <f>MAXI!$H$44</f>
        <v>0.21287088701329826</v>
      </c>
      <c r="T111" s="46"/>
      <c r="U111" s="48" t="str">
        <f t="shared" si="15"/>
        <v>MYR 3.82</v>
      </c>
      <c r="V111" s="44" t="str">
        <f t="shared" si="15"/>
        <v>Maxis</v>
      </c>
      <c r="Z111" s="46"/>
      <c r="AF111" s="31"/>
      <c r="AG111" s="31"/>
      <c r="AI111" s="41"/>
      <c r="AJ111" s="64"/>
      <c r="AK111" s="64"/>
      <c r="AN111" s="64"/>
      <c r="AO111" s="64"/>
      <c r="AR111" s="64"/>
      <c r="AS111" s="64"/>
    </row>
    <row r="112" spans="1:45" s="5" customFormat="1">
      <c r="B112" s="42"/>
      <c r="C112" s="48" t="str">
        <f t="shared" si="14"/>
        <v>SK Telecom</v>
      </c>
      <c r="D112" s="44" t="str">
        <f t="shared" si="14"/>
        <v>KRW 57,800</v>
      </c>
      <c r="E112" s="44" t="str">
        <f t="shared" si="14"/>
        <v>KRW 116,000</v>
      </c>
      <c r="F112" s="45">
        <f t="shared" si="14"/>
        <v>1.0069204152249136</v>
      </c>
      <c r="G112" s="44" t="str">
        <f t="shared" si="14"/>
        <v>Buy</v>
      </c>
      <c r="H112" s="46"/>
      <c r="I112" s="47">
        <f>SKT!$D$40</f>
        <v>12.2637340921468</v>
      </c>
      <c r="J112" s="47">
        <f>SKT!$E$40</f>
        <v>10.718975821399988</v>
      </c>
      <c r="K112" s="47">
        <f>SKT!$F$40</f>
        <v>9.849529506640895</v>
      </c>
      <c r="L112" s="47">
        <f>SKT!$G$40</f>
        <v>8.8878139044370759</v>
      </c>
      <c r="M112" s="45">
        <f>SKT!$H$40</f>
        <v>5.4332091262206506E-2</v>
      </c>
      <c r="N112" s="46"/>
      <c r="O112" s="47">
        <f>SKT!$D$44</f>
        <v>13.298860182915201</v>
      </c>
      <c r="P112" s="47">
        <f>SKT!$E$44</f>
        <v>9.6464796080083346</v>
      </c>
      <c r="Q112" s="47">
        <f>SKT!$F$44</f>
        <v>9.0000514011577035</v>
      </c>
      <c r="R112" s="47">
        <f>SKT!$G$44</f>
        <v>8.2575109840639698</v>
      </c>
      <c r="S112" s="45">
        <f>SKT!$H$44</f>
        <v>0.16730700527201336</v>
      </c>
      <c r="T112" s="46"/>
      <c r="U112" s="48" t="str">
        <f t="shared" si="15"/>
        <v>KRW 57,800</v>
      </c>
      <c r="V112" s="44" t="str">
        <f t="shared" si="15"/>
        <v>SK Telecom</v>
      </c>
      <c r="Z112" s="46"/>
      <c r="AF112" s="31"/>
      <c r="AG112" s="31"/>
      <c r="AI112" s="41"/>
      <c r="AJ112" s="64"/>
      <c r="AK112" s="64"/>
      <c r="AN112" s="64"/>
      <c r="AO112" s="64"/>
      <c r="AR112" s="64"/>
      <c r="AS112" s="64"/>
    </row>
    <row r="113" spans="1:45" s="5" customFormat="1">
      <c r="B113" s="42"/>
      <c r="C113" s="48" t="str">
        <f t="shared" si="14"/>
        <v>Taiwan Mobile</v>
      </c>
      <c r="D113" s="44" t="str">
        <f t="shared" si="14"/>
        <v>TWD 115.0</v>
      </c>
      <c r="E113" s="44" t="str">
        <f t="shared" si="14"/>
        <v>TWD n/r</v>
      </c>
      <c r="F113" s="45" t="str">
        <f t="shared" si="14"/>
        <v>-</v>
      </c>
      <c r="G113" s="44" t="str">
        <f t="shared" si="14"/>
        <v>n/r</v>
      </c>
      <c r="H113" s="46"/>
      <c r="I113" s="47">
        <f>TAIWAN!$D$40</f>
        <v>16.712812584229567</v>
      </c>
      <c r="J113" s="47">
        <f>TAIWAN!$E$40</f>
        <v>14.080038935829684</v>
      </c>
      <c r="K113" s="47">
        <f>TAIWAN!$F$40</f>
        <v>12.849178432779766</v>
      </c>
      <c r="L113" s="47">
        <f>TAIWAN!$G$40</f>
        <v>10.860251179807269</v>
      </c>
      <c r="M113" s="45">
        <f>TAIWAN!$H$40</f>
        <v>7.8059326725372857E-2</v>
      </c>
      <c r="N113" s="46"/>
      <c r="O113" s="47">
        <f>TAIWAN!$D$44</f>
        <v>25.385702612023238</v>
      </c>
      <c r="P113" s="47">
        <f>TAIWAN!$E$44</f>
        <v>21.588313122972426</v>
      </c>
      <c r="Q113" s="47">
        <f>TAIWAN!$F$44</f>
        <v>19.068109836683334</v>
      </c>
      <c r="R113" s="47">
        <f>TAIWAN!$G$44</f>
        <v>16.834561241692072</v>
      </c>
      <c r="S113" s="45">
        <f>TAIWAN!$H$44</f>
        <v>0.14673340005885316</v>
      </c>
      <c r="T113" s="46"/>
      <c r="U113" s="48" t="str">
        <f t="shared" si="15"/>
        <v>TWD 115.0</v>
      </c>
      <c r="V113" s="44" t="str">
        <f t="shared" si="15"/>
        <v>Taiwan Mobile</v>
      </c>
      <c r="Z113" s="46"/>
      <c r="AF113" s="31"/>
      <c r="AG113" s="31"/>
      <c r="AI113" s="41"/>
      <c r="AJ113" s="64"/>
      <c r="AK113" s="64"/>
      <c r="AN113" s="64"/>
      <c r="AO113" s="64"/>
      <c r="AR113" s="64"/>
      <c r="AS113" s="64"/>
    </row>
    <row r="114" spans="1:45" s="5" customFormat="1">
      <c r="B114" s="42"/>
      <c r="C114" s="48" t="str">
        <f t="shared" si="14"/>
        <v>True Corp</v>
      </c>
      <c r="D114" s="44" t="str">
        <f t="shared" si="14"/>
        <v>THB 10.7</v>
      </c>
      <c r="E114" s="44" t="str">
        <f t="shared" si="14"/>
        <v>THB 15.0</v>
      </c>
      <c r="F114" s="45">
        <f t="shared" si="14"/>
        <v>0.40186915887850483</v>
      </c>
      <c r="G114" s="44" t="str">
        <f t="shared" si="14"/>
        <v>Buy</v>
      </c>
      <c r="H114" s="46"/>
      <c r="I114" s="47">
        <f>TRUECORP!$D$40</f>
        <v>15.723498513127581</v>
      </c>
      <c r="J114" s="47">
        <f>TRUECORP!$E$40</f>
        <v>14.489427967650542</v>
      </c>
      <c r="K114" s="47">
        <f>TRUECORP!$F$40</f>
        <v>12.612600818212613</v>
      </c>
      <c r="L114" s="47">
        <f>TRUECORP!$G$40</f>
        <v>10.570610255285921</v>
      </c>
      <c r="M114" s="45">
        <f>TRUECORP!$H$40</f>
        <v>8.1816247416002685E-2</v>
      </c>
      <c r="N114" s="46"/>
      <c r="O114" s="47">
        <f>TRUECORP!$D$44</f>
        <v>-23.564757382286952</v>
      </c>
      <c r="P114" s="47">
        <f>TRUECORP!$E$44</f>
        <v>109.37231688135044</v>
      </c>
      <c r="Q114" s="47">
        <f>TRUECORP!$F$44</f>
        <v>18.625487941624968</v>
      </c>
      <c r="R114" s="47">
        <f>TRUECORP!$G$44</f>
        <v>11.061137519455077</v>
      </c>
      <c r="S114" s="45">
        <f>TRUECORP!$H$44</f>
        <v>-2.286730889898839</v>
      </c>
      <c r="T114" s="46"/>
      <c r="U114" s="48" t="str">
        <f t="shared" si="15"/>
        <v>THB 10.7</v>
      </c>
      <c r="V114" s="44" t="str">
        <f t="shared" si="15"/>
        <v>True Corp</v>
      </c>
      <c r="Z114" s="46"/>
      <c r="AF114" s="31"/>
      <c r="AG114" s="31"/>
      <c r="AJ114" s="64"/>
      <c r="AK114" s="64"/>
      <c r="AN114" s="64"/>
      <c r="AO114" s="64"/>
      <c r="AR114" s="64"/>
      <c r="AS114" s="64"/>
    </row>
    <row r="115" spans="1:45" s="5" customFormat="1">
      <c r="B115" s="42"/>
      <c r="C115" s="48" t="str">
        <f t="shared" si="14"/>
        <v>XL Axiata</v>
      </c>
      <c r="D115" s="44" t="str">
        <f t="shared" si="14"/>
        <v>IDR 2,330</v>
      </c>
      <c r="E115" s="44" t="str">
        <f t="shared" si="14"/>
        <v>IDR 5,000</v>
      </c>
      <c r="F115" s="45">
        <f t="shared" si="14"/>
        <v>1.1459227467811157</v>
      </c>
      <c r="G115" s="44" t="str">
        <f t="shared" si="14"/>
        <v>Buy</v>
      </c>
      <c r="H115" s="46"/>
      <c r="I115" s="47">
        <f>XLAX!$D$40</f>
        <v>11.541385042504107</v>
      </c>
      <c r="J115" s="47">
        <f>XLAX!$E$40</f>
        <v>9.8502095057083636</v>
      </c>
      <c r="K115" s="47">
        <f>XLAX!$F$40</f>
        <v>8.1060095062656217</v>
      </c>
      <c r="L115" s="47">
        <f>XLAX!$G$40</f>
        <v>6.746264464268795</v>
      </c>
      <c r="M115" s="45">
        <f>XLAX!$H$40</f>
        <v>7.6270782791585834E-2</v>
      </c>
      <c r="N115" s="56"/>
      <c r="O115" s="47">
        <f>XLAX!$D$44</f>
        <v>23.815089010571079</v>
      </c>
      <c r="P115" s="47">
        <f>XLAX!$E$44</f>
        <v>18.550733053665951</v>
      </c>
      <c r="Q115" s="47">
        <f>XLAX!$F$44</f>
        <v>14.434284643509661</v>
      </c>
      <c r="R115" s="47">
        <f>XLAX!$G$44</f>
        <v>11.564139911581549</v>
      </c>
      <c r="S115" s="45">
        <f>XLAX!$H$44</f>
        <v>0.27227098780169845</v>
      </c>
      <c r="T115" s="46"/>
      <c r="U115" s="48" t="str">
        <f t="shared" si="15"/>
        <v>IDR 2,330</v>
      </c>
      <c r="V115" s="44" t="str">
        <f t="shared" si="15"/>
        <v>XL Axiata</v>
      </c>
      <c r="Z115" s="46"/>
    </row>
    <row r="116" spans="1:45" s="5" customFormat="1">
      <c r="B116" s="42"/>
      <c r="C116" s="51" t="str">
        <f>C54</f>
        <v>Agg. Emerging Asia Cellular</v>
      </c>
      <c r="D116" s="52"/>
      <c r="E116" s="52"/>
      <c r="F116" s="53"/>
      <c r="G116" s="52"/>
      <c r="H116" s="46"/>
      <c r="I116" s="54">
        <f>'EM ASIA CELLULAR'!$D$40</f>
        <v>15.290833278046275</v>
      </c>
      <c r="J116" s="54">
        <f>'EM ASIA CELLULAR'!$E$40</f>
        <v>13.992794598823913</v>
      </c>
      <c r="K116" s="54">
        <f>'EM ASIA CELLULAR'!$F$40</f>
        <v>11.824404725072666</v>
      </c>
      <c r="L116" s="54">
        <f>'EM ASIA CELLULAR'!$G$40</f>
        <v>9.8399138904885106</v>
      </c>
      <c r="M116" s="55">
        <f>'EM ASIA CELLULAR'!$H$40</f>
        <v>9.6508112488197906E-2</v>
      </c>
      <c r="N116" s="56"/>
      <c r="O116" s="54">
        <f>'EM ASIA CELLULAR'!$D$44</f>
        <v>19.975738821579789</v>
      </c>
      <c r="P116" s="54">
        <f>'EM ASIA CELLULAR'!$E$44</f>
        <v>17.044972604205348</v>
      </c>
      <c r="Q116" s="54">
        <f>'EM ASIA CELLULAR'!$F$44</f>
        <v>14.685205785313777</v>
      </c>
      <c r="R116" s="54">
        <f>'EM ASIA CELLULAR'!$G$44</f>
        <v>12.861689418705005</v>
      </c>
      <c r="S116" s="55">
        <f>'EM ASIA CELLULAR'!$H$44</f>
        <v>0.16079213451942098</v>
      </c>
      <c r="T116" s="46"/>
      <c r="U116" s="57"/>
      <c r="V116" s="58" t="str">
        <f>V54</f>
        <v>Agg. Emerging Asia Cellular</v>
      </c>
      <c r="Z116" s="46"/>
    </row>
    <row r="117" spans="1:45" s="5" customFormat="1">
      <c r="B117" s="42"/>
      <c r="C117" s="43"/>
      <c r="D117" s="44"/>
      <c r="E117" s="44"/>
      <c r="F117" s="68"/>
      <c r="G117" s="44"/>
      <c r="H117" s="46"/>
      <c r="I117" s="62"/>
      <c r="J117" s="62"/>
      <c r="K117" s="62"/>
      <c r="L117" s="62"/>
      <c r="M117" s="61"/>
      <c r="N117" s="46"/>
      <c r="O117" s="62"/>
      <c r="P117" s="62"/>
      <c r="Q117" s="62"/>
      <c r="R117" s="62"/>
      <c r="S117" s="61"/>
      <c r="T117" s="46"/>
      <c r="U117" s="48"/>
      <c r="V117" s="50"/>
      <c r="Z117" s="46"/>
    </row>
    <row r="118" spans="1:45" s="5" customFormat="1">
      <c r="B118" s="42"/>
      <c r="C118" s="51" t="str">
        <f>C56</f>
        <v>Agg. Emerging  Cellular</v>
      </c>
      <c r="D118" s="52"/>
      <c r="E118" s="52"/>
      <c r="F118" s="53"/>
      <c r="G118" s="52"/>
      <c r="H118" s="46"/>
      <c r="I118" s="54">
        <f>'EM CELLULAR'!$D$40</f>
        <v>15.793747180179601</v>
      </c>
      <c r="J118" s="54">
        <f>'EM CELLULAR'!$E$40</f>
        <v>14.497838545954387</v>
      </c>
      <c r="K118" s="54">
        <f>'EM CELLULAR'!$F$40</f>
        <v>12.508534104316029</v>
      </c>
      <c r="L118" s="54">
        <f>'EM CELLULAR'!$G$40</f>
        <v>10.530054441456244</v>
      </c>
      <c r="M118" s="55">
        <f>'EM CELLULAR'!$H$40</f>
        <v>8.9729855374904854E-2</v>
      </c>
      <c r="N118" s="46"/>
      <c r="O118" s="54">
        <f>'EM CELLULAR'!$D$44</f>
        <v>20.954288205249199</v>
      </c>
      <c r="P118" s="54">
        <f>'EM CELLULAR'!$E$44</f>
        <v>17.944541054613072</v>
      </c>
      <c r="Q118" s="54">
        <f>'EM CELLULAR'!$F$44</f>
        <v>15.012709911805581</v>
      </c>
      <c r="R118" s="54">
        <f>'EM CELLULAR'!$G$44</f>
        <v>13.042817542084691</v>
      </c>
      <c r="S118" s="55">
        <f>'EM CELLULAR'!$H$44</f>
        <v>0.17290611502365838</v>
      </c>
      <c r="T118" s="46"/>
      <c r="U118" s="57"/>
      <c r="V118" s="58" t="str">
        <f>V56</f>
        <v>Agg. Emerging  Cellular</v>
      </c>
      <c r="Z118" s="46"/>
    </row>
    <row r="119" spans="1:45">
      <c r="C119" s="43"/>
      <c r="D119" s="44"/>
      <c r="E119" s="44"/>
      <c r="F119" s="45"/>
      <c r="G119" s="44"/>
      <c r="H119" s="46"/>
      <c r="I119" s="47"/>
      <c r="J119" s="47"/>
      <c r="K119" s="47"/>
      <c r="L119" s="47"/>
      <c r="M119" s="45"/>
      <c r="N119" s="46"/>
      <c r="O119" s="47"/>
      <c r="P119" s="47"/>
      <c r="Q119" s="47"/>
      <c r="R119" s="47"/>
      <c r="S119" s="45"/>
      <c r="T119" s="46"/>
      <c r="U119" s="48"/>
      <c r="V119" s="50"/>
      <c r="Z119" s="46"/>
    </row>
    <row r="120" spans="1:45">
      <c r="A120" s="41" t="s">
        <v>503</v>
      </c>
      <c r="B120" s="42" t="s">
        <v>577</v>
      </c>
      <c r="C120" s="48" t="s">
        <v>811</v>
      </c>
      <c r="D120" s="44" t="str">
        <f>'EM Multiples'!B120&amp;TEXT(Prices!C$135,"0.00")</f>
        <v>MXN42.67</v>
      </c>
      <c r="E120" s="44" t="str">
        <f>'EM Multiples'!B120&amp;TEXT(Prices!E$135,"0.00")</f>
        <v>MXN55.00</v>
      </c>
      <c r="F120" s="45">
        <f>Prices!F$135</f>
        <v>0.28896179985938586</v>
      </c>
      <c r="G120" s="44" t="str">
        <f>Prices!D$135</f>
        <v>Buy</v>
      </c>
      <c r="H120" s="46"/>
      <c r="I120" s="47">
        <f>MEGA!$D$40</f>
        <v>81.138692432831633</v>
      </c>
      <c r="J120" s="47">
        <f>MEGA!$E$40</f>
        <v>55.331300441306098</v>
      </c>
      <c r="K120" s="47">
        <f>MEGA!$F$40</f>
        <v>17.638487830348598</v>
      </c>
      <c r="L120" s="47">
        <f>MEGA!$G$40</f>
        <v>10.559490198687367</v>
      </c>
      <c r="M120" s="45">
        <f>MEGA!$H$40</f>
        <v>0.93373661215068116</v>
      </c>
      <c r="N120" s="46"/>
      <c r="O120" s="47">
        <f>MEGA!$D$44</f>
        <v>5.5277062043531799</v>
      </c>
      <c r="P120" s="47">
        <f>MEGA!$E$44</f>
        <v>5.1295723513366323</v>
      </c>
      <c r="Q120" s="47">
        <f>MEGA!$F$44</f>
        <v>4.8635214851169177</v>
      </c>
      <c r="R120" s="47">
        <f>MEGA!$G$44</f>
        <v>4.7014613940883834</v>
      </c>
      <c r="S120" s="45">
        <f>MEGA!$H$44</f>
        <v>5.5449259116693295E-2</v>
      </c>
      <c r="T120" s="46"/>
      <c r="U120" s="48" t="str">
        <f>D120</f>
        <v>MXN42.67</v>
      </c>
      <c r="V120" s="44" t="str">
        <f>C120</f>
        <v>Megacable</v>
      </c>
      <c r="Z120" s="46"/>
      <c r="AE120" s="41"/>
    </row>
    <row r="121" spans="1:45">
      <c r="A121" s="5"/>
      <c r="B121" s="42" t="s">
        <v>406</v>
      </c>
      <c r="C121" s="48" t="s">
        <v>797</v>
      </c>
      <c r="D121" s="44" t="str">
        <f>'EM Multiples'!B121&amp;TEXT(Prices!C$138,"0.00")</f>
        <v>USD9.48</v>
      </c>
      <c r="E121" s="44" t="str">
        <f>'EM Multiples'!B121&amp;TEXT(Prices!E$138,"0.00")</f>
        <v>USD14.00</v>
      </c>
      <c r="F121" s="45">
        <f>Prices!F$138</f>
        <v>0.47679324894514763</v>
      </c>
      <c r="G121" s="44" t="str">
        <f>Prices!D$138</f>
        <v>Buy</v>
      </c>
      <c r="H121" s="46"/>
      <c r="I121" s="47">
        <f>LiLAC!$D$40</f>
        <v>13.475140414001414</v>
      </c>
      <c r="J121" s="47">
        <f>LiLAC!$E$40</f>
        <v>11.342653810131658</v>
      </c>
      <c r="K121" s="47">
        <f>LiLAC!$F$40</f>
        <v>12.339478448465437</v>
      </c>
      <c r="L121" s="47">
        <f>LiLAC!$G$40</f>
        <v>12.545024829583634</v>
      </c>
      <c r="M121" s="45">
        <f>LiLAC!$H$40</f>
        <v>5.5105101534048684E-2</v>
      </c>
      <c r="N121" s="46"/>
      <c r="O121" s="47">
        <f>LiLAC!$D$44</f>
        <v>12.718827102801566</v>
      </c>
      <c r="P121" s="47">
        <f>LiLAC!$E$44</f>
        <v>3.701701677959738</v>
      </c>
      <c r="Q121" s="47">
        <f>LiLAC!$F$44</f>
        <v>4.3977381799390267</v>
      </c>
      <c r="R121" s="47">
        <f>LiLAC!$G$44</f>
        <v>4.2481558693879737</v>
      </c>
      <c r="S121" s="45">
        <f>LiLAC!$H$44</f>
        <v>0.56054219804724514</v>
      </c>
      <c r="T121" s="46"/>
      <c r="U121" s="48" t="str">
        <f>D121</f>
        <v>USD9.48</v>
      </c>
      <c r="V121" s="44" t="str">
        <f>C121</f>
        <v>LiLAC</v>
      </c>
      <c r="Z121" s="46"/>
      <c r="AE121" s="41"/>
    </row>
    <row r="122" spans="1:45">
      <c r="A122" s="5"/>
      <c r="C122" s="67" t="s">
        <v>814</v>
      </c>
      <c r="D122" s="52"/>
      <c r="E122" s="52"/>
      <c r="F122" s="53"/>
      <c r="G122" s="52"/>
      <c r="H122" s="46"/>
      <c r="I122" s="54">
        <f>'LATAM ALTNET &amp; CABLE'!D40</f>
        <v>17.112399801246887</v>
      </c>
      <c r="J122" s="54">
        <f>'LATAM ALTNET &amp; CABLE'!E40</f>
        <v>14.400944911969706</v>
      </c>
      <c r="K122" s="54">
        <f>'LATAM ALTNET &amp; CABLE'!F40</f>
        <v>13.276002729262778</v>
      </c>
      <c r="L122" s="54">
        <f>'LATAM ALTNET &amp; CABLE'!G40</f>
        <v>12.030561492733456</v>
      </c>
      <c r="M122" s="55">
        <f>'LATAM ALTNET &amp; CABLE'!H40</f>
        <v>0.14475221432857377</v>
      </c>
      <c r="N122" s="46"/>
      <c r="O122" s="54">
        <f>'LATAM ALTNET &amp; CABLE'!D44</f>
        <v>7.6011918525835647</v>
      </c>
      <c r="P122" s="54">
        <f>'LATAM ALTNET &amp; CABLE'!E44</f>
        <v>4.3229009086570729</v>
      </c>
      <c r="Q122" s="54">
        <f>'LATAM ALTNET &amp; CABLE'!F44</f>
        <v>4.5983522776507311</v>
      </c>
      <c r="R122" s="54">
        <f>'LATAM ALTNET &amp; CABLE'!G44</f>
        <v>4.444424088884638</v>
      </c>
      <c r="S122" s="55">
        <f>'LATAM ALTNET &amp; CABLE'!H44</f>
        <v>0.24559048535192352</v>
      </c>
      <c r="T122" s="46"/>
      <c r="U122" s="57"/>
      <c r="V122" s="58" t="str">
        <f>C122</f>
        <v>Agg. Emerging LatAm Altnets &amp; Cable</v>
      </c>
      <c r="Z122" s="46"/>
      <c r="AE122" s="41"/>
    </row>
    <row r="123" spans="1:45">
      <c r="C123" s="43"/>
      <c r="D123" s="44"/>
      <c r="E123" s="44"/>
      <c r="F123" s="45"/>
      <c r="G123" s="44"/>
      <c r="H123" s="46"/>
      <c r="I123" s="47"/>
      <c r="J123" s="47"/>
      <c r="K123" s="47"/>
      <c r="L123" s="47"/>
      <c r="M123" s="45"/>
      <c r="N123" s="46"/>
      <c r="O123" s="47"/>
      <c r="P123" s="47"/>
      <c r="Q123" s="47"/>
      <c r="R123" s="47"/>
      <c r="S123" s="45"/>
      <c r="T123" s="46"/>
      <c r="U123" s="48"/>
      <c r="V123" s="50"/>
      <c r="Z123" s="46"/>
    </row>
    <row r="124" spans="1:45">
      <c r="A124" s="5"/>
      <c r="C124" s="67" t="str">
        <f>C62</f>
        <v>Agg. EMEA sector</v>
      </c>
      <c r="D124" s="52"/>
      <c r="E124" s="52"/>
      <c r="F124" s="53"/>
      <c r="G124" s="52"/>
      <c r="H124" s="46"/>
      <c r="I124" s="54">
        <f>'EMEA AGG'!$D$40</f>
        <v>19.377824365477601</v>
      </c>
      <c r="J124" s="54">
        <f>'EMEA AGG'!$E$40</f>
        <v>18.359288908303235</v>
      </c>
      <c r="K124" s="54">
        <f>'EMEA AGG'!$F$40</f>
        <v>17.511276958176378</v>
      </c>
      <c r="L124" s="54">
        <f>'EMEA AGG'!$G$40</f>
        <v>15.164840010385035</v>
      </c>
      <c r="M124" s="55">
        <f>'EMEA AGG'!$H$40</f>
        <v>5.9033273823953181E-2</v>
      </c>
      <c r="N124" s="56"/>
      <c r="O124" s="54">
        <f>'EMEA AGG'!$D$44</f>
        <v>28.140291402632887</v>
      </c>
      <c r="P124" s="54">
        <f>'EMEA AGG'!$E$44</f>
        <v>25.897861635386125</v>
      </c>
      <c r="Q124" s="54">
        <f>'EMEA AGG'!$F$44</f>
        <v>18.931869641297265</v>
      </c>
      <c r="R124" s="54">
        <f>'EMEA AGG'!$G$44</f>
        <v>15.893449051538363</v>
      </c>
      <c r="S124" s="55">
        <f>'EMEA AGG'!$H$44</f>
        <v>0.20929362313270228</v>
      </c>
      <c r="T124" s="46"/>
      <c r="U124" s="57"/>
      <c r="V124" s="58" t="str">
        <f>V62</f>
        <v>Agg. EMEA sector</v>
      </c>
      <c r="Z124" s="46"/>
    </row>
    <row r="125" spans="1:45">
      <c r="A125" s="5"/>
      <c r="C125" s="41" t="str">
        <f>C63</f>
        <v>Agg. LatAm sector</v>
      </c>
      <c r="D125" s="44"/>
      <c r="E125" s="44"/>
      <c r="F125" s="45"/>
      <c r="G125" s="44"/>
      <c r="H125" s="46"/>
      <c r="I125" s="60">
        <f>'LATAM AGG'!$D$40</f>
        <v>14.656169534385421</v>
      </c>
      <c r="J125" s="60">
        <f>'LATAM AGG'!$E$40</f>
        <v>11.222055463904494</v>
      </c>
      <c r="K125" s="60">
        <f>'LATAM AGG'!$F$40</f>
        <v>9.5476194949497479</v>
      </c>
      <c r="L125" s="60">
        <f>'LATAM AGG'!$G$40</f>
        <v>8.2243663960938331</v>
      </c>
      <c r="M125" s="59">
        <f>'LATAM AGG'!$H$40</f>
        <v>0.15394085136934765</v>
      </c>
      <c r="N125" s="56"/>
      <c r="O125" s="60">
        <f>'LATAM AGG'!$D$44</f>
        <v>15.184213633507207</v>
      </c>
      <c r="P125" s="60">
        <f>'LATAM AGG'!$E$44</f>
        <v>10.895607343242339</v>
      </c>
      <c r="Q125" s="60">
        <f>'LATAM AGG'!$F$44</f>
        <v>8.4024292762241899</v>
      </c>
      <c r="R125" s="60">
        <f>'LATAM AGG'!$G$44</f>
        <v>6.8824440198595624</v>
      </c>
      <c r="S125" s="59">
        <f>'LATAM AGG'!$H$44</f>
        <v>0.2709708869540397</v>
      </c>
      <c r="T125" s="46"/>
      <c r="U125" s="48"/>
      <c r="V125" s="50" t="str">
        <f>V63</f>
        <v>Agg. LatAm sector</v>
      </c>
      <c r="Z125" s="46"/>
    </row>
    <row r="126" spans="1:45">
      <c r="A126" s="5"/>
      <c r="C126" s="67" t="str">
        <f>C64</f>
        <v>Agg. Emerging Asia sector</v>
      </c>
      <c r="D126" s="52"/>
      <c r="E126" s="52"/>
      <c r="F126" s="53"/>
      <c r="G126" s="52"/>
      <c r="H126" s="46"/>
      <c r="I126" s="54">
        <f>'AGG EM ASIA'!$D$40</f>
        <v>13.81298825367849</v>
      </c>
      <c r="J126" s="54">
        <f>'AGG EM ASIA'!$E$40</f>
        <v>12.191861604890343</v>
      </c>
      <c r="K126" s="54">
        <f>'AGG EM ASIA'!$F$40</f>
        <v>10.298652815342045</v>
      </c>
      <c r="L126" s="54">
        <f>'AGG EM ASIA'!$G$40</f>
        <v>8.5871509192313198</v>
      </c>
      <c r="M126" s="55">
        <f>'AGG EM ASIA'!$H$40</f>
        <v>0.10371287177719957</v>
      </c>
      <c r="N126" s="56"/>
      <c r="O126" s="54">
        <f>'AGG EM ASIA'!$D$44</f>
        <v>17.74274328785728</v>
      </c>
      <c r="P126" s="54">
        <f>'AGG EM ASIA'!$E$44</f>
        <v>15.522358561991719</v>
      </c>
      <c r="Q126" s="54">
        <f>'AGG EM ASIA'!$F$44</f>
        <v>13.668827724009528</v>
      </c>
      <c r="R126" s="54">
        <f>'AGG EM ASIA'!$G$44</f>
        <v>11.978702246012574</v>
      </c>
      <c r="S126" s="55">
        <f>'AGG EM ASIA'!$H$44</f>
        <v>0.14204074952010615</v>
      </c>
      <c r="T126" s="46"/>
      <c r="U126" s="57"/>
      <c r="V126" s="58" t="str">
        <f>V64</f>
        <v>Agg. Emerging Asia sector</v>
      </c>
      <c r="Z126" s="46"/>
    </row>
    <row r="127" spans="1:45">
      <c r="A127" s="5"/>
      <c r="C127" s="41"/>
      <c r="D127" s="44"/>
      <c r="E127" s="44"/>
      <c r="F127" s="45"/>
      <c r="G127" s="44"/>
      <c r="H127" s="46"/>
      <c r="I127" s="60"/>
      <c r="J127" s="60"/>
      <c r="K127" s="60"/>
      <c r="L127" s="60"/>
      <c r="M127" s="59"/>
      <c r="N127" s="56"/>
      <c r="O127" s="60"/>
      <c r="P127" s="60"/>
      <c r="Q127" s="60"/>
      <c r="R127" s="60"/>
      <c r="S127" s="59"/>
      <c r="T127" s="46"/>
      <c r="U127" s="48"/>
      <c r="V127" s="50"/>
      <c r="X127" s="47"/>
      <c r="Y127" s="138"/>
      <c r="Z127" s="46"/>
    </row>
    <row r="128" spans="1:45">
      <c r="A128" s="5"/>
      <c r="C128" s="67" t="str">
        <f>C66</f>
        <v>Agg. Global EM sector (ex-consensus)</v>
      </c>
      <c r="D128" s="52"/>
      <c r="E128" s="52"/>
      <c r="F128" s="53"/>
      <c r="G128" s="52"/>
      <c r="H128" s="46"/>
      <c r="I128" s="54">
        <f>'AGG EM'!$D$40</f>
        <v>14.520348963598265</v>
      </c>
      <c r="J128" s="54">
        <f>'AGG EM'!$E$40</f>
        <v>12.588336648928733</v>
      </c>
      <c r="K128" s="54">
        <f>'AGG EM'!$F$40</f>
        <v>10.782973360794294</v>
      </c>
      <c r="L128" s="54">
        <f>'AGG EM'!$G$40</f>
        <v>9.0993411007602809</v>
      </c>
      <c r="M128" s="55">
        <f>'AGG EM'!$H$40</f>
        <v>0.10827488676451624</v>
      </c>
      <c r="N128" s="56"/>
      <c r="O128" s="54">
        <f>'AGG EM'!$D$44</f>
        <v>18.269093770217651</v>
      </c>
      <c r="P128" s="54">
        <f>'AGG EM'!$E$44</f>
        <v>15.568805131794383</v>
      </c>
      <c r="Q128" s="54">
        <f>'AGG EM'!$F$44</f>
        <v>13.199234812647555</v>
      </c>
      <c r="R128" s="54">
        <f>'AGG EM'!$G$44</f>
        <v>11.401551775928532</v>
      </c>
      <c r="S128" s="55">
        <f>'AGG EM'!$H$44</f>
        <v>0.16848189780945066</v>
      </c>
      <c r="T128" s="46"/>
      <c r="U128" s="57"/>
      <c r="V128" s="58" t="str">
        <f>V66</f>
        <v>Agg. Global EM sector (ex-consensus)</v>
      </c>
    </row>
    <row r="129" spans="1:69">
      <c r="A129" s="5"/>
      <c r="C129" s="43"/>
      <c r="D129" s="44"/>
      <c r="E129" s="44"/>
      <c r="F129" s="45"/>
      <c r="G129" s="44"/>
      <c r="H129" s="5"/>
      <c r="I129" s="5"/>
      <c r="J129" s="5"/>
      <c r="K129" s="5"/>
      <c r="L129" s="5"/>
      <c r="N129" s="5"/>
      <c r="O129" s="5"/>
      <c r="P129" s="5"/>
      <c r="Q129" s="5"/>
      <c r="R129" s="5"/>
      <c r="T129" s="5"/>
      <c r="U129" s="63"/>
      <c r="V129" s="63"/>
      <c r="W129" s="173"/>
      <c r="AU129" s="10"/>
    </row>
    <row r="130" spans="1:69">
      <c r="A130" s="5"/>
      <c r="C130" s="43"/>
      <c r="D130" s="44"/>
      <c r="E130" s="44"/>
      <c r="F130" s="45"/>
      <c r="G130" s="44"/>
      <c r="H130" s="5"/>
      <c r="I130" s="5"/>
      <c r="J130" s="5"/>
      <c r="K130" s="5"/>
      <c r="L130" s="5"/>
      <c r="N130" s="5"/>
      <c r="O130" s="5"/>
      <c r="P130" s="5"/>
      <c r="Q130" s="5"/>
      <c r="R130" s="5"/>
      <c r="T130" s="5"/>
      <c r="U130" s="63"/>
      <c r="V130" s="63"/>
      <c r="W130" s="173"/>
      <c r="AU130" s="10"/>
    </row>
    <row r="131" spans="1:69" s="41" customFormat="1">
      <c r="B131" s="147"/>
      <c r="C131" s="164"/>
      <c r="D131" s="165" t="s">
        <v>459</v>
      </c>
      <c r="E131" s="165" t="s">
        <v>56</v>
      </c>
      <c r="F131" s="165" t="s">
        <v>58</v>
      </c>
      <c r="G131" s="165" t="s">
        <v>55</v>
      </c>
      <c r="H131" s="134"/>
      <c r="I131" s="166" t="s">
        <v>575</v>
      </c>
      <c r="J131" s="166"/>
      <c r="K131" s="166"/>
      <c r="L131" s="166"/>
      <c r="M131" s="166"/>
      <c r="N131" s="46"/>
      <c r="O131" s="166" t="s">
        <v>576</v>
      </c>
      <c r="P131" s="166"/>
      <c r="Q131" s="166"/>
      <c r="R131" s="166"/>
      <c r="S131" s="166"/>
      <c r="T131" s="46"/>
      <c r="U131" s="167" t="s">
        <v>459</v>
      </c>
      <c r="V131" s="165"/>
      <c r="Z131" s="49"/>
      <c r="AC131" s="135"/>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BC131" s="137"/>
      <c r="BD131" s="137"/>
      <c r="BE131" s="137"/>
      <c r="BG131" s="137"/>
      <c r="BH131" s="137"/>
      <c r="BI131" s="137"/>
      <c r="BK131" s="137"/>
      <c r="BL131" s="137"/>
      <c r="BM131" s="137"/>
      <c r="BO131" s="137"/>
      <c r="BP131" s="137"/>
      <c r="BQ131" s="137"/>
    </row>
    <row r="132" spans="1:69">
      <c r="A132" s="41" t="s">
        <v>501</v>
      </c>
      <c r="C132" s="48" t="str">
        <f>C70</f>
        <v>Telkom SA</v>
      </c>
      <c r="D132" s="44" t="str">
        <f>D70</f>
        <v>ZAR 27.6</v>
      </c>
      <c r="E132" s="44" t="str">
        <f>E70</f>
        <v>ZAR 56.0</v>
      </c>
      <c r="F132" s="45">
        <f>F70</f>
        <v>1.0326678765880217</v>
      </c>
      <c r="G132" s="44" t="str">
        <f>G70</f>
        <v>Neutral</v>
      </c>
      <c r="H132" s="134"/>
      <c r="I132" s="45">
        <f>TKG!$D$45</f>
        <v>0.15839861800205629</v>
      </c>
      <c r="J132" s="45">
        <f>TKG!$E$45</f>
        <v>0.15909259176915208</v>
      </c>
      <c r="K132" s="45">
        <f>TKG!$F$45</f>
        <v>0.15796006432902249</v>
      </c>
      <c r="L132" s="45">
        <f>TKG!$G$45</f>
        <v>0.15909259176915241</v>
      </c>
      <c r="M132" s="45">
        <f>TKG!$H$45</f>
        <v>1.4582676697889596E-3</v>
      </c>
      <c r="N132" s="46"/>
      <c r="O132" s="45">
        <f>TKG!$D$47</f>
        <v>0.21674719813018531</v>
      </c>
      <c r="P132" s="45">
        <f>TKG!$E$47</f>
        <v>0.21769680786473453</v>
      </c>
      <c r="Q132" s="45">
        <f>TKG!$F$47</f>
        <v>0.2161470964306936</v>
      </c>
      <c r="R132" s="45">
        <f>TKG!$G$47</f>
        <v>0.22067452577613553</v>
      </c>
      <c r="S132" s="45">
        <f>TKG!$H$47</f>
        <v>6.0036813160782021E-3</v>
      </c>
      <c r="T132" s="46"/>
      <c r="U132" s="48" t="str">
        <f>U70</f>
        <v>ZAR 27.6</v>
      </c>
      <c r="V132" s="44" t="str">
        <f>V70</f>
        <v>Telkom SA</v>
      </c>
    </row>
    <row r="133" spans="1:69">
      <c r="A133" s="41"/>
      <c r="C133" s="51" t="str">
        <f>C71</f>
        <v>Agg. EMEA Incumbent</v>
      </c>
      <c r="D133" s="58"/>
      <c r="E133" s="58"/>
      <c r="F133" s="55"/>
      <c r="G133" s="58"/>
      <c r="H133" s="134"/>
      <c r="I133" s="55">
        <f>'EMEA INCUMB'!$D$45</f>
        <v>0.15839861800205629</v>
      </c>
      <c r="J133" s="55">
        <f>'EMEA INCUMB'!$E$45</f>
        <v>0.15909259176915208</v>
      </c>
      <c r="K133" s="55">
        <f>'EMEA INCUMB'!$F$45</f>
        <v>0.15796006432902249</v>
      </c>
      <c r="L133" s="55">
        <f>'EMEA INCUMB'!$G$45</f>
        <v>0.15909259176915241</v>
      </c>
      <c r="M133" s="55">
        <f>'EMEA INCUMB'!$H$45</f>
        <v>1.4582676697889596E-3</v>
      </c>
      <c r="N133" s="56"/>
      <c r="O133" s="55">
        <f>'EMEA INCUMB'!$D$47</f>
        <v>0.21674719813018534</v>
      </c>
      <c r="P133" s="55">
        <f>'EMEA INCUMB'!$E$47</f>
        <v>0.21769680786473447</v>
      </c>
      <c r="Q133" s="55">
        <f>'EMEA INCUMB'!$F$47</f>
        <v>0.2161470964306936</v>
      </c>
      <c r="R133" s="55">
        <f>'EMEA INCUMB'!$G$47</f>
        <v>0.22067452577613553</v>
      </c>
      <c r="S133" s="55">
        <f>'EMEA INCUMB'!$H$47</f>
        <v>6.0036813160782021E-3</v>
      </c>
      <c r="T133" s="56"/>
      <c r="U133" s="51"/>
      <c r="V133" s="58" t="str">
        <f>V71</f>
        <v>Agg. EMEA Incumbent</v>
      </c>
    </row>
    <row r="134" spans="1:69">
      <c r="A134" s="41"/>
      <c r="C134" s="48"/>
      <c r="D134" s="44"/>
      <c r="E134" s="44"/>
      <c r="F134" s="68"/>
      <c r="G134" s="44"/>
      <c r="H134" s="134"/>
      <c r="I134" s="61"/>
      <c r="J134" s="61"/>
      <c r="K134" s="61"/>
      <c r="L134" s="61"/>
      <c r="M134" s="61"/>
      <c r="N134" s="46"/>
      <c r="O134" s="61"/>
      <c r="P134" s="61"/>
      <c r="Q134" s="61"/>
      <c r="R134" s="61"/>
      <c r="S134" s="61"/>
      <c r="T134" s="46"/>
      <c r="U134" s="48"/>
      <c r="V134" s="44"/>
    </row>
    <row r="135" spans="1:69">
      <c r="A135" s="5"/>
      <c r="C135" s="48" t="str">
        <f t="shared" ref="C135:G137" si="16">C73</f>
        <v>America Movil</v>
      </c>
      <c r="D135" s="44" t="str">
        <f t="shared" si="16"/>
        <v>USD 16.3</v>
      </c>
      <c r="E135" s="44" t="str">
        <f t="shared" si="16"/>
        <v>USD 24.0</v>
      </c>
      <c r="F135" s="45">
        <f t="shared" si="16"/>
        <v>0.4714898835070509</v>
      </c>
      <c r="G135" s="44" t="str">
        <f t="shared" si="16"/>
        <v>Buy</v>
      </c>
      <c r="H135" s="46"/>
      <c r="I135" s="45">
        <f>AMX!$D$45</f>
        <v>3.1636069658498953E-2</v>
      </c>
      <c r="J135" s="45">
        <f>AMX!$E$45</f>
        <v>3.413812832932097E-2</v>
      </c>
      <c r="K135" s="45">
        <f>AMX!$F$45</f>
        <v>3.6146253525163374E-2</v>
      </c>
      <c r="L135" s="45">
        <f>AMX!$G$45</f>
        <v>3.8062503712045677E-2</v>
      </c>
      <c r="M135" s="45">
        <f>AMX!$H$45</f>
        <v>2.2193635887354013E-2</v>
      </c>
      <c r="N135" s="46"/>
      <c r="O135" s="45">
        <f>AMX!$D$47</f>
        <v>4.1544247393802018E-2</v>
      </c>
      <c r="P135" s="45">
        <f>AMX!$E$47</f>
        <v>6.9717273897844489E-2</v>
      </c>
      <c r="Q135" s="45">
        <f>AMX!$F$47</f>
        <v>8.8295358404637508E-2</v>
      </c>
      <c r="R135" s="45">
        <f>AMX!$G$47</f>
        <v>0.1105526352934946</v>
      </c>
      <c r="S135" s="45">
        <f>AMX!$H$47</f>
        <v>0.34403562870736648</v>
      </c>
      <c r="T135" s="46"/>
      <c r="U135" s="48" t="str">
        <f t="shared" ref="U135:V138" si="17">U73</f>
        <v>USD 16.3</v>
      </c>
      <c r="V135" s="44" t="str">
        <f t="shared" si="17"/>
        <v>America Movil</v>
      </c>
      <c r="AE135" s="143"/>
      <c r="AF135" s="174"/>
      <c r="AG135" s="174"/>
      <c r="AH135" s="174"/>
      <c r="AK135" s="143"/>
      <c r="AL135" s="174"/>
      <c r="AM135" s="174"/>
      <c r="AN135" s="174"/>
    </row>
    <row r="136" spans="1:69" s="5" customFormat="1">
      <c r="B136" s="42"/>
      <c r="C136" s="48" t="str">
        <f t="shared" si="16"/>
        <v>Oi</v>
      </c>
      <c r="D136" s="44" t="str">
        <f t="shared" si="16"/>
        <v>BRL 12.10</v>
      </c>
      <c r="E136" s="44" t="str">
        <f t="shared" si="16"/>
        <v>BRL 0.90</v>
      </c>
      <c r="F136" s="45">
        <f t="shared" si="16"/>
        <v>-0.92561983471074383</v>
      </c>
      <c r="G136" s="44" t="str">
        <f t="shared" si="16"/>
        <v>Neutral</v>
      </c>
      <c r="H136" s="46"/>
      <c r="I136" s="45">
        <f>OIBR!$D$45</f>
        <v>0</v>
      </c>
      <c r="J136" s="45">
        <f>OIBR!$E$45</f>
        <v>0</v>
      </c>
      <c r="K136" s="45">
        <f>OIBR!$F$45</f>
        <v>0</v>
      </c>
      <c r="L136" s="45">
        <f>OIBR!$G$45</f>
        <v>0</v>
      </c>
      <c r="M136" s="45" t="str">
        <f>OIBR!$H$45</f>
        <v>nm</v>
      </c>
      <c r="N136" s="46"/>
      <c r="O136" s="45">
        <f>OIBR!$D$47</f>
        <v>-0.174414741314567</v>
      </c>
      <c r="P136" s="45">
        <f>OIBR!$E$47</f>
        <v>-0.1617004090330072</v>
      </c>
      <c r="Q136" s="45">
        <f>OIBR!$F$47</f>
        <v>-9.9743849657700889E-2</v>
      </c>
      <c r="R136" s="45">
        <f>OIBR!$G$47</f>
        <v>-6.3058899202096397E-2</v>
      </c>
      <c r="S136" s="45">
        <f>OIBR!$H$47</f>
        <v>-0.28760466703159515</v>
      </c>
      <c r="T136" s="46"/>
      <c r="U136" s="48" t="str">
        <f t="shared" si="17"/>
        <v>BRL 12.10</v>
      </c>
      <c r="V136" s="44" t="str">
        <f t="shared" si="17"/>
        <v>Oi</v>
      </c>
    </row>
    <row r="137" spans="1:69">
      <c r="A137" s="5"/>
      <c r="C137" s="48" t="str">
        <f t="shared" si="16"/>
        <v>Telefonica Brasil</v>
      </c>
      <c r="D137" s="44" t="str">
        <f t="shared" si="16"/>
        <v>BRL 55.12</v>
      </c>
      <c r="E137" s="44" t="str">
        <f t="shared" si="16"/>
        <v>BRL 61.00</v>
      </c>
      <c r="F137" s="45">
        <f t="shared" si="16"/>
        <v>0.10667634252539915</v>
      </c>
      <c r="G137" s="44" t="str">
        <f t="shared" si="16"/>
        <v>Buy</v>
      </c>
      <c r="H137" s="46"/>
      <c r="I137" s="45">
        <f>VIVO!$D$45</f>
        <v>4.2670804539439458E-2</v>
      </c>
      <c r="J137" s="45">
        <f>VIVO!$E$45</f>
        <v>5.0194333758759105E-2</v>
      </c>
      <c r="K137" s="45">
        <f>VIVO!$F$45</f>
        <v>6.7619375328712483E-2</v>
      </c>
      <c r="L137" s="45">
        <f>VIVO!$G$45</f>
        <v>8.1481140488424961E-2</v>
      </c>
      <c r="M137" s="45">
        <f>VIVO!$H$45</f>
        <v>0.2313174684450654</v>
      </c>
      <c r="N137" s="46"/>
      <c r="O137" s="45">
        <f>VIVO!$D$47</f>
        <v>7.8717012062936506E-2</v>
      </c>
      <c r="P137" s="45">
        <f>VIVO!$E$47</f>
        <v>9.4946596413235509E-2</v>
      </c>
      <c r="Q137" s="45">
        <f>VIVO!$F$47</f>
        <v>0.10423714459428676</v>
      </c>
      <c r="R137" s="45">
        <f>VIVO!$G$47</f>
        <v>0.11234737433563202</v>
      </c>
      <c r="S137" s="45">
        <f>VIVO!$H$47</f>
        <v>0.11724669242949792</v>
      </c>
      <c r="T137" s="46"/>
      <c r="U137" s="48" t="str">
        <f t="shared" si="17"/>
        <v>BRL 55.12</v>
      </c>
      <c r="V137" s="44" t="str">
        <f t="shared" si="17"/>
        <v>Telefonica Brasil</v>
      </c>
      <c r="AE137" s="140"/>
      <c r="AF137" s="142"/>
      <c r="AG137" s="142"/>
      <c r="AH137" s="142"/>
      <c r="AK137" s="140"/>
      <c r="AL137" s="142"/>
      <c r="AM137" s="142"/>
      <c r="AN137" s="142"/>
    </row>
    <row r="138" spans="1:69">
      <c r="A138" s="5"/>
      <c r="C138" s="48" t="s">
        <v>667</v>
      </c>
      <c r="D138" s="44" t="str">
        <f>D76</f>
        <v>USD 1.8</v>
      </c>
      <c r="E138" s="44" t="str">
        <f>E76</f>
        <v>USD 3.7</v>
      </c>
      <c r="F138" s="45">
        <f>F76</f>
        <v>1.0903954802259888</v>
      </c>
      <c r="G138" s="44" t="str">
        <f>G76</f>
        <v>Neutral</v>
      </c>
      <c r="H138" s="46"/>
      <c r="I138" s="45">
        <f>TVIS!$D$45</f>
        <v>5.272973872588483E-2</v>
      </c>
      <c r="J138" s="45">
        <f>TVIS!$E$45</f>
        <v>5.272973872588483E-2</v>
      </c>
      <c r="K138" s="45">
        <f>TVIS!$F$45</f>
        <v>5.272973872588483E-2</v>
      </c>
      <c r="L138" s="45">
        <f>TVIS!$G$45</f>
        <v>5.272973872588483E-2</v>
      </c>
      <c r="M138" s="45">
        <f>TVIS!$H$45</f>
        <v>0</v>
      </c>
      <c r="N138" s="46"/>
      <c r="O138" s="45">
        <f>TVIS!$D$47</f>
        <v>-0.38287520746855641</v>
      </c>
      <c r="P138" s="45">
        <f>TVIS!$E$47</f>
        <v>0.20622710707396874</v>
      </c>
      <c r="Q138" s="45">
        <f>TVIS!$F$47</f>
        <v>0.27114947524272687</v>
      </c>
      <c r="R138" s="45">
        <f>TVIS!$G$47</f>
        <v>0.35494984703600657</v>
      </c>
      <c r="S138" s="45">
        <f>TVIS!$H$47</f>
        <v>-1.9750717692940674</v>
      </c>
      <c r="T138" s="46"/>
      <c r="U138" s="48" t="str">
        <f t="shared" si="17"/>
        <v>USD 1.8</v>
      </c>
      <c r="V138" s="44" t="str">
        <f t="shared" si="17"/>
        <v>Televisa</v>
      </c>
      <c r="AE138" s="140"/>
      <c r="AF138" s="142"/>
      <c r="AG138" s="142"/>
      <c r="AH138" s="142"/>
      <c r="AK138" s="140"/>
      <c r="AL138" s="142"/>
      <c r="AM138" s="142"/>
      <c r="AN138" s="142"/>
    </row>
    <row r="139" spans="1:69">
      <c r="A139" s="5"/>
      <c r="C139" s="51" t="str">
        <f>C77</f>
        <v>Agg. LatAm Incumbent</v>
      </c>
      <c r="D139" s="52"/>
      <c r="E139" s="52"/>
      <c r="F139" s="53"/>
      <c r="G139" s="52"/>
      <c r="H139" s="46"/>
      <c r="I139" s="55">
        <f>'LATAM INCUMB'!$D$45</f>
        <v>3.2025799004615774E-2</v>
      </c>
      <c r="J139" s="55">
        <f>'LATAM INCUMB'!$E$45</f>
        <v>3.5431489634530598E-2</v>
      </c>
      <c r="K139" s="55">
        <f>'LATAM INCUMB'!$F$45</f>
        <v>4.0832121196613419E-2</v>
      </c>
      <c r="L139" s="55">
        <f>'LATAM INCUMB'!$G$45</f>
        <v>4.5473553846557851E-2</v>
      </c>
      <c r="M139" s="55">
        <f>'LATAM INCUMB'!$H$45</f>
        <v>9.2203572531136757E-2</v>
      </c>
      <c r="N139" s="56"/>
      <c r="O139" s="55">
        <f>'LATAM INCUMB'!$D$47</f>
        <v>3.1327404542224199E-2</v>
      </c>
      <c r="P139" s="55">
        <f>'LATAM INCUMB'!$E$47</f>
        <v>6.0734316086827646E-2</v>
      </c>
      <c r="Q139" s="55">
        <f>'LATAM INCUMB'!$F$47</f>
        <v>8.053345351201685E-2</v>
      </c>
      <c r="R139" s="55">
        <f>'LATAM INCUMB'!$G$47</f>
        <v>0.10134613044664224</v>
      </c>
      <c r="S139" s="55">
        <f>'LATAM INCUMB'!$H$47</f>
        <v>0.44386238616406404</v>
      </c>
      <c r="T139" s="46"/>
      <c r="U139" s="57"/>
      <c r="V139" s="58" t="str">
        <f>V77</f>
        <v>Agg. LatAm Incumbent</v>
      </c>
      <c r="AE139" s="140"/>
      <c r="AF139" s="142"/>
      <c r="AG139" s="142"/>
      <c r="AH139" s="142"/>
      <c r="AK139" s="140"/>
      <c r="AL139" s="142"/>
      <c r="AM139" s="142"/>
      <c r="AN139" s="142"/>
    </row>
    <row r="140" spans="1:69">
      <c r="C140" s="48"/>
      <c r="D140" s="44"/>
      <c r="E140" s="44"/>
      <c r="F140" s="45"/>
      <c r="G140" s="44"/>
      <c r="H140" s="46"/>
      <c r="I140" s="45"/>
      <c r="J140" s="45"/>
      <c r="K140" s="45"/>
      <c r="L140" s="45"/>
      <c r="M140" s="45"/>
      <c r="N140" s="56"/>
      <c r="O140" s="45"/>
      <c r="P140" s="45"/>
      <c r="Q140" s="45"/>
      <c r="R140" s="45"/>
      <c r="S140" s="45"/>
      <c r="T140" s="46"/>
      <c r="U140" s="48"/>
      <c r="V140" s="50"/>
      <c r="AE140" s="143"/>
      <c r="AF140" s="143"/>
      <c r="AG140" s="143"/>
      <c r="AH140" s="143"/>
      <c r="AK140" s="143"/>
      <c r="AL140" s="143"/>
      <c r="AM140" s="143"/>
      <c r="AN140" s="143"/>
    </row>
    <row r="141" spans="1:69">
      <c r="A141" s="5"/>
      <c r="C141" s="48" t="str">
        <f t="shared" ref="C141:G145" si="18">C79</f>
        <v>China Telecom</v>
      </c>
      <c r="D141" s="44" t="str">
        <f t="shared" si="18"/>
        <v>HKD 4.48</v>
      </c>
      <c r="E141" s="44" t="str">
        <f t="shared" si="18"/>
        <v>HKD 8.75</v>
      </c>
      <c r="F141" s="45">
        <f t="shared" si="18"/>
        <v>0.95312499999999978</v>
      </c>
      <c r="G141" s="44" t="str">
        <f t="shared" si="18"/>
        <v>Buy</v>
      </c>
      <c r="H141" s="46"/>
      <c r="I141" s="45">
        <f>_CT!$D$45</f>
        <v>5.7226592845548041E-2</v>
      </c>
      <c r="J141" s="45">
        <f>_CT!$E$45</f>
        <v>6.3128670775157408E-2</v>
      </c>
      <c r="K141" s="45">
        <f>_CT!$F$45</f>
        <v>6.9781467725496357E-2</v>
      </c>
      <c r="L141" s="45">
        <f>_CT!$G$45</f>
        <v>8.2655329347920248E-2</v>
      </c>
      <c r="M141" s="45">
        <f>_CT!$H$45</f>
        <v>0.13037963252567253</v>
      </c>
      <c r="N141" s="56"/>
      <c r="O141" s="169">
        <f>_CT!$D$47</f>
        <v>8.3964961598233953E-2</v>
      </c>
      <c r="P141" s="169">
        <f>_CT!$E$47</f>
        <v>0.10537719581672142</v>
      </c>
      <c r="Q141" s="169">
        <f>_CT!$F$47</f>
        <v>0.11509463262715103</v>
      </c>
      <c r="R141" s="169">
        <f>_CT!$G$47</f>
        <v>0.13082326379364928</v>
      </c>
      <c r="S141" s="169">
        <f>_CT!$H$47</f>
        <v>0.15929944696874943</v>
      </c>
      <c r="T141" s="46"/>
      <c r="U141" s="48" t="str">
        <f t="shared" ref="U141:V145" si="19">U79</f>
        <v>HKD 4.48</v>
      </c>
      <c r="V141" s="44" t="str">
        <f t="shared" si="19"/>
        <v>China Telecom</v>
      </c>
      <c r="AE141" s="140"/>
      <c r="AF141" s="141"/>
      <c r="AG141" s="141"/>
      <c r="AH141" s="141"/>
      <c r="AK141" s="140"/>
      <c r="AL141" s="141"/>
      <c r="AM141" s="141"/>
      <c r="AN141" s="141"/>
    </row>
    <row r="142" spans="1:69">
      <c r="A142" s="5"/>
      <c r="C142" s="48" t="str">
        <f t="shared" si="18"/>
        <v>China Unicom</v>
      </c>
      <c r="D142" s="44" t="str">
        <f t="shared" si="18"/>
        <v>HKD 6.32</v>
      </c>
      <c r="E142" s="44" t="str">
        <f t="shared" si="18"/>
        <v>HKD 13.20</v>
      </c>
      <c r="F142" s="45">
        <f t="shared" si="18"/>
        <v>1.0886075949367084</v>
      </c>
      <c r="G142" s="44" t="str">
        <f t="shared" si="18"/>
        <v>Buy</v>
      </c>
      <c r="H142" s="46"/>
      <c r="I142" s="45">
        <f>_CU!$D$45</f>
        <v>5.8552358192101243E-2</v>
      </c>
      <c r="J142" s="45">
        <f>_CU!$E$45</f>
        <v>7.1891421984342188E-2</v>
      </c>
      <c r="K142" s="45">
        <f>_CU!$F$45</f>
        <v>9.2392614700438469E-2</v>
      </c>
      <c r="L142" s="45">
        <f>_CU!$G$45</f>
        <v>0.11706682722475864</v>
      </c>
      <c r="M142" s="45">
        <f>_CU!$H$45</f>
        <v>0.25978515300870919</v>
      </c>
      <c r="N142" s="56"/>
      <c r="O142" s="169">
        <f>_CU!$D$47</f>
        <v>0.16135489114146492</v>
      </c>
      <c r="P142" s="169">
        <f>_CU!$E$47</f>
        <v>0.21743697727604708</v>
      </c>
      <c r="Q142" s="169">
        <f>_CU!$F$47</f>
        <v>0.23783838294450693</v>
      </c>
      <c r="R142" s="169">
        <f>_CU!$G$47</f>
        <v>0.257858511247819</v>
      </c>
      <c r="S142" s="169">
        <f>_CU!$H$47</f>
        <v>0.16913980092726955</v>
      </c>
      <c r="T142" s="46"/>
      <c r="U142" s="48" t="str">
        <f t="shared" si="19"/>
        <v>HKD 6.32</v>
      </c>
      <c r="V142" s="44" t="str">
        <f t="shared" si="19"/>
        <v>China Unicom</v>
      </c>
      <c r="AE142" s="143"/>
      <c r="AF142" s="174"/>
      <c r="AG142" s="174"/>
      <c r="AH142" s="174"/>
      <c r="AK142" s="143"/>
      <c r="AL142" s="174"/>
      <c r="AM142" s="174"/>
      <c r="AN142" s="174"/>
      <c r="AT142" s="69"/>
    </row>
    <row r="143" spans="1:69">
      <c r="C143" s="48" t="str">
        <f t="shared" si="18"/>
        <v>Chunghwa Telecom</v>
      </c>
      <c r="D143" s="44" t="str">
        <f t="shared" si="18"/>
        <v>TWD 124.00</v>
      </c>
      <c r="E143" s="44" t="str">
        <f t="shared" si="18"/>
        <v>TWD n/r</v>
      </c>
      <c r="F143" s="45" t="str">
        <f t="shared" si="18"/>
        <v>-</v>
      </c>
      <c r="G143" s="44" t="str">
        <f t="shared" si="18"/>
        <v>n/r</v>
      </c>
      <c r="H143" s="46"/>
      <c r="I143" s="45">
        <f>CHUNG!$D$45</f>
        <v>3.6838313102058477E-2</v>
      </c>
      <c r="J143" s="45">
        <f>CHUNG!$E$45</f>
        <v>3.8594351580746956E-2</v>
      </c>
      <c r="K143" s="45">
        <f>CHUNG!$F$45</f>
        <v>4.0695193178073526E-2</v>
      </c>
      <c r="L143" s="45">
        <f>CHUNG!$G$45</f>
        <v>4.2925292004036296E-2</v>
      </c>
      <c r="M143" s="45">
        <f>CHUNG!$H$45</f>
        <v>5.2295809971018903E-2</v>
      </c>
      <c r="N143" s="56"/>
      <c r="O143" s="45">
        <f>CHUNG!$D$47</f>
        <v>4.3613502747921015E-2</v>
      </c>
      <c r="P143" s="45">
        <f>CHUNG!$E$47</f>
        <v>4.8467811428287898E-2</v>
      </c>
      <c r="Q143" s="45">
        <f>CHUNG!$F$47</f>
        <v>5.1212234598095367E-2</v>
      </c>
      <c r="R143" s="45">
        <f>CHUNG!$G$47</f>
        <v>5.1813531042306807E-2</v>
      </c>
      <c r="S143" s="45">
        <f>CHUNG!$H$47</f>
        <v>5.910920048487367E-2</v>
      </c>
      <c r="T143" s="46"/>
      <c r="U143" s="48" t="str">
        <f t="shared" si="19"/>
        <v>TWD 124.00</v>
      </c>
      <c r="V143" s="44" t="str">
        <f t="shared" si="19"/>
        <v>Chunghwa Telecom</v>
      </c>
      <c r="AE143" s="143"/>
      <c r="AF143" s="174"/>
      <c r="AG143" s="174"/>
      <c r="AH143" s="174"/>
      <c r="AK143" s="143"/>
      <c r="AL143" s="174"/>
      <c r="AM143" s="174"/>
      <c r="AN143" s="174"/>
      <c r="AT143" s="69"/>
    </row>
    <row r="144" spans="1:69">
      <c r="C144" s="48" t="str">
        <f t="shared" si="18"/>
        <v>KT Corp</v>
      </c>
      <c r="D144" s="44" t="str">
        <f t="shared" si="18"/>
        <v>KRW 41,200</v>
      </c>
      <c r="E144" s="44" t="str">
        <f t="shared" si="18"/>
        <v>KRW 70,000</v>
      </c>
      <c r="F144" s="45">
        <f t="shared" si="18"/>
        <v>0.69902912621359214</v>
      </c>
      <c r="G144" s="44" t="str">
        <f t="shared" si="18"/>
        <v>Buy</v>
      </c>
      <c r="H144" s="46"/>
      <c r="I144" s="45">
        <f>_KT!$D$45</f>
        <v>4.7572815533980586E-2</v>
      </c>
      <c r="J144" s="45">
        <f>_KT!$E$45</f>
        <v>4.9980710416849213E-2</v>
      </c>
      <c r="K144" s="45">
        <f>_KT!$F$45</f>
        <v>5.8315448726752608E-2</v>
      </c>
      <c r="L144" s="45">
        <f>_KT!$G$45</f>
        <v>6.6385882521959746E-2</v>
      </c>
      <c r="M144" s="45">
        <f>_KT!$H$45</f>
        <v>0.12519937319242191</v>
      </c>
      <c r="N144" s="56"/>
      <c r="O144" s="45">
        <f>_KT!$D$47</f>
        <v>0.11265310745809971</v>
      </c>
      <c r="P144" s="45">
        <f>_KT!$E$47</f>
        <v>9.0678351456468201E-2</v>
      </c>
      <c r="Q144" s="45">
        <f>_KT!$F$47</f>
        <v>0.14581452735162759</v>
      </c>
      <c r="R144" s="45">
        <f>_KT!$G$47</f>
        <v>0.18620048422502478</v>
      </c>
      <c r="S144" s="45">
        <f>_KT!$H$47</f>
        <v>0.19052495656990964</v>
      </c>
      <c r="T144" s="46"/>
      <c r="U144" s="48" t="str">
        <f t="shared" si="19"/>
        <v>KRW 41,200</v>
      </c>
      <c r="V144" s="44" t="str">
        <f t="shared" si="19"/>
        <v>KT Corp</v>
      </c>
      <c r="AE144" s="140"/>
      <c r="AF144" s="141"/>
      <c r="AG144" s="141"/>
      <c r="AH144" s="141"/>
      <c r="AK144" s="140"/>
      <c r="AL144" s="141"/>
      <c r="AM144" s="141"/>
      <c r="AN144" s="141"/>
      <c r="AT144" s="69"/>
    </row>
    <row r="145" spans="1:46">
      <c r="C145" s="48" t="str">
        <f t="shared" si="18"/>
        <v>PT Telkom</v>
      </c>
      <c r="D145" s="44" t="str">
        <f t="shared" si="18"/>
        <v>IDR 3,040</v>
      </c>
      <c r="E145" s="44" t="str">
        <f t="shared" si="18"/>
        <v>IDR 4,500</v>
      </c>
      <c r="F145" s="45">
        <f t="shared" si="18"/>
        <v>0.48026315789473695</v>
      </c>
      <c r="G145" s="44" t="str">
        <f t="shared" si="18"/>
        <v>Buy</v>
      </c>
      <c r="H145" s="46"/>
      <c r="I145" s="45">
        <f>PTT!$D$45</f>
        <v>5.871710526315789E-2</v>
      </c>
      <c r="J145" s="45">
        <f>PTT!$E$45</f>
        <v>5.9627553734956755E-2</v>
      </c>
      <c r="K145" s="45">
        <f>PTT!$F$45</f>
        <v>6.7362780992070978E-2</v>
      </c>
      <c r="L145" s="45">
        <f>PTT!$G$45</f>
        <v>7.453195879255442E-2</v>
      </c>
      <c r="M145" s="45">
        <f>PTT!$H$45</f>
        <v>8.2744449600624881E-2</v>
      </c>
      <c r="N145" s="56"/>
      <c r="O145" s="169">
        <f>PTT!$D$47</f>
        <v>9.3796715288882296E-2</v>
      </c>
      <c r="P145" s="169">
        <f>PTT!$E$47</f>
        <v>9.4424661424294704E-2</v>
      </c>
      <c r="Q145" s="169">
        <f>PTT!$F$47</f>
        <v>0.10485147339503949</v>
      </c>
      <c r="R145" s="169">
        <f>PTT!$G$47</f>
        <v>0.11348595481983466</v>
      </c>
      <c r="S145" s="169">
        <f>PTT!$H$47</f>
        <v>6.5576977468659647E-2</v>
      </c>
      <c r="T145" s="46"/>
      <c r="U145" s="48" t="str">
        <f t="shared" si="19"/>
        <v>IDR 3,040</v>
      </c>
      <c r="V145" s="44" t="str">
        <f t="shared" si="19"/>
        <v>PT Telkom</v>
      </c>
      <c r="AE145" s="140"/>
      <c r="AF145" s="142"/>
      <c r="AG145" s="142"/>
      <c r="AH145" s="142"/>
      <c r="AK145" s="140"/>
      <c r="AL145" s="142"/>
      <c r="AM145" s="142"/>
      <c r="AN145" s="142"/>
    </row>
    <row r="146" spans="1:46">
      <c r="C146" s="51" t="str">
        <f>C84</f>
        <v>Agg. Emerging Asia Incumbent</v>
      </c>
      <c r="D146" s="52"/>
      <c r="E146" s="52"/>
      <c r="F146" s="53"/>
      <c r="G146" s="52"/>
      <c r="H146" s="46"/>
      <c r="I146" s="55">
        <f>'EM ASIA INCUMB'!$D$45</f>
        <v>5.2583644129876955E-2</v>
      </c>
      <c r="J146" s="55">
        <f>'EM ASIA INCUMB'!$E$45</f>
        <v>5.7994866359433496E-2</v>
      </c>
      <c r="K146" s="55">
        <f>'EM ASIA INCUMB'!$F$45</f>
        <v>6.6432722933635599E-2</v>
      </c>
      <c r="L146" s="55">
        <f>'EM ASIA INCUMB'!$G$45</f>
        <v>7.7994435910985468E-2</v>
      </c>
      <c r="M146" s="55">
        <f>'EM ASIA INCUMB'!$H$45</f>
        <v>0.14088618209203663</v>
      </c>
      <c r="N146" s="56"/>
      <c r="O146" s="55">
        <f>'EM ASIA INCUMB'!$D$47</f>
        <v>9.2253017184413158E-2</v>
      </c>
      <c r="P146" s="55">
        <f>'EM ASIA INCUMB'!$E$47</f>
        <v>0.11084038961051676</v>
      </c>
      <c r="Q146" s="55">
        <f>'EM ASIA INCUMB'!$F$47</f>
        <v>0.12369673327870656</v>
      </c>
      <c r="R146" s="55">
        <f>'EM ASIA INCUMB'!$G$47</f>
        <v>0.13723430532315931</v>
      </c>
      <c r="S146" s="55">
        <f>'EM ASIA INCUMB'!$H$47</f>
        <v>0.14199839323879559</v>
      </c>
      <c r="T146" s="46"/>
      <c r="U146" s="57"/>
      <c r="V146" s="58" t="str">
        <f>V84</f>
        <v>Agg. Emerging Asia Incumbent</v>
      </c>
      <c r="AE146" s="140"/>
      <c r="AF146" s="142"/>
      <c r="AG146" s="142"/>
      <c r="AH146" s="142"/>
      <c r="AK146" s="140"/>
      <c r="AL146" s="142"/>
      <c r="AM146" s="142"/>
      <c r="AN146" s="142"/>
    </row>
    <row r="147" spans="1:46">
      <c r="C147" s="43"/>
      <c r="D147" s="44"/>
      <c r="E147" s="44"/>
      <c r="F147" s="68"/>
      <c r="G147" s="44"/>
      <c r="H147" s="46"/>
      <c r="I147" s="61"/>
      <c r="J147" s="61"/>
      <c r="K147" s="61"/>
      <c r="L147" s="61"/>
      <c r="M147" s="61"/>
      <c r="N147" s="56"/>
      <c r="O147" s="61"/>
      <c r="P147" s="61"/>
      <c r="Q147" s="61"/>
      <c r="R147" s="61"/>
      <c r="S147" s="61"/>
      <c r="T147" s="46"/>
      <c r="U147" s="48"/>
      <c r="V147" s="50"/>
      <c r="AE147" s="140"/>
      <c r="AF147" s="142"/>
      <c r="AG147" s="142"/>
      <c r="AH147" s="142"/>
      <c r="AK147" s="140"/>
      <c r="AL147" s="142"/>
      <c r="AM147" s="142"/>
      <c r="AN147" s="142"/>
    </row>
    <row r="148" spans="1:46">
      <c r="C148" s="51" t="str">
        <f>C86</f>
        <v>Agg. Emerging Incumbent</v>
      </c>
      <c r="D148" s="52"/>
      <c r="E148" s="52"/>
      <c r="F148" s="53"/>
      <c r="G148" s="52"/>
      <c r="H148" s="46"/>
      <c r="I148" s="55">
        <f>'EM INCUMB'!$D$45</f>
        <v>4.5731312159230778E-2</v>
      </c>
      <c r="J148" s="55">
        <f>'EM INCUMB'!$E$45</f>
        <v>5.0549419067414558E-2</v>
      </c>
      <c r="K148" s="55">
        <f>'EM INCUMB'!$F$45</f>
        <v>5.8078354371831294E-2</v>
      </c>
      <c r="L148" s="55">
        <f>'EM INCUMB'!$G$45</f>
        <v>6.7484331182154994E-2</v>
      </c>
      <c r="M148" s="55">
        <f>'EM INCUMB'!$H$45</f>
        <v>0.12766314772350529</v>
      </c>
      <c r="N148" s="56"/>
      <c r="O148" s="55">
        <f>'EM INCUMB'!$D$47</f>
        <v>6.8809594688189521E-2</v>
      </c>
      <c r="P148" s="55">
        <f>'EM INCUMB'!$E$47</f>
        <v>9.1830568630244344E-2</v>
      </c>
      <c r="Q148" s="55">
        <f>'EM INCUMB'!$F$47</f>
        <v>0.10758602963867075</v>
      </c>
      <c r="R148" s="55">
        <f>'EM INCUMB'!$G$47</f>
        <v>0.12408904212895068</v>
      </c>
      <c r="S148" s="55">
        <f>'EM INCUMB'!$H$47</f>
        <v>0.20633617097870616</v>
      </c>
      <c r="T148" s="46"/>
      <c r="U148" s="57"/>
      <c r="V148" s="58" t="str">
        <f>V86</f>
        <v>Agg. Emerging Incumbent</v>
      </c>
      <c r="AE148" s="140"/>
      <c r="AF148" s="142"/>
      <c r="AG148" s="142"/>
      <c r="AH148" s="142"/>
      <c r="AK148" s="140"/>
      <c r="AL148" s="142"/>
      <c r="AM148" s="142"/>
      <c r="AN148" s="142"/>
    </row>
    <row r="149" spans="1:46">
      <c r="C149" s="43"/>
      <c r="D149" s="44"/>
      <c r="E149" s="44"/>
      <c r="F149" s="45"/>
      <c r="G149" s="44"/>
      <c r="H149" s="46"/>
      <c r="I149" s="45"/>
      <c r="J149" s="45"/>
      <c r="K149" s="45"/>
      <c r="L149" s="45"/>
      <c r="M149" s="45"/>
      <c r="N149" s="56"/>
      <c r="O149" s="45"/>
      <c r="P149" s="45"/>
      <c r="Q149" s="45"/>
      <c r="R149" s="45"/>
      <c r="S149" s="45"/>
      <c r="T149" s="46"/>
      <c r="U149" s="48"/>
      <c r="V149" s="50"/>
      <c r="AF149" s="142"/>
      <c r="AG149" s="142"/>
      <c r="AH149" s="142"/>
      <c r="AT149" s="69"/>
    </row>
    <row r="150" spans="1:46">
      <c r="A150" s="41" t="s">
        <v>502</v>
      </c>
      <c r="C150" s="48" t="str">
        <f t="shared" ref="C150:G156" si="20">C88</f>
        <v>Airtel Africa</v>
      </c>
      <c r="D150" s="44" t="str">
        <f t="shared" si="20"/>
        <v>USD 1.13</v>
      </c>
      <c r="E150" s="44" t="str">
        <f t="shared" si="20"/>
        <v>USD 2.00</v>
      </c>
      <c r="F150" s="45">
        <f t="shared" si="20"/>
        <v>0.77619893428063969</v>
      </c>
      <c r="G150" s="44" t="str">
        <f t="shared" si="20"/>
        <v>Buy</v>
      </c>
      <c r="H150" s="46"/>
      <c r="I150" s="45">
        <f>AAF!$D$45</f>
        <v>-3.8102125500695375E-2</v>
      </c>
      <c r="J150" s="45">
        <f>AAF!$E$45</f>
        <v>-4.2859749665420457E-2</v>
      </c>
      <c r="K150" s="45">
        <f>AAF!$F$45</f>
        <v>-4.7300403183644771E-2</v>
      </c>
      <c r="L150" s="45">
        <f>AAF!$G$45</f>
        <v>-5.3865981536001424E-2</v>
      </c>
      <c r="M150" s="45">
        <f>AAF!$H$45</f>
        <v>0.11449916209622768</v>
      </c>
      <c r="N150" s="56"/>
      <c r="O150" s="169">
        <f>AAF!$D$47</f>
        <v>0.11702025430897528</v>
      </c>
      <c r="P150" s="169">
        <f>AAF!$E$47</f>
        <v>0.10609813237717647</v>
      </c>
      <c r="Q150" s="169">
        <f>AAF!$F$47</f>
        <v>0.1174564902673108</v>
      </c>
      <c r="R150" s="169">
        <f>AAF!$G$47</f>
        <v>0.13549329781536301</v>
      </c>
      <c r="S150" s="169">
        <f>AAF!$H$47</f>
        <v>4.2742032156974918E-2</v>
      </c>
      <c r="T150" s="46"/>
      <c r="U150" s="48" t="str">
        <f t="shared" ref="U150:V156" si="21">U88</f>
        <v>USD 1.13</v>
      </c>
      <c r="V150" s="44" t="str">
        <f t="shared" si="21"/>
        <v>Airtel Africa</v>
      </c>
      <c r="AT150" s="69"/>
    </row>
    <row r="151" spans="1:46">
      <c r="A151" s="41"/>
      <c r="C151" s="48" t="str">
        <f t="shared" si="20"/>
        <v>MobileTeleSystems</v>
      </c>
      <c r="D151" s="44" t="str">
        <f t="shared" si="20"/>
        <v>USD 10.00</v>
      </c>
      <c r="E151" s="44" t="str">
        <f t="shared" si="20"/>
        <v>USD 10.10</v>
      </c>
      <c r="F151" s="45">
        <f t="shared" si="20"/>
        <v>1.0000000000000009E-2</v>
      </c>
      <c r="G151" s="44" t="str">
        <f t="shared" si="20"/>
        <v>Buy</v>
      </c>
      <c r="H151" s="46"/>
      <c r="I151" s="45">
        <f>MTS!$D$45</f>
        <v>5.0192970683640085E-2</v>
      </c>
      <c r="J151" s="45">
        <f>MTS!$E$45</f>
        <v>5.1238761617250952E-2</v>
      </c>
      <c r="K151" s="45">
        <f>MTS!$F$45</f>
        <v>5.2306342029785395E-2</v>
      </c>
      <c r="L151" s="45">
        <f>MTS!$G$45</f>
        <v>5.339616591388812E-2</v>
      </c>
      <c r="M151" s="45">
        <f>MTS!$H$45</f>
        <v>2.083540622057134E-2</v>
      </c>
      <c r="N151" s="56"/>
      <c r="O151" s="169">
        <f>MTS!$D$47</f>
        <v>4.0364626114316002E-2</v>
      </c>
      <c r="P151" s="169">
        <f>MTS!$E$47</f>
        <v>4.529927202357438E-2</v>
      </c>
      <c r="Q151" s="169">
        <f>MTS!$F$47</f>
        <v>4.3723584168088039E-2</v>
      </c>
      <c r="R151" s="169">
        <f>MTS!$G$47</f>
        <v>4.2331717051916434E-2</v>
      </c>
      <c r="S151" s="169">
        <f>MTS!$H$47</f>
        <v>1.5987387973576794E-2</v>
      </c>
      <c r="T151" s="46"/>
      <c r="U151" s="48" t="str">
        <f t="shared" si="21"/>
        <v>USD 10.00</v>
      </c>
      <c r="V151" s="44" t="str">
        <f t="shared" si="21"/>
        <v>MobileTeleSystems</v>
      </c>
      <c r="AT151" s="69"/>
    </row>
    <row r="152" spans="1:46">
      <c r="C152" s="48" t="str">
        <f t="shared" si="20"/>
        <v>MTN</v>
      </c>
      <c r="D152" s="44" t="str">
        <f t="shared" si="20"/>
        <v>ZAR 92.00</v>
      </c>
      <c r="E152" s="44" t="str">
        <f t="shared" si="20"/>
        <v>ZAR 130.00</v>
      </c>
      <c r="F152" s="45">
        <f t="shared" si="20"/>
        <v>0.41304347826086962</v>
      </c>
      <c r="G152" s="44" t="str">
        <f t="shared" si="20"/>
        <v>Buy</v>
      </c>
      <c r="H152" s="46"/>
      <c r="I152" s="45">
        <f>MTN!$D$45</f>
        <v>3.5869565217391305E-2</v>
      </c>
      <c r="J152" s="45">
        <f>MTN!$E$45</f>
        <v>3.5869565217391305E-2</v>
      </c>
      <c r="K152" s="45">
        <f>MTN!$F$45</f>
        <v>3.9456521739130432E-2</v>
      </c>
      <c r="L152" s="45">
        <f>MTN!$G$45</f>
        <v>4.3402173913043476E-2</v>
      </c>
      <c r="M152" s="45">
        <f>MTN!$H$45</f>
        <v>6.56022367666107E-2</v>
      </c>
      <c r="N152" s="56"/>
      <c r="O152" s="169">
        <f>MTN!$D$47</f>
        <v>-7.7927252994104051E-2</v>
      </c>
      <c r="P152" s="169">
        <f>MTN!$E$47</f>
        <v>-1.0756022900896778E-2</v>
      </c>
      <c r="Q152" s="169">
        <f>MTN!$F$47</f>
        <v>2.1419381274060501E-2</v>
      </c>
      <c r="R152" s="169">
        <f>MTN!$G$47</f>
        <v>4.2561441468268242E-2</v>
      </c>
      <c r="S152" s="169">
        <f>MTN!$H$47</f>
        <v>-1.8174144679787287</v>
      </c>
      <c r="T152" s="46"/>
      <c r="U152" s="48" t="str">
        <f t="shared" si="21"/>
        <v>ZAR 92.00</v>
      </c>
      <c r="V152" s="44" t="str">
        <f t="shared" si="21"/>
        <v>MTN</v>
      </c>
      <c r="AT152" s="69"/>
    </row>
    <row r="153" spans="1:46" s="5" customFormat="1">
      <c r="A153" s="39"/>
      <c r="B153" s="42"/>
      <c r="C153" s="48" t="str">
        <f t="shared" si="20"/>
        <v>Safaricom</v>
      </c>
      <c r="D153" s="44" t="str">
        <f t="shared" si="20"/>
        <v>KES 14.80</v>
      </c>
      <c r="E153" s="44" t="str">
        <f t="shared" si="20"/>
        <v>KES 17.0</v>
      </c>
      <c r="F153" s="45">
        <f t="shared" si="20"/>
        <v>0.14864864864864868</v>
      </c>
      <c r="G153" s="44" t="str">
        <f t="shared" si="20"/>
        <v>Neutral</v>
      </c>
      <c r="H153" s="46"/>
      <c r="I153" s="45">
        <f>SAF!$D$45</f>
        <v>6.7414508322844624E-2</v>
      </c>
      <c r="J153" s="45">
        <f>SAF!$E$45</f>
        <v>8.7676752568118507E-2</v>
      </c>
      <c r="K153" s="45">
        <f>SAF!$F$45</f>
        <v>0.10645115491969033</v>
      </c>
      <c r="L153" s="45">
        <f>SAF!$G$45</f>
        <v>0.12071297271685968</v>
      </c>
      <c r="M153" s="45">
        <f>SAF!$H$45</f>
        <v>0.21432105304348426</v>
      </c>
      <c r="N153" s="56"/>
      <c r="O153" s="169">
        <f>SAF!$D$47</f>
        <v>9.1198016898263609E-2</v>
      </c>
      <c r="P153" s="169">
        <f>SAF!$E$47</f>
        <v>7.0478338967632864E-2</v>
      </c>
      <c r="Q153" s="169">
        <f>SAF!$F$47</f>
        <v>0.12334199156460553</v>
      </c>
      <c r="R153" s="169">
        <f>SAF!$G$47</f>
        <v>0.16177077939741627</v>
      </c>
      <c r="S153" s="169">
        <f>SAF!$H$47</f>
        <v>0.21051886246874441</v>
      </c>
      <c r="T153" s="46"/>
      <c r="U153" s="48" t="str">
        <f t="shared" si="21"/>
        <v>KES 14.80</v>
      </c>
      <c r="V153" s="44" t="str">
        <f t="shared" si="21"/>
        <v>Safaricom</v>
      </c>
      <c r="AI153" s="41"/>
      <c r="AJ153" s="64"/>
      <c r="AN153" s="64"/>
      <c r="AR153" s="64"/>
      <c r="AT153" s="69"/>
    </row>
    <row r="154" spans="1:46" s="5" customFormat="1">
      <c r="A154" s="39"/>
      <c r="B154" s="42"/>
      <c r="C154" s="48" t="str">
        <f t="shared" si="20"/>
        <v>Turkcell</v>
      </c>
      <c r="D154" s="44" t="str">
        <f t="shared" si="20"/>
        <v>USD 99.65</v>
      </c>
      <c r="E154" s="44" t="str">
        <f t="shared" si="20"/>
        <v>USD 16.90</v>
      </c>
      <c r="F154" s="45">
        <f t="shared" si="20"/>
        <v>-0.83040642247867535</v>
      </c>
      <c r="G154" s="44" t="str">
        <f t="shared" si="20"/>
        <v>Buy</v>
      </c>
      <c r="H154" s="46"/>
      <c r="I154" s="45">
        <f>TKC!$D$45</f>
        <v>1.8252846712991502E-2</v>
      </c>
      <c r="J154" s="45">
        <f>TKC!$E$45</f>
        <v>1.9431844289840027E-2</v>
      </c>
      <c r="K154" s="45">
        <f>TKC!$F$45</f>
        <v>2.0980841628796907E-2</v>
      </c>
      <c r="L154" s="45">
        <f>TKC!$G$45</f>
        <v>2.2851704167760445E-2</v>
      </c>
      <c r="M154" s="45">
        <f>TKC!$H$45</f>
        <v>7.7778035922869693E-2</v>
      </c>
      <c r="N154" s="56"/>
      <c r="O154" s="169">
        <f>TKC!$D$47</f>
        <v>2.7615923033268253E-2</v>
      </c>
      <c r="P154" s="169">
        <f>TKC!$E$47</f>
        <v>3.0625406480463305E-2</v>
      </c>
      <c r="Q154" s="169">
        <f>TKC!$F$47</f>
        <v>3.3751153980382802E-2</v>
      </c>
      <c r="R154" s="169">
        <f>TKC!$G$47</f>
        <v>3.5380391219655284E-2</v>
      </c>
      <c r="S154" s="169">
        <f>TKC!$H$47</f>
        <v>8.6094686647357976E-2</v>
      </c>
      <c r="T154" s="46"/>
      <c r="U154" s="48" t="str">
        <f t="shared" si="21"/>
        <v>USD 99.65</v>
      </c>
      <c r="V154" s="44" t="str">
        <f t="shared" si="21"/>
        <v>Turkcell</v>
      </c>
      <c r="AT154" s="69"/>
    </row>
    <row r="155" spans="1:46" s="5" customFormat="1">
      <c r="A155" s="39"/>
      <c r="B155" s="42"/>
      <c r="C155" s="48" t="str">
        <f t="shared" si="20"/>
        <v>VEON</v>
      </c>
      <c r="D155" s="44" t="str">
        <f t="shared" si="20"/>
        <v>USD 27.2</v>
      </c>
      <c r="E155" s="44" t="str">
        <f t="shared" si="20"/>
        <v>USD 40.0</v>
      </c>
      <c r="F155" s="45">
        <f t="shared" si="20"/>
        <v>0.47058823529411775</v>
      </c>
      <c r="G155" s="44" t="str">
        <f t="shared" si="20"/>
        <v>Buy</v>
      </c>
      <c r="H155" s="46"/>
      <c r="I155" s="45">
        <f>VIMP!$D$45</f>
        <v>0</v>
      </c>
      <c r="J155" s="45">
        <f>VIMP!$E$45</f>
        <v>4.5588906927846286E-3</v>
      </c>
      <c r="K155" s="45">
        <f>VIMP!$F$45</f>
        <v>8.8323422228061867E-3</v>
      </c>
      <c r="L155" s="45">
        <f>VIMP!$G$45</f>
        <v>7.3077719853664189E-3</v>
      </c>
      <c r="M155" s="45" t="str">
        <f>VIMP!$H$45</f>
        <v>nm</v>
      </c>
      <c r="N155" s="56"/>
      <c r="O155" s="45">
        <f>VIMP!$D$47</f>
        <v>9.1187798213410495E-3</v>
      </c>
      <c r="P155" s="45">
        <f>VIMP!$E$47</f>
        <v>1.7666618803555616E-2</v>
      </c>
      <c r="Q155" s="45">
        <f>VIMP!$F$47</f>
        <v>1.4617144434848779E-2</v>
      </c>
      <c r="R155" s="45">
        <f>VIMP!$G$47</f>
        <v>1.6012973734556579E-2</v>
      </c>
      <c r="S155" s="45">
        <f>VIMP!$H$47</f>
        <v>0.20645673979448609</v>
      </c>
      <c r="T155" s="46"/>
      <c r="U155" s="48" t="str">
        <f t="shared" si="21"/>
        <v>USD 27.2</v>
      </c>
      <c r="V155" s="44" t="str">
        <f t="shared" si="21"/>
        <v>Vimpel Com</v>
      </c>
      <c r="AT155" s="69"/>
    </row>
    <row r="156" spans="1:46">
      <c r="C156" s="48" t="str">
        <f t="shared" si="20"/>
        <v>Vodacom</v>
      </c>
      <c r="D156" s="44" t="str">
        <f t="shared" si="20"/>
        <v>ZAR 111.1</v>
      </c>
      <c r="E156" s="44" t="str">
        <f t="shared" si="20"/>
        <v>ZAR 150.0</v>
      </c>
      <c r="F156" s="45">
        <f t="shared" si="20"/>
        <v>0.34989200863930892</v>
      </c>
      <c r="G156" s="44" t="str">
        <f t="shared" si="20"/>
        <v>Buy</v>
      </c>
      <c r="H156" s="46"/>
      <c r="I156" s="45">
        <f>VODA!$D$45</f>
        <v>5.3095752339812813E-2</v>
      </c>
      <c r="J156" s="45">
        <f>VODA!$E$45</f>
        <v>5.622301340697098E-2</v>
      </c>
      <c r="K156" s="45">
        <f>VODA!$F$45</f>
        <v>7.2288927695288593E-2</v>
      </c>
      <c r="L156" s="45">
        <f>VODA!$G$45</f>
        <v>8.5117432257377362E-2</v>
      </c>
      <c r="M156" s="45">
        <f>VODA!$H$45</f>
        <v>0.17036029109666129</v>
      </c>
      <c r="N156" s="56"/>
      <c r="O156" s="45">
        <f>VODA!$D$47</f>
        <v>5.2982010146380029E-2</v>
      </c>
      <c r="P156" s="45">
        <f>VODA!$E$47</f>
        <v>5.7728654328304499E-2</v>
      </c>
      <c r="Q156" s="45">
        <f>VODA!$F$47</f>
        <v>6.7528883227115089E-2</v>
      </c>
      <c r="R156" s="45">
        <f>VODA!$G$47</f>
        <v>7.6742485476828506E-2</v>
      </c>
      <c r="S156" s="45">
        <f>VODA!$H$47</f>
        <v>0.13145115403750895</v>
      </c>
      <c r="T156" s="46"/>
      <c r="U156" s="48" t="str">
        <f t="shared" si="21"/>
        <v>ZAR 111.1</v>
      </c>
      <c r="V156" s="44" t="str">
        <f t="shared" si="21"/>
        <v>Vodacom</v>
      </c>
      <c r="AT156" s="69"/>
    </row>
    <row r="157" spans="1:46" s="5" customFormat="1">
      <c r="A157" s="39"/>
      <c r="B157" s="42"/>
      <c r="C157" s="51" t="str">
        <f>C95</f>
        <v>Agg. EMEA Cellular</v>
      </c>
      <c r="D157" s="52"/>
      <c r="E157" s="52"/>
      <c r="F157" s="53"/>
      <c r="G157" s="52"/>
      <c r="H157" s="46"/>
      <c r="I157" s="55">
        <f>'EMEA CELLULAR'!$D$45</f>
        <v>1.8067342047517077E-2</v>
      </c>
      <c r="J157" s="55">
        <f>'EMEA CELLULAR'!$E$45</f>
        <v>2.1685197442238385E-2</v>
      </c>
      <c r="K157" s="55">
        <f>'EMEA CELLULAR'!$F$45</f>
        <v>2.716595241137466E-2</v>
      </c>
      <c r="L157" s="55">
        <f>'EMEA CELLULAR'!$G$45</f>
        <v>2.9076456344932108E-2</v>
      </c>
      <c r="M157" s="55">
        <f>'EMEA CELLULAR'!$H$45</f>
        <v>0.17141106606848178</v>
      </c>
      <c r="N157" s="56"/>
      <c r="O157" s="55">
        <f>'EMEA CELLULAR'!$D$47</f>
        <v>2.226507616343203E-2</v>
      </c>
      <c r="P157" s="55">
        <f>'EMEA CELLULAR'!$E$47</f>
        <v>3.3338825713237569E-2</v>
      </c>
      <c r="Q157" s="55">
        <f>'EMEA CELLULAR'!$F$47</f>
        <v>3.9897468824452963E-2</v>
      </c>
      <c r="R157" s="55">
        <f>'EMEA CELLULAR'!$G$47</f>
        <v>4.712781293928861E-2</v>
      </c>
      <c r="S157" s="55">
        <f>'EMEA CELLULAR'!$H$47</f>
        <v>0.28395863860305148</v>
      </c>
      <c r="T157" s="46"/>
      <c r="U157" s="57"/>
      <c r="V157" s="58" t="str">
        <f>V95</f>
        <v>Agg. EMEA Cellular</v>
      </c>
      <c r="AT157" s="69"/>
    </row>
    <row r="158" spans="1:46">
      <c r="A158" s="5"/>
      <c r="C158" s="43"/>
      <c r="D158" s="44"/>
      <c r="E158" s="44"/>
      <c r="F158" s="45"/>
      <c r="G158" s="44"/>
      <c r="H158" s="46"/>
      <c r="I158" s="45"/>
      <c r="J158" s="45"/>
      <c r="K158" s="45"/>
      <c r="L158" s="45"/>
      <c r="M158" s="45"/>
      <c r="N158" s="56"/>
      <c r="O158" s="45"/>
      <c r="P158" s="45"/>
      <c r="Q158" s="45"/>
      <c r="R158" s="45"/>
      <c r="S158" s="45"/>
      <c r="T158" s="46"/>
      <c r="U158" s="48"/>
      <c r="V158" s="50"/>
      <c r="AE158" s="41"/>
    </row>
    <row r="159" spans="1:46">
      <c r="A159" s="5"/>
      <c r="C159" s="48" t="str">
        <f t="shared" ref="C159:G161" si="22">C97</f>
        <v>Entel</v>
      </c>
      <c r="D159" s="44" t="str">
        <f t="shared" si="22"/>
        <v>CLP 2,900</v>
      </c>
      <c r="E159" s="44" t="str">
        <f t="shared" si="22"/>
        <v>CLP 3,150</v>
      </c>
      <c r="F159" s="45">
        <f t="shared" si="22"/>
        <v>8.6206896551724199E-2</v>
      </c>
      <c r="G159" s="44" t="str">
        <f t="shared" si="22"/>
        <v>Neutral</v>
      </c>
      <c r="H159" s="46"/>
      <c r="I159" s="45">
        <f>ENTEL!$D$45</f>
        <v>2.9642241379310343E-2</v>
      </c>
      <c r="J159" s="45">
        <f>ENTEL!$E$45</f>
        <v>3.2606465517241383E-2</v>
      </c>
      <c r="K159" s="45">
        <f>ENTEL!$F$45</f>
        <v>3.586711206896552E-2</v>
      </c>
      <c r="L159" s="45">
        <f>ENTEL!$G$45</f>
        <v>3.9453823275862082E-2</v>
      </c>
      <c r="M159" s="45">
        <f>ENTEL!$H$45</f>
        <v>0.10000000000000009</v>
      </c>
      <c r="N159" s="56"/>
      <c r="O159" s="169">
        <f>ENTEL!$D$47</f>
        <v>0.1115807217608788</v>
      </c>
      <c r="P159" s="169">
        <f>ENTEL!$E$47</f>
        <v>0.13731600319551274</v>
      </c>
      <c r="Q159" s="169">
        <f>ENTEL!$F$47</f>
        <v>0.16649524836146465</v>
      </c>
      <c r="R159" s="169">
        <f>ENTEL!$G$47</f>
        <v>0.18326463374386201</v>
      </c>
      <c r="S159" s="169">
        <f>ENTEL!$H$47</f>
        <v>0.2731216083954402</v>
      </c>
      <c r="T159" s="46"/>
      <c r="U159" s="48" t="str">
        <f t="shared" ref="U159:V161" si="23">U97</f>
        <v>CLP 2,900</v>
      </c>
      <c r="V159" s="44" t="str">
        <f t="shared" si="23"/>
        <v>Entel</v>
      </c>
      <c r="AI159" s="41"/>
      <c r="AJ159" s="64"/>
    </row>
    <row r="160" spans="1:46" s="5" customFormat="1">
      <c r="B160" s="42"/>
      <c r="C160" s="48" t="str">
        <f t="shared" si="22"/>
        <v>Millicom</v>
      </c>
      <c r="D160" s="44" t="str">
        <f t="shared" si="22"/>
        <v>USD  26.6</v>
      </c>
      <c r="E160" s="44" t="str">
        <f t="shared" si="22"/>
        <v>USD 18.0</v>
      </c>
      <c r="F160" s="45">
        <f t="shared" si="22"/>
        <v>-0.32407059707097252</v>
      </c>
      <c r="G160" s="44" t="str">
        <f t="shared" si="22"/>
        <v>Neutral</v>
      </c>
      <c r="H160" s="46"/>
      <c r="I160" s="45">
        <f>MILLI!$D$45</f>
        <v>0</v>
      </c>
      <c r="J160" s="45">
        <f>MILLI!$E$45</f>
        <v>0</v>
      </c>
      <c r="K160" s="45">
        <f>MILLI!$F$45</f>
        <v>0</v>
      </c>
      <c r="L160" s="45">
        <f>MILLI!$G$45</f>
        <v>0</v>
      </c>
      <c r="M160" s="45" t="str">
        <f>MILLI!$H$45</f>
        <v>nm</v>
      </c>
      <c r="N160" s="56"/>
      <c r="O160" s="169">
        <f>MILLI!$D$47</f>
        <v>5.0257938831502112E-2</v>
      </c>
      <c r="P160" s="169">
        <f>MILLI!$E$47</f>
        <v>6.2133023335229493E-2</v>
      </c>
      <c r="Q160" s="169">
        <f>MILLI!$F$47</f>
        <v>7.549082280523664E-2</v>
      </c>
      <c r="R160" s="169">
        <f>MILLI!$G$47</f>
        <v>0.10900690650840572</v>
      </c>
      <c r="S160" s="169">
        <f>MILLI!$H$47</f>
        <v>0.16660079559050223</v>
      </c>
      <c r="T160" s="46"/>
      <c r="U160" s="48" t="str">
        <f t="shared" si="23"/>
        <v>USD  26.6</v>
      </c>
      <c r="V160" s="44" t="str">
        <f t="shared" si="23"/>
        <v>Millicom</v>
      </c>
    </row>
    <row r="161" spans="1:45" s="5" customFormat="1">
      <c r="B161" s="42"/>
      <c r="C161" s="48" t="str">
        <f t="shared" si="22"/>
        <v>TIM Participacoes</v>
      </c>
      <c r="D161" s="44" t="str">
        <f t="shared" si="22"/>
        <v>BRL 18.63</v>
      </c>
      <c r="E161" s="44" t="str">
        <f t="shared" si="22"/>
        <v>BRL 23.00</v>
      </c>
      <c r="F161" s="45">
        <f t="shared" si="22"/>
        <v>0.23456790123456805</v>
      </c>
      <c r="G161" s="44" t="str">
        <f t="shared" si="22"/>
        <v>Buy</v>
      </c>
      <c r="H161" s="46"/>
      <c r="I161" s="45">
        <f>TIMP!$D$45</f>
        <v>6.1524331667359058E-2</v>
      </c>
      <c r="J161" s="45">
        <f>TIMP!$E$45</f>
        <v>8.9210280917670637E-2</v>
      </c>
      <c r="K161" s="45">
        <f>TIMP!$F$45</f>
        <v>0.10259182305532122</v>
      </c>
      <c r="L161" s="45">
        <f>TIMP!$G$45</f>
        <v>0.10772141420808727</v>
      </c>
      <c r="M161" s="45">
        <f>TIMP!$H$45</f>
        <v>0.20527194381139346</v>
      </c>
      <c r="N161" s="56"/>
      <c r="O161" s="45">
        <f>TIMP!$D$47</f>
        <v>0.10867203847943542</v>
      </c>
      <c r="P161" s="45">
        <f>TIMP!$E$47</f>
        <v>0.14692125723885602</v>
      </c>
      <c r="Q161" s="45">
        <f>TIMP!$F$47</f>
        <v>0.17882269673124673</v>
      </c>
      <c r="R161" s="45">
        <f>TIMP!$G$47</f>
        <v>0.19227901166024128</v>
      </c>
      <c r="S161" s="45">
        <f>TIMP!$H$47</f>
        <v>0.20949670386105068</v>
      </c>
      <c r="T161" s="46"/>
      <c r="U161" s="48" t="str">
        <f t="shared" si="23"/>
        <v>BRL 18.63</v>
      </c>
      <c r="V161" s="44" t="str">
        <f t="shared" si="23"/>
        <v>TIM Participacoes</v>
      </c>
      <c r="AE161" s="41"/>
      <c r="AF161" s="31"/>
      <c r="AG161" s="31"/>
      <c r="AI161" s="41"/>
      <c r="AJ161" s="64"/>
      <c r="AK161" s="64"/>
      <c r="AM161" s="41"/>
      <c r="AN161" s="17"/>
      <c r="AO161" s="17"/>
      <c r="AQ161" s="41"/>
      <c r="AR161" s="18"/>
      <c r="AS161" s="18"/>
    </row>
    <row r="162" spans="1:45" s="5" customFormat="1">
      <c r="B162" s="42"/>
      <c r="C162" s="51" t="str">
        <f>C100</f>
        <v>Agg. LatAm Cellular</v>
      </c>
      <c r="D162" s="52"/>
      <c r="E162" s="52"/>
      <c r="F162" s="53"/>
      <c r="G162" s="52"/>
      <c r="H162" s="46"/>
      <c r="I162" s="55">
        <f>'LATAM CELLULAR'!$D$45</f>
        <v>3.4312714157629799E-2</v>
      </c>
      <c r="J162" s="55">
        <f>'LATAM CELLULAR'!$E$45</f>
        <v>4.8901958681009668E-2</v>
      </c>
      <c r="K162" s="55">
        <f>'LATAM CELLULAR'!$F$45</f>
        <v>5.7463028133344397E-2</v>
      </c>
      <c r="L162" s="55">
        <f>'LATAM CELLULAR'!$G$45</f>
        <v>6.1989139812626819E-2</v>
      </c>
      <c r="M162" s="55">
        <f>'LATAM CELLULAR'!$H$45</f>
        <v>0.19840195224916335</v>
      </c>
      <c r="N162" s="56"/>
      <c r="O162" s="55">
        <f>'LATAM CELLULAR'!$D$47</f>
        <v>7.8761458132415155E-2</v>
      </c>
      <c r="P162" s="55">
        <f>'LATAM CELLULAR'!$E$47</f>
        <v>0.10268030325529091</v>
      </c>
      <c r="Q162" s="55">
        <f>'LATAM CELLULAR'!$F$47</f>
        <v>0.12604795352601314</v>
      </c>
      <c r="R162" s="55">
        <f>'LATAM CELLULAR'!$G$47</f>
        <v>0.15561278540295925</v>
      </c>
      <c r="S162" s="55">
        <f>'LATAM CELLULAR'!$H$47</f>
        <v>0.20320186438666643</v>
      </c>
      <c r="T162" s="46"/>
      <c r="U162" s="57"/>
      <c r="V162" s="58" t="str">
        <f>V100</f>
        <v>Agg. LatAm Cellular</v>
      </c>
      <c r="AE162" s="41"/>
      <c r="AF162" s="31"/>
      <c r="AG162" s="31"/>
      <c r="AI162" s="41"/>
      <c r="AJ162" s="64"/>
      <c r="AK162" s="64"/>
      <c r="AM162" s="41"/>
      <c r="AN162" s="17"/>
      <c r="AO162" s="17"/>
      <c r="AQ162" s="41"/>
      <c r="AR162" s="18"/>
      <c r="AS162" s="18"/>
    </row>
    <row r="163" spans="1:45" s="5" customFormat="1">
      <c r="A163" s="39"/>
      <c r="B163" s="42"/>
      <c r="C163" s="43"/>
      <c r="D163" s="44"/>
      <c r="E163" s="44"/>
      <c r="F163" s="45"/>
      <c r="G163" s="44"/>
      <c r="H163" s="46"/>
      <c r="I163" s="45"/>
      <c r="J163" s="45"/>
      <c r="K163" s="45"/>
      <c r="L163" s="45"/>
      <c r="M163" s="45"/>
      <c r="N163" s="46"/>
      <c r="O163" s="45"/>
      <c r="P163" s="45"/>
      <c r="Q163" s="45"/>
      <c r="R163" s="45"/>
      <c r="S163" s="45"/>
      <c r="T163" s="46"/>
      <c r="U163" s="48"/>
      <c r="V163" s="50"/>
      <c r="AE163" s="41"/>
      <c r="AF163" s="31"/>
      <c r="AG163" s="31"/>
      <c r="AI163" s="41"/>
      <c r="AJ163" s="64"/>
      <c r="AK163" s="64"/>
      <c r="AM163" s="41"/>
      <c r="AN163" s="17"/>
      <c r="AO163" s="17"/>
      <c r="AQ163" s="41"/>
      <c r="AR163" s="18"/>
      <c r="AS163" s="18"/>
    </row>
    <row r="164" spans="1:45" s="5" customFormat="1">
      <c r="B164" s="42"/>
      <c r="C164" s="48" t="str">
        <f t="shared" ref="C164:G177" si="24">C102</f>
        <v>AIS</v>
      </c>
      <c r="D164" s="44" t="str">
        <f t="shared" si="24"/>
        <v>THB 269.0</v>
      </c>
      <c r="E164" s="44" t="str">
        <f t="shared" si="24"/>
        <v>THB 300.0</v>
      </c>
      <c r="F164" s="45">
        <f t="shared" si="24"/>
        <v>0.11524163568773238</v>
      </c>
      <c r="G164" s="44" t="str">
        <f t="shared" si="24"/>
        <v>Buy</v>
      </c>
      <c r="H164" s="46"/>
      <c r="I164" s="45">
        <f>ADVANCED!$D$45</f>
        <v>3.2007434944237918E-2</v>
      </c>
      <c r="J164" s="45">
        <f>ADVANCED!$E$45</f>
        <v>3.8268278783910446E-2</v>
      </c>
      <c r="K164" s="45">
        <f>ADVANCED!$F$45</f>
        <v>5.235186511132419E-2</v>
      </c>
      <c r="L164" s="45">
        <f>ADVANCED!$G$45</f>
        <v>6.1520572560139514E-2</v>
      </c>
      <c r="M164" s="45">
        <f>ADVANCED!$H$45</f>
        <v>0.24333979009018925</v>
      </c>
      <c r="N164" s="46"/>
      <c r="O164" s="45">
        <f>ADVANCED!$D$47</f>
        <v>5.4035844731164517E-2</v>
      </c>
      <c r="P164" s="45">
        <f>ADVANCED!$E$47</f>
        <v>8.5148491200454257E-2</v>
      </c>
      <c r="Q164" s="45">
        <f>ADVANCED!$F$47</f>
        <v>9.1195824908212042E-2</v>
      </c>
      <c r="R164" s="45">
        <f>ADVANCED!$G$47</f>
        <v>8.9582304378390099E-2</v>
      </c>
      <c r="S164" s="45">
        <f>ADVANCED!$H$47</f>
        <v>0.18353224573047422</v>
      </c>
      <c r="T164" s="46"/>
      <c r="U164" s="48" t="str">
        <f t="shared" ref="U164:V177" si="25">U102</f>
        <v>THB 269.0</v>
      </c>
      <c r="V164" s="44" t="str">
        <f t="shared" si="25"/>
        <v>AIS</v>
      </c>
      <c r="AE164" s="41"/>
      <c r="AF164" s="31"/>
      <c r="AG164" s="31"/>
      <c r="AI164" s="41"/>
      <c r="AJ164" s="64"/>
      <c r="AK164" s="64"/>
      <c r="AM164" s="41"/>
      <c r="AN164" s="17"/>
      <c r="AO164" s="17"/>
      <c r="AQ164" s="41"/>
      <c r="AR164" s="18"/>
      <c r="AS164" s="18"/>
    </row>
    <row r="165" spans="1:45" s="5" customFormat="1">
      <c r="A165" s="39"/>
      <c r="B165" s="42"/>
      <c r="C165" s="48" t="str">
        <f t="shared" si="24"/>
        <v>Axiata</v>
      </c>
      <c r="D165" s="44" t="str">
        <f t="shared" si="24"/>
        <v>MYR 2.44</v>
      </c>
      <c r="E165" s="44" t="str">
        <f t="shared" si="24"/>
        <v>MYR 4.50</v>
      </c>
      <c r="F165" s="45">
        <f t="shared" si="24"/>
        <v>0.84426229508196715</v>
      </c>
      <c r="G165" s="44" t="str">
        <f t="shared" si="24"/>
        <v>Buy</v>
      </c>
      <c r="H165" s="46"/>
      <c r="I165" s="45">
        <f>AXI!$D$45</f>
        <v>4.0983606557377053E-2</v>
      </c>
      <c r="J165" s="45">
        <f>AXI!$E$45</f>
        <v>4.5081967213114756E-2</v>
      </c>
      <c r="K165" s="45">
        <f>AXI!$F$45</f>
        <v>4.9180327868852458E-2</v>
      </c>
      <c r="L165" s="45">
        <f>AXI!$G$45</f>
        <v>5.3278688524590168E-2</v>
      </c>
      <c r="M165" s="45">
        <f>AXI!$H$45</f>
        <v>9.1392883061105934E-2</v>
      </c>
      <c r="N165" s="46"/>
      <c r="O165" s="45">
        <f>AXI!$D$47</f>
        <v>0.16815448500351726</v>
      </c>
      <c r="P165" s="45">
        <f>AXI!$E$47</f>
        <v>0.20039972036736878</v>
      </c>
      <c r="Q165" s="45">
        <f>AXI!$F$47</f>
        <v>0.21335201547675092</v>
      </c>
      <c r="R165" s="45">
        <f>AXI!$G$47</f>
        <v>0.23680228844528595</v>
      </c>
      <c r="S165" s="45">
        <f>AXI!$H$47</f>
        <v>0.12088006848502442</v>
      </c>
      <c r="T165" s="46"/>
      <c r="U165" s="48" t="str">
        <f t="shared" si="25"/>
        <v>MYR 2.44</v>
      </c>
      <c r="V165" s="44" t="str">
        <f t="shared" si="25"/>
        <v>Axiata</v>
      </c>
      <c r="AE165" s="41"/>
      <c r="AF165" s="31"/>
      <c r="AG165" s="31"/>
      <c r="AI165" s="41"/>
      <c r="AJ165" s="64"/>
      <c r="AK165" s="64"/>
      <c r="AM165" s="41"/>
      <c r="AN165" s="17"/>
      <c r="AO165" s="17"/>
      <c r="AQ165" s="41"/>
      <c r="AR165" s="18"/>
      <c r="AS165" s="18"/>
    </row>
    <row r="166" spans="1:45" s="5" customFormat="1">
      <c r="A166" s="39"/>
      <c r="B166" s="42"/>
      <c r="C166" s="48" t="str">
        <f t="shared" si="24"/>
        <v>Bharti Airtel</v>
      </c>
      <c r="D166" s="44" t="str">
        <f t="shared" si="24"/>
        <v>INR 1539</v>
      </c>
      <c r="E166" s="44" t="str">
        <f t="shared" si="24"/>
        <v>INR 1500</v>
      </c>
      <c r="F166" s="45">
        <f t="shared" si="24"/>
        <v>-2.5404457150282611E-2</v>
      </c>
      <c r="G166" s="44" t="str">
        <f t="shared" si="24"/>
        <v>Neutral</v>
      </c>
      <c r="H166" s="46"/>
      <c r="I166" s="45">
        <f>BHART!$D$45</f>
        <v>5.1978428951984929E-3</v>
      </c>
      <c r="J166" s="45">
        <f>BHART!$E$45</f>
        <v>1.2994607237996232E-2</v>
      </c>
      <c r="K166" s="45">
        <f>BHART!$F$45</f>
        <v>1.9491910856994348E-2</v>
      </c>
      <c r="L166" s="45">
        <f>BHART!$G$45</f>
        <v>2.782863415004945E-2</v>
      </c>
      <c r="M166" s="45">
        <f>BHART!$H$45</f>
        <v>0.74940184755137995</v>
      </c>
      <c r="N166" s="46"/>
      <c r="O166" s="45">
        <f>BHART!$D$47</f>
        <v>1.6218849279198231E-2</v>
      </c>
      <c r="P166" s="45">
        <f>BHART!$E$47</f>
        <v>2.6887907686696848E-2</v>
      </c>
      <c r="Q166" s="45">
        <f>BHART!$F$47</f>
        <v>3.9575942945710568E-2</v>
      </c>
      <c r="R166" s="45">
        <f>BHART!$G$47</f>
        <v>5.4182040464444005E-2</v>
      </c>
      <c r="S166" s="45">
        <f>BHART!$H$47</f>
        <v>0.49489872946611912</v>
      </c>
      <c r="T166" s="46"/>
      <c r="U166" s="48" t="str">
        <f t="shared" si="25"/>
        <v>INR 1539</v>
      </c>
      <c r="V166" s="44" t="str">
        <f t="shared" si="25"/>
        <v>Bharti Airtel</v>
      </c>
      <c r="AE166" s="41"/>
      <c r="AF166" s="31"/>
      <c r="AG166" s="31"/>
      <c r="AI166" s="41"/>
      <c r="AJ166" s="64"/>
      <c r="AK166" s="64"/>
      <c r="AM166" s="41"/>
      <c r="AN166" s="17"/>
      <c r="AO166" s="17"/>
      <c r="AQ166" s="41"/>
      <c r="AR166" s="18"/>
      <c r="AS166" s="18"/>
    </row>
    <row r="167" spans="1:45" s="5" customFormat="1">
      <c r="B167" s="42"/>
      <c r="C167" s="48" t="str">
        <f t="shared" si="24"/>
        <v>China Mobile</v>
      </c>
      <c r="D167" s="44" t="str">
        <f t="shared" si="24"/>
        <v>HKD 72.0</v>
      </c>
      <c r="E167" s="44" t="str">
        <f t="shared" si="24"/>
        <v>HKD 115.0</v>
      </c>
      <c r="F167" s="45">
        <f t="shared" si="24"/>
        <v>0.59722222222222232</v>
      </c>
      <c r="G167" s="44" t="str">
        <f t="shared" si="24"/>
        <v>Buy</v>
      </c>
      <c r="H167" s="46"/>
      <c r="I167" s="45">
        <f>_CM!$D$45</f>
        <v>6.6921876759695173E-2</v>
      </c>
      <c r="J167" s="45">
        <f>_CM!$E$45</f>
        <v>7.1846872628168468E-2</v>
      </c>
      <c r="K167" s="45">
        <f>_CM!$F$45</f>
        <v>7.5705979126063125E-2</v>
      </c>
      <c r="L167" s="45">
        <f>_CM!$G$45</f>
        <v>8.3839378510055088E-2</v>
      </c>
      <c r="M167" s="45">
        <f>_CM!$H$45</f>
        <v>7.8019572965508432E-2</v>
      </c>
      <c r="N167" s="46"/>
      <c r="O167" s="45">
        <f>_CM!$D$47</f>
        <v>5.4800048047911769E-2</v>
      </c>
      <c r="P167" s="45">
        <f>_CM!$E$47</f>
        <v>5.8664849197083181E-2</v>
      </c>
      <c r="Q167" s="45">
        <f>_CM!$F$47</f>
        <v>6.8754104196715404E-2</v>
      </c>
      <c r="R167" s="45">
        <f>_CM!$G$47</f>
        <v>7.5631669025809714E-2</v>
      </c>
      <c r="S167" s="45">
        <f>_CM!$H$47</f>
        <v>0.11337358930955155</v>
      </c>
      <c r="T167" s="46"/>
      <c r="U167" s="48" t="str">
        <f t="shared" si="25"/>
        <v>HKD 72.0</v>
      </c>
      <c r="V167" s="44" t="str">
        <f t="shared" si="25"/>
        <v>China Mobile</v>
      </c>
      <c r="AE167" s="41"/>
      <c r="AF167" s="31"/>
      <c r="AG167" s="31"/>
      <c r="AI167" s="41"/>
      <c r="AJ167" s="64"/>
      <c r="AK167" s="64"/>
      <c r="AM167" s="41"/>
      <c r="AN167" s="17"/>
      <c r="AO167" s="17"/>
      <c r="AQ167" s="41"/>
      <c r="AR167" s="18"/>
      <c r="AS167" s="18"/>
    </row>
    <row r="168" spans="1:45" s="5" customFormat="1">
      <c r="B168" s="42"/>
      <c r="C168" s="48" t="str">
        <f t="shared" si="24"/>
        <v>CelcomDigi</v>
      </c>
      <c r="D168" s="44" t="str">
        <f t="shared" si="24"/>
        <v>MYR 3.7</v>
      </c>
      <c r="E168" s="44" t="str">
        <f t="shared" si="24"/>
        <v>MYR 6.0</v>
      </c>
      <c r="F168" s="45">
        <f t="shared" si="24"/>
        <v>0.63934426229508201</v>
      </c>
      <c r="G168" s="44" t="str">
        <f t="shared" si="24"/>
        <v>Buy</v>
      </c>
      <c r="H168" s="46"/>
      <c r="I168" s="45">
        <f>DIGI!$D$45</f>
        <v>3.6065573770491806E-2</v>
      </c>
      <c r="J168" s="45">
        <f>DIGI!$E$45</f>
        <v>4.4054992877433398E-2</v>
      </c>
      <c r="K168" s="45">
        <f>DIGI!$F$45</f>
        <v>5.3062011112857764E-2</v>
      </c>
      <c r="L168" s="45">
        <f>DIGI!$G$45</f>
        <v>6.1845881393700036E-2</v>
      </c>
      <c r="M168" s="45">
        <f>DIGI!$H$45</f>
        <v>0.19694073060847783</v>
      </c>
      <c r="N168" s="46"/>
      <c r="O168" s="45">
        <f>DIGI!$D$47</f>
        <v>6.5909549917723659E-2</v>
      </c>
      <c r="P168" s="45">
        <f>DIGI!$E$47</f>
        <v>5.1995786593677845E-2</v>
      </c>
      <c r="Q168" s="45">
        <f>DIGI!$F$47</f>
        <v>6.0368573851670763E-2</v>
      </c>
      <c r="R168" s="45">
        <f>DIGI!$G$47</f>
        <v>6.8904608676013224E-2</v>
      </c>
      <c r="S168" s="45">
        <f>DIGI!$H$47</f>
        <v>1.4923499405633978E-2</v>
      </c>
      <c r="T168" s="46"/>
      <c r="U168" s="48" t="str">
        <f t="shared" si="25"/>
        <v>MYR 3.7</v>
      </c>
      <c r="V168" s="44" t="str">
        <f t="shared" si="25"/>
        <v>CelcomDigi</v>
      </c>
      <c r="AE168" s="41"/>
      <c r="AF168" s="31"/>
      <c r="AG168" s="31"/>
      <c r="AI168" s="41"/>
      <c r="AJ168" s="64"/>
      <c r="AK168" s="64"/>
      <c r="AM168" s="41"/>
      <c r="AN168" s="17"/>
      <c r="AO168" s="17"/>
      <c r="AQ168" s="41"/>
      <c r="AR168" s="18"/>
      <c r="AS168" s="18"/>
    </row>
    <row r="169" spans="1:45" s="5" customFormat="1">
      <c r="B169" s="42"/>
      <c r="C169" s="48" t="str">
        <f t="shared" si="24"/>
        <v>Far EasTone</v>
      </c>
      <c r="D169" s="44" t="str">
        <f t="shared" si="24"/>
        <v>TWD 91.9</v>
      </c>
      <c r="E169" s="44" t="str">
        <f t="shared" si="24"/>
        <v>TWD n/r</v>
      </c>
      <c r="F169" s="45" t="str">
        <f t="shared" si="24"/>
        <v>-</v>
      </c>
      <c r="G169" s="44" t="str">
        <f t="shared" si="24"/>
        <v>n/r</v>
      </c>
      <c r="H169" s="46"/>
      <c r="I169" s="45">
        <f>FAR!$D$45</f>
        <v>3.632601673014145E-2</v>
      </c>
      <c r="J169" s="45">
        <f>FAR!$E$45</f>
        <v>3.7234167148394982E-2</v>
      </c>
      <c r="K169" s="45">
        <f>FAR!$F$45</f>
        <v>3.8165021327104857E-2</v>
      </c>
      <c r="L169" s="45">
        <f>FAR!$G$45</f>
        <v>3.9119146860282471E-2</v>
      </c>
      <c r="M169" s="45">
        <f>FAR!$H$45</f>
        <v>2.4999999999999911E-2</v>
      </c>
      <c r="N169" s="46"/>
      <c r="O169" s="45">
        <f>FAR!$D$47</f>
        <v>5.3531105741331721E-2</v>
      </c>
      <c r="P169" s="45">
        <f>FAR!$E$47</f>
        <v>5.5709965044952868E-2</v>
      </c>
      <c r="Q169" s="45">
        <f>FAR!$F$47</f>
        <v>5.6450050068025122E-2</v>
      </c>
      <c r="R169" s="45">
        <f>FAR!$G$47</f>
        <v>5.7259601324376332E-2</v>
      </c>
      <c r="S169" s="45">
        <f>FAR!$H$47</f>
        <v>2.2697910262943655E-2</v>
      </c>
      <c r="T169" s="46"/>
      <c r="U169" s="48" t="str">
        <f t="shared" si="25"/>
        <v>TWD 91.9</v>
      </c>
      <c r="V169" s="44" t="str">
        <f t="shared" si="25"/>
        <v>Far EasTone</v>
      </c>
      <c r="AE169" s="41"/>
      <c r="AF169" s="31"/>
      <c r="AG169" s="31"/>
      <c r="AI169" s="41"/>
      <c r="AJ169" s="64"/>
      <c r="AK169" s="64"/>
      <c r="AM169" s="41"/>
      <c r="AN169" s="17"/>
      <c r="AO169" s="17"/>
      <c r="AQ169" s="41"/>
      <c r="AR169" s="18"/>
      <c r="AS169" s="18"/>
    </row>
    <row r="170" spans="1:45" s="5" customFormat="1">
      <c r="B170" s="42"/>
      <c r="C170" s="48" t="str">
        <f t="shared" si="24"/>
        <v>Vodafone IDEA</v>
      </c>
      <c r="D170" s="44" t="str">
        <f t="shared" si="24"/>
        <v>INR 13.4</v>
      </c>
      <c r="E170" s="44" t="str">
        <f t="shared" si="24"/>
        <v>INR 5.0</v>
      </c>
      <c r="F170" s="45">
        <f t="shared" si="24"/>
        <v>-0.62574850299401197</v>
      </c>
      <c r="G170" s="44" t="str">
        <f t="shared" si="24"/>
        <v>Reduce</v>
      </c>
      <c r="H170" s="46"/>
      <c r="I170" s="45">
        <f>IDEA!$D$45</f>
        <v>0</v>
      </c>
      <c r="J170" s="45">
        <f>IDEA!$E$45</f>
        <v>0</v>
      </c>
      <c r="K170" s="45">
        <f>IDEA!$F$45</f>
        <v>0</v>
      </c>
      <c r="L170" s="45">
        <f>IDEA!$G$45</f>
        <v>0</v>
      </c>
      <c r="M170" s="45" t="str">
        <f>IDEA!$H$45</f>
        <v>nm</v>
      </c>
      <c r="N170" s="46"/>
      <c r="O170" s="45">
        <f>IDEA!$D$47</f>
        <v>-0.15602287577646592</v>
      </c>
      <c r="P170" s="45">
        <f>IDEA!$E$47</f>
        <v>-0.27037127933287097</v>
      </c>
      <c r="Q170" s="45">
        <f>IDEA!$F$47</f>
        <v>-0.27767503862832388</v>
      </c>
      <c r="R170" s="45">
        <f>IDEA!$G$47</f>
        <v>-0.1792058795626906</v>
      </c>
      <c r="S170" s="45">
        <f>IDEA!$H$47</f>
        <v>0.16596470933997254</v>
      </c>
      <c r="T170" s="46"/>
      <c r="U170" s="48" t="str">
        <f t="shared" si="25"/>
        <v>INR 13.4</v>
      </c>
      <c r="V170" s="44" t="str">
        <f t="shared" si="25"/>
        <v>Vodafone IDEA</v>
      </c>
      <c r="AE170" s="41"/>
      <c r="AF170" s="31"/>
      <c r="AG170" s="31"/>
      <c r="AI170" s="41"/>
      <c r="AJ170" s="64"/>
      <c r="AK170" s="64"/>
      <c r="AM170" s="41"/>
      <c r="AN170" s="17"/>
      <c r="AO170" s="17"/>
      <c r="AQ170" s="41"/>
      <c r="AR170" s="18"/>
      <c r="AS170" s="18"/>
    </row>
    <row r="171" spans="1:45" s="5" customFormat="1">
      <c r="B171" s="42"/>
      <c r="C171" s="48" t="str">
        <f t="shared" si="24"/>
        <v>Indosat</v>
      </c>
      <c r="D171" s="44" t="str">
        <f t="shared" si="24"/>
        <v>IDR 10,900</v>
      </c>
      <c r="E171" s="44" t="str">
        <f t="shared" si="24"/>
        <v>IDR 12,500</v>
      </c>
      <c r="F171" s="45">
        <f t="shared" si="24"/>
        <v>0.14678899082568808</v>
      </c>
      <c r="G171" s="44" t="str">
        <f t="shared" si="24"/>
        <v>Buy</v>
      </c>
      <c r="H171" s="46"/>
      <c r="I171" s="45">
        <f>INDO!$D$45</f>
        <v>2.4623853211009173E-2</v>
      </c>
      <c r="J171" s="45">
        <f>INDO!$E$45</f>
        <v>2.6960596439293834E-2</v>
      </c>
      <c r="K171" s="45">
        <f>INDO!$F$45</f>
        <v>3.7522870372024696E-2</v>
      </c>
      <c r="L171" s="45">
        <f>INDO!$G$45</f>
        <v>5.043095339294202E-2</v>
      </c>
      <c r="M171" s="45">
        <f>INDO!$H$45</f>
        <v>0.26993177062119189</v>
      </c>
      <c r="N171" s="46"/>
      <c r="O171" s="45">
        <f>INDO!$D$47</f>
        <v>7.2188765155535364E-2</v>
      </c>
      <c r="P171" s="45">
        <f>INDO!$E$47</f>
        <v>0.11113830882732866</v>
      </c>
      <c r="Q171" s="45">
        <f>INDO!$F$47</f>
        <v>0.14307260277812484</v>
      </c>
      <c r="R171" s="45">
        <f>INDO!$G$47</f>
        <v>0.16611422263776238</v>
      </c>
      <c r="S171" s="45">
        <f>INDO!$H$47</f>
        <v>0.32021825962211836</v>
      </c>
      <c r="T171" s="46"/>
      <c r="U171" s="48" t="str">
        <f t="shared" si="25"/>
        <v>IDR 10,900</v>
      </c>
      <c r="V171" s="44" t="str">
        <f t="shared" si="25"/>
        <v>Indosat</v>
      </c>
      <c r="AE171" s="41"/>
      <c r="AF171" s="31"/>
      <c r="AG171" s="31"/>
      <c r="AI171" s="41"/>
      <c r="AJ171" s="64"/>
      <c r="AK171" s="64"/>
      <c r="AM171" s="41"/>
      <c r="AN171" s="17"/>
      <c r="AO171" s="17"/>
      <c r="AQ171" s="41"/>
      <c r="AR171" s="18"/>
      <c r="AS171" s="18"/>
    </row>
    <row r="172" spans="1:45" s="5" customFormat="1">
      <c r="B172" s="42"/>
      <c r="C172" s="48" t="str">
        <f t="shared" si="24"/>
        <v>LG Uplus</v>
      </c>
      <c r="D172" s="44" t="str">
        <f t="shared" si="24"/>
        <v>KRW 9,890</v>
      </c>
      <c r="E172" s="44" t="str">
        <f t="shared" si="24"/>
        <v>KRW 21,000</v>
      </c>
      <c r="F172" s="45">
        <f t="shared" si="24"/>
        <v>1.1233569261880687</v>
      </c>
      <c r="G172" s="44" t="str">
        <f t="shared" si="24"/>
        <v>Buy</v>
      </c>
      <c r="H172" s="46"/>
      <c r="I172" s="45">
        <f>_LG!$D$45</f>
        <v>6.5722952477249755E-2</v>
      </c>
      <c r="J172" s="45">
        <f>_LG!$E$45</f>
        <v>5.6467104609553086E-2</v>
      </c>
      <c r="K172" s="45">
        <f>_LG!$F$45</f>
        <v>6.35727289710461E-2</v>
      </c>
      <c r="L172" s="45">
        <f>_LG!$G$45</f>
        <v>7.1499482207400253E-2</v>
      </c>
      <c r="M172" s="45">
        <f>_LG!$H$45</f>
        <v>2.8478641784472458E-2</v>
      </c>
      <c r="N172" s="46"/>
      <c r="O172" s="45">
        <f>_LG!$D$47</f>
        <v>2.194934680014279E-2</v>
      </c>
      <c r="P172" s="45">
        <f>_LG!$E$47</f>
        <v>6.5316138037820659E-2</v>
      </c>
      <c r="Q172" s="45">
        <f>_LG!$F$47</f>
        <v>7.2804928256179874E-2</v>
      </c>
      <c r="R172" s="45">
        <f>_LG!$G$47</f>
        <v>8.2815669954519625E-2</v>
      </c>
      <c r="S172" s="45">
        <f>_LG!$H$47</f>
        <v>0.55679097902007735</v>
      </c>
      <c r="T172" s="46"/>
      <c r="U172" s="48" t="str">
        <f t="shared" si="25"/>
        <v>KRW 9,890</v>
      </c>
      <c r="V172" s="44" t="str">
        <f t="shared" si="25"/>
        <v>LG Uplus</v>
      </c>
      <c r="AE172" s="41"/>
      <c r="AF172" s="31"/>
      <c r="AG172" s="31"/>
      <c r="AI172" s="41"/>
      <c r="AJ172" s="64"/>
      <c r="AK172" s="64"/>
      <c r="AM172" s="41"/>
      <c r="AN172" s="17"/>
      <c r="AO172" s="17"/>
      <c r="AQ172" s="41"/>
      <c r="AR172" s="18"/>
      <c r="AS172" s="18"/>
    </row>
    <row r="173" spans="1:45" s="5" customFormat="1">
      <c r="A173" s="39"/>
      <c r="B173" s="42"/>
      <c r="C173" s="48" t="str">
        <f t="shared" si="24"/>
        <v>Maxis</v>
      </c>
      <c r="D173" s="44" t="str">
        <f t="shared" si="24"/>
        <v>MYR 3.82</v>
      </c>
      <c r="E173" s="44" t="str">
        <f t="shared" si="24"/>
        <v>MYR 5.60</v>
      </c>
      <c r="F173" s="45">
        <f t="shared" si="24"/>
        <v>0.46596858638743455</v>
      </c>
      <c r="G173" s="44" t="str">
        <f t="shared" si="24"/>
        <v>Buy</v>
      </c>
      <c r="H173" s="46"/>
      <c r="I173" s="45">
        <f>MAXI!$D$45</f>
        <v>4.1884816753926704E-2</v>
      </c>
      <c r="J173" s="45">
        <f>MAXI!$E$45</f>
        <v>4.6471632928753469E-2</v>
      </c>
      <c r="K173" s="45">
        <f>MAXI!$F$45</f>
        <v>5.2633753521872599E-2</v>
      </c>
      <c r="L173" s="45">
        <f>MAXI!$G$45</f>
        <v>5.8034932681404014E-2</v>
      </c>
      <c r="M173" s="45">
        <f>MAXI!$H$45</f>
        <v>0.11502578102968863</v>
      </c>
      <c r="N173" s="46"/>
      <c r="O173" s="45">
        <f>MAXI!$D$47</f>
        <v>5.7018262866271117E-2</v>
      </c>
      <c r="P173" s="45">
        <f>MAXI!$E$47</f>
        <v>5.7077497560131384E-2</v>
      </c>
      <c r="Q173" s="45">
        <f>MAXI!$F$47</f>
        <v>5.967225052753581E-2</v>
      </c>
      <c r="R173" s="45">
        <f>MAXI!$G$47</f>
        <v>6.2447330313166641E-2</v>
      </c>
      <c r="S173" s="45">
        <f>MAXI!$H$47</f>
        <v>3.0957080150083804E-2</v>
      </c>
      <c r="T173" s="46"/>
      <c r="U173" s="48" t="str">
        <f t="shared" si="25"/>
        <v>MYR 3.82</v>
      </c>
      <c r="V173" s="44" t="str">
        <f t="shared" si="25"/>
        <v>Maxis</v>
      </c>
      <c r="AE173" s="41"/>
      <c r="AF173" s="31"/>
      <c r="AG173" s="31"/>
      <c r="AI173" s="41"/>
      <c r="AJ173" s="64"/>
      <c r="AK173" s="64"/>
      <c r="AM173" s="41"/>
      <c r="AN173" s="17"/>
      <c r="AO173" s="17"/>
      <c r="AQ173" s="41"/>
      <c r="AR173" s="18"/>
      <c r="AS173" s="18"/>
    </row>
    <row r="174" spans="1:45" s="5" customFormat="1">
      <c r="B174" s="42"/>
      <c r="C174" s="48" t="str">
        <f t="shared" si="24"/>
        <v>SK Telecom</v>
      </c>
      <c r="D174" s="44" t="str">
        <f t="shared" si="24"/>
        <v>KRW 57,800</v>
      </c>
      <c r="E174" s="44" t="str">
        <f t="shared" si="24"/>
        <v>KRW 116,000</v>
      </c>
      <c r="F174" s="45">
        <f t="shared" si="24"/>
        <v>1.0069204152249136</v>
      </c>
      <c r="G174" s="44" t="str">
        <f t="shared" si="24"/>
        <v>Buy</v>
      </c>
      <c r="H174" s="46"/>
      <c r="I174" s="45">
        <f>SKT!$D$45</f>
        <v>6.1245674740484438E-2</v>
      </c>
      <c r="J174" s="45">
        <f>SKT!$E$45</f>
        <v>7.7689564518691065E-2</v>
      </c>
      <c r="K174" s="45">
        <f>SKT!$F$45</f>
        <v>8.4485174190106399E-2</v>
      </c>
      <c r="L174" s="45">
        <f>SKT!$G$45</f>
        <v>9.2767885428167468E-2</v>
      </c>
      <c r="M174" s="45">
        <f>SKT!$H$45</f>
        <v>0.14367883223340594</v>
      </c>
      <c r="N174" s="46"/>
      <c r="O174" s="45">
        <f>SKT!$D$47</f>
        <v>8.4447199013038043E-2</v>
      </c>
      <c r="P174" s="45">
        <f>SKT!$E$47</f>
        <v>0.12692668220769077</v>
      </c>
      <c r="Q174" s="45">
        <f>SKT!$F$47</f>
        <v>0.12092888944061224</v>
      </c>
      <c r="R174" s="45">
        <f>SKT!$G$47</f>
        <v>0.15237482941170516</v>
      </c>
      <c r="S174" s="45">
        <f>SKT!$H$47</f>
        <v>0.21238158967356324</v>
      </c>
      <c r="T174" s="46"/>
      <c r="U174" s="48" t="str">
        <f t="shared" si="25"/>
        <v>KRW 57,800</v>
      </c>
      <c r="V174" s="44" t="str">
        <f t="shared" si="25"/>
        <v>SK Telecom</v>
      </c>
      <c r="AE174" s="41"/>
      <c r="AF174" s="31"/>
      <c r="AG174" s="31"/>
      <c r="AI174" s="41"/>
      <c r="AJ174" s="64"/>
      <c r="AK174" s="64"/>
      <c r="AM174" s="41"/>
      <c r="AN174" s="17"/>
      <c r="AO174" s="17"/>
      <c r="AQ174" s="41"/>
      <c r="AR174" s="18"/>
      <c r="AS174" s="18"/>
    </row>
    <row r="175" spans="1:45" s="5" customFormat="1">
      <c r="B175" s="42"/>
      <c r="C175" s="48" t="str">
        <f t="shared" si="24"/>
        <v>Taiwan Mobile</v>
      </c>
      <c r="D175" s="44" t="str">
        <f t="shared" si="24"/>
        <v>TWD 115.0</v>
      </c>
      <c r="E175" s="44" t="str">
        <f t="shared" si="24"/>
        <v>TWD n/r</v>
      </c>
      <c r="F175" s="45" t="str">
        <f t="shared" si="24"/>
        <v>-</v>
      </c>
      <c r="G175" s="44" t="str">
        <f t="shared" si="24"/>
        <v>n/r</v>
      </c>
      <c r="H175" s="46"/>
      <c r="I175" s="45">
        <f>TAIWAN!$D$45</f>
        <v>4.6956521739130438E-2</v>
      </c>
      <c r="J175" s="45">
        <f>TAIWAN!$E$45</f>
        <v>4.6956521739130438E-2</v>
      </c>
      <c r="K175" s="45">
        <f>TAIWAN!$F$45</f>
        <v>4.6956521739130438E-2</v>
      </c>
      <c r="L175" s="45">
        <f>TAIWAN!$G$45</f>
        <v>4.6956521739130438E-2</v>
      </c>
      <c r="M175" s="45">
        <f>TAIWAN!$H$45</f>
        <v>0</v>
      </c>
      <c r="N175" s="46"/>
      <c r="O175" s="45">
        <f>TAIWAN!$D$47</f>
        <v>6.4195815526805991E-2</v>
      </c>
      <c r="P175" s="45">
        <f>TAIWAN!$E$47</f>
        <v>7.1977764686805709E-2</v>
      </c>
      <c r="Q175" s="45">
        <f>TAIWAN!$F$47</f>
        <v>7.3155192513933986E-2</v>
      </c>
      <c r="R175" s="45">
        <f>TAIWAN!$G$47</f>
        <v>8.0173729566544241E-2</v>
      </c>
      <c r="S175" s="45">
        <f>TAIWAN!$H$47</f>
        <v>7.6899368139329516E-2</v>
      </c>
      <c r="T175" s="46"/>
      <c r="U175" s="48" t="str">
        <f t="shared" si="25"/>
        <v>TWD 115.0</v>
      </c>
      <c r="V175" s="44" t="str">
        <f t="shared" si="25"/>
        <v>Taiwan Mobile</v>
      </c>
      <c r="AE175" s="41"/>
      <c r="AF175" s="31"/>
      <c r="AG175" s="31"/>
      <c r="AI175" s="41"/>
      <c r="AJ175" s="64"/>
      <c r="AK175" s="64"/>
      <c r="AM175" s="41"/>
      <c r="AN175" s="17"/>
      <c r="AO175" s="17"/>
      <c r="AQ175" s="41"/>
      <c r="AR175" s="18"/>
      <c r="AS175" s="18"/>
    </row>
    <row r="176" spans="1:45" s="5" customFormat="1">
      <c r="B176" s="42"/>
      <c r="C176" s="48" t="str">
        <f t="shared" si="24"/>
        <v>True Corp</v>
      </c>
      <c r="D176" s="44" t="str">
        <f t="shared" si="24"/>
        <v>THB 10.7</v>
      </c>
      <c r="E176" s="44" t="str">
        <f t="shared" si="24"/>
        <v>THB 15.0</v>
      </c>
      <c r="F176" s="45">
        <f t="shared" si="24"/>
        <v>0.40186915887850483</v>
      </c>
      <c r="G176" s="44" t="str">
        <f t="shared" si="24"/>
        <v>Buy</v>
      </c>
      <c r="H176" s="46"/>
      <c r="I176" s="45">
        <f>TRUECORP!$D$45</f>
        <v>0</v>
      </c>
      <c r="J176" s="45">
        <f>TRUECORP!$E$45</f>
        <v>2.2857703587938587E-3</v>
      </c>
      <c r="K176" s="45">
        <f>TRUECORP!$F$45</f>
        <v>1.3422467147359412E-2</v>
      </c>
      <c r="L176" s="45">
        <f>TRUECORP!$G$45</f>
        <v>4.5203307446505046E-2</v>
      </c>
      <c r="M176" s="45" t="str">
        <f>TRUECORP!$H$45</f>
        <v>nm</v>
      </c>
      <c r="N176" s="46"/>
      <c r="O176" s="45">
        <f>TRUECORP!$D$47</f>
        <v>8.9823566926017465E-2</v>
      </c>
      <c r="P176" s="45">
        <f>TRUECORP!$E$47</f>
        <v>0.13369172582977282</v>
      </c>
      <c r="Q176" s="45">
        <f>TRUECORP!$F$47</f>
        <v>0.15835308355033254</v>
      </c>
      <c r="R176" s="45">
        <f>TRUECORP!$G$47</f>
        <v>0.17779086227346116</v>
      </c>
      <c r="S176" s="45">
        <f>TRUECORP!$H$47</f>
        <v>0.2555664808277105</v>
      </c>
      <c r="T176" s="46"/>
      <c r="U176" s="48" t="str">
        <f t="shared" si="25"/>
        <v>THB 10.7</v>
      </c>
      <c r="V176" s="44" t="str">
        <f t="shared" si="25"/>
        <v>True Corp</v>
      </c>
      <c r="AE176" s="41"/>
      <c r="AF176" s="31"/>
      <c r="AG176" s="31"/>
      <c r="AI176" s="41"/>
      <c r="AJ176" s="64"/>
      <c r="AK176" s="64"/>
      <c r="AM176" s="41"/>
      <c r="AN176" s="17"/>
      <c r="AO176" s="17"/>
      <c r="AQ176" s="41"/>
      <c r="AR176" s="18"/>
      <c r="AS176" s="18"/>
    </row>
    <row r="177" spans="1:45" s="5" customFormat="1">
      <c r="B177" s="42"/>
      <c r="C177" s="48" t="str">
        <f t="shared" si="24"/>
        <v>XL Axiata</v>
      </c>
      <c r="D177" s="44" t="str">
        <f t="shared" si="24"/>
        <v>IDR 2,330</v>
      </c>
      <c r="E177" s="44" t="str">
        <f t="shared" si="24"/>
        <v>IDR 5,000</v>
      </c>
      <c r="F177" s="45">
        <f t="shared" si="24"/>
        <v>1.1459227467811157</v>
      </c>
      <c r="G177" s="44" t="str">
        <f t="shared" si="24"/>
        <v>Buy</v>
      </c>
      <c r="H177" s="46"/>
      <c r="I177" s="45">
        <f>XLAX!$D$45</f>
        <v>2.0858369098712443E-2</v>
      </c>
      <c r="J177" s="45">
        <f>XLAX!$E$45</f>
        <v>2.6953112772068657E-2</v>
      </c>
      <c r="K177" s="45">
        <f>XLAX!$F$45</f>
        <v>3.4639749204670396E-2</v>
      </c>
      <c r="L177" s="45">
        <f>XLAX!$G$45</f>
        <v>4.323711091555086E-2</v>
      </c>
      <c r="M177" s="45">
        <f>XLAX!$H$45</f>
        <v>0.27504478570969981</v>
      </c>
      <c r="N177" s="56"/>
      <c r="O177" s="45">
        <f>XLAX!$D$47</f>
        <v>0.17895852864247372</v>
      </c>
      <c r="P177" s="45">
        <f>XLAX!$E$47</f>
        <v>0.19553881319931402</v>
      </c>
      <c r="Q177" s="45">
        <f>XLAX!$F$47</f>
        <v>0.22775166390366519</v>
      </c>
      <c r="R177" s="45">
        <f>XLAX!$G$47</f>
        <v>0.2509652523877417</v>
      </c>
      <c r="S177" s="45">
        <f>XLAX!$H$47</f>
        <v>0.11931862816894312</v>
      </c>
      <c r="T177" s="46"/>
      <c r="U177" s="48" t="str">
        <f t="shared" si="25"/>
        <v>IDR 2,330</v>
      </c>
      <c r="V177" s="44" t="str">
        <f t="shared" si="25"/>
        <v>XL Axiata</v>
      </c>
      <c r="AE177" s="41"/>
      <c r="AF177" s="31"/>
      <c r="AG177" s="31"/>
      <c r="AI177" s="41"/>
      <c r="AJ177" s="64"/>
      <c r="AK177" s="64"/>
      <c r="AM177" s="41"/>
      <c r="AN177" s="17"/>
      <c r="AO177" s="17"/>
      <c r="AQ177" s="41"/>
      <c r="AR177" s="18"/>
      <c r="AS177" s="18"/>
    </row>
    <row r="178" spans="1:45" s="5" customFormat="1">
      <c r="B178" s="42"/>
      <c r="C178" s="51" t="str">
        <f>C116</f>
        <v>Agg. Emerging Asia Cellular</v>
      </c>
      <c r="D178" s="52"/>
      <c r="E178" s="52"/>
      <c r="F178" s="53"/>
      <c r="G178" s="52"/>
      <c r="H178" s="46"/>
      <c r="I178" s="55">
        <f>'EM ASIA CELLULAR'!$D$45</f>
        <v>4.1658856335201368E-2</v>
      </c>
      <c r="J178" s="55">
        <f>'EM ASIA CELLULAR'!$E$45</f>
        <v>4.6883496700569051E-2</v>
      </c>
      <c r="K178" s="55">
        <f>'EM ASIA CELLULAR'!$F$45</f>
        <v>5.233240744898579E-2</v>
      </c>
      <c r="L178" s="55">
        <f>'EM ASIA CELLULAR'!$G$45</f>
        <v>6.0628638270366096E-2</v>
      </c>
      <c r="M178" s="55">
        <f>'EM ASIA CELLULAR'!$H$45</f>
        <v>0.13590759320735235</v>
      </c>
      <c r="N178" s="56"/>
      <c r="O178" s="55">
        <f>'EM ASIA CELLULAR'!$D$47</f>
        <v>4.4433192244964455E-2</v>
      </c>
      <c r="P178" s="55">
        <f>'EM ASIA CELLULAR'!$E$47</f>
        <v>4.9767567676144306E-2</v>
      </c>
      <c r="Q178" s="55">
        <f>'EM ASIA CELLULAR'!$F$47</f>
        <v>5.972235319279854E-2</v>
      </c>
      <c r="R178" s="55">
        <f>'EM ASIA CELLULAR'!$G$47</f>
        <v>7.1846087806198985E-2</v>
      </c>
      <c r="S178" s="55">
        <f>'EM ASIA CELLULAR'!$H$47</f>
        <v>0.17648045170847126</v>
      </c>
      <c r="T178" s="46"/>
      <c r="U178" s="57"/>
      <c r="V178" s="58" t="str">
        <f>V116</f>
        <v>Agg. Emerging Asia Cellular</v>
      </c>
      <c r="AE178" s="41"/>
      <c r="AF178" s="31"/>
      <c r="AG178" s="31"/>
      <c r="AI178" s="41"/>
      <c r="AJ178" s="64"/>
      <c r="AK178" s="64"/>
      <c r="AM178" s="41"/>
      <c r="AN178" s="17"/>
      <c r="AO178" s="17"/>
      <c r="AQ178" s="41"/>
      <c r="AR178" s="18"/>
      <c r="AS178" s="18"/>
    </row>
    <row r="179" spans="1:45" s="5" customFormat="1">
      <c r="B179" s="42"/>
      <c r="C179" s="43"/>
      <c r="D179" s="44"/>
      <c r="E179" s="44"/>
      <c r="F179" s="68"/>
      <c r="G179" s="44"/>
      <c r="H179" s="46"/>
      <c r="I179" s="61"/>
      <c r="J179" s="61"/>
      <c r="K179" s="61"/>
      <c r="L179" s="61"/>
      <c r="M179" s="61"/>
      <c r="N179" s="46"/>
      <c r="O179" s="61"/>
      <c r="P179" s="61"/>
      <c r="Q179" s="61"/>
      <c r="R179" s="61"/>
      <c r="S179" s="61"/>
      <c r="T179" s="46"/>
      <c r="U179" s="48"/>
      <c r="V179" s="50"/>
      <c r="AE179" s="41"/>
      <c r="AF179" s="31"/>
      <c r="AG179" s="31"/>
      <c r="AI179" s="41"/>
      <c r="AJ179" s="64"/>
      <c r="AK179" s="64"/>
      <c r="AM179" s="41"/>
      <c r="AN179" s="17"/>
      <c r="AO179" s="17"/>
      <c r="AQ179" s="41"/>
      <c r="AR179" s="18"/>
      <c r="AS179" s="18"/>
    </row>
    <row r="180" spans="1:45" s="5" customFormat="1">
      <c r="B180" s="42"/>
      <c r="C180" s="51" t="str">
        <f>C118</f>
        <v>Agg. Emerging  Cellular</v>
      </c>
      <c r="D180" s="52"/>
      <c r="E180" s="52"/>
      <c r="F180" s="53"/>
      <c r="G180" s="52"/>
      <c r="H180" s="46"/>
      <c r="I180" s="55">
        <f>'EM CELLULAR'!$D$45</f>
        <v>3.7116361304412031E-2</v>
      </c>
      <c r="J180" s="55">
        <f>'EM CELLULAR'!$E$45</f>
        <v>4.227508239193372E-2</v>
      </c>
      <c r="K180" s="55">
        <f>'EM CELLULAR'!$F$45</f>
        <v>4.7791817313081346E-2</v>
      </c>
      <c r="L180" s="55">
        <f>'EM CELLULAR'!$G$45</f>
        <v>5.4825835656098436E-2</v>
      </c>
      <c r="M180" s="55">
        <f>'EM CELLULAR'!$H$45</f>
        <v>0.14051948142171655</v>
      </c>
      <c r="N180" s="46"/>
      <c r="O180" s="55">
        <f>'EM CELLULAR'!$D$47</f>
        <v>4.148162048027134E-2</v>
      </c>
      <c r="P180" s="55">
        <f>'EM CELLULAR'!$E$47</f>
        <v>4.8358711058810219E-2</v>
      </c>
      <c r="Q180" s="55">
        <f>'EM CELLULAR'!$F$47</f>
        <v>5.8068309078049177E-2</v>
      </c>
      <c r="R180" s="55">
        <f>'EM CELLULAR'!$G$47</f>
        <v>6.954440581633678E-2</v>
      </c>
      <c r="S180" s="55">
        <f>'EM CELLULAR'!$H$47</f>
        <v>0.18889227648007534</v>
      </c>
      <c r="T180" s="46"/>
      <c r="U180" s="57"/>
      <c r="V180" s="58" t="str">
        <f>V118</f>
        <v>Agg. Emerging  Cellular</v>
      </c>
      <c r="AE180" s="41"/>
      <c r="AF180" s="31"/>
      <c r="AG180" s="31"/>
      <c r="AI180" s="41"/>
      <c r="AJ180" s="64"/>
      <c r="AK180" s="64"/>
      <c r="AM180" s="41"/>
      <c r="AN180" s="17"/>
      <c r="AO180" s="17"/>
      <c r="AQ180" s="41"/>
      <c r="AR180" s="18"/>
      <c r="AS180" s="18"/>
    </row>
    <row r="181" spans="1:45" s="5" customFormat="1">
      <c r="A181" s="39"/>
      <c r="B181" s="42"/>
      <c r="C181" s="43"/>
      <c r="D181" s="44"/>
      <c r="E181" s="44"/>
      <c r="F181" s="45"/>
      <c r="G181" s="44"/>
      <c r="H181" s="46"/>
      <c r="I181" s="45"/>
      <c r="J181" s="45"/>
      <c r="K181" s="45"/>
      <c r="L181" s="45"/>
      <c r="M181" s="45"/>
      <c r="N181" s="46"/>
      <c r="O181" s="45"/>
      <c r="P181" s="45"/>
      <c r="Q181" s="45"/>
      <c r="R181" s="45"/>
      <c r="S181" s="45"/>
      <c r="T181" s="46"/>
      <c r="U181" s="48"/>
      <c r="V181" s="50"/>
      <c r="AE181" s="41"/>
      <c r="AF181" s="31"/>
      <c r="AG181" s="31"/>
      <c r="AI181" s="41"/>
      <c r="AJ181" s="64"/>
      <c r="AK181" s="64"/>
      <c r="AM181" s="41"/>
      <c r="AN181" s="17"/>
      <c r="AO181" s="17"/>
      <c r="AQ181" s="41"/>
      <c r="AR181" s="18"/>
      <c r="AS181" s="18"/>
    </row>
    <row r="182" spans="1:45">
      <c r="A182" s="41" t="s">
        <v>503</v>
      </c>
      <c r="B182" s="42" t="s">
        <v>577</v>
      </c>
      <c r="C182" s="48" t="s">
        <v>811</v>
      </c>
      <c r="D182" s="44" t="str">
        <f>'EM Multiples'!B182&amp;TEXT(Prices!C$135,"0.00")</f>
        <v>MXN42.67</v>
      </c>
      <c r="E182" s="44" t="str">
        <f>'EM Multiples'!B182&amp;TEXT(Prices!E$135,"0.00")</f>
        <v>MXN55.00</v>
      </c>
      <c r="F182" s="45">
        <f>Prices!F$135</f>
        <v>0.28896179985938586</v>
      </c>
      <c r="G182" s="44" t="str">
        <f>Prices!D$135</f>
        <v>Buy</v>
      </c>
      <c r="H182" s="46"/>
      <c r="I182" s="45">
        <f>MEGA!$D$45</f>
        <v>7.2838059526599497E-2</v>
      </c>
      <c r="J182" s="45">
        <f>MEGA!$E$45</f>
        <v>7.6479962502929461E-2</v>
      </c>
      <c r="K182" s="45">
        <f>MEGA!$F$45</f>
        <v>8.4127958753222418E-2</v>
      </c>
      <c r="L182" s="45">
        <f>MEGA!$G$45</f>
        <v>9.2540754628544664E-2</v>
      </c>
      <c r="M182" s="45">
        <f>MEGA!$H$45</f>
        <v>8.3074231263342124E-2</v>
      </c>
      <c r="N182" s="46"/>
      <c r="O182" s="45">
        <f>MEGA!$D$47</f>
        <v>4.0779333552868384E-2</v>
      </c>
      <c r="P182" s="45">
        <f>MEGA!$E$47</f>
        <v>5.5237370470719263E-2</v>
      </c>
      <c r="Q182" s="45">
        <f>MEGA!$F$47</f>
        <v>0.13577881220299104</v>
      </c>
      <c r="R182" s="45">
        <f>MEGA!$G$47</f>
        <v>0.19335367437843853</v>
      </c>
      <c r="S182" s="45">
        <f>MEGA!$H$47</f>
        <v>0.67997996269311889</v>
      </c>
      <c r="T182" s="46"/>
      <c r="U182" s="48" t="str">
        <f>D182</f>
        <v>MXN42.67</v>
      </c>
      <c r="V182" s="44" t="str">
        <f>C182</f>
        <v>Megacable</v>
      </c>
      <c r="Z182" s="46"/>
      <c r="AE182" s="41"/>
    </row>
    <row r="183" spans="1:45">
      <c r="A183" s="5"/>
      <c r="B183" s="42" t="s">
        <v>406</v>
      </c>
      <c r="C183" s="48" t="s">
        <v>797</v>
      </c>
      <c r="D183" s="44" t="str">
        <f>'EM Multiples'!B183&amp;TEXT(Prices!C$138,"0.00")</f>
        <v>USD9.48</v>
      </c>
      <c r="E183" s="44" t="str">
        <f>'EM Multiples'!B183&amp;TEXT(Prices!E$138,"0.00")</f>
        <v>USD14.00</v>
      </c>
      <c r="F183" s="45">
        <f>Prices!F$138</f>
        <v>0.47679324894514763</v>
      </c>
      <c r="G183" s="44" t="str">
        <f>Prices!D$138</f>
        <v>Buy</v>
      </c>
      <c r="H183" s="46"/>
      <c r="I183" s="45">
        <f>LiLAC!D$45</f>
        <v>0</v>
      </c>
      <c r="J183" s="45">
        <f>LiLAC!E$45</f>
        <v>0</v>
      </c>
      <c r="K183" s="45">
        <f>LiLAC!F$45</f>
        <v>0</v>
      </c>
      <c r="L183" s="45">
        <f>LiLAC!G$45</f>
        <v>0</v>
      </c>
      <c r="M183" s="45" t="str">
        <f>LiLAC!H$45</f>
        <v>nm</v>
      </c>
      <c r="N183" s="46"/>
      <c r="O183" s="45">
        <f>LiLAC!$D$47</f>
        <v>0.15090016028317282</v>
      </c>
      <c r="P183" s="45">
        <f>LiLAC!$E$47</f>
        <v>0.23424418094227881</v>
      </c>
      <c r="Q183" s="45">
        <f>LiLAC!$F$47</f>
        <v>0.21026852027683687</v>
      </c>
      <c r="R183" s="45">
        <f>LiLAC!$G$47</f>
        <v>0.19811310883111158</v>
      </c>
      <c r="S183" s="45">
        <f>LiLAC!$H$47</f>
        <v>0.18558987177064479</v>
      </c>
      <c r="T183" s="46"/>
      <c r="U183" s="48" t="str">
        <f>D183</f>
        <v>USD9.48</v>
      </c>
      <c r="V183" s="44" t="str">
        <f>C183</f>
        <v>LiLAC</v>
      </c>
      <c r="Z183" s="46"/>
      <c r="AE183" s="41"/>
    </row>
    <row r="184" spans="1:45">
      <c r="A184" s="5"/>
      <c r="C184" s="67" t="s">
        <v>814</v>
      </c>
      <c r="D184" s="52"/>
      <c r="E184" s="52"/>
      <c r="F184" s="53"/>
      <c r="G184" s="52"/>
      <c r="H184" s="46"/>
      <c r="I184" s="55">
        <f>'LATAM ALTNET &amp; CABLE'!D45</f>
        <v>3.7695921498269717E-2</v>
      </c>
      <c r="J184" s="55">
        <f>'LATAM ALTNET &amp; CABLE'!E45</f>
        <v>3.948167606742068E-2</v>
      </c>
      <c r="K184" s="55">
        <f>'LATAM ALTNET &amp; CABLE'!F45</f>
        <v>3.832361613940919E-2</v>
      </c>
      <c r="L184" s="55">
        <f>'LATAM ALTNET &amp; CABLE'!G45</f>
        <v>4.2384726849998111E-2</v>
      </c>
      <c r="M184" s="55">
        <f>'LATAM ALTNET &amp; CABLE'!H45</f>
        <v>8.3074231263342124E-2</v>
      </c>
      <c r="N184" s="46"/>
      <c r="O184" s="55">
        <f>'LATAM ALTNET &amp; CABLE'!D47</f>
        <v>0.18145646917911262</v>
      </c>
      <c r="P184" s="55">
        <f>'LATAM ALTNET &amp; CABLE'!E47</f>
        <v>0.27474763866586999</v>
      </c>
      <c r="Q184" s="55">
        <f>'LATAM ALTNET &amp; CABLE'!F47</f>
        <v>0.38709150953887062</v>
      </c>
      <c r="R184" s="55">
        <f>'LATAM ALTNET &amp; CABLE'!G47</f>
        <v>0.42779110805575132</v>
      </c>
      <c r="S184" s="55">
        <f>'LATAM ALTNET &amp; CABLE'!H47</f>
        <v>0.33092351726064217</v>
      </c>
      <c r="T184" s="46"/>
      <c r="U184" s="57"/>
      <c r="V184" s="58" t="str">
        <f>C184</f>
        <v>Agg. Emerging LatAm Altnets &amp; Cable</v>
      </c>
      <c r="Z184" s="46"/>
      <c r="AE184" s="41"/>
    </row>
    <row r="185" spans="1:45" s="5" customFormat="1">
      <c r="A185" s="39"/>
      <c r="B185" s="42"/>
      <c r="C185" s="43"/>
      <c r="D185" s="44"/>
      <c r="E185" s="44"/>
      <c r="F185" s="45"/>
      <c r="G185" s="44"/>
      <c r="H185" s="46"/>
      <c r="I185" s="45"/>
      <c r="J185" s="45"/>
      <c r="K185" s="45"/>
      <c r="L185" s="45"/>
      <c r="M185" s="45"/>
      <c r="N185" s="46"/>
      <c r="O185" s="45"/>
      <c r="P185" s="45"/>
      <c r="Q185" s="45"/>
      <c r="R185" s="45"/>
      <c r="S185" s="45"/>
      <c r="T185" s="46"/>
      <c r="U185" s="48"/>
      <c r="V185" s="50"/>
      <c r="AE185" s="41"/>
      <c r="AF185" s="31"/>
      <c r="AG185" s="31"/>
      <c r="AI185" s="41"/>
      <c r="AJ185" s="64"/>
      <c r="AK185" s="64"/>
      <c r="AM185" s="41"/>
      <c r="AN185" s="17"/>
      <c r="AO185" s="17"/>
      <c r="AQ185" s="41"/>
      <c r="AR185" s="18"/>
      <c r="AS185" s="18"/>
    </row>
    <row r="186" spans="1:45" s="5" customFormat="1">
      <c r="B186" s="42"/>
      <c r="C186" s="67" t="str">
        <f>C124</f>
        <v>Agg. EMEA sector</v>
      </c>
      <c r="D186" s="52"/>
      <c r="E186" s="52"/>
      <c r="F186" s="53"/>
      <c r="G186" s="52"/>
      <c r="H186" s="46"/>
      <c r="I186" s="55">
        <f>'EMEA AGG'!$D$45</f>
        <v>1.9173258729547171E-2</v>
      </c>
      <c r="J186" s="55">
        <f>'EMEA AGG'!$E$45</f>
        <v>2.2769356961297532E-2</v>
      </c>
      <c r="K186" s="55">
        <f>'EMEA AGG'!$F$45</f>
        <v>2.8197932401731199E-2</v>
      </c>
      <c r="L186" s="55">
        <f>'EMEA AGG'!$G$45</f>
        <v>3.0102298014821359E-2</v>
      </c>
      <c r="M186" s="55">
        <f>'EMEA AGG'!$H$45</f>
        <v>0.16179505427307861</v>
      </c>
      <c r="N186" s="56"/>
      <c r="O186" s="55">
        <f>'EMEA AGG'!$D$47</f>
        <v>2.3890400458175674E-2</v>
      </c>
      <c r="P186" s="55">
        <f>'EMEA AGG'!$E$47</f>
        <v>3.4879540634951384E-2</v>
      </c>
      <c r="Q186" s="55">
        <f>'EMEA AGG'!$F$47</f>
        <v>4.137042067622735E-2</v>
      </c>
      <c r="R186" s="55">
        <f>'EMEA AGG'!$G$47</f>
        <v>4.8578176015308755E-2</v>
      </c>
      <c r="S186" s="55">
        <f>'EMEA AGG'!$H$47</f>
        <v>0.26689102117716113</v>
      </c>
      <c r="T186" s="46"/>
      <c r="U186" s="57"/>
      <c r="V186" s="58" t="str">
        <f>V124</f>
        <v>Agg. EMEA sector</v>
      </c>
      <c r="AE186" s="41"/>
      <c r="AF186" s="31"/>
      <c r="AG186" s="31"/>
      <c r="AI186" s="41"/>
      <c r="AJ186" s="64"/>
      <c r="AK186" s="64"/>
      <c r="AM186" s="41"/>
      <c r="AN186" s="17"/>
      <c r="AO186" s="17"/>
      <c r="AQ186" s="41"/>
      <c r="AR186" s="18"/>
      <c r="AS186" s="18"/>
    </row>
    <row r="187" spans="1:45" s="5" customFormat="1">
      <c r="B187" s="42"/>
      <c r="C187" s="41" t="str">
        <f>C125</f>
        <v>Agg. LatAm sector</v>
      </c>
      <c r="D187" s="44"/>
      <c r="E187" s="44"/>
      <c r="F187" s="45"/>
      <c r="G187" s="44"/>
      <c r="H187" s="46"/>
      <c r="I187" s="59">
        <f>'LATAM AGG'!$D$45</f>
        <v>3.2544324889296199E-2</v>
      </c>
      <c r="J187" s="59">
        <f>'LATAM AGG'!$E$45</f>
        <v>3.7344409431296306E-2</v>
      </c>
      <c r="K187" s="59">
        <f>'LATAM AGG'!$F$45</f>
        <v>4.2866384897404228E-2</v>
      </c>
      <c r="L187" s="59">
        <f>'LATAM AGG'!$G$45</f>
        <v>4.7472526453993746E-2</v>
      </c>
      <c r="M187" s="59">
        <f>'LATAM AGG'!$H$45</f>
        <v>0.10723912345182063</v>
      </c>
      <c r="N187" s="56"/>
      <c r="O187" s="59">
        <f>'LATAM AGG'!$D$47</f>
        <v>4.0568951856663926E-2</v>
      </c>
      <c r="P187" s="59">
        <f>'LATAM AGG'!$E$47</f>
        <v>7.054672108633056E-2</v>
      </c>
      <c r="Q187" s="59">
        <f>'LATAM AGG'!$F$47</f>
        <v>9.2724899647632641E-2</v>
      </c>
      <c r="R187" s="59">
        <f>'LATAM AGG'!$G$47</f>
        <v>0.11478778541832096</v>
      </c>
      <c r="S187" s="59">
        <f>'LATAM AGG'!$H$47</f>
        <v>0.3780636710406986</v>
      </c>
      <c r="T187" s="46"/>
      <c r="U187" s="48"/>
      <c r="V187" s="50" t="str">
        <f>V125</f>
        <v>Agg. LatAm sector</v>
      </c>
      <c r="AE187" s="41"/>
      <c r="AF187" s="31"/>
      <c r="AG187" s="31"/>
      <c r="AI187" s="41"/>
      <c r="AJ187" s="64"/>
      <c r="AK187" s="64"/>
      <c r="AM187" s="41"/>
      <c r="AN187" s="17"/>
      <c r="AO187" s="17"/>
      <c r="AQ187" s="41"/>
      <c r="AR187" s="18"/>
      <c r="AS187" s="18"/>
    </row>
    <row r="188" spans="1:45" s="5" customFormat="1">
      <c r="B188" s="42"/>
      <c r="C188" s="67" t="str">
        <f>C126</f>
        <v>Agg. Emerging Asia sector</v>
      </c>
      <c r="D188" s="52"/>
      <c r="E188" s="52"/>
      <c r="F188" s="53"/>
      <c r="G188" s="52"/>
      <c r="H188" s="46"/>
      <c r="I188" s="55">
        <f>'AGG EM ASIA'!$D$45</f>
        <v>4.4347063359767978E-2</v>
      </c>
      <c r="J188" s="55">
        <f>'AGG EM ASIA'!$E$45</f>
        <v>4.9605555580987025E-2</v>
      </c>
      <c r="K188" s="55">
        <f>'AGG EM ASIA'!$F$45</f>
        <v>5.5786697078443456E-2</v>
      </c>
      <c r="L188" s="55">
        <f>'AGG EM ASIA'!$G$45</f>
        <v>6.488290440806746E-2</v>
      </c>
      <c r="M188" s="55">
        <f>'AGG EM ASIA'!$H$45</f>
        <v>0.13736468493430443</v>
      </c>
      <c r="N188" s="56"/>
      <c r="O188" s="55">
        <f>'AGG EM ASIA'!$D$47</f>
        <v>5.61999577090826E-2</v>
      </c>
      <c r="P188" s="55">
        <f>'AGG EM ASIA'!$E$47</f>
        <v>6.4729151958148559E-2</v>
      </c>
      <c r="Q188" s="55">
        <f>'AGG EM ASIA'!$F$47</f>
        <v>7.5394759497731167E-2</v>
      </c>
      <c r="R188" s="55">
        <f>'AGG EM ASIA'!$G$47</f>
        <v>8.7864855180028567E-2</v>
      </c>
      <c r="S188" s="55">
        <f>'AGG EM ASIA'!$H$47</f>
        <v>0.16279824010895028</v>
      </c>
      <c r="T188" s="46"/>
      <c r="U188" s="57"/>
      <c r="V188" s="58" t="str">
        <f>V126</f>
        <v>Agg. Emerging Asia sector</v>
      </c>
      <c r="AE188" s="41"/>
      <c r="AF188" s="31"/>
      <c r="AG188" s="31"/>
      <c r="AI188" s="41"/>
      <c r="AJ188" s="64"/>
      <c r="AK188" s="64"/>
      <c r="AM188" s="41"/>
      <c r="AN188" s="17"/>
      <c r="AO188" s="17"/>
      <c r="AQ188" s="41"/>
      <c r="AR188" s="18"/>
      <c r="AS188" s="18"/>
    </row>
    <row r="189" spans="1:45" s="5" customFormat="1">
      <c r="B189" s="42"/>
      <c r="C189" s="41"/>
      <c r="D189" s="44"/>
      <c r="E189" s="44"/>
      <c r="F189" s="45"/>
      <c r="G189" s="44"/>
      <c r="H189" s="46"/>
      <c r="I189" s="59"/>
      <c r="J189" s="59"/>
      <c r="K189" s="59"/>
      <c r="L189" s="59"/>
      <c r="M189" s="59"/>
      <c r="N189" s="56"/>
      <c r="O189" s="59"/>
      <c r="P189" s="59"/>
      <c r="Q189" s="59"/>
      <c r="R189" s="59"/>
      <c r="S189" s="59"/>
      <c r="T189" s="46"/>
      <c r="U189" s="48"/>
      <c r="V189" s="50"/>
      <c r="AE189" s="41"/>
      <c r="AF189" s="31"/>
      <c r="AG189" s="31"/>
      <c r="AI189" s="41"/>
      <c r="AJ189" s="64"/>
      <c r="AK189" s="64"/>
      <c r="AM189" s="41"/>
      <c r="AN189" s="17"/>
      <c r="AO189" s="17"/>
      <c r="AQ189" s="41"/>
      <c r="AR189" s="18"/>
      <c r="AS189" s="18"/>
    </row>
    <row r="190" spans="1:45" s="5" customFormat="1">
      <c r="B190" s="42"/>
      <c r="C190" s="67" t="str">
        <f>C128</f>
        <v>Agg. Global EM sector (ex-consensus)</v>
      </c>
      <c r="D190" s="52"/>
      <c r="E190" s="52"/>
      <c r="F190" s="53"/>
      <c r="G190" s="52"/>
      <c r="H190" s="46"/>
      <c r="I190" s="55">
        <f>'AGG EM'!$D$45</f>
        <v>3.9575725452429565E-2</v>
      </c>
      <c r="J190" s="55">
        <f>'AGG EM'!$E$45</f>
        <v>4.4599307126826686E-2</v>
      </c>
      <c r="K190" s="55">
        <f>'AGG EM'!$F$45</f>
        <v>5.062338744034766E-2</v>
      </c>
      <c r="L190" s="55">
        <f>'AGG EM'!$G$45</f>
        <v>5.8280255420076719E-2</v>
      </c>
      <c r="M190" s="55">
        <f>'AGG EM'!$H$45</f>
        <v>0.13606146505400307</v>
      </c>
      <c r="N190" s="56"/>
      <c r="O190" s="55">
        <f>'AGG EM'!$D$47</f>
        <v>5.0146939343107481E-2</v>
      </c>
      <c r="P190" s="55">
        <f>'AGG EM'!$E$47</f>
        <v>6.1989801009519022E-2</v>
      </c>
      <c r="Q190" s="55">
        <f>'AGG EM'!$F$47</f>
        <v>7.3683965448696279E-2</v>
      </c>
      <c r="R190" s="55">
        <f>'AGG EM'!$G$47</f>
        <v>8.6675981966062354E-2</v>
      </c>
      <c r="S190" s="55">
        <f>'AGG EM'!$H$47</f>
        <v>0.19756422158027021</v>
      </c>
      <c r="T190" s="46"/>
      <c r="U190" s="57"/>
      <c r="V190" s="58" t="str">
        <f>V128</f>
        <v>Agg. Global EM sector (ex-consensus)</v>
      </c>
      <c r="AE190" s="41"/>
      <c r="AF190" s="31"/>
      <c r="AG190" s="31"/>
      <c r="AI190" s="41"/>
      <c r="AJ190" s="64"/>
      <c r="AK190" s="64"/>
      <c r="AM190" s="41"/>
      <c r="AN190" s="17"/>
      <c r="AO190" s="17"/>
      <c r="AQ190" s="41"/>
      <c r="AR190" s="18"/>
      <c r="AS190" s="18"/>
    </row>
    <row r="191" spans="1:45" s="5" customFormat="1">
      <c r="B191" s="42"/>
      <c r="C191" s="43"/>
      <c r="D191" s="44"/>
      <c r="E191" s="44"/>
      <c r="F191" s="45"/>
      <c r="G191" s="44"/>
      <c r="H191" s="46"/>
      <c r="I191" s="170"/>
      <c r="J191" s="170"/>
      <c r="K191" s="170"/>
      <c r="L191" s="170"/>
      <c r="M191" s="45"/>
      <c r="N191" s="46"/>
      <c r="O191" s="45"/>
      <c r="P191" s="45"/>
      <c r="Q191" s="45"/>
      <c r="R191" s="45"/>
      <c r="S191" s="45"/>
      <c r="T191" s="46"/>
      <c r="U191" s="48"/>
      <c r="V191" s="50"/>
      <c r="AE191" s="41"/>
      <c r="AF191" s="31"/>
      <c r="AG191" s="31"/>
      <c r="AI191" s="41"/>
      <c r="AJ191" s="64"/>
      <c r="AK191" s="64"/>
      <c r="AM191" s="41"/>
      <c r="AN191" s="17"/>
      <c r="AO191" s="17"/>
      <c r="AQ191" s="41"/>
      <c r="AR191" s="18"/>
      <c r="AS191" s="18"/>
    </row>
    <row r="192" spans="1:45" s="5" customFormat="1">
      <c r="B192" s="42"/>
      <c r="C192" s="43"/>
      <c r="D192" s="44"/>
      <c r="E192" s="44"/>
      <c r="F192" s="45"/>
      <c r="G192" s="44"/>
      <c r="H192" s="46"/>
      <c r="I192" s="170"/>
      <c r="J192" s="170"/>
      <c r="K192" s="170"/>
      <c r="L192" s="170"/>
      <c r="M192" s="45"/>
      <c r="N192" s="46"/>
      <c r="O192" s="45"/>
      <c r="P192" s="45"/>
      <c r="Q192" s="45"/>
      <c r="R192" s="45"/>
      <c r="S192" s="45"/>
      <c r="T192" s="46"/>
      <c r="U192" s="48"/>
      <c r="V192" s="50"/>
      <c r="AE192" s="41"/>
      <c r="AF192" s="31"/>
      <c r="AG192" s="31"/>
      <c r="AI192" s="41"/>
      <c r="AJ192" s="64"/>
      <c r="AK192" s="64"/>
      <c r="AM192" s="41"/>
      <c r="AN192" s="17"/>
      <c r="AO192" s="17"/>
      <c r="AQ192" s="41"/>
      <c r="AR192" s="18"/>
      <c r="AS192" s="18"/>
    </row>
    <row r="193" spans="1:69" s="41" customFormat="1">
      <c r="B193" s="147"/>
      <c r="C193" s="164"/>
      <c r="D193" s="165" t="s">
        <v>459</v>
      </c>
      <c r="E193" s="165" t="s">
        <v>56</v>
      </c>
      <c r="F193" s="165" t="s">
        <v>58</v>
      </c>
      <c r="G193" s="165" t="s">
        <v>55</v>
      </c>
      <c r="H193" s="134"/>
      <c r="I193" s="166" t="s">
        <v>525</v>
      </c>
      <c r="J193" s="166"/>
      <c r="K193" s="166"/>
      <c r="L193" s="166"/>
      <c r="M193" s="166"/>
      <c r="N193" s="46"/>
      <c r="O193" s="166" t="s">
        <v>268</v>
      </c>
      <c r="P193" s="166"/>
      <c r="Q193" s="166"/>
      <c r="R193" s="166"/>
      <c r="S193" s="166"/>
      <c r="T193" s="46"/>
      <c r="U193" s="167" t="s">
        <v>459</v>
      </c>
      <c r="V193" s="165"/>
      <c r="Z193" s="49"/>
      <c r="AC193" s="135"/>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BC193" s="137"/>
      <c r="BD193" s="137"/>
      <c r="BE193" s="137"/>
      <c r="BG193" s="137"/>
      <c r="BH193" s="137"/>
      <c r="BI193" s="137"/>
      <c r="BK193" s="137"/>
      <c r="BL193" s="137"/>
      <c r="BM193" s="137"/>
      <c r="BO193" s="137"/>
      <c r="BP193" s="137"/>
      <c r="BQ193" s="137"/>
    </row>
    <row r="194" spans="1:69" s="5" customFormat="1">
      <c r="A194" s="41" t="s">
        <v>501</v>
      </c>
      <c r="B194" s="42"/>
      <c r="C194" s="48" t="str">
        <f>C132</f>
        <v>Telkom SA</v>
      </c>
      <c r="D194" s="44" t="str">
        <f>D132</f>
        <v>ZAR 27.6</v>
      </c>
      <c r="E194" s="44" t="str">
        <f>E132</f>
        <v>ZAR 56.0</v>
      </c>
      <c r="F194" s="45">
        <f>F132</f>
        <v>1.0326678765880217</v>
      </c>
      <c r="G194" s="44" t="str">
        <f>G132</f>
        <v>Neutral</v>
      </c>
      <c r="H194" s="134"/>
      <c r="I194" s="47">
        <f>TKG!$D$41</f>
        <v>0.4632399336456538</v>
      </c>
      <c r="J194" s="47">
        <f>TKG!$E$41</f>
        <v>0.40074038339765855</v>
      </c>
      <c r="K194" s="47">
        <f>TKG!$F$41</f>
        <v>0.33774230402273275</v>
      </c>
      <c r="L194" s="47">
        <f>TKG!$G$41</f>
        <v>0.27223659631667996</v>
      </c>
      <c r="M194" s="45">
        <f>TKG!$H$41</f>
        <v>-4.0694686979286798E-3</v>
      </c>
      <c r="N194" s="46"/>
      <c r="O194" s="47">
        <f>TKG!$D$37</f>
        <v>0.4303507109108346</v>
      </c>
      <c r="P194" s="47">
        <f>TKG!$E$37</f>
        <v>0.36397413058550149</v>
      </c>
      <c r="Q194" s="47">
        <f>TKG!$F$37</f>
        <v>0.29876431261905229</v>
      </c>
      <c r="R194" s="47">
        <f>TKG!$G$37</f>
        <v>0.23578722677146313</v>
      </c>
      <c r="S194" s="45">
        <f>TKG!$H$37</f>
        <v>1.947512825024833E-2</v>
      </c>
      <c r="T194" s="46"/>
      <c r="U194" s="48" t="str">
        <f>U132</f>
        <v>ZAR 27.6</v>
      </c>
      <c r="V194" s="44" t="str">
        <f>V132</f>
        <v>Telkom SA</v>
      </c>
      <c r="AE194" s="41"/>
      <c r="AF194" s="31"/>
      <c r="AG194" s="31"/>
      <c r="AI194" s="41"/>
      <c r="AJ194" s="64"/>
      <c r="AK194" s="64"/>
      <c r="AM194" s="41"/>
      <c r="AN194" s="17"/>
      <c r="AO194" s="17"/>
      <c r="AQ194" s="41"/>
      <c r="AR194" s="18"/>
      <c r="AS194" s="18"/>
    </row>
    <row r="195" spans="1:69" s="5" customFormat="1">
      <c r="A195" s="41"/>
      <c r="B195" s="42"/>
      <c r="C195" s="51" t="str">
        <f>C133</f>
        <v>Agg. EMEA Incumbent</v>
      </c>
      <c r="D195" s="58"/>
      <c r="E195" s="58"/>
      <c r="F195" s="55"/>
      <c r="G195" s="58"/>
      <c r="H195" s="134"/>
      <c r="I195" s="54">
        <f>'EMEA INCUMB'!$D$41</f>
        <v>0.4632399336456538</v>
      </c>
      <c r="J195" s="54">
        <f>'EMEA INCUMB'!$E$41</f>
        <v>0.40074038339765861</v>
      </c>
      <c r="K195" s="54">
        <f>'EMEA INCUMB'!$F$41</f>
        <v>0.33774230402273275</v>
      </c>
      <c r="L195" s="54">
        <f>'EMEA INCUMB'!$G$41</f>
        <v>0.27223659631668001</v>
      </c>
      <c r="M195" s="55">
        <f>'EMEA INCUMB'!$H$41</f>
        <v>-4.0694686979286798E-3</v>
      </c>
      <c r="N195" s="56"/>
      <c r="O195" s="54">
        <f>'EMEA INCUMB'!$D$37</f>
        <v>0.4303507109108346</v>
      </c>
      <c r="P195" s="54">
        <f>'EMEA INCUMB'!$E$37</f>
        <v>0.36397413058550154</v>
      </c>
      <c r="Q195" s="54">
        <f>'EMEA INCUMB'!$F$37</f>
        <v>0.29876431261905234</v>
      </c>
      <c r="R195" s="54">
        <f>'EMEA INCUMB'!$G$37</f>
        <v>0.23578722677146316</v>
      </c>
      <c r="S195" s="55">
        <f>'EMEA INCUMB'!$H$37</f>
        <v>1.947512825024833E-2</v>
      </c>
      <c r="T195" s="56"/>
      <c r="U195" s="51"/>
      <c r="V195" s="58" t="str">
        <f>V133</f>
        <v>Agg. EMEA Incumbent</v>
      </c>
      <c r="AE195" s="41"/>
      <c r="AF195" s="31"/>
      <c r="AG195" s="31"/>
      <c r="AI195" s="41"/>
      <c r="AJ195" s="64"/>
      <c r="AK195" s="64"/>
      <c r="AM195" s="41"/>
      <c r="AN195" s="17"/>
      <c r="AO195" s="17"/>
      <c r="AQ195" s="41"/>
      <c r="AR195" s="18"/>
      <c r="AS195" s="18"/>
    </row>
    <row r="196" spans="1:69" s="5" customFormat="1">
      <c r="A196" s="41"/>
      <c r="B196" s="42"/>
      <c r="C196" s="48"/>
      <c r="D196" s="44"/>
      <c r="E196" s="44"/>
      <c r="F196" s="68"/>
      <c r="G196" s="44"/>
      <c r="H196" s="134"/>
      <c r="I196" s="62"/>
      <c r="J196" s="62"/>
      <c r="K196" s="62"/>
      <c r="L196" s="62"/>
      <c r="M196" s="61"/>
      <c r="N196" s="46"/>
      <c r="O196" s="62"/>
      <c r="P196" s="62"/>
      <c r="Q196" s="62"/>
      <c r="R196" s="62"/>
      <c r="S196" s="61"/>
      <c r="T196" s="46"/>
      <c r="U196" s="48"/>
      <c r="V196" s="44"/>
      <c r="AE196" s="41"/>
      <c r="AF196" s="31"/>
      <c r="AG196" s="31"/>
      <c r="AI196" s="41"/>
      <c r="AJ196" s="64"/>
      <c r="AK196" s="64"/>
      <c r="AM196" s="41"/>
      <c r="AN196" s="17"/>
      <c r="AO196" s="17"/>
      <c r="AQ196" s="41"/>
      <c r="AR196" s="18"/>
      <c r="AS196" s="18"/>
    </row>
    <row r="197" spans="1:69" s="5" customFormat="1">
      <c r="B197" s="42"/>
      <c r="C197" s="48" t="str">
        <f t="shared" ref="C197:G199" si="26">C135</f>
        <v>America Movil</v>
      </c>
      <c r="D197" s="44" t="str">
        <f t="shared" si="26"/>
        <v>USD 16.3</v>
      </c>
      <c r="E197" s="44" t="str">
        <f t="shared" si="26"/>
        <v>USD 24.0</v>
      </c>
      <c r="F197" s="45">
        <f t="shared" si="26"/>
        <v>0.4714898835070509</v>
      </c>
      <c r="G197" s="44" t="str">
        <f t="shared" si="26"/>
        <v>Buy</v>
      </c>
      <c r="H197" s="46"/>
      <c r="I197" s="47">
        <f>AMX!$D$41</f>
        <v>1.5965078678564444</v>
      </c>
      <c r="J197" s="47">
        <f>AMX!$E$41</f>
        <v>1.5279498412683972</v>
      </c>
      <c r="K197" s="47">
        <f>AMX!$F$41</f>
        <v>1.4465251796142446</v>
      </c>
      <c r="L197" s="47">
        <f>AMX!$G$41</f>
        <v>1.3605677329884798</v>
      </c>
      <c r="M197" s="45">
        <f>AMX!$H$41</f>
        <v>-7.6813529020137716E-3</v>
      </c>
      <c r="N197" s="46"/>
      <c r="O197" s="47">
        <f>AMX!$D$37</f>
        <v>1.8844167762098174</v>
      </c>
      <c r="P197" s="47">
        <f>AMX!$E$37</f>
        <v>1.7208623190523844</v>
      </c>
      <c r="Q197" s="47">
        <f>AMX!$F$37</f>
        <v>1.5686419285947892</v>
      </c>
      <c r="R197" s="47">
        <f>AMX!$G$37</f>
        <v>1.4363991018120548</v>
      </c>
      <c r="S197" s="45">
        <f>AMX!$H$37</f>
        <v>2.9915196167993097E-2</v>
      </c>
      <c r="T197" s="46"/>
      <c r="U197" s="48" t="str">
        <f t="shared" ref="U197:V199" si="27">U135</f>
        <v>USD 16.3</v>
      </c>
      <c r="V197" s="44" t="str">
        <f t="shared" si="27"/>
        <v>America Movil</v>
      </c>
      <c r="AE197" s="41"/>
      <c r="AF197" s="31"/>
      <c r="AG197" s="31"/>
      <c r="AI197" s="41"/>
      <c r="AJ197" s="64"/>
      <c r="AK197" s="64"/>
      <c r="AM197" s="41"/>
      <c r="AN197" s="17"/>
      <c r="AO197" s="17"/>
      <c r="AQ197" s="41"/>
      <c r="AR197" s="18"/>
      <c r="AS197" s="18"/>
    </row>
    <row r="198" spans="1:69" s="5" customFormat="1">
      <c r="B198" s="42"/>
      <c r="C198" s="48" t="str">
        <f t="shared" si="26"/>
        <v>Oi</v>
      </c>
      <c r="D198" s="44" t="str">
        <f t="shared" si="26"/>
        <v>BRL 12.10</v>
      </c>
      <c r="E198" s="44" t="str">
        <f t="shared" si="26"/>
        <v>BRL 0.90</v>
      </c>
      <c r="F198" s="45">
        <f t="shared" si="26"/>
        <v>-0.92561983471074383</v>
      </c>
      <c r="G198" s="44" t="str">
        <f t="shared" si="26"/>
        <v>Neutral</v>
      </c>
      <c r="H198" s="46"/>
      <c r="I198" s="47">
        <f>OIBR!$D$41</f>
        <v>2.3725636106169672</v>
      </c>
      <c r="J198" s="47">
        <f>OIBR!$E$41</f>
        <v>2.1221873758808516</v>
      </c>
      <c r="K198" s="47">
        <f>OIBR!$F$41</f>
        <v>2.0723387283550427</v>
      </c>
      <c r="L198" s="47">
        <f>OIBR!$G$41</f>
        <v>2.0143796964203871</v>
      </c>
      <c r="M198" s="45">
        <f>OIBR!$H$41</f>
        <v>0.12333435963956574</v>
      </c>
      <c r="N198" s="46"/>
      <c r="O198" s="47">
        <f>OIBR!$D$37</f>
        <v>2.6399786446612161</v>
      </c>
      <c r="P198" s="47">
        <f>OIBR!$E$37</f>
        <v>2.8104666635725097</v>
      </c>
      <c r="Q198" s="47">
        <f>OIBR!$F$37</f>
        <v>2.8726924743223936</v>
      </c>
      <c r="R198" s="47">
        <f>OIBR!$G$37</f>
        <v>2.9426465951579956</v>
      </c>
      <c r="S198" s="45">
        <f>OIBR!$H$37</f>
        <v>2.5898280258095152E-2</v>
      </c>
      <c r="T198" s="46"/>
      <c r="U198" s="48" t="str">
        <f t="shared" si="27"/>
        <v>BRL 12.10</v>
      </c>
      <c r="V198" s="44" t="str">
        <f t="shared" si="27"/>
        <v>Oi</v>
      </c>
      <c r="AE198" s="41"/>
      <c r="AF198" s="31"/>
      <c r="AG198" s="31"/>
      <c r="AI198" s="41"/>
      <c r="AJ198" s="64"/>
      <c r="AK198" s="64"/>
      <c r="AM198" s="41"/>
      <c r="AN198" s="17"/>
      <c r="AO198" s="17"/>
      <c r="AQ198" s="41"/>
      <c r="AR198" s="18"/>
      <c r="AS198" s="18"/>
    </row>
    <row r="199" spans="1:69" s="5" customFormat="1">
      <c r="B199" s="42"/>
      <c r="C199" s="48" t="str">
        <f t="shared" si="26"/>
        <v>Telefonica Brasil</v>
      </c>
      <c r="D199" s="44" t="str">
        <f t="shared" si="26"/>
        <v>BRL 55.12</v>
      </c>
      <c r="E199" s="44" t="str">
        <f t="shared" si="26"/>
        <v>BRL 61.00</v>
      </c>
      <c r="F199" s="45">
        <f t="shared" si="26"/>
        <v>0.10667634252539915</v>
      </c>
      <c r="G199" s="44" t="str">
        <f t="shared" si="26"/>
        <v>Buy</v>
      </c>
      <c r="H199" s="46"/>
      <c r="I199" s="47">
        <f>VIVO!$D$41</f>
        <v>1.1872995387671366</v>
      </c>
      <c r="J199" s="47">
        <f>VIVO!$E$41</f>
        <v>1.1546120398466999</v>
      </c>
      <c r="K199" s="47">
        <f>VIVO!$F$41</f>
        <v>1.0955138568150879</v>
      </c>
      <c r="L199" s="47">
        <f>VIVO!$G$41</f>
        <v>1.0140767237751014</v>
      </c>
      <c r="M199" s="45">
        <f>VIVO!$H$41</f>
        <v>-1.84429513214317E-2</v>
      </c>
      <c r="N199" s="46"/>
      <c r="O199" s="47">
        <f>VIVO!$D$37</f>
        <v>1.8758558391454851</v>
      </c>
      <c r="P199" s="47">
        <f>VIVO!$E$37</f>
        <v>1.684351528775456</v>
      </c>
      <c r="Q199" s="47">
        <f>VIVO!$F$37</f>
        <v>1.4776878521668306</v>
      </c>
      <c r="R199" s="47">
        <f>VIVO!$G$37</f>
        <v>1.2956291970984875</v>
      </c>
      <c r="S199" s="45">
        <f>VIVO!$H$37</f>
        <v>5.3558436109118146E-2</v>
      </c>
      <c r="T199" s="46"/>
      <c r="U199" s="48" t="str">
        <f t="shared" si="27"/>
        <v>BRL 55.12</v>
      </c>
      <c r="V199" s="44" t="str">
        <f t="shared" si="27"/>
        <v>Telefonica Brasil</v>
      </c>
      <c r="AE199" s="41"/>
      <c r="AF199" s="31"/>
      <c r="AG199" s="31"/>
      <c r="AI199" s="41"/>
      <c r="AJ199" s="64"/>
      <c r="AK199" s="64"/>
      <c r="AM199" s="41"/>
      <c r="AN199" s="17"/>
      <c r="AO199" s="17"/>
      <c r="AQ199" s="41"/>
      <c r="AR199" s="18"/>
      <c r="AS199" s="18"/>
    </row>
    <row r="200" spans="1:69" s="5" customFormat="1">
      <c r="B200" s="42"/>
      <c r="C200" s="48" t="s">
        <v>667</v>
      </c>
      <c r="D200" s="44" t="str">
        <f>D138</f>
        <v>USD 1.8</v>
      </c>
      <c r="E200" s="44" t="str">
        <f>E138</f>
        <v>USD 3.7</v>
      </c>
      <c r="F200" s="45">
        <f>F138</f>
        <v>1.0903954802259888</v>
      </c>
      <c r="G200" s="44" t="str">
        <f>G138</f>
        <v>Neutral</v>
      </c>
      <c r="H200" s="46"/>
      <c r="I200" s="47">
        <f>TVIS!$D$41</f>
        <v>-4.8371095880731789E-2</v>
      </c>
      <c r="J200" s="47">
        <f>TVIS!$E$41</f>
        <v>-6.8710008365617525E-2</v>
      </c>
      <c r="K200" s="47">
        <f>TVIS!$F$41</f>
        <v>-8.1207216032135099E-2</v>
      </c>
      <c r="L200" s="47">
        <f>TVIS!$G$41</f>
        <v>-9.8941683648465256E-2</v>
      </c>
      <c r="M200" s="45">
        <f>TVIS!$H$41</f>
        <v>1.2680527424493437E-3</v>
      </c>
      <c r="N200" s="46"/>
      <c r="O200" s="47">
        <f>TVIS!$D$37</f>
        <v>-0.13181850340980639</v>
      </c>
      <c r="P200" s="47">
        <f>TVIS!$E$37</f>
        <v>-0.18360899421903959</v>
      </c>
      <c r="Q200" s="47">
        <f>TVIS!$F$37</f>
        <v>-0.2148297177540095</v>
      </c>
      <c r="R200" s="47">
        <f>TVIS!$G$37</f>
        <v>-0.26067449222360095</v>
      </c>
      <c r="S200" s="45">
        <f>TVIS!$H$37</f>
        <v>1.2606621051490574E-2</v>
      </c>
      <c r="T200" s="46"/>
      <c r="U200" s="48" t="str">
        <f>U138</f>
        <v>USD 1.8</v>
      </c>
      <c r="V200" s="44" t="s">
        <v>667</v>
      </c>
      <c r="AE200" s="41"/>
      <c r="AF200" s="31"/>
      <c r="AG200" s="31"/>
      <c r="AI200" s="41"/>
      <c r="AJ200" s="64"/>
      <c r="AK200" s="64"/>
      <c r="AM200" s="41"/>
      <c r="AN200" s="17"/>
      <c r="AO200" s="17"/>
      <c r="AQ200" s="41"/>
      <c r="AR200" s="18"/>
      <c r="AS200" s="18"/>
    </row>
    <row r="201" spans="1:69" s="5" customFormat="1">
      <c r="B201" s="42"/>
      <c r="C201" s="51" t="str">
        <f>C139</f>
        <v>Agg. LatAm Incumbent</v>
      </c>
      <c r="D201" s="52"/>
      <c r="E201" s="52"/>
      <c r="F201" s="53"/>
      <c r="G201" s="52"/>
      <c r="H201" s="46"/>
      <c r="I201" s="54">
        <f>'LATAM INCUMB'!$D$41</f>
        <v>1.3500734909901855</v>
      </c>
      <c r="J201" s="54">
        <f>'LATAM INCUMB'!$E$41</f>
        <v>1.2958114371123857</v>
      </c>
      <c r="K201" s="54">
        <f>'LATAM INCUMB'!$F$41</f>
        <v>1.2298151663256318</v>
      </c>
      <c r="L201" s="54">
        <f>'LATAM INCUMB'!$G$41</f>
        <v>1.1569201821496407</v>
      </c>
      <c r="M201" s="55">
        <f>'LATAM INCUMB'!$H$41</f>
        <v>-1.8012682500362365E-3</v>
      </c>
      <c r="N201" s="56"/>
      <c r="O201" s="54">
        <f>'LATAM INCUMB'!$D$37</f>
        <v>1.7981142291912398</v>
      </c>
      <c r="P201" s="54">
        <f>'LATAM INCUMB'!$E$37</f>
        <v>1.6573649184523203</v>
      </c>
      <c r="Q201" s="54">
        <f>'LATAM INCUMB'!$F$37</f>
        <v>1.5166362516889134</v>
      </c>
      <c r="R201" s="54">
        <f>'LATAM INCUMB'!$G$37</f>
        <v>1.393473574712661</v>
      </c>
      <c r="S201" s="55">
        <f>'LATAM INCUMB'!$H$37</f>
        <v>3.2219017878071687E-2</v>
      </c>
      <c r="T201" s="46"/>
      <c r="U201" s="57"/>
      <c r="V201" s="58" t="str">
        <f>V139</f>
        <v>Agg. LatAm Incumbent</v>
      </c>
      <c r="AE201" s="41"/>
      <c r="AF201" s="31"/>
      <c r="AG201" s="31"/>
      <c r="AI201" s="41"/>
      <c r="AJ201" s="64"/>
      <c r="AK201" s="64"/>
      <c r="AM201" s="41"/>
      <c r="AN201" s="17"/>
      <c r="AO201" s="17"/>
      <c r="AQ201" s="41"/>
      <c r="AR201" s="18"/>
      <c r="AS201" s="18"/>
    </row>
    <row r="202" spans="1:69" s="5" customFormat="1">
      <c r="A202" s="39"/>
      <c r="B202" s="42"/>
      <c r="C202" s="48"/>
      <c r="D202" s="44"/>
      <c r="E202" s="44"/>
      <c r="F202" s="45"/>
      <c r="G202" s="44"/>
      <c r="H202" s="46"/>
      <c r="I202" s="47"/>
      <c r="J202" s="47"/>
      <c r="K202" s="47"/>
      <c r="L202" s="47"/>
      <c r="M202" s="45"/>
      <c r="N202" s="56"/>
      <c r="O202" s="47"/>
      <c r="P202" s="47"/>
      <c r="Q202" s="47"/>
      <c r="R202" s="47"/>
      <c r="S202" s="45"/>
      <c r="T202" s="46"/>
      <c r="U202" s="48"/>
      <c r="V202" s="50"/>
      <c r="AE202" s="41"/>
      <c r="AF202" s="31"/>
      <c r="AG202" s="31"/>
      <c r="AI202" s="41"/>
      <c r="AJ202" s="64"/>
      <c r="AK202" s="64"/>
      <c r="AM202" s="41"/>
      <c r="AN202" s="17"/>
      <c r="AO202" s="17"/>
      <c r="AQ202" s="41"/>
      <c r="AR202" s="18"/>
      <c r="AS202" s="18"/>
    </row>
    <row r="203" spans="1:69" s="5" customFormat="1">
      <c r="B203" s="42"/>
      <c r="C203" s="48" t="str">
        <f t="shared" ref="C203:G207" si="28">C141</f>
        <v>China Telecom</v>
      </c>
      <c r="D203" s="44" t="str">
        <f t="shared" si="28"/>
        <v>HKD 4.48</v>
      </c>
      <c r="E203" s="44" t="str">
        <f t="shared" si="28"/>
        <v>HKD 8.75</v>
      </c>
      <c r="F203" s="45">
        <f t="shared" si="28"/>
        <v>0.95312499999999978</v>
      </c>
      <c r="G203" s="44" t="str">
        <f t="shared" si="28"/>
        <v>Buy</v>
      </c>
      <c r="H203" s="46"/>
      <c r="I203" s="47">
        <f>_CT!$D$41</f>
        <v>0.53183741140952279</v>
      </c>
      <c r="J203" s="47">
        <f>_CT!$E$41</f>
        <v>0.50141583547937751</v>
      </c>
      <c r="K203" s="47">
        <f>_CT!$F$41</f>
        <v>0.46562819346559314</v>
      </c>
      <c r="L203" s="47">
        <f>_CT!$G$41</f>
        <v>0.4231492339102596</v>
      </c>
      <c r="M203" s="45">
        <f>_CT!$H$41</f>
        <v>-7.5476595192700557E-3</v>
      </c>
      <c r="N203" s="56"/>
      <c r="O203" s="47">
        <f>_CT!$D$37</f>
        <v>0.42160421240365226</v>
      </c>
      <c r="P203" s="47">
        <f>_CT!$E$37</f>
        <v>0.3806353078280198</v>
      </c>
      <c r="Q203" s="47">
        <f>_CT!$F$37</f>
        <v>0.33434738122537228</v>
      </c>
      <c r="R203" s="47">
        <f>_CT!$G$37</f>
        <v>0.28795438402894619</v>
      </c>
      <c r="S203" s="169">
        <f>_CT!$H$37</f>
        <v>4.4259177475671541E-2</v>
      </c>
      <c r="T203" s="46"/>
      <c r="U203" s="48" t="str">
        <f t="shared" ref="U203:V207" si="29">U141</f>
        <v>HKD 4.48</v>
      </c>
      <c r="V203" s="44" t="str">
        <f t="shared" si="29"/>
        <v>China Telecom</v>
      </c>
      <c r="AE203" s="41"/>
      <c r="AF203" s="31"/>
      <c r="AG203" s="31"/>
      <c r="AI203" s="41"/>
      <c r="AJ203" s="64"/>
      <c r="AK203" s="64"/>
      <c r="AM203" s="41"/>
      <c r="AN203" s="17"/>
      <c r="AO203" s="17"/>
      <c r="AQ203" s="41"/>
      <c r="AR203" s="18"/>
      <c r="AS203" s="18"/>
    </row>
    <row r="204" spans="1:69" s="5" customFormat="1">
      <c r="B204" s="42"/>
      <c r="C204" s="48" t="str">
        <f t="shared" si="28"/>
        <v>China Unicom</v>
      </c>
      <c r="D204" s="44" t="str">
        <f t="shared" si="28"/>
        <v>HKD 6.32</v>
      </c>
      <c r="E204" s="44" t="str">
        <f t="shared" si="28"/>
        <v>HKD 13.20</v>
      </c>
      <c r="F204" s="45">
        <f t="shared" si="28"/>
        <v>1.0886075949367084</v>
      </c>
      <c r="G204" s="44" t="str">
        <f t="shared" si="28"/>
        <v>Buy</v>
      </c>
      <c r="H204" s="46"/>
      <c r="I204" s="47">
        <f>_CU!$D$41</f>
        <v>0.24754794935158536</v>
      </c>
      <c r="J204" s="47">
        <f>_CU!$E$41</f>
        <v>0.20801791278840548</v>
      </c>
      <c r="K204" s="47">
        <f>_CU!$F$41</f>
        <v>0.1669663654952242</v>
      </c>
      <c r="L204" s="47">
        <f>_CU!$G$41</f>
        <v>0.13093957149083321</v>
      </c>
      <c r="M204" s="45">
        <f>_CU!$H$41</f>
        <v>-1.5977193613505025E-2</v>
      </c>
      <c r="N204" s="56"/>
      <c r="O204" s="47">
        <f>_CU!$D$37</f>
        <v>0.23367027034167409</v>
      </c>
      <c r="P204" s="47">
        <f>_CU!$E$37</f>
        <v>0.1863117573935501</v>
      </c>
      <c r="Q204" s="47">
        <f>_CU!$F$37</f>
        <v>0.14063470020098512</v>
      </c>
      <c r="R204" s="47">
        <f>_CU!$G$37</f>
        <v>0.10486591486810735</v>
      </c>
      <c r="S204" s="169">
        <f>_CU!$H$37</f>
        <v>3.9438331851995301E-2</v>
      </c>
      <c r="T204" s="46"/>
      <c r="U204" s="48" t="str">
        <f t="shared" si="29"/>
        <v>HKD 6.32</v>
      </c>
      <c r="V204" s="44" t="str">
        <f t="shared" si="29"/>
        <v>China Unicom</v>
      </c>
      <c r="AE204" s="41"/>
      <c r="AF204" s="31"/>
      <c r="AG204" s="31"/>
      <c r="AI204" s="41"/>
      <c r="AJ204" s="64"/>
      <c r="AK204" s="64"/>
      <c r="AM204" s="41"/>
      <c r="AN204" s="17"/>
      <c r="AO204" s="17"/>
      <c r="AQ204" s="41"/>
      <c r="AR204" s="18"/>
      <c r="AS204" s="18"/>
    </row>
    <row r="205" spans="1:69" s="5" customFormat="1">
      <c r="A205" s="39"/>
      <c r="B205" s="42"/>
      <c r="C205" s="48" t="str">
        <f t="shared" si="28"/>
        <v>Chunghwa Telecom</v>
      </c>
      <c r="D205" s="44" t="str">
        <f t="shared" si="28"/>
        <v>TWD 124.00</v>
      </c>
      <c r="E205" s="44" t="str">
        <f t="shared" si="28"/>
        <v>TWD n/r</v>
      </c>
      <c r="F205" s="45" t="str">
        <f t="shared" si="28"/>
        <v>-</v>
      </c>
      <c r="G205" s="44" t="str">
        <f t="shared" si="28"/>
        <v>n/r</v>
      </c>
      <c r="H205" s="46"/>
      <c r="I205" s="47">
        <f>CHUNG!$D$41</f>
        <v>2.1646850585176982</v>
      </c>
      <c r="J205" s="47">
        <f>CHUNG!$E$41</f>
        <v>2.0950737955833389</v>
      </c>
      <c r="K205" s="47">
        <f>CHUNG!$F$41</f>
        <v>2.017591532022621</v>
      </c>
      <c r="L205" s="47">
        <f>CHUNG!$G$41</f>
        <v>1.9247965780355956</v>
      </c>
      <c r="M205" s="45">
        <f>CHUNG!$H$41</f>
        <v>-2.8650544100582875E-2</v>
      </c>
      <c r="N205" s="56"/>
      <c r="O205" s="47">
        <f>CHUNG!$D$37</f>
        <v>3.9184178031764771</v>
      </c>
      <c r="P205" s="47">
        <f>CHUNG!$E$37</f>
        <v>3.6447460900635145</v>
      </c>
      <c r="Q205" s="47">
        <f>CHUNG!$F$37</f>
        <v>3.3631332109154779</v>
      </c>
      <c r="R205" s="47">
        <f>CHUNG!$G$37</f>
        <v>3.0837790132783418</v>
      </c>
      <c r="S205" s="45">
        <f>CHUNG!$H$37</f>
        <v>1.1691353321333642E-2</v>
      </c>
      <c r="T205" s="46"/>
      <c r="U205" s="48" t="str">
        <f t="shared" si="29"/>
        <v>TWD 124.00</v>
      </c>
      <c r="V205" s="44" t="str">
        <f t="shared" si="29"/>
        <v>Chunghwa Telecom</v>
      </c>
      <c r="AE205" s="41"/>
      <c r="AF205" s="31"/>
      <c r="AG205" s="31"/>
      <c r="AI205" s="41"/>
      <c r="AJ205" s="64"/>
      <c r="AK205" s="64"/>
      <c r="AM205" s="41"/>
      <c r="AN205" s="17"/>
      <c r="AO205" s="17"/>
      <c r="AQ205" s="41"/>
      <c r="AR205" s="18"/>
      <c r="AS205" s="18"/>
    </row>
    <row r="206" spans="1:69" s="5" customFormat="1">
      <c r="A206" s="39"/>
      <c r="B206" s="42"/>
      <c r="C206" s="48" t="str">
        <f t="shared" si="28"/>
        <v>KT Corp</v>
      </c>
      <c r="D206" s="44" t="str">
        <f t="shared" si="28"/>
        <v>KRW 41,200</v>
      </c>
      <c r="E206" s="44" t="str">
        <f t="shared" si="28"/>
        <v>KRW 70,000</v>
      </c>
      <c r="F206" s="45">
        <f t="shared" si="28"/>
        <v>0.69902912621359214</v>
      </c>
      <c r="G206" s="44" t="str">
        <f t="shared" si="28"/>
        <v>Buy</v>
      </c>
      <c r="H206" s="46"/>
      <c r="I206" s="47">
        <f>_KT!$D$41</f>
        <v>0.70979233890073035</v>
      </c>
      <c r="J206" s="47">
        <f>_KT!$E$41</f>
        <v>0.69075280988516874</v>
      </c>
      <c r="K206" s="47">
        <f>_KT!$F$41</f>
        <v>0.62716186394768525</v>
      </c>
      <c r="L206" s="47">
        <f>_KT!$G$41</f>
        <v>0.55786946208153954</v>
      </c>
      <c r="M206" s="45">
        <f>_KT!$H$41</f>
        <v>1.5278660211297534E-3</v>
      </c>
      <c r="N206" s="56"/>
      <c r="O206" s="47">
        <f>_KT!$D$37</f>
        <v>0.69668430059602249</v>
      </c>
      <c r="P206" s="47">
        <f>_KT!$E$37</f>
        <v>0.66564809908746791</v>
      </c>
      <c r="Q206" s="47">
        <f>_KT!$F$37</f>
        <v>0.56430718311375005</v>
      </c>
      <c r="R206" s="47">
        <f>_KT!$G$37</f>
        <v>0.50138046682599258</v>
      </c>
      <c r="S206" s="45">
        <f>_KT!$H$37</f>
        <v>3.1382288109379708E-2</v>
      </c>
      <c r="T206" s="46"/>
      <c r="U206" s="48" t="str">
        <f t="shared" si="29"/>
        <v>KRW 41,200</v>
      </c>
      <c r="V206" s="44" t="str">
        <f t="shared" si="29"/>
        <v>KT Corp</v>
      </c>
      <c r="AE206" s="41"/>
      <c r="AF206" s="31"/>
      <c r="AG206" s="31"/>
      <c r="AI206" s="41"/>
      <c r="AJ206" s="64"/>
      <c r="AK206" s="64"/>
      <c r="AM206" s="41"/>
      <c r="AN206" s="17"/>
      <c r="AO206" s="17"/>
      <c r="AQ206" s="41"/>
      <c r="AR206" s="18"/>
      <c r="AS206" s="18"/>
    </row>
    <row r="207" spans="1:69" s="5" customFormat="1">
      <c r="A207" s="39"/>
      <c r="B207" s="42"/>
      <c r="C207" s="48" t="str">
        <f t="shared" si="28"/>
        <v>PT Telkom</v>
      </c>
      <c r="D207" s="44" t="str">
        <f t="shared" si="28"/>
        <v>IDR 3,040</v>
      </c>
      <c r="E207" s="44" t="str">
        <f t="shared" si="28"/>
        <v>IDR 4,500</v>
      </c>
      <c r="F207" s="45">
        <f t="shared" si="28"/>
        <v>0.48026315789473695</v>
      </c>
      <c r="G207" s="44" t="str">
        <f t="shared" si="28"/>
        <v>Buy</v>
      </c>
      <c r="H207" s="46"/>
      <c r="I207" s="47">
        <f>PTT!$D$41</f>
        <v>2.5706226158741639</v>
      </c>
      <c r="J207" s="47">
        <f>PTT!$E$41</f>
        <v>2.5435132876205517</v>
      </c>
      <c r="K207" s="47">
        <f>PTT!$F$41</f>
        <v>2.3941190822502909</v>
      </c>
      <c r="L207" s="47">
        <f>PTT!$G$41</f>
        <v>2.2211158891755844</v>
      </c>
      <c r="M207" s="45">
        <f>PTT!$H$41</f>
        <v>-2.6178823198161894E-3</v>
      </c>
      <c r="N207" s="56"/>
      <c r="O207" s="47">
        <f>PTT!$D$37</f>
        <v>3.5028213101667793</v>
      </c>
      <c r="P207" s="47">
        <f>PTT!$E$37</f>
        <v>3.3113072883610197</v>
      </c>
      <c r="Q207" s="47">
        <f>PTT!$F$37</f>
        <v>2.9616564679234161</v>
      </c>
      <c r="R207" s="47">
        <f>PTT!$G$37</f>
        <v>2.6373214465293113</v>
      </c>
      <c r="S207" s="169">
        <f>PTT!$H$37</f>
        <v>4.4217213024553947E-2</v>
      </c>
      <c r="T207" s="46"/>
      <c r="U207" s="48" t="str">
        <f t="shared" si="29"/>
        <v>IDR 3,040</v>
      </c>
      <c r="V207" s="44" t="str">
        <f t="shared" si="29"/>
        <v>PT Telkom</v>
      </c>
      <c r="AE207" s="41"/>
      <c r="AF207" s="31"/>
      <c r="AG207" s="31"/>
      <c r="AI207" s="41"/>
      <c r="AJ207" s="64"/>
      <c r="AK207" s="64"/>
      <c r="AM207" s="41"/>
      <c r="AN207" s="17"/>
      <c r="AO207" s="17"/>
      <c r="AQ207" s="41"/>
      <c r="AR207" s="18"/>
      <c r="AS207" s="18"/>
    </row>
    <row r="208" spans="1:69" s="5" customFormat="1">
      <c r="A208" s="39"/>
      <c r="B208" s="42"/>
      <c r="C208" s="51" t="str">
        <f>C146</f>
        <v>Agg. Emerging Asia Incumbent</v>
      </c>
      <c r="D208" s="52"/>
      <c r="E208" s="52"/>
      <c r="F208" s="53"/>
      <c r="G208" s="52"/>
      <c r="H208" s="46"/>
      <c r="I208" s="54">
        <f>'EM ASIA INCUMB'!$D$41</f>
        <v>0.76707177921799474</v>
      </c>
      <c r="J208" s="54">
        <f>'EM ASIA INCUMB'!$E$41</f>
        <v>0.73152122895956395</v>
      </c>
      <c r="K208" s="54">
        <f>'EM ASIA INCUMB'!$F$41</f>
        <v>0.6775320179065335</v>
      </c>
      <c r="L208" s="54">
        <f>'EM ASIA INCUMB'!$G$41</f>
        <v>0.61851588888156894</v>
      </c>
      <c r="M208" s="55">
        <f>'EM ASIA INCUMB'!$H$41</f>
        <v>-1.0291737415997981E-2</v>
      </c>
      <c r="N208" s="56"/>
      <c r="O208" s="54">
        <f>'EM ASIA INCUMB'!$D$37</f>
        <v>0.72179052480025807</v>
      </c>
      <c r="P208" s="54">
        <f>'EM ASIA INCUMB'!$E$37</f>
        <v>0.65862455861937741</v>
      </c>
      <c r="Q208" s="54">
        <f>'EM ASIA INCUMB'!$F$37</f>
        <v>0.57511767769053557</v>
      </c>
      <c r="R208" s="54">
        <f>'EM ASIA INCUMB'!$G$37</f>
        <v>0.50184464161030917</v>
      </c>
      <c r="S208" s="55">
        <f>'EM ASIA INCUMB'!$H$37</f>
        <v>3.9823056089359321E-2</v>
      </c>
      <c r="T208" s="46"/>
      <c r="U208" s="57"/>
      <c r="V208" s="58" t="str">
        <f>V146</f>
        <v>Agg. Emerging Asia Incumbent</v>
      </c>
      <c r="AE208" s="41"/>
      <c r="AF208" s="31"/>
      <c r="AG208" s="31"/>
      <c r="AI208" s="41"/>
      <c r="AJ208" s="64"/>
      <c r="AK208" s="64"/>
      <c r="AM208" s="41"/>
      <c r="AN208" s="17"/>
      <c r="AO208" s="17"/>
      <c r="AQ208" s="41"/>
      <c r="AR208" s="18"/>
      <c r="AS208" s="18"/>
    </row>
    <row r="209" spans="1:45" s="5" customFormat="1">
      <c r="A209" s="39"/>
      <c r="B209" s="42"/>
      <c r="C209" s="43"/>
      <c r="D209" s="44"/>
      <c r="E209" s="44"/>
      <c r="F209" s="68"/>
      <c r="G209" s="44"/>
      <c r="H209" s="46"/>
      <c r="I209" s="62"/>
      <c r="J209" s="62"/>
      <c r="K209" s="62"/>
      <c r="L209" s="62"/>
      <c r="M209" s="61"/>
      <c r="N209" s="56"/>
      <c r="O209" s="62"/>
      <c r="P209" s="62"/>
      <c r="Q209" s="62"/>
      <c r="R209" s="62"/>
      <c r="S209" s="61"/>
      <c r="T209" s="46"/>
      <c r="U209" s="48"/>
      <c r="V209" s="50"/>
      <c r="AE209" s="41"/>
      <c r="AF209" s="31"/>
      <c r="AG209" s="31"/>
      <c r="AI209" s="41"/>
      <c r="AJ209" s="64"/>
      <c r="AK209" s="64"/>
      <c r="AM209" s="41"/>
      <c r="AN209" s="17"/>
      <c r="AO209" s="17"/>
      <c r="AQ209" s="41"/>
      <c r="AR209" s="18"/>
      <c r="AS209" s="18"/>
    </row>
    <row r="210" spans="1:45" s="5" customFormat="1">
      <c r="A210" s="39"/>
      <c r="B210" s="42"/>
      <c r="C210" s="51" t="str">
        <f>C148</f>
        <v>Agg. Emerging Incumbent</v>
      </c>
      <c r="D210" s="52"/>
      <c r="E210" s="52"/>
      <c r="F210" s="53"/>
      <c r="G210" s="52"/>
      <c r="H210" s="46"/>
      <c r="I210" s="54">
        <f>'EM INCUMB'!$D$41</f>
        <v>0.96958016481008746</v>
      </c>
      <c r="J210" s="54">
        <f>'EM INCUMB'!$E$41</f>
        <v>0.92844115605028033</v>
      </c>
      <c r="K210" s="54">
        <f>'EM INCUMB'!$F$41</f>
        <v>0.87061101840353483</v>
      </c>
      <c r="L210" s="54">
        <f>'EM INCUMB'!$G$41</f>
        <v>0.80791081215813854</v>
      </c>
      <c r="M210" s="55">
        <f>'EM INCUMB'!$H$41</f>
        <v>-7.2107972668689069E-3</v>
      </c>
      <c r="N210" s="56"/>
      <c r="O210" s="54">
        <f>'EM INCUMB'!$D$37</f>
        <v>1.0176300731136698</v>
      </c>
      <c r="P210" s="54">
        <f>'EM INCUMB'!$E$37</f>
        <v>0.93429038677213927</v>
      </c>
      <c r="Q210" s="54">
        <f>'EM INCUMB'!$F$37</f>
        <v>0.8317426572747123</v>
      </c>
      <c r="R210" s="54">
        <f>'EM INCUMB'!$G$37</f>
        <v>0.74303420915690233</v>
      </c>
      <c r="S210" s="55">
        <f>'EM INCUMB'!$H$37</f>
        <v>3.7474232769618476E-2</v>
      </c>
      <c r="T210" s="46"/>
      <c r="U210" s="57"/>
      <c r="V210" s="58" t="str">
        <f>V148</f>
        <v>Agg. Emerging Incumbent</v>
      </c>
      <c r="AE210" s="41"/>
      <c r="AF210" s="31"/>
      <c r="AG210" s="31"/>
      <c r="AI210" s="41"/>
      <c r="AJ210" s="64"/>
      <c r="AK210" s="64"/>
      <c r="AM210" s="41"/>
      <c r="AN210" s="17"/>
      <c r="AO210" s="17"/>
      <c r="AQ210" s="41"/>
      <c r="AR210" s="18"/>
      <c r="AS210" s="18"/>
    </row>
    <row r="211" spans="1:45" s="5" customFormat="1">
      <c r="A211" s="39"/>
      <c r="B211" s="42"/>
      <c r="C211" s="43"/>
      <c r="D211" s="44"/>
      <c r="E211" s="44"/>
      <c r="F211" s="45"/>
      <c r="G211" s="44"/>
      <c r="H211" s="46"/>
      <c r="I211" s="47"/>
      <c r="J211" s="47"/>
      <c r="K211" s="47"/>
      <c r="L211" s="47"/>
      <c r="M211" s="45"/>
      <c r="N211" s="56"/>
      <c r="O211" s="47"/>
      <c r="P211" s="47"/>
      <c r="Q211" s="47"/>
      <c r="R211" s="47"/>
      <c r="S211" s="45"/>
      <c r="T211" s="46"/>
      <c r="U211" s="48"/>
      <c r="V211" s="50"/>
      <c r="AE211" s="41"/>
      <c r="AF211" s="31"/>
      <c r="AG211" s="31"/>
      <c r="AI211" s="41"/>
      <c r="AJ211" s="64"/>
      <c r="AK211" s="64"/>
      <c r="AM211" s="41"/>
      <c r="AN211" s="17"/>
      <c r="AO211" s="17"/>
      <c r="AQ211" s="41"/>
      <c r="AR211" s="18"/>
      <c r="AS211" s="18"/>
    </row>
    <row r="212" spans="1:45" s="5" customFormat="1">
      <c r="A212" s="41" t="s">
        <v>502</v>
      </c>
      <c r="B212" s="42"/>
      <c r="C212" s="48" t="str">
        <f t="shared" ref="C212:G218" si="30">C150</f>
        <v>Airtel Africa</v>
      </c>
      <c r="D212" s="44" t="str">
        <f t="shared" si="30"/>
        <v>USD 1.13</v>
      </c>
      <c r="E212" s="44" t="str">
        <f t="shared" si="30"/>
        <v>USD 2.00</v>
      </c>
      <c r="F212" s="45">
        <f t="shared" si="30"/>
        <v>0.77619893428063969</v>
      </c>
      <c r="G212" s="44" t="str">
        <f t="shared" si="30"/>
        <v>Buy</v>
      </c>
      <c r="H212" s="46"/>
      <c r="I212" s="47">
        <f>AAF!$D$41</f>
        <v>1.9737669932319326</v>
      </c>
      <c r="J212" s="47">
        <f>AAF!$E$41</f>
        <v>2.0131513865633992</v>
      </c>
      <c r="K212" s="47">
        <f>AAF!$F$41</f>
        <v>1.8788998074263932</v>
      </c>
      <c r="L212" s="47">
        <f>AAF!$G$41</f>
        <v>1.6934543106453428</v>
      </c>
      <c r="M212" s="45">
        <f>AAF!$H$41</f>
        <v>2.3078654429296019E-3</v>
      </c>
      <c r="N212" s="56"/>
      <c r="O212" s="47">
        <f>AAF!$D$37</f>
        <v>2.3567071248772522</v>
      </c>
      <c r="P212" s="47">
        <f>AAF!$E$37</f>
        <v>2.3340283402041826</v>
      </c>
      <c r="Q212" s="47">
        <f>AAF!$F$37</f>
        <v>1.9473588043415391</v>
      </c>
      <c r="R212" s="47">
        <f>AAF!$G$37</f>
        <v>1.6339066333267658</v>
      </c>
      <c r="S212" s="169">
        <f>AAF!$H$37</f>
        <v>7.6101240332220543E-2</v>
      </c>
      <c r="T212" s="46"/>
      <c r="U212" s="48" t="str">
        <f t="shared" ref="U212:V218" si="31">U150</f>
        <v>USD 1.13</v>
      </c>
      <c r="V212" s="44" t="str">
        <f t="shared" si="31"/>
        <v>Airtel Africa</v>
      </c>
      <c r="AE212" s="41"/>
      <c r="AF212" s="31"/>
      <c r="AG212" s="31"/>
      <c r="AI212" s="41"/>
      <c r="AJ212" s="64"/>
      <c r="AK212" s="64"/>
      <c r="AM212" s="41"/>
      <c r="AN212" s="17"/>
      <c r="AO212" s="17"/>
      <c r="AQ212" s="41"/>
      <c r="AR212" s="18"/>
      <c r="AS212" s="18"/>
    </row>
    <row r="213" spans="1:45" s="5" customFormat="1">
      <c r="A213" s="41"/>
      <c r="B213" s="42"/>
      <c r="C213" s="48" t="str">
        <f t="shared" si="30"/>
        <v>MobileTeleSystems</v>
      </c>
      <c r="D213" s="44" t="str">
        <f t="shared" si="30"/>
        <v>USD 10.00</v>
      </c>
      <c r="E213" s="44" t="str">
        <f t="shared" si="30"/>
        <v>USD 10.10</v>
      </c>
      <c r="F213" s="45">
        <f t="shared" si="30"/>
        <v>1.0000000000000009E-2</v>
      </c>
      <c r="G213" s="44" t="str">
        <f t="shared" si="30"/>
        <v>Buy</v>
      </c>
      <c r="H213" s="46"/>
      <c r="I213" s="47">
        <f>MTS!$D$41</f>
        <v>2.5605850240925556</v>
      </c>
      <c r="J213" s="47">
        <f>MTS!$E$41</f>
        <v>2.5046518343738158</v>
      </c>
      <c r="K213" s="47">
        <f>MTS!$F$41</f>
        <v>2.436342393116246</v>
      </c>
      <c r="L213" s="47">
        <f>MTS!$G$41</f>
        <v>2.360636684123067</v>
      </c>
      <c r="M213" s="45">
        <f>MTS!$H$41</f>
        <v>-9.6794102526188697E-3</v>
      </c>
      <c r="N213" s="56"/>
      <c r="O213" s="47">
        <f>MTS!$D$37</f>
        <v>2.8845671051660804</v>
      </c>
      <c r="P213" s="47">
        <f>MTS!$E$37</f>
        <v>2.7222666832816316</v>
      </c>
      <c r="Q213" s="47">
        <f>MTS!$F$37</f>
        <v>2.5698164393385907</v>
      </c>
      <c r="R213" s="47">
        <f>MTS!$G$37</f>
        <v>2.4267352735492227</v>
      </c>
      <c r="S213" s="169">
        <f>MTS!$H$37</f>
        <v>2.0998741327123316E-2</v>
      </c>
      <c r="T213" s="46"/>
      <c r="U213" s="48" t="str">
        <f t="shared" si="31"/>
        <v>USD 10.00</v>
      </c>
      <c r="V213" s="44" t="str">
        <f t="shared" si="31"/>
        <v>MobileTeleSystems</v>
      </c>
      <c r="AE213" s="41"/>
      <c r="AF213" s="31"/>
      <c r="AG213" s="31"/>
      <c r="AI213" s="41"/>
      <c r="AJ213" s="64"/>
      <c r="AK213" s="64"/>
      <c r="AM213" s="41"/>
      <c r="AN213" s="17"/>
      <c r="AO213" s="17"/>
      <c r="AQ213" s="41"/>
      <c r="AR213" s="18"/>
      <c r="AS213" s="18"/>
    </row>
    <row r="214" spans="1:45" s="5" customFormat="1">
      <c r="A214" s="39"/>
      <c r="B214" s="42"/>
      <c r="C214" s="48" t="str">
        <f t="shared" si="30"/>
        <v>MTN</v>
      </c>
      <c r="D214" s="44" t="str">
        <f t="shared" si="30"/>
        <v>ZAR 92.00</v>
      </c>
      <c r="E214" s="44" t="str">
        <f t="shared" si="30"/>
        <v>ZAR 130.00</v>
      </c>
      <c r="F214" s="45">
        <f t="shared" si="30"/>
        <v>0.41304347826086962</v>
      </c>
      <c r="G214" s="44" t="str">
        <f t="shared" si="30"/>
        <v>Buy</v>
      </c>
      <c r="H214" s="46"/>
      <c r="I214" s="47">
        <f>MTN!$D$41</f>
        <v>1.3011147242194683</v>
      </c>
      <c r="J214" s="47">
        <f>MTN!$E$41</f>
        <v>1.4137375765868143</v>
      </c>
      <c r="K214" s="47">
        <f>MTN!$F$41</f>
        <v>1.4249159528737929</v>
      </c>
      <c r="L214" s="47">
        <f>MTN!$G$41</f>
        <v>1.3949573621919591</v>
      </c>
      <c r="M214" s="45">
        <f>MTN!$H$41</f>
        <v>-1.2026478972418153E-2</v>
      </c>
      <c r="N214" s="56"/>
      <c r="O214" s="47">
        <f>MTN!$D$37</f>
        <v>1.4661378564707586</v>
      </c>
      <c r="P214" s="47">
        <f>MTN!$E$37</f>
        <v>1.7197740205806167</v>
      </c>
      <c r="Q214" s="47">
        <f>MTN!$F$37</f>
        <v>1.5756968661751689</v>
      </c>
      <c r="R214" s="47">
        <f>MTN!$G$37</f>
        <v>1.40747217798375</v>
      </c>
      <c r="S214" s="169">
        <f>MTN!$H$37</f>
        <v>2.5035127195639495E-2</v>
      </c>
      <c r="T214" s="46"/>
      <c r="U214" s="48" t="str">
        <f t="shared" si="31"/>
        <v>ZAR 92.00</v>
      </c>
      <c r="V214" s="44" t="str">
        <f t="shared" si="31"/>
        <v>MTN</v>
      </c>
      <c r="AE214" s="41"/>
      <c r="AF214" s="31"/>
      <c r="AG214" s="31"/>
      <c r="AI214" s="41"/>
      <c r="AJ214" s="64"/>
      <c r="AK214" s="64"/>
      <c r="AM214" s="41"/>
      <c r="AN214" s="17"/>
      <c r="AO214" s="17"/>
      <c r="AQ214" s="41"/>
      <c r="AR214" s="18"/>
      <c r="AS214" s="18"/>
    </row>
    <row r="215" spans="1:45" s="5" customFormat="1">
      <c r="A215" s="39"/>
      <c r="B215" s="42"/>
      <c r="C215" s="48" t="str">
        <f t="shared" si="30"/>
        <v>Safaricom</v>
      </c>
      <c r="D215" s="44" t="str">
        <f t="shared" si="30"/>
        <v>KES 14.80</v>
      </c>
      <c r="E215" s="44" t="str">
        <f t="shared" si="30"/>
        <v>KES 17.0</v>
      </c>
      <c r="F215" s="45">
        <f t="shared" si="30"/>
        <v>0.14864864864864868</v>
      </c>
      <c r="G215" s="44" t="str">
        <f t="shared" si="30"/>
        <v>Neutral</v>
      </c>
      <c r="H215" s="46"/>
      <c r="I215" s="47">
        <f>SAF!$D$41</f>
        <v>2.1683465110085569</v>
      </c>
      <c r="J215" s="47">
        <f>SAF!$E$41</f>
        <v>1.5997614357434879</v>
      </c>
      <c r="K215" s="47">
        <f>SAF!$F$41</f>
        <v>1.2011037338837889</v>
      </c>
      <c r="L215" s="47">
        <f>SAF!$G$41</f>
        <v>0.90851757259672195</v>
      </c>
      <c r="M215" s="45">
        <f>SAF!$H$41</f>
        <v>0.23777432397007026</v>
      </c>
      <c r="N215" s="56"/>
      <c r="O215" s="47">
        <f>SAF!$D$37</f>
        <v>2.1516321486945378</v>
      </c>
      <c r="P215" s="47">
        <f>SAF!$E$37</f>
        <v>1.9177457653094083</v>
      </c>
      <c r="Q215" s="47">
        <f>SAF!$F$37</f>
        <v>1.6716669794313668</v>
      </c>
      <c r="R215" s="47">
        <f>SAF!$G$37</f>
        <v>1.3888761586962042</v>
      </c>
      <c r="S215" s="169">
        <f>SAF!$H$37</f>
        <v>7.1711404607406992E-2</v>
      </c>
      <c r="T215" s="46"/>
      <c r="U215" s="48" t="str">
        <f t="shared" si="31"/>
        <v>KES 14.80</v>
      </c>
      <c r="V215" s="44" t="str">
        <f t="shared" si="31"/>
        <v>Safaricom</v>
      </c>
      <c r="AE215" s="41"/>
      <c r="AF215" s="31"/>
      <c r="AG215" s="31"/>
      <c r="AI215" s="41"/>
      <c r="AJ215" s="64"/>
      <c r="AK215" s="64"/>
      <c r="AM215" s="41"/>
      <c r="AN215" s="17"/>
      <c r="AO215" s="17"/>
      <c r="AQ215" s="41"/>
      <c r="AR215" s="18"/>
      <c r="AS215" s="18"/>
    </row>
    <row r="216" spans="1:45" s="5" customFormat="1">
      <c r="A216" s="39"/>
      <c r="B216" s="42"/>
      <c r="C216" s="48" t="str">
        <f t="shared" si="30"/>
        <v>Turkcell</v>
      </c>
      <c r="D216" s="44" t="str">
        <f t="shared" si="30"/>
        <v>USD 99.65</v>
      </c>
      <c r="E216" s="44" t="str">
        <f t="shared" si="30"/>
        <v>USD 16.90</v>
      </c>
      <c r="F216" s="45">
        <f t="shared" si="30"/>
        <v>-0.83040642247867535</v>
      </c>
      <c r="G216" s="44" t="str">
        <f t="shared" si="30"/>
        <v>Buy</v>
      </c>
      <c r="H216" s="46"/>
      <c r="I216" s="47">
        <f>TKC!$D$41</f>
        <v>6.555977294205154</v>
      </c>
      <c r="J216" s="47">
        <f>TKC!$E$41</f>
        <v>6.4055436665836671</v>
      </c>
      <c r="K216" s="47">
        <f>TKC!$F$41</f>
        <v>6.2729443163051588</v>
      </c>
      <c r="L216" s="47">
        <f>TKC!$G$41</f>
        <v>6.0872083912532613</v>
      </c>
      <c r="M216" s="45">
        <f>TKC!$H$41</f>
        <v>4.7847525913957689E-4</v>
      </c>
      <c r="N216" s="56"/>
      <c r="O216" s="47">
        <f>TKC!$D$37</f>
        <v>6.2262331417538563</v>
      </c>
      <c r="P216" s="47">
        <f>TKC!$E$37</f>
        <v>5.7017255339130202</v>
      </c>
      <c r="Q216" s="47">
        <f>TKC!$F$37</f>
        <v>5.204759662502962</v>
      </c>
      <c r="R216" s="47">
        <f>TKC!$G$37</f>
        <v>4.742829219609547</v>
      </c>
      <c r="S216" s="169">
        <f>TKC!$H$37</f>
        <v>6.8720048316360804E-2</v>
      </c>
      <c r="T216" s="46"/>
      <c r="U216" s="48" t="str">
        <f t="shared" si="31"/>
        <v>USD 99.65</v>
      </c>
      <c r="V216" s="44" t="str">
        <f t="shared" si="31"/>
        <v>Turkcell</v>
      </c>
      <c r="AE216" s="41"/>
      <c r="AF216" s="31"/>
      <c r="AG216" s="31"/>
      <c r="AI216" s="41"/>
      <c r="AJ216" s="64"/>
      <c r="AK216" s="64"/>
      <c r="AM216" s="41"/>
      <c r="AN216" s="17"/>
      <c r="AO216" s="17"/>
      <c r="AQ216" s="41"/>
      <c r="AR216" s="18"/>
      <c r="AS216" s="18"/>
    </row>
    <row r="217" spans="1:45" s="5" customFormat="1">
      <c r="A217" s="39"/>
      <c r="B217" s="42"/>
      <c r="C217" s="48" t="str">
        <f t="shared" si="30"/>
        <v>VEON</v>
      </c>
      <c r="D217" s="44" t="str">
        <f t="shared" si="30"/>
        <v>USD 27.2</v>
      </c>
      <c r="E217" s="44" t="str">
        <f t="shared" si="30"/>
        <v>USD 40.0</v>
      </c>
      <c r="F217" s="45">
        <f t="shared" si="30"/>
        <v>0.47058823529411775</v>
      </c>
      <c r="G217" s="44" t="str">
        <f t="shared" si="30"/>
        <v>Buy</v>
      </c>
      <c r="H217" s="46"/>
      <c r="I217" s="47">
        <f>VIMP!$D$41</f>
        <v>11.658350086998812</v>
      </c>
      <c r="J217" s="47">
        <f>VIMP!$E$41</f>
        <v>11.986833922290861</v>
      </c>
      <c r="K217" s="47">
        <f>VIMP!$F$41</f>
        <v>11.62286374514817</v>
      </c>
      <c r="L217" s="47">
        <f>VIMP!$G$41</f>
        <v>11.200696628994184</v>
      </c>
      <c r="M217" s="45">
        <f>VIMP!$H$41</f>
        <v>-2.2049028942658921E-3</v>
      </c>
      <c r="N217" s="56"/>
      <c r="O217" s="47">
        <f>VIMP!$D$37</f>
        <v>13.659680384739236</v>
      </c>
      <c r="P217" s="47">
        <f>VIMP!$E$37</f>
        <v>12.441955917705313</v>
      </c>
      <c r="Q217" s="47">
        <f>VIMP!$F$37</f>
        <v>11.560188109609138</v>
      </c>
      <c r="R217" s="47">
        <f>VIMP!$G$37</f>
        <v>10.783389927231676</v>
      </c>
      <c r="S217" s="45">
        <f>VIMP!$H$37</f>
        <v>6.5301214854422529E-2</v>
      </c>
      <c r="T217" s="46"/>
      <c r="U217" s="48" t="str">
        <f t="shared" si="31"/>
        <v>USD 27.2</v>
      </c>
      <c r="V217" s="44" t="str">
        <f t="shared" si="31"/>
        <v>Vimpel Com</v>
      </c>
      <c r="AE217" s="41"/>
      <c r="AF217" s="31"/>
      <c r="AG217" s="31"/>
      <c r="AI217" s="41"/>
      <c r="AJ217" s="64"/>
      <c r="AK217" s="64"/>
      <c r="AM217" s="41"/>
      <c r="AN217" s="17"/>
      <c r="AO217" s="17"/>
      <c r="AQ217" s="41"/>
      <c r="AR217" s="18"/>
      <c r="AS217" s="18"/>
    </row>
    <row r="218" spans="1:45" s="5" customFormat="1">
      <c r="A218" s="39"/>
      <c r="B218" s="42"/>
      <c r="C218" s="48" t="str">
        <f t="shared" si="30"/>
        <v>Vodacom</v>
      </c>
      <c r="D218" s="44" t="str">
        <f t="shared" si="30"/>
        <v>ZAR 111.1</v>
      </c>
      <c r="E218" s="44" t="str">
        <f t="shared" si="30"/>
        <v>ZAR 150.0</v>
      </c>
      <c r="F218" s="45">
        <f t="shared" si="30"/>
        <v>0.34989200863930892</v>
      </c>
      <c r="G218" s="44" t="str">
        <f t="shared" si="30"/>
        <v>Buy</v>
      </c>
      <c r="H218" s="46"/>
      <c r="I218" s="47">
        <f>VODA!$D$41</f>
        <v>1.7802685711006396</v>
      </c>
      <c r="J218" s="47">
        <f>VODA!$E$41</f>
        <v>1.8931651792323336</v>
      </c>
      <c r="K218" s="47">
        <f>VODA!$F$41</f>
        <v>1.8168371626126225</v>
      </c>
      <c r="L218" s="47">
        <f>VODA!$G$41</f>
        <v>1.7207124921814236</v>
      </c>
      <c r="M218" s="45">
        <f>VODA!$H$41</f>
        <v>-3.2942749293301099E-2</v>
      </c>
      <c r="N218" s="56"/>
      <c r="O218" s="47">
        <f>VODA!$D$37</f>
        <v>1.720096406028311</v>
      </c>
      <c r="P218" s="47">
        <f>VODA!$E$37</f>
        <v>1.7540020033639556</v>
      </c>
      <c r="Q218" s="47">
        <f>VODA!$F$37</f>
        <v>1.4914368604880677</v>
      </c>
      <c r="R218" s="47">
        <f>VODA!$G$37</f>
        <v>1.2703042978849115</v>
      </c>
      <c r="S218" s="45">
        <f>VODA!$H$37</f>
        <v>5.7811103631183469E-2</v>
      </c>
      <c r="T218" s="46"/>
      <c r="U218" s="48" t="str">
        <f t="shared" si="31"/>
        <v>ZAR 111.1</v>
      </c>
      <c r="V218" s="44" t="str">
        <f t="shared" si="31"/>
        <v>Vodacom</v>
      </c>
      <c r="AE218" s="41"/>
      <c r="AF218" s="31"/>
      <c r="AG218" s="31"/>
      <c r="AI218" s="41"/>
      <c r="AJ218" s="64"/>
      <c r="AK218" s="64"/>
      <c r="AM218" s="41"/>
      <c r="AN218" s="17"/>
      <c r="AO218" s="17"/>
      <c r="AQ218" s="41"/>
      <c r="AR218" s="18"/>
      <c r="AS218" s="18"/>
    </row>
    <row r="219" spans="1:45" s="5" customFormat="1">
      <c r="A219" s="39"/>
      <c r="B219" s="42"/>
      <c r="C219" s="51" t="str">
        <f>C157</f>
        <v>Agg. EMEA Cellular</v>
      </c>
      <c r="D219" s="52"/>
      <c r="E219" s="52"/>
      <c r="F219" s="53"/>
      <c r="G219" s="52"/>
      <c r="H219" s="46"/>
      <c r="I219" s="54">
        <f>'EMEA CELLULAR'!$D$41</f>
        <v>2.9187139333758294</v>
      </c>
      <c r="J219" s="54">
        <f>'EMEA CELLULAR'!$E$41</f>
        <v>2.9515664246277606</v>
      </c>
      <c r="K219" s="54">
        <f>'EMEA CELLULAR'!$F$41</f>
        <v>2.8267562188907287</v>
      </c>
      <c r="L219" s="54">
        <f>'EMEA CELLULAR'!$G$41</f>
        <v>2.6673762180421927</v>
      </c>
      <c r="M219" s="55">
        <f>'EMEA CELLULAR'!$H$41</f>
        <v>6.9271484573356634E-3</v>
      </c>
      <c r="N219" s="56"/>
      <c r="O219" s="54">
        <f>'EMEA CELLULAR'!$D$37</f>
        <v>3.1810559293853995</v>
      </c>
      <c r="P219" s="54">
        <f>'EMEA CELLULAR'!$E$37</f>
        <v>3.2323872383219907</v>
      </c>
      <c r="Q219" s="54">
        <f>'EMEA CELLULAR'!$F$37</f>
        <v>2.8967593532646405</v>
      </c>
      <c r="R219" s="54">
        <f>'EMEA CELLULAR'!$G$37</f>
        <v>2.5822840300404155</v>
      </c>
      <c r="S219" s="55">
        <f>'EMEA CELLULAR'!$H$37</f>
        <v>4.7493644526533263E-2</v>
      </c>
      <c r="T219" s="46"/>
      <c r="U219" s="57"/>
      <c r="V219" s="58" t="str">
        <f>V157</f>
        <v>Agg. EMEA Cellular</v>
      </c>
      <c r="AE219" s="41"/>
      <c r="AF219" s="31"/>
      <c r="AG219" s="31"/>
      <c r="AI219" s="41"/>
      <c r="AJ219" s="64"/>
      <c r="AK219" s="64"/>
      <c r="AM219" s="41"/>
      <c r="AN219" s="17"/>
      <c r="AO219" s="17"/>
      <c r="AQ219" s="41"/>
      <c r="AR219" s="18"/>
      <c r="AS219" s="18"/>
    </row>
    <row r="220" spans="1:45" s="5" customFormat="1">
      <c r="B220" s="42"/>
      <c r="C220" s="43"/>
      <c r="D220" s="44"/>
      <c r="E220" s="44"/>
      <c r="F220" s="45"/>
      <c r="G220" s="44"/>
      <c r="H220" s="46"/>
      <c r="I220" s="47"/>
      <c r="J220" s="47"/>
      <c r="K220" s="47"/>
      <c r="L220" s="47"/>
      <c r="M220" s="45"/>
      <c r="N220" s="56"/>
      <c r="O220" s="47"/>
      <c r="P220" s="47"/>
      <c r="Q220" s="47"/>
      <c r="R220" s="47"/>
      <c r="S220" s="45"/>
      <c r="T220" s="46"/>
      <c r="U220" s="48"/>
      <c r="V220" s="50"/>
      <c r="AE220" s="41"/>
      <c r="AF220" s="31"/>
      <c r="AG220" s="31"/>
      <c r="AI220" s="41"/>
      <c r="AJ220" s="64"/>
      <c r="AK220" s="64"/>
      <c r="AM220" s="41"/>
      <c r="AN220" s="17"/>
      <c r="AO220" s="17"/>
      <c r="AQ220" s="41"/>
      <c r="AR220" s="18"/>
      <c r="AS220" s="18"/>
    </row>
    <row r="221" spans="1:45" s="5" customFormat="1">
      <c r="B221" s="42"/>
      <c r="C221" s="48" t="str">
        <f t="shared" ref="C221:G223" si="32">C159</f>
        <v>Entel</v>
      </c>
      <c r="D221" s="44" t="str">
        <f t="shared" si="32"/>
        <v>CLP 2,900</v>
      </c>
      <c r="E221" s="44" t="str">
        <f t="shared" si="32"/>
        <v>CLP 3,150</v>
      </c>
      <c r="F221" s="45">
        <f t="shared" si="32"/>
        <v>8.6206896551724199E-2</v>
      </c>
      <c r="G221" s="44" t="str">
        <f t="shared" si="32"/>
        <v>Neutral</v>
      </c>
      <c r="H221" s="46"/>
      <c r="I221" s="47">
        <f>ENTEL!$D$41</f>
        <v>0.7087735941868557</v>
      </c>
      <c r="J221" s="47">
        <f>ENTEL!$E$41</f>
        <v>0.65439575068581235</v>
      </c>
      <c r="K221" s="47">
        <f>ENTEL!$F$41</f>
        <v>0.57955355032008893</v>
      </c>
      <c r="L221" s="47">
        <f>ENTEL!$G$41</f>
        <v>0.48439575487588976</v>
      </c>
      <c r="M221" s="45">
        <f>ENTEL!$H$41</f>
        <v>7.3836120578982811E-3</v>
      </c>
      <c r="N221" s="56"/>
      <c r="O221" s="47">
        <f>ENTEL!$D$37</f>
        <v>1.0598219861315326</v>
      </c>
      <c r="P221" s="47">
        <f>ENTEL!$E$37</f>
        <v>0.96356900335096074</v>
      </c>
      <c r="Q221" s="47">
        <f>ENTEL!$F$37</f>
        <v>0.835120036491109</v>
      </c>
      <c r="R221" s="47">
        <f>ENTEL!$G$37</f>
        <v>0.68088806761069565</v>
      </c>
      <c r="S221" s="169">
        <f>ENTEL!$H$37</f>
        <v>2.8359304202485891E-2</v>
      </c>
      <c r="T221" s="46"/>
      <c r="U221" s="48" t="str">
        <f t="shared" ref="U221:V223" si="33">U159</f>
        <v>CLP 2,900</v>
      </c>
      <c r="V221" s="44" t="str">
        <f t="shared" si="33"/>
        <v>Entel</v>
      </c>
      <c r="AE221" s="41"/>
      <c r="AF221" s="31"/>
      <c r="AG221" s="31"/>
      <c r="AI221" s="41"/>
      <c r="AJ221" s="64"/>
      <c r="AK221" s="64"/>
      <c r="AM221" s="41"/>
      <c r="AN221" s="17"/>
      <c r="AO221" s="17"/>
      <c r="AQ221" s="41"/>
      <c r="AR221" s="18"/>
      <c r="AS221" s="18"/>
    </row>
    <row r="222" spans="1:45" s="5" customFormat="1">
      <c r="B222" s="42"/>
      <c r="C222" s="48" t="str">
        <f t="shared" si="32"/>
        <v>Millicom</v>
      </c>
      <c r="D222" s="44" t="str">
        <f t="shared" si="32"/>
        <v>USD  26.6</v>
      </c>
      <c r="E222" s="44" t="str">
        <f t="shared" si="32"/>
        <v>USD 18.0</v>
      </c>
      <c r="F222" s="45">
        <f t="shared" si="32"/>
        <v>-0.32407059707097252</v>
      </c>
      <c r="G222" s="44" t="str">
        <f t="shared" si="32"/>
        <v>Neutral</v>
      </c>
      <c r="H222" s="46"/>
      <c r="I222" s="47">
        <f>MILLI!$D$41</f>
        <v>4.582303475082294</v>
      </c>
      <c r="J222" s="47">
        <f>MILLI!$E$41</f>
        <v>4.5161015739910964</v>
      </c>
      <c r="K222" s="47">
        <f>MILLI!$F$41</f>
        <v>4.3428151014959857</v>
      </c>
      <c r="L222" s="47">
        <f>MILLI!$G$41</f>
        <v>3.989521454638715</v>
      </c>
      <c r="M222" s="45">
        <f>MILLI!$H$41</f>
        <v>2.6232655829803386E-2</v>
      </c>
      <c r="N222" s="56"/>
      <c r="O222" s="47">
        <f>MILLI!$D$37</f>
        <v>2.9113364676481628</v>
      </c>
      <c r="P222" s="47">
        <f>MILLI!$E$37</f>
        <v>2.8642606573558869</v>
      </c>
      <c r="Q222" s="47">
        <f>MILLI!$F$37</f>
        <v>2.7481353850834993</v>
      </c>
      <c r="R222" s="47">
        <f>MILLI!$G$37</f>
        <v>2.5998707064938058</v>
      </c>
      <c r="S222" s="169">
        <f>MILLI!$H$37</f>
        <v>1.7587349161343635E-2</v>
      </c>
      <c r="T222" s="46"/>
      <c r="U222" s="48" t="str">
        <f t="shared" si="33"/>
        <v>USD  26.6</v>
      </c>
      <c r="V222" s="44" t="str">
        <f t="shared" si="33"/>
        <v>Millicom</v>
      </c>
      <c r="AE222" s="41"/>
      <c r="AF222" s="31"/>
      <c r="AG222" s="31"/>
      <c r="AI222" s="41"/>
      <c r="AJ222" s="64"/>
      <c r="AK222" s="64"/>
      <c r="AM222" s="41"/>
      <c r="AN222" s="17"/>
      <c r="AO222" s="17"/>
      <c r="AQ222" s="41"/>
      <c r="AR222" s="18"/>
      <c r="AS222" s="18"/>
    </row>
    <row r="223" spans="1:45" s="5" customFormat="1">
      <c r="B223" s="42"/>
      <c r="C223" s="48" t="str">
        <f t="shared" si="32"/>
        <v>TIM Participacoes</v>
      </c>
      <c r="D223" s="44" t="str">
        <f t="shared" si="32"/>
        <v>BRL 18.63</v>
      </c>
      <c r="E223" s="44" t="str">
        <f t="shared" si="32"/>
        <v>BRL 23.00</v>
      </c>
      <c r="F223" s="45">
        <f t="shared" si="32"/>
        <v>0.23456790123456805</v>
      </c>
      <c r="G223" s="44" t="str">
        <f t="shared" si="32"/>
        <v>Buy</v>
      </c>
      <c r="H223" s="46"/>
      <c r="I223" s="47">
        <f>TIMP!$D$41</f>
        <v>1.1658262229019334</v>
      </c>
      <c r="J223" s="47">
        <f>TIMP!$E$41</f>
        <v>1.0637845793502769</v>
      </c>
      <c r="K223" s="47">
        <f>TIMP!$F$41</f>
        <v>0.9261462199893542</v>
      </c>
      <c r="L223" s="47">
        <f>TIMP!$G$41</f>
        <v>0.75881345112869125</v>
      </c>
      <c r="M223" s="45">
        <f>TIMP!$H$41</f>
        <v>-1.6807548965773189E-2</v>
      </c>
      <c r="N223" s="56"/>
      <c r="O223" s="47">
        <f>TIMP!$D$37</f>
        <v>1.9573733861816445</v>
      </c>
      <c r="P223" s="47">
        <f>TIMP!$E$37</f>
        <v>1.633859530213658</v>
      </c>
      <c r="Q223" s="47">
        <f>TIMP!$F$37</f>
        <v>1.3237907501542443</v>
      </c>
      <c r="R223" s="47">
        <f>TIMP!$G$37</f>
        <v>1.0169501418917162</v>
      </c>
      <c r="S223" s="45">
        <f>TIMP!$H$37</f>
        <v>5.9896866881330002E-2</v>
      </c>
      <c r="T223" s="46"/>
      <c r="U223" s="48" t="str">
        <f t="shared" si="33"/>
        <v>BRL 18.63</v>
      </c>
      <c r="V223" s="44" t="str">
        <f t="shared" si="33"/>
        <v>TIM Participacoes</v>
      </c>
      <c r="AE223" s="41"/>
      <c r="AF223" s="31"/>
      <c r="AG223" s="31"/>
      <c r="AI223" s="41"/>
      <c r="AJ223" s="64"/>
      <c r="AK223" s="64"/>
      <c r="AM223" s="41"/>
      <c r="AN223" s="17"/>
      <c r="AO223" s="17"/>
      <c r="AQ223" s="41"/>
      <c r="AR223" s="18"/>
      <c r="AS223" s="18"/>
    </row>
    <row r="224" spans="1:45" s="5" customFormat="1">
      <c r="B224" s="42"/>
      <c r="C224" s="51" t="str">
        <f>C162</f>
        <v>Agg. LatAm Cellular</v>
      </c>
      <c r="D224" s="52"/>
      <c r="E224" s="52"/>
      <c r="F224" s="53"/>
      <c r="G224" s="52"/>
      <c r="H224" s="46"/>
      <c r="I224" s="54">
        <f>'LATAM CELLULAR'!$D$41</f>
        <v>1.913278313401171</v>
      </c>
      <c r="J224" s="54">
        <f>'LATAM CELLULAR'!$E$41</f>
        <v>1.8419298381889415</v>
      </c>
      <c r="K224" s="54">
        <f>'LATAM CELLULAR'!$F$41</f>
        <v>1.7245299259805054</v>
      </c>
      <c r="L224" s="54">
        <f>'LATAM CELLULAR'!$G$41</f>
        <v>1.5682927508454187</v>
      </c>
      <c r="M224" s="55">
        <f>'LATAM CELLULAR'!$H$41</f>
        <v>4.1421925732731957E-4</v>
      </c>
      <c r="N224" s="56"/>
      <c r="O224" s="54">
        <f>'LATAM CELLULAR'!$D$37</f>
        <v>2.2232200101777857</v>
      </c>
      <c r="P224" s="54">
        <f>'LATAM CELLULAR'!$E$37</f>
        <v>2.0589058136016978</v>
      </c>
      <c r="Q224" s="54">
        <f>'LATAM CELLULAR'!$F$37</f>
        <v>1.8608487920845524</v>
      </c>
      <c r="R224" s="54">
        <f>'LATAM CELLULAR'!$G$37</f>
        <v>1.6475345718618815</v>
      </c>
      <c r="S224" s="55">
        <f>'LATAM CELLULAR'!$H$37</f>
        <v>3.4615117612012414E-2</v>
      </c>
      <c r="T224" s="46"/>
      <c r="U224" s="57"/>
      <c r="V224" s="58" t="str">
        <f>V162</f>
        <v>Agg. LatAm Cellular</v>
      </c>
      <c r="AE224" s="41"/>
      <c r="AF224" s="31"/>
      <c r="AG224" s="31"/>
      <c r="AI224" s="41"/>
      <c r="AJ224" s="64"/>
      <c r="AK224" s="64"/>
      <c r="AM224" s="41"/>
      <c r="AN224" s="17"/>
      <c r="AO224" s="17"/>
      <c r="AQ224" s="41"/>
      <c r="AR224" s="18"/>
      <c r="AS224" s="18"/>
    </row>
    <row r="225" spans="1:45" s="5" customFormat="1">
      <c r="A225" s="39"/>
      <c r="B225" s="42"/>
      <c r="C225" s="43"/>
      <c r="D225" s="44"/>
      <c r="E225" s="44"/>
      <c r="F225" s="45"/>
      <c r="G225" s="44"/>
      <c r="H225" s="46"/>
      <c r="I225" s="47"/>
      <c r="J225" s="47"/>
      <c r="K225" s="47"/>
      <c r="L225" s="47"/>
      <c r="M225" s="45"/>
      <c r="N225" s="46"/>
      <c r="O225" s="47"/>
      <c r="P225" s="47"/>
      <c r="Q225" s="47"/>
      <c r="R225" s="47"/>
      <c r="S225" s="45"/>
      <c r="T225" s="46"/>
      <c r="U225" s="48"/>
      <c r="V225" s="50"/>
      <c r="AE225" s="41"/>
      <c r="AF225" s="31"/>
      <c r="AG225" s="31"/>
      <c r="AI225" s="41"/>
      <c r="AJ225" s="64"/>
      <c r="AK225" s="64"/>
      <c r="AM225" s="41"/>
      <c r="AN225" s="17"/>
      <c r="AO225" s="17"/>
      <c r="AQ225" s="41"/>
      <c r="AR225" s="18"/>
      <c r="AS225" s="18"/>
    </row>
    <row r="226" spans="1:45" s="5" customFormat="1">
      <c r="B226" s="42"/>
      <c r="C226" s="48" t="str">
        <f t="shared" ref="C226:G239" si="34">C164</f>
        <v>AIS</v>
      </c>
      <c r="D226" s="44" t="str">
        <f t="shared" si="34"/>
        <v>THB 269.0</v>
      </c>
      <c r="E226" s="44" t="str">
        <f t="shared" si="34"/>
        <v>THB 300.0</v>
      </c>
      <c r="F226" s="45">
        <f t="shared" si="34"/>
        <v>0.11524163568773238</v>
      </c>
      <c r="G226" s="44" t="str">
        <f t="shared" si="34"/>
        <v>Buy</v>
      </c>
      <c r="H226" s="46"/>
      <c r="I226" s="47">
        <f>ADVANCED!$D$41</f>
        <v>3.08629563500156</v>
      </c>
      <c r="J226" s="47">
        <f>ADVANCED!$E$41</f>
        <v>3.3432284524961746</v>
      </c>
      <c r="K226" s="47">
        <f>ADVANCED!$F$41</f>
        <v>3.4128506014441795</v>
      </c>
      <c r="L226" s="47">
        <f>ADVANCED!$G$41</f>
        <v>3.3688312062336978</v>
      </c>
      <c r="M226" s="45">
        <f>ADVANCED!$H$41</f>
        <v>-9.1915272113775037E-2</v>
      </c>
      <c r="N226" s="46"/>
      <c r="O226" s="47">
        <f>ADVANCED!$D$37</f>
        <v>5.5556998154527122</v>
      </c>
      <c r="P226" s="47">
        <f>ADVANCED!$E$37</f>
        <v>4.7709316459527749</v>
      </c>
      <c r="Q226" s="47">
        <f>ADVANCED!$F$37</f>
        <v>4.1880854329047397</v>
      </c>
      <c r="R226" s="47">
        <f>ADVANCED!$G$37</f>
        <v>3.7370099942634472</v>
      </c>
      <c r="S226" s="45">
        <f>ADVANCED!$H$37</f>
        <v>6.7116376718759252E-2</v>
      </c>
      <c r="T226" s="46"/>
      <c r="U226" s="48" t="str">
        <f t="shared" ref="U226:V239" si="35">U164</f>
        <v>THB 269.0</v>
      </c>
      <c r="V226" s="44" t="str">
        <f t="shared" si="35"/>
        <v>AIS</v>
      </c>
      <c r="AE226" s="41"/>
      <c r="AF226" s="31"/>
      <c r="AG226" s="31"/>
      <c r="AI226" s="41"/>
      <c r="AJ226" s="64"/>
      <c r="AK226" s="64"/>
      <c r="AM226" s="41"/>
      <c r="AN226" s="17"/>
      <c r="AO226" s="17"/>
      <c r="AQ226" s="41"/>
      <c r="AR226" s="18"/>
      <c r="AS226" s="18"/>
    </row>
    <row r="227" spans="1:45" s="5" customFormat="1">
      <c r="A227" s="39"/>
      <c r="B227" s="42"/>
      <c r="C227" s="48" t="str">
        <f t="shared" si="34"/>
        <v>Axiata</v>
      </c>
      <c r="D227" s="44" t="str">
        <f t="shared" si="34"/>
        <v>MYR 2.44</v>
      </c>
      <c r="E227" s="44" t="str">
        <f t="shared" si="34"/>
        <v>MYR 4.50</v>
      </c>
      <c r="F227" s="45">
        <f t="shared" si="34"/>
        <v>0.84426229508196715</v>
      </c>
      <c r="G227" s="44" t="str">
        <f t="shared" si="34"/>
        <v>Buy</v>
      </c>
      <c r="H227" s="46"/>
      <c r="I227" s="47">
        <f>AXI!$D$41</f>
        <v>0.70137350718132097</v>
      </c>
      <c r="J227" s="47">
        <f>AXI!$E$41</f>
        <v>0.796061925041191</v>
      </c>
      <c r="K227" s="47">
        <f>AXI!$F$41</f>
        <v>0.74807210013356784</v>
      </c>
      <c r="L227" s="47">
        <f>AXI!$G$41</f>
        <v>0.69964837055404716</v>
      </c>
      <c r="M227" s="45">
        <f>AXI!$H$41</f>
        <v>3.1884770987806066E-2</v>
      </c>
      <c r="N227" s="46"/>
      <c r="O227" s="47">
        <f>AXI!$D$37</f>
        <v>1.8678079443492261</v>
      </c>
      <c r="P227" s="47">
        <f>AXI!$E$37</f>
        <v>2.1054346031494058</v>
      </c>
      <c r="Q227" s="47">
        <f>AXI!$F$37</f>
        <v>1.9271175520879971</v>
      </c>
      <c r="R227" s="47">
        <f>AXI!$G$37</f>
        <v>1.7806923117690616</v>
      </c>
      <c r="S227" s="45">
        <f>AXI!$H$37</f>
        <v>4.7584677909829676E-2</v>
      </c>
      <c r="T227" s="46"/>
      <c r="U227" s="48" t="str">
        <f t="shared" si="35"/>
        <v>MYR 2.44</v>
      </c>
      <c r="V227" s="44" t="str">
        <f t="shared" si="35"/>
        <v>Axiata</v>
      </c>
      <c r="AE227" s="41"/>
      <c r="AF227" s="31"/>
      <c r="AG227" s="31"/>
      <c r="AI227" s="41"/>
      <c r="AJ227" s="64"/>
      <c r="AK227" s="64"/>
      <c r="AM227" s="41"/>
      <c r="AN227" s="17"/>
      <c r="AO227" s="17"/>
      <c r="AQ227" s="41"/>
      <c r="AR227" s="18"/>
      <c r="AS227" s="18"/>
    </row>
    <row r="228" spans="1:45" s="5" customFormat="1">
      <c r="A228" s="39"/>
      <c r="B228" s="42"/>
      <c r="C228" s="48" t="str">
        <f t="shared" si="34"/>
        <v>Bharti Airtel</v>
      </c>
      <c r="D228" s="44" t="str">
        <f t="shared" si="34"/>
        <v>INR 1539</v>
      </c>
      <c r="E228" s="44" t="str">
        <f t="shared" si="34"/>
        <v>INR 1500</v>
      </c>
      <c r="F228" s="45">
        <f t="shared" si="34"/>
        <v>-2.5404457150282611E-2</v>
      </c>
      <c r="G228" s="44" t="str">
        <f t="shared" si="34"/>
        <v>Neutral</v>
      </c>
      <c r="H228" s="46"/>
      <c r="I228" s="47">
        <f>BHART!$D$41</f>
        <v>4.2726886302483358</v>
      </c>
      <c r="J228" s="47">
        <f>BHART!$E$41</f>
        <v>4.2771936311311354</v>
      </c>
      <c r="K228" s="47">
        <f>BHART!$F$41</f>
        <v>4.2573235338051187</v>
      </c>
      <c r="L228" s="47">
        <f>BHART!$G$41</f>
        <v>4.2376616136206575</v>
      </c>
      <c r="M228" s="45">
        <f>BHART!$H$41</f>
        <v>-3.0741999675800602E-2</v>
      </c>
      <c r="N228" s="46"/>
      <c r="O228" s="47">
        <f>BHART!$D$37</f>
        <v>8.0890765421067528</v>
      </c>
      <c r="P228" s="47">
        <f>BHART!$E$37</f>
        <v>7.0633055335402979</v>
      </c>
      <c r="Q228" s="47">
        <f>BHART!$F$37</f>
        <v>5.9266599095982713</v>
      </c>
      <c r="R228" s="47">
        <f>BHART!$G$37</f>
        <v>4.9753925558679182</v>
      </c>
      <c r="S228" s="45">
        <f>BHART!$H$37</f>
        <v>0.13659289046180012</v>
      </c>
      <c r="T228" s="46"/>
      <c r="U228" s="48" t="str">
        <f t="shared" si="35"/>
        <v>INR 1539</v>
      </c>
      <c r="V228" s="44" t="str">
        <f t="shared" si="35"/>
        <v>Bharti Airtel</v>
      </c>
      <c r="AE228" s="41"/>
      <c r="AF228" s="31"/>
      <c r="AG228" s="31"/>
      <c r="AI228" s="41"/>
      <c r="AJ228" s="64"/>
      <c r="AK228" s="64"/>
      <c r="AM228" s="41"/>
      <c r="AN228" s="17"/>
      <c r="AO228" s="17"/>
      <c r="AQ228" s="41"/>
      <c r="AR228" s="18"/>
      <c r="AS228" s="18"/>
    </row>
    <row r="229" spans="1:45" s="5" customFormat="1">
      <c r="B229" s="42"/>
      <c r="C229" s="48" t="str">
        <f t="shared" si="34"/>
        <v>China Mobile</v>
      </c>
      <c r="D229" s="44" t="str">
        <f t="shared" si="34"/>
        <v>HKD 72.0</v>
      </c>
      <c r="E229" s="44" t="str">
        <f t="shared" si="34"/>
        <v>HKD 115.0</v>
      </c>
      <c r="F229" s="45">
        <f t="shared" si="34"/>
        <v>0.59722222222222232</v>
      </c>
      <c r="G229" s="44" t="str">
        <f t="shared" si="34"/>
        <v>Buy</v>
      </c>
      <c r="H229" s="46"/>
      <c r="I229" s="47">
        <f>_CM!$D$41</f>
        <v>0.72336221090580011</v>
      </c>
      <c r="J229" s="47">
        <f>_CM!$E$41</f>
        <v>0.71192971042554209</v>
      </c>
      <c r="K229" s="47">
        <f>_CM!$F$41</f>
        <v>0.63404106748767697</v>
      </c>
      <c r="L229" s="47">
        <f>_CM!$G$41</f>
        <v>0.5493596443354466</v>
      </c>
      <c r="M229" s="45">
        <f>_CM!$H$41</f>
        <v>-1.4586808256449424E-2</v>
      </c>
      <c r="N229" s="46"/>
      <c r="O229" s="47">
        <f>_CM!$D$37</f>
        <v>1.2107497618075773</v>
      </c>
      <c r="P229" s="47">
        <f>_CM!$E$37</f>
        <v>1.1373537406002072</v>
      </c>
      <c r="Q229" s="47">
        <f>_CM!$F$37</f>
        <v>0.96151035128842099</v>
      </c>
      <c r="R229" s="47">
        <f>_CM!$G$37</f>
        <v>0.78996588211893992</v>
      </c>
      <c r="S229" s="45">
        <f>_CM!$H$37</f>
        <v>3.6574934801534287E-2</v>
      </c>
      <c r="T229" s="46"/>
      <c r="U229" s="48" t="str">
        <f t="shared" si="35"/>
        <v>HKD 72.0</v>
      </c>
      <c r="V229" s="44" t="str">
        <f t="shared" si="35"/>
        <v>China Mobile</v>
      </c>
      <c r="AE229" s="41"/>
      <c r="AF229" s="31"/>
      <c r="AG229" s="31"/>
      <c r="AI229" s="41"/>
      <c r="AJ229" s="64"/>
      <c r="AK229" s="64"/>
      <c r="AM229" s="41"/>
      <c r="AN229" s="17"/>
      <c r="AO229" s="17"/>
      <c r="AQ229" s="41"/>
      <c r="AR229" s="18"/>
      <c r="AS229" s="18"/>
    </row>
    <row r="230" spans="1:45" s="5" customFormat="1">
      <c r="B230" s="42"/>
      <c r="C230" s="48" t="str">
        <f t="shared" si="34"/>
        <v>CelcomDigi</v>
      </c>
      <c r="D230" s="44" t="str">
        <f t="shared" si="34"/>
        <v>MYR 3.7</v>
      </c>
      <c r="E230" s="44" t="str">
        <f t="shared" si="34"/>
        <v>MYR 6.0</v>
      </c>
      <c r="F230" s="45">
        <f t="shared" si="34"/>
        <v>0.63934426229508201</v>
      </c>
      <c r="G230" s="44" t="str">
        <f t="shared" si="34"/>
        <v>Buy</v>
      </c>
      <c r="H230" s="46"/>
      <c r="I230" s="47">
        <f>DIGI!$D$41</f>
        <v>1.8442620151145714</v>
      </c>
      <c r="J230" s="47">
        <f>DIGI!$E$41</f>
        <v>1.8852410047986148</v>
      </c>
      <c r="K230" s="47">
        <f>DIGI!$F$41</f>
        <v>1.8452954421516705</v>
      </c>
      <c r="L230" s="47">
        <f>DIGI!$G$41</f>
        <v>1.7836069673223078</v>
      </c>
      <c r="M230" s="45">
        <f>DIGI!$H$41</f>
        <v>-4.379742317685642E-2</v>
      </c>
      <c r="N230" s="46"/>
      <c r="O230" s="47">
        <f>DIGI!$D$37</f>
        <v>4.5824387600372658</v>
      </c>
      <c r="P230" s="47">
        <f>DIGI!$E$37</f>
        <v>4.3986821999286052</v>
      </c>
      <c r="Q230" s="47">
        <f>DIGI!$F$37</f>
        <v>4.034968773994982</v>
      </c>
      <c r="R230" s="47">
        <f>DIGI!$G$37</f>
        <v>3.6662138193488976</v>
      </c>
      <c r="S230" s="45">
        <f>DIGI!$H$37</f>
        <v>1.8595412333380024E-2</v>
      </c>
      <c r="T230" s="46"/>
      <c r="U230" s="48" t="str">
        <f t="shared" si="35"/>
        <v>MYR 3.7</v>
      </c>
      <c r="V230" s="44" t="str">
        <f t="shared" si="35"/>
        <v>CelcomDigi</v>
      </c>
      <c r="AE230" s="41"/>
      <c r="AF230" s="31"/>
      <c r="AG230" s="31"/>
      <c r="AI230" s="41"/>
      <c r="AJ230" s="64"/>
      <c r="AK230" s="64"/>
      <c r="AM230" s="41"/>
      <c r="AN230" s="17"/>
      <c r="AO230" s="17"/>
      <c r="AQ230" s="41"/>
      <c r="AR230" s="18"/>
      <c r="AS230" s="18"/>
    </row>
    <row r="231" spans="1:45" s="5" customFormat="1">
      <c r="B231" s="42"/>
      <c r="C231" s="48" t="str">
        <f t="shared" si="34"/>
        <v>Far EasTone</v>
      </c>
      <c r="D231" s="44" t="str">
        <f t="shared" si="34"/>
        <v>TWD 91.9</v>
      </c>
      <c r="E231" s="44" t="str">
        <f t="shared" si="34"/>
        <v>TWD n/r</v>
      </c>
      <c r="F231" s="45" t="str">
        <f t="shared" si="34"/>
        <v>-</v>
      </c>
      <c r="G231" s="44" t="str">
        <f t="shared" si="34"/>
        <v>n/r</v>
      </c>
      <c r="H231" s="46"/>
      <c r="I231" s="47">
        <f>FAR!$D$41</f>
        <v>2.6519973517613544</v>
      </c>
      <c r="J231" s="47">
        <f>FAR!$E$41</f>
        <v>2.6217946995026997</v>
      </c>
      <c r="K231" s="47">
        <f>FAR!$F$41</f>
        <v>2.5789483880892736</v>
      </c>
      <c r="L231" s="47">
        <f>FAR!$G$41</f>
        <v>2.5246639410007603</v>
      </c>
      <c r="M231" s="45">
        <f>FAR!$H$41</f>
        <v>-2.7013117648623908E-2</v>
      </c>
      <c r="N231" s="46"/>
      <c r="O231" s="47">
        <f>FAR!$D$37</f>
        <v>3.8106254852255232</v>
      </c>
      <c r="P231" s="47">
        <f>FAR!$E$37</f>
        <v>3.5627613648810952</v>
      </c>
      <c r="Q231" s="47">
        <f>FAR!$F$37</f>
        <v>3.3214469045834072</v>
      </c>
      <c r="R231" s="47">
        <f>FAR!$G$37</f>
        <v>3.0865686097456981</v>
      </c>
      <c r="S231" s="45">
        <f>FAR!$H$37</f>
        <v>2.6811190545072972E-2</v>
      </c>
      <c r="T231" s="46"/>
      <c r="U231" s="48" t="str">
        <f t="shared" si="35"/>
        <v>TWD 91.9</v>
      </c>
      <c r="V231" s="44" t="str">
        <f t="shared" si="35"/>
        <v>Far EasTone</v>
      </c>
      <c r="AE231" s="41"/>
      <c r="AF231" s="31"/>
      <c r="AG231" s="31"/>
      <c r="AI231" s="41"/>
      <c r="AJ231" s="64"/>
      <c r="AK231" s="64"/>
      <c r="AM231" s="41"/>
      <c r="AN231" s="17"/>
      <c r="AO231" s="17"/>
      <c r="AQ231" s="41"/>
      <c r="AR231" s="18"/>
      <c r="AS231" s="18"/>
    </row>
    <row r="232" spans="1:45" s="5" customFormat="1">
      <c r="B232" s="42"/>
      <c r="C232" s="48" t="str">
        <f t="shared" si="34"/>
        <v>Vodafone IDEA</v>
      </c>
      <c r="D232" s="44" t="str">
        <f t="shared" si="34"/>
        <v>INR 13.4</v>
      </c>
      <c r="E232" s="44" t="str">
        <f t="shared" si="34"/>
        <v>INR 5.0</v>
      </c>
      <c r="F232" s="45">
        <f t="shared" si="34"/>
        <v>-0.62574850299401197</v>
      </c>
      <c r="G232" s="44" t="str">
        <f t="shared" si="34"/>
        <v>Reduce</v>
      </c>
      <c r="H232" s="46"/>
      <c r="I232" s="47">
        <f>IDEA!$D$41</f>
        <v>2.6566744772758515</v>
      </c>
      <c r="J232" s="47">
        <f>IDEA!$E$41</f>
        <v>3.6476514442882548</v>
      </c>
      <c r="K232" s="47">
        <f>IDEA!$F$41</f>
        <v>3.9401933449732325</v>
      </c>
      <c r="L232" s="47">
        <f>IDEA!$G$41</f>
        <v>4.6807971403987327</v>
      </c>
      <c r="M232" s="45">
        <f>IDEA!$H$41</f>
        <v>-0.10891248401383624</v>
      </c>
      <c r="N232" s="46"/>
      <c r="O232" s="47">
        <f>IDEA!$D$37</f>
        <v>6.4340284865550501</v>
      </c>
      <c r="P232" s="47">
        <f>IDEA!$E$37</f>
        <v>6.5966837829930318</v>
      </c>
      <c r="Q232" s="47">
        <f>IDEA!$F$37</f>
        <v>6.2181984600786064</v>
      </c>
      <c r="R232" s="47">
        <f>IDEA!$G$37</f>
        <v>5.9167231350096747</v>
      </c>
      <c r="S232" s="45">
        <f>IDEA!$H$37</f>
        <v>0.10674634231514601</v>
      </c>
      <c r="T232" s="46"/>
      <c r="U232" s="48" t="str">
        <f t="shared" si="35"/>
        <v>INR 13.4</v>
      </c>
      <c r="V232" s="44" t="str">
        <f t="shared" si="35"/>
        <v>Vodafone IDEA</v>
      </c>
      <c r="AE232" s="41"/>
      <c r="AF232" s="31"/>
      <c r="AG232" s="31"/>
      <c r="AI232" s="41"/>
      <c r="AJ232" s="64"/>
      <c r="AK232" s="64"/>
      <c r="AM232" s="41"/>
      <c r="AN232" s="17"/>
      <c r="AO232" s="17"/>
      <c r="AQ232" s="41"/>
      <c r="AR232" s="18"/>
      <c r="AS232" s="18"/>
    </row>
    <row r="233" spans="1:45" s="5" customFormat="1">
      <c r="B233" s="42"/>
      <c r="C233" s="48" t="str">
        <f t="shared" si="34"/>
        <v>Indosat</v>
      </c>
      <c r="D233" s="44" t="str">
        <f t="shared" si="34"/>
        <v>IDR 10,900</v>
      </c>
      <c r="E233" s="44" t="str">
        <f t="shared" si="34"/>
        <v>IDR 12,500</v>
      </c>
      <c r="F233" s="45">
        <f t="shared" si="34"/>
        <v>0.14678899082568808</v>
      </c>
      <c r="G233" s="44" t="str">
        <f t="shared" si="34"/>
        <v>Buy</v>
      </c>
      <c r="H233" s="46"/>
      <c r="I233" s="47">
        <f>INDO!$D$41</f>
        <v>1.6576716335359214</v>
      </c>
      <c r="J233" s="47">
        <f>INDO!$E$41</f>
        <v>1.6510825214257945</v>
      </c>
      <c r="K233" s="47">
        <f>INDO!$F$41</f>
        <v>1.4993027698432706</v>
      </c>
      <c r="L233" s="47">
        <f>INDO!$G$41</f>
        <v>1.2673262593774157</v>
      </c>
      <c r="M233" s="45">
        <f>INDO!$H$41</f>
        <v>-6.5423057538105511E-2</v>
      </c>
      <c r="N233" s="46"/>
      <c r="O233" s="47">
        <f>INDO!$D$37</f>
        <v>2.6654444971578486</v>
      </c>
      <c r="P233" s="47">
        <f>INDO!$E$37</f>
        <v>2.2802131745704974</v>
      </c>
      <c r="Q233" s="47">
        <f>INDO!$F$37</f>
        <v>1.7672467742578233</v>
      </c>
      <c r="R233" s="47">
        <f>INDO!$G$37</f>
        <v>1.2638009072616929</v>
      </c>
      <c r="S233" s="45">
        <f>INDO!$H$37</f>
        <v>9.5911198990965563E-2</v>
      </c>
      <c r="T233" s="46"/>
      <c r="U233" s="48" t="str">
        <f t="shared" si="35"/>
        <v>IDR 10,900</v>
      </c>
      <c r="V233" s="44" t="str">
        <f t="shared" si="35"/>
        <v>Indosat</v>
      </c>
      <c r="AE233" s="41"/>
      <c r="AF233" s="31"/>
      <c r="AG233" s="31"/>
      <c r="AI233" s="41"/>
      <c r="AJ233" s="64"/>
      <c r="AK233" s="64"/>
      <c r="AM233" s="41"/>
      <c r="AN233" s="17"/>
      <c r="AO233" s="17"/>
      <c r="AQ233" s="41"/>
      <c r="AR233" s="18"/>
      <c r="AS233" s="18"/>
    </row>
    <row r="234" spans="1:45" s="5" customFormat="1">
      <c r="B234" s="42"/>
      <c r="C234" s="48" t="str">
        <f t="shared" si="34"/>
        <v>LG Uplus</v>
      </c>
      <c r="D234" s="44" t="str">
        <f t="shared" si="34"/>
        <v>KRW 9,890</v>
      </c>
      <c r="E234" s="44" t="str">
        <f t="shared" si="34"/>
        <v>KRW 21,000</v>
      </c>
      <c r="F234" s="45">
        <f t="shared" si="34"/>
        <v>1.1233569261880687</v>
      </c>
      <c r="G234" s="44" t="str">
        <f t="shared" si="34"/>
        <v>Buy</v>
      </c>
      <c r="H234" s="46"/>
      <c r="I234" s="47">
        <f>_LG!$D$41</f>
        <v>0.8360386528703927</v>
      </c>
      <c r="J234" s="47">
        <f>_LG!$E$41</f>
        <v>0.81379119082643314</v>
      </c>
      <c r="K234" s="47">
        <f>_LG!$F$41</f>
        <v>0.76823967671654825</v>
      </c>
      <c r="L234" s="47">
        <f>_LG!$G$41</f>
        <v>0.71997611317416099</v>
      </c>
      <c r="M234" s="45">
        <f>_LG!$H$41</f>
        <v>2.7292299893104888E-2</v>
      </c>
      <c r="N234" s="46"/>
      <c r="O234" s="47">
        <f>_LG!$D$37</f>
        <v>0.84220803589378057</v>
      </c>
      <c r="P234" s="47">
        <f>_LG!$E$37</f>
        <v>0.82533157490326436</v>
      </c>
      <c r="Q234" s="47">
        <f>_LG!$F$37</f>
        <v>0.78614072918387301</v>
      </c>
      <c r="R234" s="47">
        <f>_LG!$G$37</f>
        <v>0.74450173851844259</v>
      </c>
      <c r="S234" s="45">
        <f>_LG!$H$37</f>
        <v>1.8378366080334496E-2</v>
      </c>
      <c r="T234" s="46"/>
      <c r="U234" s="48" t="str">
        <f t="shared" si="35"/>
        <v>KRW 9,890</v>
      </c>
      <c r="V234" s="44" t="str">
        <f t="shared" si="35"/>
        <v>LG Uplus</v>
      </c>
      <c r="AE234" s="41"/>
      <c r="AF234" s="31"/>
      <c r="AG234" s="31"/>
      <c r="AI234" s="41"/>
      <c r="AJ234" s="64"/>
      <c r="AK234" s="64"/>
      <c r="AM234" s="41"/>
      <c r="AN234" s="17"/>
      <c r="AO234" s="17"/>
      <c r="AQ234" s="41"/>
      <c r="AR234" s="18"/>
      <c r="AS234" s="18"/>
    </row>
    <row r="235" spans="1:45" s="5" customFormat="1">
      <c r="A235" s="39"/>
      <c r="B235" s="42"/>
      <c r="C235" s="48" t="str">
        <f t="shared" si="34"/>
        <v>Maxis</v>
      </c>
      <c r="D235" s="44" t="str">
        <f t="shared" si="34"/>
        <v>MYR 3.82</v>
      </c>
      <c r="E235" s="44" t="str">
        <f t="shared" si="34"/>
        <v>MYR 5.60</v>
      </c>
      <c r="F235" s="45">
        <f t="shared" si="34"/>
        <v>0.46596858638743455</v>
      </c>
      <c r="G235" s="44" t="str">
        <f t="shared" si="34"/>
        <v>Buy</v>
      </c>
      <c r="H235" s="46"/>
      <c r="I235" s="47">
        <f>MAXI!$D$41</f>
        <v>2.6163082892888205</v>
      </c>
      <c r="J235" s="47">
        <f>MAXI!$E$41</f>
        <v>2.6792992228512795</v>
      </c>
      <c r="K235" s="47">
        <f>MAXI!$F$41</f>
        <v>2.6150641034191606</v>
      </c>
      <c r="L235" s="47">
        <f>MAXI!$G$41</f>
        <v>2.5244799970136778</v>
      </c>
      <c r="M235" s="45">
        <f>MAXI!$H$41</f>
        <v>-3.0455020467495819E-2</v>
      </c>
      <c r="N235" s="46"/>
      <c r="O235" s="47">
        <f>MAXI!$D$37</f>
        <v>3.8414499017681729</v>
      </c>
      <c r="P235" s="47">
        <f>MAXI!$E$37</f>
        <v>3.6309397598043698</v>
      </c>
      <c r="Q235" s="47">
        <f>MAXI!$F$37</f>
        <v>3.3468450592233459</v>
      </c>
      <c r="R235" s="47">
        <f>MAXI!$G$37</f>
        <v>3.0678662393507223</v>
      </c>
      <c r="S235" s="45">
        <f>MAXI!$H$37</f>
        <v>3.2639068367961599E-2</v>
      </c>
      <c r="T235" s="46"/>
      <c r="U235" s="48" t="str">
        <f t="shared" si="35"/>
        <v>MYR 3.82</v>
      </c>
      <c r="V235" s="44" t="str">
        <f t="shared" si="35"/>
        <v>Maxis</v>
      </c>
      <c r="AE235" s="41"/>
      <c r="AF235" s="31"/>
      <c r="AG235" s="31"/>
      <c r="AI235" s="41"/>
      <c r="AJ235" s="64"/>
      <c r="AK235" s="64"/>
      <c r="AM235" s="41"/>
      <c r="AN235" s="17"/>
      <c r="AO235" s="17"/>
      <c r="AQ235" s="41"/>
      <c r="AR235" s="18"/>
      <c r="AS235" s="18"/>
    </row>
    <row r="236" spans="1:45" s="5" customFormat="1">
      <c r="B236" s="42"/>
      <c r="C236" s="48" t="str">
        <f t="shared" si="34"/>
        <v>SK Telecom</v>
      </c>
      <c r="D236" s="44" t="str">
        <f t="shared" si="34"/>
        <v>KRW 57,800</v>
      </c>
      <c r="E236" s="44" t="str">
        <f t="shared" si="34"/>
        <v>KRW 116,000</v>
      </c>
      <c r="F236" s="45">
        <f t="shared" si="34"/>
        <v>1.0069204152249136</v>
      </c>
      <c r="G236" s="44" t="str">
        <f t="shared" si="34"/>
        <v>Buy</v>
      </c>
      <c r="H236" s="46"/>
      <c r="I236" s="47">
        <f>SKT!$D$41</f>
        <v>2.6621532975021731</v>
      </c>
      <c r="J236" s="47">
        <f>SKT!$E$41</f>
        <v>2.7279677281608929</v>
      </c>
      <c r="K236" s="47">
        <f>SKT!$F$41</f>
        <v>2.7919171120040733</v>
      </c>
      <c r="L236" s="47">
        <f>SKT!$G$41</f>
        <v>2.9422641277202537</v>
      </c>
      <c r="M236" s="45">
        <f>SKT!$H$41</f>
        <v>-8.4021452517084816E-2</v>
      </c>
      <c r="N236" s="46"/>
      <c r="O236" s="47">
        <f>SKT!$D$37</f>
        <v>1.3940538866919479</v>
      </c>
      <c r="P236" s="47">
        <f>SKT!$E$37</f>
        <v>1.2931297490377553</v>
      </c>
      <c r="Q236" s="47">
        <f>SKT!$F$37</f>
        <v>1.2095630875321499</v>
      </c>
      <c r="R236" s="47">
        <f>SKT!$G$37</f>
        <v>1.1103465997597866</v>
      </c>
      <c r="S236" s="45">
        <f>SKT!$H$37</f>
        <v>2.1664962076225036E-2</v>
      </c>
      <c r="T236" s="46"/>
      <c r="U236" s="48" t="str">
        <f t="shared" si="35"/>
        <v>KRW 57,800</v>
      </c>
      <c r="V236" s="44" t="str">
        <f t="shared" si="35"/>
        <v>SK Telecom</v>
      </c>
      <c r="AE236" s="41"/>
      <c r="AF236" s="31"/>
      <c r="AG236" s="31"/>
      <c r="AI236" s="41"/>
      <c r="AJ236" s="64"/>
      <c r="AK236" s="64"/>
      <c r="AM236" s="41"/>
      <c r="AN236" s="17"/>
      <c r="AO236" s="17"/>
      <c r="AQ236" s="41"/>
      <c r="AR236" s="18"/>
      <c r="AS236" s="18"/>
    </row>
    <row r="237" spans="1:45" s="5" customFormat="1">
      <c r="B237" s="42"/>
      <c r="C237" s="48" t="str">
        <f t="shared" si="34"/>
        <v>Taiwan Mobile</v>
      </c>
      <c r="D237" s="44" t="str">
        <f t="shared" si="34"/>
        <v>TWD 115.0</v>
      </c>
      <c r="E237" s="44" t="str">
        <f t="shared" si="34"/>
        <v>TWD n/r</v>
      </c>
      <c r="F237" s="45" t="str">
        <f t="shared" si="34"/>
        <v>-</v>
      </c>
      <c r="G237" s="44" t="str">
        <f t="shared" si="34"/>
        <v>n/r</v>
      </c>
      <c r="H237" s="46"/>
      <c r="I237" s="47">
        <f>TAIWAN!$D$41</f>
        <v>3.2319100702803989</v>
      </c>
      <c r="J237" s="47">
        <f>TAIWAN!$E$41</f>
        <v>3.1765808570335521</v>
      </c>
      <c r="K237" s="47">
        <f>TAIWAN!$F$41</f>
        <v>3.0602422248130341</v>
      </c>
      <c r="L237" s="47">
        <f>TAIWAN!$G$41</f>
        <v>2.9131887307243214</v>
      </c>
      <c r="M237" s="45">
        <f>TAIWAN!$H$41</f>
        <v>-3.3349116329359663E-2</v>
      </c>
      <c r="N237" s="46"/>
      <c r="O237" s="47">
        <f>TAIWAN!$D$37</f>
        <v>2.117596132448663</v>
      </c>
      <c r="P237" s="47">
        <f>TAIWAN!$E$37</f>
        <v>1.9349266069467417</v>
      </c>
      <c r="Q237" s="47">
        <f>TAIWAN!$F$37</f>
        <v>1.7526265311890536</v>
      </c>
      <c r="R237" s="47">
        <f>TAIWAN!$G$37</f>
        <v>1.5668302457378032</v>
      </c>
      <c r="S237" s="45">
        <f>TAIWAN!$H$37</f>
        <v>3.2396443240543915E-2</v>
      </c>
      <c r="T237" s="46"/>
      <c r="U237" s="48" t="str">
        <f t="shared" si="35"/>
        <v>TWD 115.0</v>
      </c>
      <c r="V237" s="44" t="str">
        <f t="shared" si="35"/>
        <v>Taiwan Mobile</v>
      </c>
      <c r="AE237" s="41"/>
      <c r="AF237" s="31"/>
      <c r="AG237" s="31"/>
      <c r="AI237" s="41"/>
      <c r="AJ237" s="64"/>
      <c r="AK237" s="64"/>
      <c r="AM237" s="41"/>
      <c r="AN237" s="17"/>
      <c r="AO237" s="17"/>
      <c r="AQ237" s="41"/>
      <c r="AR237" s="18"/>
      <c r="AS237" s="18"/>
    </row>
    <row r="238" spans="1:45" s="5" customFormat="1">
      <c r="B238" s="42"/>
      <c r="C238" s="48" t="str">
        <f t="shared" si="34"/>
        <v>True Corp</v>
      </c>
      <c r="D238" s="44" t="str">
        <f t="shared" si="34"/>
        <v>THB 10.7</v>
      </c>
      <c r="E238" s="44" t="str">
        <f t="shared" si="34"/>
        <v>THB 15.0</v>
      </c>
      <c r="F238" s="45">
        <f t="shared" si="34"/>
        <v>0.40186915887850483</v>
      </c>
      <c r="G238" s="44" t="str">
        <f t="shared" si="34"/>
        <v>Buy</v>
      </c>
      <c r="H238" s="46"/>
      <c r="I238" s="47">
        <f>TRUECORP!$D$41</f>
        <v>1.6294283252722246</v>
      </c>
      <c r="J238" s="47">
        <f>TRUECORP!$E$41</f>
        <v>1.6668714242517255</v>
      </c>
      <c r="K238" s="47">
        <f>TRUECORP!$F$41</f>
        <v>1.6502907903675514</v>
      </c>
      <c r="L238" s="47">
        <f>TRUECORP!$G$41</f>
        <v>1.6049430131653537</v>
      </c>
      <c r="M238" s="45">
        <f>TRUECORP!$H$41</f>
        <v>-4.7505799130891591E-2</v>
      </c>
      <c r="N238" s="46"/>
      <c r="O238" s="47">
        <f>TRUECORP!$D$37</f>
        <v>4.2607587577922263</v>
      </c>
      <c r="P238" s="47">
        <f>TRUECORP!$E$37</f>
        <v>3.9428094040843273</v>
      </c>
      <c r="Q238" s="47">
        <f>TRUECORP!$F$37</f>
        <v>3.6349751370500125</v>
      </c>
      <c r="R238" s="47">
        <f>TRUECORP!$G$37</f>
        <v>3.2733075232975528</v>
      </c>
      <c r="S238" s="45">
        <f>TRUECORP!$H$37</f>
        <v>3.4754135372314421E-2</v>
      </c>
      <c r="T238" s="46"/>
      <c r="U238" s="48" t="str">
        <f t="shared" si="35"/>
        <v>THB 10.7</v>
      </c>
      <c r="V238" s="44" t="str">
        <f t="shared" si="35"/>
        <v>True Corp</v>
      </c>
      <c r="AE238" s="41"/>
      <c r="AF238" s="31"/>
      <c r="AG238" s="31"/>
      <c r="AI238" s="41"/>
      <c r="AJ238" s="64"/>
      <c r="AK238" s="64"/>
      <c r="AM238" s="41"/>
      <c r="AN238" s="17"/>
      <c r="AO238" s="17"/>
      <c r="AQ238" s="41"/>
      <c r="AR238" s="18"/>
      <c r="AS238" s="18"/>
    </row>
    <row r="239" spans="1:45" s="5" customFormat="1">
      <c r="B239" s="42"/>
      <c r="C239" s="48" t="str">
        <f t="shared" si="34"/>
        <v>XL Axiata</v>
      </c>
      <c r="D239" s="44" t="str">
        <f t="shared" si="34"/>
        <v>IDR 2,330</v>
      </c>
      <c r="E239" s="44" t="str">
        <f t="shared" si="34"/>
        <v>IDR 5,000</v>
      </c>
      <c r="F239" s="45">
        <f t="shared" si="34"/>
        <v>1.1459227467811157</v>
      </c>
      <c r="G239" s="44" t="str">
        <f t="shared" si="34"/>
        <v>Buy</v>
      </c>
      <c r="H239" s="46"/>
      <c r="I239" s="47">
        <f>XLAX!$D$41</f>
        <v>1.0571599682769095</v>
      </c>
      <c r="J239" s="47">
        <f>XLAX!$E$41</f>
        <v>1.0487787860657531</v>
      </c>
      <c r="K239" s="47">
        <f>XLAX!$F$41</f>
        <v>1.0184630671602855</v>
      </c>
      <c r="L239" s="47">
        <f>XLAX!$G$41</f>
        <v>0.97339894345384448</v>
      </c>
      <c r="M239" s="45">
        <f>XLAX!$H$41</f>
        <v>-7.50037451352219E-2</v>
      </c>
      <c r="N239" s="56"/>
      <c r="O239" s="47">
        <f>XLAX!$D$37</f>
        <v>2.3370994677834438</v>
      </c>
      <c r="P239" s="47">
        <f>XLAX!$E$37</f>
        <v>2.0123134229208577</v>
      </c>
      <c r="Q239" s="47">
        <f>XLAX!$F$37</f>
        <v>1.7228628826682808</v>
      </c>
      <c r="R239" s="47">
        <f>XLAX!$G$37</f>
        <v>1.4389204202198818</v>
      </c>
      <c r="S239" s="45">
        <f>XLAX!$H$37</f>
        <v>5.7799851407760672E-2</v>
      </c>
      <c r="T239" s="46"/>
      <c r="U239" s="48" t="str">
        <f t="shared" si="35"/>
        <v>IDR 2,330</v>
      </c>
      <c r="V239" s="44" t="str">
        <f t="shared" si="35"/>
        <v>XL Axiata</v>
      </c>
      <c r="AE239" s="41"/>
      <c r="AF239" s="31"/>
      <c r="AG239" s="31"/>
      <c r="AI239" s="41"/>
      <c r="AJ239" s="64"/>
      <c r="AK239" s="64"/>
      <c r="AM239" s="41"/>
      <c r="AN239" s="17"/>
      <c r="AO239" s="17"/>
      <c r="AQ239" s="41"/>
      <c r="AR239" s="18"/>
      <c r="AS239" s="18"/>
    </row>
    <row r="240" spans="1:45" s="5" customFormat="1">
      <c r="B240" s="42"/>
      <c r="C240" s="51" t="str">
        <f>C178</f>
        <v>Agg. Emerging Asia Cellular</v>
      </c>
      <c r="D240" s="52"/>
      <c r="E240" s="52"/>
      <c r="F240" s="53"/>
      <c r="G240" s="52"/>
      <c r="H240" s="46"/>
      <c r="I240" s="54">
        <f>'EM ASIA CELLULAR'!$D$41</f>
        <v>1.3556487552975875</v>
      </c>
      <c r="J240" s="54">
        <f>'EM ASIA CELLULAR'!$E$41</f>
        <v>1.3690185322811126</v>
      </c>
      <c r="K240" s="54">
        <f>'EM ASIA CELLULAR'!$F$41</f>
        <v>1.3057408580448826</v>
      </c>
      <c r="L240" s="54">
        <f>'EM ASIA CELLULAR'!$G$41</f>
        <v>1.2322416972419115</v>
      </c>
      <c r="M240" s="55">
        <f>'EM ASIA CELLULAR'!$H$41</f>
        <v>-2.2727547201761622E-2</v>
      </c>
      <c r="N240" s="56"/>
      <c r="O240" s="54">
        <f>'EM ASIA CELLULAR'!$D$37</f>
        <v>2.2344487860153421</v>
      </c>
      <c r="P240" s="54">
        <f>'EM ASIA CELLULAR'!$E$37</f>
        <v>2.1060731969907485</v>
      </c>
      <c r="Q240" s="54">
        <f>'EM ASIA CELLULAR'!$F$37</f>
        <v>1.8779441408444131</v>
      </c>
      <c r="R240" s="54">
        <f>'EM ASIA CELLULAR'!$G$37</f>
        <v>1.652052156875208</v>
      </c>
      <c r="S240" s="55">
        <f>'EM ASIA CELLULAR'!$H$37</f>
        <v>4.6921489371530178E-2</v>
      </c>
      <c r="T240" s="46"/>
      <c r="U240" s="57"/>
      <c r="V240" s="58" t="str">
        <f>V178</f>
        <v>Agg. Emerging Asia Cellular</v>
      </c>
      <c r="AE240" s="41"/>
      <c r="AF240" s="31"/>
      <c r="AG240" s="31"/>
      <c r="AI240" s="41"/>
      <c r="AJ240" s="64"/>
      <c r="AK240" s="64"/>
      <c r="AM240" s="41"/>
      <c r="AN240" s="17"/>
      <c r="AO240" s="17"/>
      <c r="AQ240" s="41"/>
      <c r="AR240" s="18"/>
      <c r="AS240" s="18"/>
    </row>
    <row r="241" spans="1:69" s="5" customFormat="1">
      <c r="B241" s="42"/>
      <c r="C241" s="43"/>
      <c r="D241" s="44"/>
      <c r="E241" s="44"/>
      <c r="F241" s="68"/>
      <c r="G241" s="44"/>
      <c r="H241" s="46"/>
      <c r="I241" s="62"/>
      <c r="J241" s="62"/>
      <c r="K241" s="62"/>
      <c r="L241" s="62"/>
      <c r="M241" s="61"/>
      <c r="N241" s="46"/>
      <c r="O241" s="62"/>
      <c r="P241" s="62"/>
      <c r="Q241" s="62"/>
      <c r="R241" s="62"/>
      <c r="S241" s="61"/>
      <c r="T241" s="46"/>
      <c r="U241" s="48"/>
      <c r="V241" s="50"/>
      <c r="AE241" s="41"/>
      <c r="AF241" s="31"/>
      <c r="AG241" s="31"/>
      <c r="AI241" s="41"/>
      <c r="AJ241" s="64"/>
      <c r="AK241" s="64"/>
      <c r="AM241" s="41"/>
      <c r="AN241" s="17"/>
      <c r="AO241" s="17"/>
      <c r="AQ241" s="41"/>
      <c r="AR241" s="18"/>
      <c r="AS241" s="18"/>
    </row>
    <row r="242" spans="1:69" s="5" customFormat="1">
      <c r="B242" s="42"/>
      <c r="C242" s="51" t="str">
        <f>C180</f>
        <v>Agg. Emerging  Cellular</v>
      </c>
      <c r="D242" s="52"/>
      <c r="E242" s="52"/>
      <c r="F242" s="53"/>
      <c r="G242" s="52"/>
      <c r="H242" s="46"/>
      <c r="I242" s="54">
        <f>'EM CELLULAR'!$D$41</f>
        <v>1.5248467904271694</v>
      </c>
      <c r="J242" s="54">
        <f>'EM CELLULAR'!$E$41</f>
        <v>1.5383461925366451</v>
      </c>
      <c r="K242" s="54">
        <f>'EM CELLULAR'!$F$41</f>
        <v>1.4721220686093988</v>
      </c>
      <c r="L242" s="54">
        <f>'EM CELLULAR'!$G$41</f>
        <v>1.3935425458382409</v>
      </c>
      <c r="M242" s="55">
        <f>'EM CELLULAR'!$H$41</f>
        <v>-1.8999293431604336E-2</v>
      </c>
      <c r="N242" s="46"/>
      <c r="O242" s="54">
        <f>'EM CELLULAR'!$D$37</f>
        <v>2.3633605749224893</v>
      </c>
      <c r="P242" s="54">
        <f>'EM CELLULAR'!$E$37</f>
        <v>2.2492348089852174</v>
      </c>
      <c r="Q242" s="54">
        <f>'EM CELLULAR'!$F$37</f>
        <v>2.0126947496551715</v>
      </c>
      <c r="R242" s="54">
        <f>'EM CELLULAR'!$G$37</f>
        <v>1.7794170168899046</v>
      </c>
      <c r="S242" s="55">
        <f>'EM CELLULAR'!$H$37</f>
        <v>4.6449022636606552E-2</v>
      </c>
      <c r="T242" s="46"/>
      <c r="U242" s="57"/>
      <c r="V242" s="58" t="str">
        <f>V180</f>
        <v>Agg. Emerging  Cellular</v>
      </c>
      <c r="AE242" s="41"/>
      <c r="AF242" s="31"/>
      <c r="AG242" s="31"/>
      <c r="AI242" s="41"/>
      <c r="AJ242" s="64"/>
      <c r="AK242" s="64"/>
      <c r="AM242" s="41"/>
      <c r="AN242" s="17"/>
      <c r="AO242" s="17"/>
      <c r="AQ242" s="41"/>
      <c r="AR242" s="18"/>
      <c r="AS242" s="18"/>
    </row>
    <row r="243" spans="1:69" s="5" customFormat="1">
      <c r="A243" s="39"/>
      <c r="B243" s="42"/>
      <c r="C243" s="43"/>
      <c r="D243" s="44"/>
      <c r="E243" s="44"/>
      <c r="F243" s="45"/>
      <c r="G243" s="44"/>
      <c r="H243" s="46"/>
      <c r="I243" s="47"/>
      <c r="J243" s="47"/>
      <c r="K243" s="47"/>
      <c r="L243" s="47"/>
      <c r="M243" s="45"/>
      <c r="N243" s="46"/>
      <c r="O243" s="47"/>
      <c r="P243" s="47"/>
      <c r="Q243" s="47"/>
      <c r="R243" s="47"/>
      <c r="S243" s="45"/>
      <c r="T243" s="46"/>
      <c r="U243" s="48"/>
      <c r="V243" s="50"/>
      <c r="AE243" s="41"/>
      <c r="AF243" s="31"/>
      <c r="AG243" s="31"/>
      <c r="AI243" s="41"/>
      <c r="AJ243" s="64"/>
      <c r="AK243" s="64"/>
      <c r="AM243" s="41"/>
      <c r="AN243" s="17"/>
      <c r="AO243" s="17"/>
      <c r="AQ243" s="41"/>
      <c r="AR243" s="18"/>
      <c r="AS243" s="18"/>
    </row>
    <row r="244" spans="1:69">
      <c r="A244" s="41" t="s">
        <v>503</v>
      </c>
      <c r="B244" s="42" t="s">
        <v>577</v>
      </c>
      <c r="C244" s="48" t="s">
        <v>811</v>
      </c>
      <c r="D244" s="44" t="str">
        <f>'EM Multiples'!B244&amp;TEXT(Prices!C$135,"0.00")</f>
        <v>MXN42.67</v>
      </c>
      <c r="E244" s="44" t="str">
        <f>'EM Multiples'!B244&amp;TEXT(Prices!E$135,"0.00")</f>
        <v>MXN55.00</v>
      </c>
      <c r="F244" s="45">
        <f>Prices!F$135</f>
        <v>0.28896179985938586</v>
      </c>
      <c r="G244" s="44" t="str">
        <f>Prices!D$135</f>
        <v>Buy</v>
      </c>
      <c r="H244" s="46"/>
      <c r="I244" s="47">
        <f>MEGA!$D$41</f>
        <v>1.109206850182177</v>
      </c>
      <c r="J244" s="47">
        <f>MEGA!$E$41</f>
        <v>1.0500453074322165</v>
      </c>
      <c r="K244" s="47">
        <f>MEGA!$F$41</f>
        <v>0.98598000592753088</v>
      </c>
      <c r="L244" s="47">
        <f>MEGA!$G$41</f>
        <v>0.90558947773774867</v>
      </c>
      <c r="M244" s="45">
        <f>MEGA!$H$41</f>
        <v>4.8486140250052712E-2</v>
      </c>
      <c r="N244" s="46"/>
      <c r="O244" s="47">
        <f>MEGA!$D$37</f>
        <v>2.017650781372808</v>
      </c>
      <c r="P244" s="47">
        <f>MEGA!$E$37</f>
        <v>1.8821414201573405</v>
      </c>
      <c r="Q244" s="47">
        <f>MEGA!$F$37</f>
        <v>1.7050072757058103</v>
      </c>
      <c r="R244" s="47">
        <f>MEGA!$G$37</f>
        <v>1.4777155728471059</v>
      </c>
      <c r="S244" s="45">
        <f>MEGA!$H$37</f>
        <v>8.7144697988267739E-2</v>
      </c>
      <c r="T244" s="46"/>
      <c r="U244" s="48" t="str">
        <f>D244</f>
        <v>MXN42.67</v>
      </c>
      <c r="V244" s="44" t="str">
        <f>C244</f>
        <v>Megacable</v>
      </c>
      <c r="Z244" s="46"/>
      <c r="AE244" s="41"/>
    </row>
    <row r="245" spans="1:69">
      <c r="A245" s="5"/>
      <c r="B245" s="42" t="s">
        <v>406</v>
      </c>
      <c r="C245" s="48" t="s">
        <v>797</v>
      </c>
      <c r="D245" s="44" t="str">
        <f>'EM Multiples'!B245&amp;TEXT(Prices!C$138,"0.00")</f>
        <v>USD9.48</v>
      </c>
      <c r="E245" s="44" t="str">
        <f>'EM Multiples'!B245&amp;TEXT(Prices!E$138,"0.00")</f>
        <v>USD14.00</v>
      </c>
      <c r="F245" s="45">
        <f>Prices!F$138</f>
        <v>0.47679324894514763</v>
      </c>
      <c r="G245" s="44" t="str">
        <f>Prices!D$138</f>
        <v>Buy</v>
      </c>
      <c r="H245" s="46"/>
      <c r="I245" s="47">
        <f>LiLAC!$D$41</f>
        <v>1.2356183925555599</v>
      </c>
      <c r="J245" s="47">
        <f>LiLAC!$E$41</f>
        <v>1.2494129385812893</v>
      </c>
      <c r="K245" s="47">
        <f>LiLAC!$F$41</f>
        <v>1.5373368733797765</v>
      </c>
      <c r="L245" s="47">
        <f>LiLAC!$G$41</f>
        <v>1.5752981943905966</v>
      </c>
      <c r="M245" s="45">
        <f>LiLAC!$H$41</f>
        <v>-4.987153823261381E-2</v>
      </c>
      <c r="N245" s="46"/>
      <c r="O245" s="47">
        <f>LiLAC!$D$37</f>
        <v>1.9213073761269672</v>
      </c>
      <c r="P245" s="47">
        <f>LiLAC!$E$37</f>
        <v>1.8278931020419653</v>
      </c>
      <c r="Q245" s="47">
        <f>LiLAC!$F$37</f>
        <v>2.0854591960616471</v>
      </c>
      <c r="R245" s="47">
        <f>LiLAC!$G$37</f>
        <v>2.0562580255421228</v>
      </c>
      <c r="S245" s="45">
        <f>LiLAC!$H$37</f>
        <v>7.1980542314982188E-3</v>
      </c>
      <c r="T245" s="46"/>
      <c r="U245" s="48" t="str">
        <f>D245</f>
        <v>USD9.48</v>
      </c>
      <c r="V245" s="44" t="str">
        <f>C245</f>
        <v>LiLAC</v>
      </c>
      <c r="Z245" s="46"/>
      <c r="AE245" s="41"/>
    </row>
    <row r="246" spans="1:69">
      <c r="A246" s="5"/>
      <c r="C246" s="67" t="s">
        <v>814</v>
      </c>
      <c r="D246" s="52"/>
      <c r="E246" s="52"/>
      <c r="F246" s="53"/>
      <c r="G246" s="52"/>
      <c r="H246" s="46"/>
      <c r="I246" s="54">
        <f>'LATAM ALTNET &amp; CABLE'!$D$41</f>
        <v>1.2007397446594752</v>
      </c>
      <c r="J246" s="54">
        <f>'LATAM ALTNET &amp; CABLE'!$E$41</f>
        <v>1.189103620138116</v>
      </c>
      <c r="K246" s="54">
        <f>'LATAM ALTNET &amp; CABLE'!$F$41</f>
        <v>1.3589051048177667</v>
      </c>
      <c r="L246" s="54">
        <f>'LATAM ALTNET &amp; CABLE'!$G$41</f>
        <v>1.3485000178303104</v>
      </c>
      <c r="M246" s="55">
        <f>'LATAM ALTNET &amp; CABLE'!$H$41</f>
        <v>-2.0729973523027856E-2</v>
      </c>
      <c r="N246" s="46"/>
      <c r="O246" s="54">
        <f>'LATAM ALTNET &amp; CABLE'!$D$37</f>
        <v>1.9449789682645313</v>
      </c>
      <c r="P246" s="54">
        <f>'LATAM ALTNET &amp; CABLE'!$E$37</f>
        <v>1.8420758256002729</v>
      </c>
      <c r="Q246" s="54">
        <f>'LATAM ALTNET &amp; CABLE'!$F$37</f>
        <v>1.9816311378972182</v>
      </c>
      <c r="R246" s="54">
        <f>'LATAM ALTNET &amp; CABLE'!$G$37</f>
        <v>1.8881405998579619</v>
      </c>
      <c r="S246" s="55">
        <f>'LATAM ALTNET &amp; CABLE'!$H$37</f>
        <v>2.8008435151252398E-2</v>
      </c>
      <c r="T246" s="46"/>
      <c r="U246" s="57"/>
      <c r="V246" s="58" t="str">
        <f>C246</f>
        <v>Agg. Emerging LatAm Altnets &amp; Cable</v>
      </c>
      <c r="Z246" s="46"/>
      <c r="AE246" s="41"/>
    </row>
    <row r="247" spans="1:69" s="5" customFormat="1">
      <c r="A247" s="39"/>
      <c r="B247" s="42"/>
      <c r="C247" s="43"/>
      <c r="D247" s="44"/>
      <c r="E247" s="44"/>
      <c r="F247" s="45"/>
      <c r="G247" s="44"/>
      <c r="H247" s="46"/>
      <c r="I247" s="47"/>
      <c r="J247" s="47"/>
      <c r="K247" s="47"/>
      <c r="L247" s="47"/>
      <c r="M247" s="45"/>
      <c r="N247" s="46"/>
      <c r="O247" s="47"/>
      <c r="P247" s="47"/>
      <c r="Q247" s="47"/>
      <c r="R247" s="47"/>
      <c r="S247" s="45"/>
      <c r="T247" s="46"/>
      <c r="U247" s="48"/>
      <c r="V247" s="50"/>
      <c r="AE247" s="41"/>
      <c r="AF247" s="31"/>
      <c r="AG247" s="31"/>
      <c r="AI247" s="41"/>
      <c r="AJ247" s="64"/>
      <c r="AK247" s="64"/>
      <c r="AM247" s="41"/>
      <c r="AN247" s="17"/>
      <c r="AO247" s="17"/>
      <c r="AQ247" s="41"/>
      <c r="AR247" s="18"/>
      <c r="AS247" s="18"/>
    </row>
    <row r="248" spans="1:69" s="5" customFormat="1">
      <c r="A248" s="39"/>
      <c r="B248" s="42"/>
      <c r="C248" s="67" t="str">
        <f>C186</f>
        <v>Agg. EMEA sector</v>
      </c>
      <c r="D248" s="52"/>
      <c r="E248" s="52"/>
      <c r="F248" s="53"/>
      <c r="G248" s="52"/>
      <c r="H248" s="46"/>
      <c r="I248" s="54">
        <f>'EMEA AGG'!$D$41</f>
        <v>2.7733629100434238</v>
      </c>
      <c r="J248" s="54">
        <f>'EMEA AGG'!$E$41</f>
        <v>2.7985538756851351</v>
      </c>
      <c r="K248" s="54">
        <f>'EMEA AGG'!$F$41</f>
        <v>2.6804997354695841</v>
      </c>
      <c r="L248" s="54">
        <f>'EMEA AGG'!$G$41</f>
        <v>2.5299275681034734</v>
      </c>
      <c r="M248" s="55">
        <f>'EMEA AGG'!$H$41</f>
        <v>6.2828779974728466E-3</v>
      </c>
      <c r="N248" s="56"/>
      <c r="O248" s="54">
        <f>'EMEA AGG'!$D$37</f>
        <v>2.9919693488156591</v>
      </c>
      <c r="P248" s="54">
        <f>'EMEA AGG'!$E$37</f>
        <v>3.027448706787137</v>
      </c>
      <c r="Q248" s="54">
        <f>'EMEA AGG'!$F$37</f>
        <v>2.7215400977069928</v>
      </c>
      <c r="R248" s="54">
        <f>'EMEA AGG'!$G$37</f>
        <v>2.4327807486562962</v>
      </c>
      <c r="S248" s="55">
        <f>'EMEA AGG'!$H$37</f>
        <v>4.5615312204706271E-2</v>
      </c>
      <c r="T248" s="46"/>
      <c r="U248" s="57"/>
      <c r="V248" s="58" t="str">
        <f>V186</f>
        <v>Agg. EMEA sector</v>
      </c>
      <c r="AE248" s="41"/>
      <c r="AF248" s="31"/>
      <c r="AG248" s="31"/>
      <c r="AI248" s="41"/>
      <c r="AJ248" s="64"/>
      <c r="AK248" s="64"/>
      <c r="AM248" s="41"/>
      <c r="AN248" s="17"/>
      <c r="AO248" s="17"/>
      <c r="AQ248" s="41"/>
      <c r="AR248" s="18"/>
      <c r="AS248" s="18"/>
    </row>
    <row r="249" spans="1:69" s="5" customFormat="1">
      <c r="A249" s="39"/>
      <c r="B249" s="42"/>
      <c r="C249" s="41" t="str">
        <f>C187</f>
        <v>Agg. LatAm sector</v>
      </c>
      <c r="D249" s="44"/>
      <c r="E249" s="44"/>
      <c r="F249" s="45"/>
      <c r="G249" s="44"/>
      <c r="H249" s="46"/>
      <c r="I249" s="60">
        <f>'LATAM AGG'!$D$41</f>
        <v>1.4115796699983318</v>
      </c>
      <c r="J249" s="60">
        <f>'LATAM AGG'!$E$41</f>
        <v>1.3587992176231234</v>
      </c>
      <c r="K249" s="60">
        <f>'LATAM AGG'!$F$41</f>
        <v>1.3076290017824224</v>
      </c>
      <c r="L249" s="60">
        <f>'LATAM AGG'!$G$41</f>
        <v>1.2288773276330958</v>
      </c>
      <c r="M249" s="59">
        <f>'LATAM AGG'!$H$41</f>
        <v>-3.1958761110921774E-3</v>
      </c>
      <c r="N249" s="56"/>
      <c r="O249" s="60">
        <f>'LATAM AGG'!$D$37</f>
        <v>1.873801004132529</v>
      </c>
      <c r="P249" s="60">
        <f>'LATAM AGG'!$E$37</f>
        <v>1.7320178445003651</v>
      </c>
      <c r="Q249" s="60">
        <f>'LATAM AGG'!$F$37</f>
        <v>1.60388492388207</v>
      </c>
      <c r="R249" s="60">
        <f>'LATAM AGG'!$G$37</f>
        <v>1.4688357708319109</v>
      </c>
      <c r="S249" s="59">
        <f>'LATAM AGG'!$H$37</f>
        <v>3.2272316594768702E-2</v>
      </c>
      <c r="T249" s="46"/>
      <c r="U249" s="48"/>
      <c r="V249" s="50" t="str">
        <f>V187</f>
        <v>Agg. LatAm sector</v>
      </c>
      <c r="AE249" s="41"/>
      <c r="AF249" s="31"/>
      <c r="AG249" s="31"/>
      <c r="AI249" s="41"/>
      <c r="AJ249" s="64"/>
      <c r="AK249" s="64"/>
      <c r="AM249" s="41"/>
      <c r="AN249" s="17"/>
      <c r="AO249" s="17"/>
      <c r="AQ249" s="41"/>
      <c r="AR249" s="18"/>
      <c r="AS249" s="18"/>
    </row>
    <row r="250" spans="1:69" s="5" customFormat="1">
      <c r="A250" s="39"/>
      <c r="B250" s="42"/>
      <c r="C250" s="67" t="str">
        <f>C188</f>
        <v>Agg. Emerging Asia sector</v>
      </c>
      <c r="D250" s="52"/>
      <c r="E250" s="52"/>
      <c r="F250" s="53"/>
      <c r="G250" s="52"/>
      <c r="H250" s="46"/>
      <c r="I250" s="54">
        <f>'AGG EM ASIA'!$D$41</f>
        <v>1.1847630732025143</v>
      </c>
      <c r="J250" s="54">
        <f>'AGG EM ASIA'!$E$41</f>
        <v>1.1817240524537027</v>
      </c>
      <c r="K250" s="54">
        <f>'AGG EM ASIA'!$F$41</f>
        <v>1.1202958308974589</v>
      </c>
      <c r="L250" s="54">
        <f>'AGG EM ASIA'!$G$41</f>
        <v>1.0492196130671132</v>
      </c>
      <c r="M250" s="55">
        <f>'AGG EM ASIA'!$H$41</f>
        <v>-1.9084429631928357E-2</v>
      </c>
      <c r="N250" s="56"/>
      <c r="O250" s="54">
        <f>'AGG EM ASIA'!$D$37</f>
        <v>1.6029666844221748</v>
      </c>
      <c r="P250" s="54">
        <f>'AGG EM ASIA'!$E$37</f>
        <v>1.5046717258148816</v>
      </c>
      <c r="Q250" s="54">
        <f>'AGG EM ASIA'!$F$37</f>
        <v>1.337162184556612</v>
      </c>
      <c r="R250" s="54">
        <f>'AGG EM ASIA'!$G$37</f>
        <v>1.177579868612405</v>
      </c>
      <c r="S250" s="55">
        <f>'AGG EM ASIA'!$H$37</f>
        <v>4.3969874091504657E-2</v>
      </c>
      <c r="T250" s="46"/>
      <c r="U250" s="57"/>
      <c r="V250" s="58" t="str">
        <f>V188</f>
        <v>Agg. Emerging Asia sector</v>
      </c>
      <c r="AE250" s="41"/>
      <c r="AF250" s="31"/>
      <c r="AG250" s="31"/>
      <c r="AI250" s="41"/>
      <c r="AJ250" s="64"/>
      <c r="AK250" s="64"/>
      <c r="AM250" s="41"/>
      <c r="AN250" s="17"/>
      <c r="AO250" s="17"/>
      <c r="AQ250" s="41"/>
      <c r="AR250" s="18"/>
      <c r="AS250" s="18"/>
    </row>
    <row r="251" spans="1:69" s="5" customFormat="1">
      <c r="A251" s="39"/>
      <c r="B251" s="42"/>
      <c r="C251" s="41"/>
      <c r="D251" s="44"/>
      <c r="E251" s="44"/>
      <c r="F251" s="45"/>
      <c r="G251" s="44"/>
      <c r="H251" s="46"/>
      <c r="I251" s="60"/>
      <c r="J251" s="60"/>
      <c r="K251" s="60"/>
      <c r="L251" s="60"/>
      <c r="M251" s="59"/>
      <c r="N251" s="56"/>
      <c r="O251" s="60"/>
      <c r="P251" s="60"/>
      <c r="Q251" s="60"/>
      <c r="R251" s="60"/>
      <c r="S251" s="59"/>
      <c r="T251" s="46"/>
      <c r="U251" s="48"/>
      <c r="V251" s="50"/>
      <c r="AE251" s="41"/>
      <c r="AF251" s="31"/>
      <c r="AG251" s="31"/>
      <c r="AI251" s="41"/>
      <c r="AJ251" s="64"/>
      <c r="AK251" s="64"/>
      <c r="AM251" s="41"/>
      <c r="AN251" s="17"/>
      <c r="AO251" s="17"/>
      <c r="AQ251" s="41"/>
      <c r="AR251" s="18"/>
      <c r="AS251" s="18"/>
    </row>
    <row r="252" spans="1:69" s="5" customFormat="1">
      <c r="A252" s="39"/>
      <c r="B252" s="42"/>
      <c r="C252" s="67" t="str">
        <f>C190</f>
        <v>Agg. Global EM sector (ex-consensus)</v>
      </c>
      <c r="D252" s="52"/>
      <c r="E252" s="52"/>
      <c r="F252" s="53"/>
      <c r="G252" s="52"/>
      <c r="H252" s="46"/>
      <c r="I252" s="54">
        <f>'AGG EM'!$D$41</f>
        <v>1.3238253427535878</v>
      </c>
      <c r="J252" s="54">
        <f>'AGG EM'!$E$41</f>
        <v>1.3149929904097803</v>
      </c>
      <c r="K252" s="54">
        <f>'AGG EM'!$F$41</f>
        <v>1.2546648940766489</v>
      </c>
      <c r="L252" s="54">
        <f>'AGG EM'!$G$41</f>
        <v>1.1810433829047893</v>
      </c>
      <c r="M252" s="55">
        <f>'AGG EM'!$H$41</f>
        <v>-1.4824953823212472E-2</v>
      </c>
      <c r="N252" s="56"/>
      <c r="O252" s="54">
        <f>'AGG EM'!$D$37</f>
        <v>1.7568504876692785</v>
      </c>
      <c r="P252" s="54">
        <f>'AGG EM'!$E$37</f>
        <v>1.6557505993722963</v>
      </c>
      <c r="Q252" s="54">
        <f>'AGG EM'!$F$37</f>
        <v>1.4867932994499977</v>
      </c>
      <c r="R252" s="54">
        <f>'AGG EM'!$G$37</f>
        <v>1.3237610851186894</v>
      </c>
      <c r="S252" s="55">
        <f>'AGG EM'!$H$37</f>
        <v>4.2237881472639405E-2</v>
      </c>
      <c r="T252" s="46"/>
      <c r="U252" s="57"/>
      <c r="V252" s="58" t="str">
        <f>V190</f>
        <v>Agg. Global EM sector (ex-consensus)</v>
      </c>
      <c r="AE252" s="41"/>
      <c r="AF252" s="31"/>
      <c r="AG252" s="31"/>
      <c r="AI252" s="41"/>
      <c r="AJ252" s="64"/>
      <c r="AK252" s="64"/>
      <c r="AM252" s="41"/>
      <c r="AN252" s="17"/>
      <c r="AO252" s="17"/>
      <c r="AQ252" s="41"/>
      <c r="AR252" s="18"/>
      <c r="AS252" s="18"/>
    </row>
    <row r="253" spans="1:69" s="5" customFormat="1">
      <c r="A253" s="39"/>
      <c r="B253" s="42"/>
      <c r="C253" s="41"/>
      <c r="D253" s="69"/>
      <c r="E253" s="10"/>
      <c r="G253" s="10"/>
      <c r="M253" s="69"/>
      <c r="S253" s="69"/>
      <c r="U253" s="63"/>
      <c r="V253" s="63"/>
      <c r="AE253" s="41"/>
      <c r="AF253" s="31"/>
      <c r="AG253" s="31"/>
      <c r="AI253" s="41"/>
      <c r="AJ253" s="64"/>
      <c r="AK253" s="64"/>
      <c r="AM253" s="41"/>
      <c r="AN253" s="17"/>
      <c r="AO253" s="17"/>
      <c r="AQ253" s="41"/>
      <c r="AR253" s="18"/>
      <c r="AS253" s="18"/>
    </row>
    <row r="254" spans="1:69" s="5" customFormat="1">
      <c r="A254" s="39"/>
      <c r="B254" s="42"/>
      <c r="C254" s="41"/>
      <c r="D254" s="69"/>
      <c r="E254" s="10"/>
      <c r="G254" s="10"/>
      <c r="M254" s="69"/>
      <c r="S254" s="69"/>
      <c r="U254" s="63"/>
      <c r="V254" s="63"/>
      <c r="AE254" s="41"/>
      <c r="AF254" s="31"/>
      <c r="AG254" s="31"/>
      <c r="AI254" s="41"/>
      <c r="AJ254" s="64"/>
      <c r="AK254" s="64"/>
      <c r="AM254" s="41"/>
      <c r="AN254" s="17"/>
      <c r="AO254" s="17"/>
      <c r="AQ254" s="41"/>
      <c r="AR254" s="18"/>
      <c r="AS254" s="18"/>
    </row>
    <row r="255" spans="1:69" s="41" customFormat="1">
      <c r="B255" s="147"/>
      <c r="C255" s="164"/>
      <c r="D255" s="165" t="s">
        <v>459</v>
      </c>
      <c r="E255" s="165" t="s">
        <v>56</v>
      </c>
      <c r="F255" s="165" t="s">
        <v>58</v>
      </c>
      <c r="G255" s="165" t="s">
        <v>55</v>
      </c>
      <c r="H255" s="134"/>
      <c r="I255" s="166" t="s">
        <v>588</v>
      </c>
      <c r="J255" s="166"/>
      <c r="K255" s="166"/>
      <c r="L255" s="166"/>
      <c r="M255" s="166"/>
      <c r="N255" s="46"/>
      <c r="O255" s="166" t="s">
        <v>283</v>
      </c>
      <c r="P255" s="166"/>
      <c r="Q255" s="166"/>
      <c r="R255" s="166"/>
      <c r="S255" s="166"/>
      <c r="T255" s="46"/>
      <c r="U255" s="167" t="s">
        <v>459</v>
      </c>
      <c r="V255" s="165"/>
      <c r="Z255" s="49"/>
      <c r="AC255" s="135"/>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BC255" s="137"/>
      <c r="BD255" s="137"/>
      <c r="BE255" s="137"/>
      <c r="BG255" s="137"/>
      <c r="BH255" s="137"/>
      <c r="BI255" s="137"/>
      <c r="BK255" s="137"/>
      <c r="BL255" s="137"/>
      <c r="BM255" s="137"/>
      <c r="BO255" s="137"/>
      <c r="BP255" s="137"/>
      <c r="BQ255" s="137"/>
    </row>
    <row r="256" spans="1:69" s="5" customFormat="1">
      <c r="A256" s="41" t="s">
        <v>501</v>
      </c>
      <c r="B256" s="42"/>
      <c r="C256" s="48" t="str">
        <f>C194</f>
        <v>Telkom SA</v>
      </c>
      <c r="D256" s="44" t="str">
        <f>D194</f>
        <v>ZAR 27.6</v>
      </c>
      <c r="E256" s="44" t="str">
        <f>E194</f>
        <v>ZAR 56.0</v>
      </c>
      <c r="F256" s="45">
        <f>F194</f>
        <v>1.0326678765880217</v>
      </c>
      <c r="G256" s="44" t="str">
        <f>G194</f>
        <v>Neutral</v>
      </c>
      <c r="H256" s="134"/>
      <c r="I256" s="47">
        <f>TKG!$D$42</f>
        <v>0.49023227499392258</v>
      </c>
      <c r="J256" s="47">
        <f>TKG!$E$42</f>
        <v>0.41678685294191753</v>
      </c>
      <c r="K256" s="47">
        <f>TKG!$F$42</f>
        <v>0.34576512532129561</v>
      </c>
      <c r="L256" s="47">
        <f>TKG!$G$42</f>
        <v>0.27288065063429767</v>
      </c>
      <c r="M256" s="45">
        <f>TKG!$H$42</f>
        <v>1.4111258607638399E-2</v>
      </c>
      <c r="N256" s="46"/>
      <c r="O256" s="45">
        <f>(TKG!$D$23/TKG!$C$23)-1</f>
        <v>1.9851285359285153E-2</v>
      </c>
      <c r="P256" s="45">
        <f>(TKG!$E$23/TKG!$D$23)-1</f>
        <v>1.6539625945453995E-2</v>
      </c>
      <c r="Q256" s="45">
        <f>(TKG!$F$23/TKG!$E$23)-1</f>
        <v>2.0946056737308538E-2</v>
      </c>
      <c r="R256" s="45">
        <f>(TKG!$G$23/TKG!$F$23)-1</f>
        <v>2.0946056737308538E-2</v>
      </c>
      <c r="S256" s="45">
        <f>TKG!$H$23</f>
        <v>1.947512825024833E-2</v>
      </c>
      <c r="T256" s="46"/>
      <c r="U256" s="48" t="str">
        <f>U194</f>
        <v>ZAR 27.6</v>
      </c>
      <c r="V256" s="44" t="str">
        <f>V194</f>
        <v>Telkom SA</v>
      </c>
      <c r="AE256" s="41"/>
      <c r="AF256" s="31"/>
      <c r="AG256" s="31"/>
      <c r="AI256" s="41"/>
      <c r="AJ256" s="64"/>
      <c r="AK256" s="64"/>
      <c r="AM256" s="41"/>
      <c r="AN256" s="17"/>
      <c r="AO256" s="17"/>
      <c r="AQ256" s="41"/>
      <c r="AR256" s="18"/>
      <c r="AS256" s="18"/>
    </row>
    <row r="257" spans="1:45" s="5" customFormat="1">
      <c r="A257" s="41"/>
      <c r="B257" s="42"/>
      <c r="C257" s="51" t="str">
        <f>C195</f>
        <v>Agg. EMEA Incumbent</v>
      </c>
      <c r="D257" s="58"/>
      <c r="E257" s="58"/>
      <c r="F257" s="55"/>
      <c r="G257" s="58"/>
      <c r="H257" s="134"/>
      <c r="I257" s="54">
        <f>'EMEA INCUMB'!$D$42</f>
        <v>0.49023227499392263</v>
      </c>
      <c r="J257" s="54">
        <f>'EMEA INCUMB'!$E$42</f>
        <v>0.41678685294191758</v>
      </c>
      <c r="K257" s="54">
        <f>'EMEA INCUMB'!$F$42</f>
        <v>0.34576512532129561</v>
      </c>
      <c r="L257" s="54">
        <f>'EMEA INCUMB'!$G$42</f>
        <v>0.27288065063429767</v>
      </c>
      <c r="M257" s="55">
        <f>'EMEA INCUMB'!$H$42</f>
        <v>1.4111258607638399E-2</v>
      </c>
      <c r="N257" s="56"/>
      <c r="O257" s="55">
        <f>('EMEA INCUMB'!$D$23/'EMEA INCUMB'!$C$23)-1</f>
        <v>1.9851285359285153E-2</v>
      </c>
      <c r="P257" s="55">
        <f>('EMEA INCUMB'!$E$23/'EMEA INCUMB'!$D$23)-1</f>
        <v>1.6539625945453995E-2</v>
      </c>
      <c r="Q257" s="55">
        <f>('EMEA INCUMB'!$F$23/'EMEA INCUMB'!$E$23)-1</f>
        <v>2.0946056737308316E-2</v>
      </c>
      <c r="R257" s="55">
        <f>('EMEA INCUMB'!$G$23/'EMEA INCUMB'!$F$23)-1</f>
        <v>2.0946056737308538E-2</v>
      </c>
      <c r="S257" s="55">
        <f>'EMEA INCUMB'!$H$23</f>
        <v>1.947512825024833E-2</v>
      </c>
      <c r="T257" s="56"/>
      <c r="U257" s="51"/>
      <c r="V257" s="58" t="str">
        <f>V195</f>
        <v>Agg. EMEA Incumbent</v>
      </c>
      <c r="AE257" s="41"/>
      <c r="AF257" s="31"/>
      <c r="AG257" s="31"/>
      <c r="AI257" s="41"/>
      <c r="AJ257" s="64"/>
      <c r="AK257" s="64"/>
      <c r="AM257" s="41"/>
      <c r="AN257" s="17"/>
      <c r="AO257" s="17"/>
      <c r="AQ257" s="41"/>
      <c r="AR257" s="18"/>
      <c r="AS257" s="18"/>
    </row>
    <row r="258" spans="1:45" s="5" customFormat="1">
      <c r="B258" s="42"/>
      <c r="C258" s="48"/>
      <c r="D258" s="44"/>
      <c r="E258" s="44"/>
      <c r="F258" s="68"/>
      <c r="G258" s="44"/>
      <c r="H258" s="134"/>
      <c r="I258" s="62"/>
      <c r="J258" s="62"/>
      <c r="K258" s="62"/>
      <c r="L258" s="62"/>
      <c r="M258" s="61"/>
      <c r="N258" s="46"/>
      <c r="O258" s="61"/>
      <c r="P258" s="61"/>
      <c r="Q258" s="61"/>
      <c r="R258" s="61"/>
      <c r="S258" s="61"/>
      <c r="T258" s="46"/>
      <c r="U258" s="48"/>
      <c r="V258" s="44"/>
      <c r="Z258" s="49"/>
      <c r="AE258" s="41"/>
      <c r="AF258" s="31"/>
      <c r="AG258" s="31"/>
      <c r="AI258" s="41"/>
      <c r="AJ258" s="64"/>
      <c r="AK258" s="64"/>
      <c r="AM258" s="41"/>
      <c r="AN258" s="17"/>
      <c r="AO258" s="17"/>
      <c r="AQ258" s="41"/>
      <c r="AR258" s="18"/>
      <c r="AS258" s="18"/>
    </row>
    <row r="259" spans="1:45" s="5" customFormat="1">
      <c r="B259" s="42"/>
      <c r="C259" s="48" t="str">
        <f t="shared" ref="C259:G261" si="36">C197</f>
        <v>America Movil</v>
      </c>
      <c r="D259" s="44" t="str">
        <f t="shared" si="36"/>
        <v>USD 16.3</v>
      </c>
      <c r="E259" s="44" t="str">
        <f t="shared" si="36"/>
        <v>USD 24.0</v>
      </c>
      <c r="F259" s="45">
        <f t="shared" si="36"/>
        <v>0.4714898835070509</v>
      </c>
      <c r="G259" s="44" t="str">
        <f t="shared" si="36"/>
        <v>Buy</v>
      </c>
      <c r="H259" s="46"/>
      <c r="I259" s="47">
        <f>AMX!$D$42</f>
        <v>2.3965080704823425</v>
      </c>
      <c r="J259" s="47">
        <f>AMX!$E$42</f>
        <v>2.3854604785167535</v>
      </c>
      <c r="K259" s="47">
        <f>AMX!$F$42</f>
        <v>2.3419867854310494</v>
      </c>
      <c r="L259" s="47">
        <f>AMX!$G$42</f>
        <v>2.3051841992843616</v>
      </c>
      <c r="M259" s="45">
        <f>AMX!$H$42</f>
        <v>-4.6928957646193981E-2</v>
      </c>
      <c r="N259" s="46"/>
      <c r="O259" s="45">
        <f>(AMX!$D$23/AMX!$C$23)-1</f>
        <v>0.10802339668092942</v>
      </c>
      <c r="P259" s="45">
        <f>(AMX!$E$23/AMX!$D$23)-1</f>
        <v>4.4634549797566869E-2</v>
      </c>
      <c r="Q259" s="45">
        <f>(AMX!$F$23/AMX!$E$23)-1</f>
        <v>2.3377741923980233E-2</v>
      </c>
      <c r="R259" s="45">
        <f>(AMX!$G$23/AMX!$F$23)-1</f>
        <v>2.1889756853228359E-2</v>
      </c>
      <c r="S259" s="45">
        <f>AMX!$H$23</f>
        <v>2.9915196167993097E-2</v>
      </c>
      <c r="T259" s="46"/>
      <c r="U259" s="48" t="str">
        <f t="shared" ref="U259:V261" si="37">U197</f>
        <v>USD 16.3</v>
      </c>
      <c r="V259" s="44" t="str">
        <f t="shared" si="37"/>
        <v>America Movil</v>
      </c>
      <c r="AE259" s="41"/>
      <c r="AF259" s="31"/>
      <c r="AG259" s="31"/>
      <c r="AI259" s="41"/>
      <c r="AJ259" s="64"/>
      <c r="AK259" s="64"/>
      <c r="AM259" s="41"/>
      <c r="AN259" s="17"/>
      <c r="AO259" s="17"/>
      <c r="AQ259" s="41"/>
      <c r="AR259" s="18"/>
      <c r="AS259" s="18"/>
    </row>
    <row r="260" spans="1:45">
      <c r="A260" s="5"/>
      <c r="C260" s="48" t="str">
        <f t="shared" si="36"/>
        <v>Oi</v>
      </c>
      <c r="D260" s="44" t="str">
        <f t="shared" si="36"/>
        <v>BRL 12.10</v>
      </c>
      <c r="E260" s="44" t="str">
        <f t="shared" si="36"/>
        <v>BRL 0.90</v>
      </c>
      <c r="F260" s="45">
        <f t="shared" si="36"/>
        <v>-0.92561983471074383</v>
      </c>
      <c r="G260" s="44" t="str">
        <f t="shared" si="36"/>
        <v>Neutral</v>
      </c>
      <c r="H260" s="46"/>
      <c r="I260" s="47" t="e">
        <f>OIBR!$D$42</f>
        <v>#DIV/0!</v>
      </c>
      <c r="J260" s="47" t="e">
        <f>OIBR!$E$42</f>
        <v>#DIV/0!</v>
      </c>
      <c r="K260" s="47" t="e">
        <f>OIBR!$F$42</f>
        <v>#DIV/0!</v>
      </c>
      <c r="L260" s="47" t="e">
        <f>OIBR!$G$42</f>
        <v>#DIV/0!</v>
      </c>
      <c r="M260" s="45" t="str">
        <f>OIBR!$H$42</f>
        <v>nm</v>
      </c>
      <c r="N260" s="46"/>
      <c r="O260" s="45">
        <f>(OIBR!$D$23/OIBR!$C$23)-1</f>
        <v>-6.8373475548712981E-2</v>
      </c>
      <c r="P260" s="45">
        <f>(OIBR!$E$23/OIBR!$D$23)-1</f>
        <v>1.0278514536162353E-2</v>
      </c>
      <c r="Q260" s="45">
        <f>(OIBR!$F$23/OIBR!$E$23)-1</f>
        <v>3.1857592021235837E-2</v>
      </c>
      <c r="R260" s="45">
        <f>(OIBR!$G$23/OIBR!$F$23)-1</f>
        <v>3.574304212826851E-2</v>
      </c>
      <c r="S260" s="45">
        <f>OIBR!$H$23</f>
        <v>2.5898280258095152E-2</v>
      </c>
      <c r="T260" s="46"/>
      <c r="U260" s="48" t="str">
        <f t="shared" si="37"/>
        <v>BRL 12.10</v>
      </c>
      <c r="V260" s="44" t="str">
        <f t="shared" si="37"/>
        <v>Oi</v>
      </c>
      <c r="Z260" s="46"/>
    </row>
    <row r="261" spans="1:45" s="5" customFormat="1">
      <c r="B261" s="42"/>
      <c r="C261" s="48" t="str">
        <f t="shared" si="36"/>
        <v>Telefonica Brasil</v>
      </c>
      <c r="D261" s="44" t="str">
        <f t="shared" si="36"/>
        <v>BRL 55.12</v>
      </c>
      <c r="E261" s="44" t="str">
        <f t="shared" si="36"/>
        <v>BRL 61.00</v>
      </c>
      <c r="F261" s="45">
        <f t="shared" si="36"/>
        <v>0.10667634252539915</v>
      </c>
      <c r="G261" s="44" t="str">
        <f t="shared" si="36"/>
        <v>Buy</v>
      </c>
      <c r="H261" s="46"/>
      <c r="I261" s="47">
        <f>VIVO!$D$42</f>
        <v>2.0526571297218101</v>
      </c>
      <c r="J261" s="47">
        <f>VIVO!$E$42</f>
        <v>1.8693618488730612</v>
      </c>
      <c r="K261" s="47">
        <f>VIVO!$F$42</f>
        <v>1.6603676614679133</v>
      </c>
      <c r="L261" s="47">
        <f>VIVO!$G$42</f>
        <v>1.4486554086070103</v>
      </c>
      <c r="M261" s="45">
        <f>VIVO!$H$42</f>
        <v>4.6010774055409209E-2</v>
      </c>
      <c r="N261" s="46"/>
      <c r="O261" s="45">
        <f>(VIVO!$D$23/VIVO!$C$23)-1</f>
        <v>8.4594506528700597E-2</v>
      </c>
      <c r="P261" s="45">
        <f>(VIVO!$E$23/VIVO!$D$23)-1</f>
        <v>5.1724410718370528E-2</v>
      </c>
      <c r="Q261" s="45">
        <f>(VIVO!$F$23/VIVO!$E$23)-1</f>
        <v>6.0916358471222898E-2</v>
      </c>
      <c r="R261" s="45">
        <f>(VIVO!$G$23/VIVO!$F$23)-1</f>
        <v>4.8076025838815317E-2</v>
      </c>
      <c r="S261" s="45">
        <f>VIVO!$H$23</f>
        <v>5.3558436109118146E-2</v>
      </c>
      <c r="T261" s="46"/>
      <c r="U261" s="48" t="str">
        <f t="shared" si="37"/>
        <v>BRL 55.12</v>
      </c>
      <c r="V261" s="44" t="str">
        <f t="shared" si="37"/>
        <v>Telefonica Brasil</v>
      </c>
      <c r="Z261" s="49"/>
      <c r="AE261" s="41"/>
      <c r="AF261" s="31"/>
      <c r="AG261" s="31"/>
      <c r="AI261" s="41"/>
      <c r="AJ261" s="64"/>
      <c r="AK261" s="64"/>
      <c r="AM261" s="41"/>
      <c r="AN261" s="17"/>
      <c r="AO261" s="17"/>
      <c r="AQ261" s="41"/>
      <c r="AR261" s="18"/>
      <c r="AS261" s="18"/>
    </row>
    <row r="262" spans="1:45" s="5" customFormat="1">
      <c r="B262" s="42"/>
      <c r="C262" s="48" t="s">
        <v>667</v>
      </c>
      <c r="D262" s="44" t="str">
        <f>D200</f>
        <v>USD 1.8</v>
      </c>
      <c r="E262" s="44" t="str">
        <f>E200</f>
        <v>USD 3.7</v>
      </c>
      <c r="F262" s="45">
        <f>F200</f>
        <v>1.0903954802259888</v>
      </c>
      <c r="G262" s="44" t="str">
        <f>G200</f>
        <v>Neutral</v>
      </c>
      <c r="H262" s="46"/>
      <c r="I262" s="47">
        <f>TVIS!$D$42</f>
        <v>-0.12266950173160689</v>
      </c>
      <c r="J262" s="47">
        <f>TVIS!$E$42</f>
        <v>-0.17657481022121829</v>
      </c>
      <c r="K262" s="47">
        <f>TVIS!$F$42</f>
        <v>-0.21387923031305961</v>
      </c>
      <c r="L262" s="47">
        <f>TVIS!$G$42</f>
        <v>-0.26834138779436612</v>
      </c>
      <c r="M262" s="45">
        <f>TVIS!$H$42</f>
        <v>-2.0890804844164834E-2</v>
      </c>
      <c r="N262" s="46"/>
      <c r="O262" s="45">
        <f>(TVIS!$D$23/TVIS!$C$23)-1</f>
        <v>-1.7143225226495584E-2</v>
      </c>
      <c r="P262" s="45">
        <f>(TVIS!$E$23/TVIS!$D$23)-1</f>
        <v>6.3525228150134172E-3</v>
      </c>
      <c r="Q262" s="45">
        <f>(TVIS!$F$23/TVIS!$E$23)-1</f>
        <v>1.440098878980911E-2</v>
      </c>
      <c r="R262" s="45">
        <f>(TVIS!$G$23/TVIS!$F$23)-1</f>
        <v>1.7097260850428952E-2</v>
      </c>
      <c r="S262" s="45">
        <f>TVIS!$H$23</f>
        <v>1.2606621051490574E-2</v>
      </c>
      <c r="T262" s="46"/>
      <c r="U262" s="48" t="str">
        <f>U200</f>
        <v>USD 1.8</v>
      </c>
      <c r="V262" s="44" t="s">
        <v>667</v>
      </c>
      <c r="Z262" s="49"/>
      <c r="AE262" s="41"/>
      <c r="AF262" s="31"/>
      <c r="AG262" s="31"/>
      <c r="AI262" s="41"/>
      <c r="AJ262" s="64"/>
      <c r="AK262" s="64"/>
      <c r="AM262" s="41"/>
      <c r="AN262" s="17"/>
      <c r="AO262" s="17"/>
      <c r="AQ262" s="41"/>
      <c r="AR262" s="18"/>
      <c r="AS262" s="18"/>
    </row>
    <row r="263" spans="1:45" s="5" customFormat="1">
      <c r="B263" s="42"/>
      <c r="C263" s="51" t="str">
        <f>C201</f>
        <v>Agg. LatAm Incumbent</v>
      </c>
      <c r="D263" s="52"/>
      <c r="E263" s="52"/>
      <c r="F263" s="53"/>
      <c r="G263" s="52"/>
      <c r="H263" s="46"/>
      <c r="I263" s="54">
        <f>'LATAM INCUMB'!$D$42</f>
        <v>2.3016970940645507</v>
      </c>
      <c r="J263" s="54">
        <f>'LATAM INCUMB'!$E$42</f>
        <v>2.2701196711338612</v>
      </c>
      <c r="K263" s="54">
        <f>'LATAM INCUMB'!$F$42</f>
        <v>2.2018047168545012</v>
      </c>
      <c r="L263" s="54">
        <f>'LATAM INCUMB'!$G$42</f>
        <v>2.1318659888961053</v>
      </c>
      <c r="M263" s="55">
        <f>'LATAM INCUMB'!$H$42</f>
        <v>-2.7338410987633122E-2</v>
      </c>
      <c r="N263" s="56"/>
      <c r="O263" s="55">
        <f>('LATAM INCUMB'!$D$23/'LATAM INCUMB'!$C$23)-1</f>
        <v>8.5022886591365365E-2</v>
      </c>
      <c r="P263" s="55">
        <f>('LATAM INCUMB'!$E$23/'LATAM INCUMB'!$D$23)-1</f>
        <v>4.1474424381702235E-2</v>
      </c>
      <c r="Q263" s="55">
        <f>('LATAM INCUMB'!$F$23/'LATAM INCUMB'!$E$23)-1</f>
        <v>2.8886775098391215E-2</v>
      </c>
      <c r="R263" s="55">
        <f>('LATAM INCUMB'!$G$23/'LATAM INCUMB'!$F$23)-1</f>
        <v>2.6359188490832963E-2</v>
      </c>
      <c r="S263" s="55">
        <f>'LATAM INCUMB'!$H$23</f>
        <v>3.2219017878071687E-2</v>
      </c>
      <c r="T263" s="46"/>
      <c r="U263" s="57"/>
      <c r="V263" s="58" t="str">
        <f>V201</f>
        <v>Agg. LatAm Incumbent</v>
      </c>
      <c r="Z263" s="46"/>
      <c r="AE263" s="41"/>
      <c r="AF263" s="31"/>
      <c r="AG263" s="31"/>
      <c r="AI263" s="41"/>
      <c r="AJ263" s="64"/>
      <c r="AK263" s="64"/>
      <c r="AM263" s="41"/>
      <c r="AN263" s="17"/>
      <c r="AO263" s="17"/>
      <c r="AQ263" s="41"/>
      <c r="AR263" s="18"/>
      <c r="AS263" s="18"/>
    </row>
    <row r="264" spans="1:45" s="5" customFormat="1">
      <c r="A264" s="39"/>
      <c r="B264" s="42"/>
      <c r="C264" s="48"/>
      <c r="D264" s="44"/>
      <c r="E264" s="44"/>
      <c r="F264" s="45"/>
      <c r="G264" s="44"/>
      <c r="H264" s="46"/>
      <c r="I264" s="47"/>
      <c r="J264" s="47"/>
      <c r="K264" s="47"/>
      <c r="L264" s="47"/>
      <c r="M264" s="45"/>
      <c r="N264" s="56"/>
      <c r="O264" s="45"/>
      <c r="P264" s="45"/>
      <c r="Q264" s="45"/>
      <c r="R264" s="45"/>
      <c r="S264" s="45"/>
      <c r="T264" s="46"/>
      <c r="U264" s="48"/>
      <c r="V264" s="50"/>
      <c r="Z264" s="46"/>
      <c r="AE264" s="41"/>
      <c r="AF264" s="31"/>
      <c r="AG264" s="31"/>
      <c r="AI264" s="41"/>
      <c r="AJ264" s="64"/>
      <c r="AK264" s="64"/>
      <c r="AM264" s="41"/>
      <c r="AN264" s="17"/>
      <c r="AO264" s="17"/>
      <c r="AQ264" s="41"/>
      <c r="AR264" s="18"/>
      <c r="AS264" s="18"/>
    </row>
    <row r="265" spans="1:45">
      <c r="A265" s="5"/>
      <c r="C265" s="48" t="str">
        <f t="shared" ref="C265:G269" si="38">C203</f>
        <v>China Telecom</v>
      </c>
      <c r="D265" s="44" t="str">
        <f t="shared" si="38"/>
        <v>HKD 4.48</v>
      </c>
      <c r="E265" s="44" t="str">
        <f t="shared" si="38"/>
        <v>HKD 8.75</v>
      </c>
      <c r="F265" s="45">
        <f t="shared" si="38"/>
        <v>0.95312499999999978</v>
      </c>
      <c r="G265" s="44" t="str">
        <f t="shared" si="38"/>
        <v>Buy</v>
      </c>
      <c r="H265" s="46"/>
      <c r="I265" s="47">
        <f>_CT!$D$42</f>
        <v>0.52815943895641104</v>
      </c>
      <c r="J265" s="47">
        <f>_CT!$E$42</f>
        <v>0.5007590460123198</v>
      </c>
      <c r="K265" s="47">
        <f>_CT!$F$42</f>
        <v>0.4662167409652419</v>
      </c>
      <c r="L265" s="47">
        <f>_CT!$G$42</f>
        <v>0.42594529032726874</v>
      </c>
      <c r="M265" s="45">
        <f>_CT!$H$42</f>
        <v>-1.2012097342254613E-2</v>
      </c>
      <c r="N265" s="56"/>
      <c r="O265" s="169">
        <f>(_CT!$D$23/_CT!$C$23)-1</f>
        <v>6.6680098369917395E-2</v>
      </c>
      <c r="P265" s="169">
        <f>(_CT!$E$23/_CT!$D$23)-1</f>
        <v>3.8881746828134389E-2</v>
      </c>
      <c r="Q265" s="169">
        <f>(_CT!$F$23/_CT!$E$23)-1</f>
        <v>4.7839100161076287E-2</v>
      </c>
      <c r="R265" s="169">
        <f>(_CT!$G$23/_CT!$F$23)-1</f>
        <v>4.6078283695552891E-2</v>
      </c>
      <c r="S265" s="169">
        <f>_CT!$H$23</f>
        <v>4.4259177475671541E-2</v>
      </c>
      <c r="T265" s="46"/>
      <c r="U265" s="48" t="str">
        <f t="shared" ref="U265:V269" si="39">U203</f>
        <v>HKD 4.48</v>
      </c>
      <c r="V265" s="44" t="str">
        <f t="shared" si="39"/>
        <v>China Telecom</v>
      </c>
      <c r="Z265" s="46"/>
      <c r="AC265" s="63"/>
      <c r="AE265" s="41"/>
      <c r="AF265" s="31"/>
      <c r="AG265" s="31"/>
      <c r="AI265" s="41"/>
      <c r="AJ265" s="64"/>
      <c r="AK265" s="64"/>
      <c r="AM265" s="41"/>
      <c r="AN265" s="17"/>
      <c r="AO265" s="17"/>
      <c r="AQ265" s="41"/>
      <c r="AR265" s="18"/>
      <c r="AS265" s="18"/>
    </row>
    <row r="266" spans="1:45">
      <c r="A266" s="5"/>
      <c r="C266" s="48" t="str">
        <f t="shared" si="38"/>
        <v>China Unicom</v>
      </c>
      <c r="D266" s="44" t="str">
        <f t="shared" si="38"/>
        <v>HKD 6.32</v>
      </c>
      <c r="E266" s="44" t="str">
        <f t="shared" si="38"/>
        <v>HKD 13.20</v>
      </c>
      <c r="F266" s="45">
        <f t="shared" si="38"/>
        <v>1.0886075949367084</v>
      </c>
      <c r="G266" s="44" t="str">
        <f t="shared" si="38"/>
        <v>Buy</v>
      </c>
      <c r="H266" s="46"/>
      <c r="I266" s="47">
        <f>_CU!$D$42</f>
        <v>0.2445675970687699</v>
      </c>
      <c r="J266" s="47">
        <f>_CU!$E$42</f>
        <v>0.21227977839303502</v>
      </c>
      <c r="K266" s="47">
        <f>_CU!$F$42</f>
        <v>0.17588465155981908</v>
      </c>
      <c r="L266" s="47">
        <f>_CU!$G$42</f>
        <v>0.14338983344929684</v>
      </c>
      <c r="M266" s="45">
        <f>_CU!$H$42</f>
        <v>-4.9170727543641157E-2</v>
      </c>
      <c r="N266" s="56"/>
      <c r="O266" s="169">
        <f>(_CU!$D$23/_CU!$C$23)-1</f>
        <v>4.9734606022358463E-2</v>
      </c>
      <c r="P266" s="169">
        <f>(_CU!$E$23/_CU!$D$23)-1</f>
        <v>3.3947804849150165E-2</v>
      </c>
      <c r="Q266" s="169">
        <f>(_CU!$F$23/_CU!$E$23)-1</f>
        <v>4.4046748774361655E-2</v>
      </c>
      <c r="R266" s="169">
        <f>(_CU!$G$23/_CU!$F$23)-1</f>
        <v>4.0345575709421766E-2</v>
      </c>
      <c r="S266" s="169">
        <f>_CU!$H$23</f>
        <v>3.9438331851995301E-2</v>
      </c>
      <c r="T266" s="46"/>
      <c r="U266" s="48" t="str">
        <f t="shared" si="39"/>
        <v>HKD 6.32</v>
      </c>
      <c r="V266" s="44" t="str">
        <f t="shared" si="39"/>
        <v>China Unicom</v>
      </c>
      <c r="Z266" s="46"/>
      <c r="AC266" s="63"/>
      <c r="AE266" s="41"/>
      <c r="AF266" s="31"/>
      <c r="AG266" s="31"/>
      <c r="AI266" s="41"/>
      <c r="AJ266" s="64"/>
      <c r="AK266" s="64"/>
      <c r="AM266" s="41"/>
      <c r="AN266" s="17"/>
      <c r="AO266" s="17"/>
      <c r="AQ266" s="41"/>
      <c r="AR266" s="18"/>
      <c r="AS266" s="18"/>
    </row>
    <row r="267" spans="1:45">
      <c r="C267" s="48" t="str">
        <f t="shared" si="38"/>
        <v>Chunghwa Telecom</v>
      </c>
      <c r="D267" s="44" t="str">
        <f t="shared" si="38"/>
        <v>TWD 124.00</v>
      </c>
      <c r="E267" s="44" t="str">
        <f t="shared" si="38"/>
        <v>TWD n/r</v>
      </c>
      <c r="F267" s="45" t="str">
        <f t="shared" si="38"/>
        <v>-</v>
      </c>
      <c r="G267" s="44" t="str">
        <f t="shared" si="38"/>
        <v>n/r</v>
      </c>
      <c r="H267" s="46"/>
      <c r="I267" s="47">
        <f>CHUNG!$D$42</f>
        <v>2.9421073470840535</v>
      </c>
      <c r="J267" s="47">
        <f>IFERROR(CHUNG!$E$42, "na")</f>
        <v>2.8356851326766406</v>
      </c>
      <c r="K267" s="47">
        <f>IFERROR(CHUNG!$F$42,"na")</f>
        <v>2.7016788167422932</v>
      </c>
      <c r="L267" s="47" t="str">
        <f>IFERROR(CHUNG!$G$42,"na")</f>
        <v>na</v>
      </c>
      <c r="M267" s="45" t="str">
        <f>CHUNG!$H$42</f>
        <v>nm</v>
      </c>
      <c r="N267" s="56"/>
      <c r="O267" s="45">
        <f>(CHUNG!$D$23/CHUNG!$C$23)-1</f>
        <v>1.1509777714780567E-2</v>
      </c>
      <c r="P267" s="45">
        <f>(CHUNG!$E$23/CHUNG!$D$23)-1</f>
        <v>1.132296611259398E-2</v>
      </c>
      <c r="Q267" s="45">
        <f>(CHUNG!$F$23/CHUNG!$E$23)-1</f>
        <v>1.169544222252572E-2</v>
      </c>
      <c r="R267" s="45">
        <f>(CHUNG!$G$23/CHUNG!$F$23)-1</f>
        <v>1.2055784345689213E-2</v>
      </c>
      <c r="S267" s="45">
        <f>CHUNG!$H$23</f>
        <v>1.1691353321333642E-2</v>
      </c>
      <c r="T267" s="46"/>
      <c r="U267" s="48" t="str">
        <f t="shared" si="39"/>
        <v>TWD 124.00</v>
      </c>
      <c r="V267" s="44" t="str">
        <f t="shared" si="39"/>
        <v>Chunghwa Telecom</v>
      </c>
      <c r="Z267" s="46"/>
      <c r="AC267" s="63"/>
      <c r="AE267" s="41"/>
      <c r="AF267" s="31"/>
      <c r="AG267" s="31"/>
      <c r="AI267" s="41"/>
      <c r="AJ267" s="64"/>
      <c r="AK267" s="64"/>
      <c r="AM267" s="41"/>
      <c r="AN267" s="17"/>
      <c r="AO267" s="17"/>
      <c r="AQ267" s="41"/>
      <c r="AR267" s="18"/>
      <c r="AS267" s="18"/>
    </row>
    <row r="268" spans="1:45">
      <c r="C268" s="48" t="str">
        <f t="shared" si="38"/>
        <v>KT Corp</v>
      </c>
      <c r="D268" s="44" t="str">
        <f t="shared" si="38"/>
        <v>KRW 41,200</v>
      </c>
      <c r="E268" s="44" t="str">
        <f t="shared" si="38"/>
        <v>KRW 70,000</v>
      </c>
      <c r="F268" s="45">
        <f t="shared" si="38"/>
        <v>0.69902912621359214</v>
      </c>
      <c r="G268" s="44" t="str">
        <f t="shared" si="38"/>
        <v>Buy</v>
      </c>
      <c r="H268" s="46"/>
      <c r="I268" s="47">
        <f>_KT!$D$42</f>
        <v>1.2361003919975824</v>
      </c>
      <c r="J268" s="47">
        <f>_KT!$E$42</f>
        <v>1.2622965186406259</v>
      </c>
      <c r="K268" s="47">
        <f>_KT!$F$42</f>
        <v>1.1542645363701343</v>
      </c>
      <c r="L268" s="47">
        <f>_KT!$G$42</f>
        <v>1.0415246046782163</v>
      </c>
      <c r="M268" s="45">
        <f>_KT!$H$42</f>
        <v>-2.143081790270418E-2</v>
      </c>
      <c r="N268" s="56"/>
      <c r="O268" s="45">
        <f>(_KT!$D$23/_KT!$C$23)-1</f>
        <v>2.8728932830671239E-2</v>
      </c>
      <c r="P268" s="45">
        <f>(_KT!$E$23/_KT!$D$23)-1</f>
        <v>2.7824120342914149E-2</v>
      </c>
      <c r="Q268" s="45">
        <f>(_KT!$F$23/_KT!$E$23)-1</f>
        <v>6.68794035135023E-2</v>
      </c>
      <c r="R268" s="45">
        <f>(_KT!$G$23/_KT!$F$23)-1</f>
        <v>5.1791824794289454E-4</v>
      </c>
      <c r="S268" s="45">
        <f>_KT!$H$23</f>
        <v>3.1382288109379708E-2</v>
      </c>
      <c r="T268" s="46"/>
      <c r="U268" s="48" t="str">
        <f t="shared" si="39"/>
        <v>KRW 41,200</v>
      </c>
      <c r="V268" s="44" t="str">
        <f t="shared" si="39"/>
        <v>KT Corp</v>
      </c>
      <c r="Z268" s="46"/>
      <c r="AE268" s="41"/>
      <c r="AF268" s="31"/>
      <c r="AG268" s="31"/>
      <c r="AI268" s="41"/>
      <c r="AJ268" s="64"/>
      <c r="AK268" s="64"/>
      <c r="AM268" s="41"/>
      <c r="AN268" s="17"/>
      <c r="AO268" s="17"/>
      <c r="AQ268" s="41"/>
      <c r="AR268" s="18"/>
      <c r="AS268" s="18"/>
    </row>
    <row r="269" spans="1:45">
      <c r="C269" s="48" t="str">
        <f t="shared" si="38"/>
        <v>PT Telkom</v>
      </c>
      <c r="D269" s="44" t="str">
        <f t="shared" si="38"/>
        <v>IDR 3,040</v>
      </c>
      <c r="E269" s="44" t="str">
        <f t="shared" si="38"/>
        <v>IDR 4,500</v>
      </c>
      <c r="F269" s="45">
        <f t="shared" si="38"/>
        <v>0.48026315789473695</v>
      </c>
      <c r="G269" s="44" t="str">
        <f t="shared" si="38"/>
        <v>Buy</v>
      </c>
      <c r="H269" s="46"/>
      <c r="I269" s="47">
        <f>PTT!$D$42</f>
        <v>3.0791856536611704</v>
      </c>
      <c r="J269" s="47">
        <f>PTT!$E$42</f>
        <v>3.1105154310027547</v>
      </c>
      <c r="K269" s="47">
        <f>PTT!$F$42</f>
        <v>2.9966191228553529</v>
      </c>
      <c r="L269" s="47">
        <f>PTT!$G$42</f>
        <v>2.8432756890382622</v>
      </c>
      <c r="M269" s="45">
        <f>PTT!$H$42</f>
        <v>-2.4460534890270336E-2</v>
      </c>
      <c r="N269" s="56"/>
      <c r="O269" s="169">
        <f>(PTT!$D$23/PTT!$C$23)-1</f>
        <v>1.2966206400282454E-2</v>
      </c>
      <c r="P269" s="169">
        <f>(PTT!$E$23/PTT!$D$23)-1</f>
        <v>3.6717551716463515E-2</v>
      </c>
      <c r="Q269" s="169">
        <f>(PTT!$F$23/PTT!$E$23)-1</f>
        <v>5.0047387700710599E-2</v>
      </c>
      <c r="R269" s="169">
        <f>(PTT!$G$23/PTT!$F$23)-1</f>
        <v>4.5931381829765083E-2</v>
      </c>
      <c r="S269" s="169">
        <f>PTT!$H$23</f>
        <v>4.4217213024553947E-2</v>
      </c>
      <c r="T269" s="46"/>
      <c r="U269" s="48" t="str">
        <f t="shared" si="39"/>
        <v>IDR 3,040</v>
      </c>
      <c r="V269" s="44" t="str">
        <f t="shared" si="39"/>
        <v>PT Telkom</v>
      </c>
      <c r="Z269" s="46"/>
      <c r="AI269" s="41"/>
      <c r="AJ269" s="64"/>
      <c r="AK269" s="64"/>
    </row>
    <row r="270" spans="1:45">
      <c r="C270" s="51" t="str">
        <f>C208</f>
        <v>Agg. Emerging Asia Incumbent</v>
      </c>
      <c r="D270" s="52"/>
      <c r="E270" s="52"/>
      <c r="F270" s="53"/>
      <c r="G270" s="52"/>
      <c r="H270" s="46"/>
      <c r="I270" s="54">
        <f>'EM ASIA INCUMB'!$D$42</f>
        <v>0.83668137815286625</v>
      </c>
      <c r="J270" s="54">
        <f>'EM ASIA INCUMB'!$E$42</f>
        <v>0.81399875472260375</v>
      </c>
      <c r="K270" s="54">
        <f>'EM ASIA INCUMB'!$F$42</f>
        <v>0.76471659265493064</v>
      </c>
      <c r="L270" s="54">
        <f>'EM ASIA INCUMB'!$G$42</f>
        <v>0.75954864390152499</v>
      </c>
      <c r="M270" s="55">
        <f>'EM ASIA INCUMB'!$H$42</f>
        <v>-4.8635406216775201E-2</v>
      </c>
      <c r="N270" s="56"/>
      <c r="O270" s="55">
        <f>('EM ASIA INCUMB'!$D$23/'EM ASIA INCUMB'!$C$23)-1</f>
        <v>5.0683509965887552E-2</v>
      </c>
      <c r="P270" s="55">
        <f>('EM ASIA INCUMB'!$E$23/'EM ASIA INCUMB'!$D$23)-1</f>
        <v>3.4659757114074319E-2</v>
      </c>
      <c r="Q270" s="55">
        <f>('EM ASIA INCUMB'!$F$23/'EM ASIA INCUMB'!$E$23)-1</f>
        <v>4.7636058468438547E-2</v>
      </c>
      <c r="R270" s="55">
        <f>('EM ASIA INCUMB'!$G$23/'EM ASIA INCUMB'!$F$23)-1</f>
        <v>3.7218687929176264E-2</v>
      </c>
      <c r="S270" s="55">
        <f>'EM ASIA INCUMB'!$H$23</f>
        <v>3.9823056089359321E-2</v>
      </c>
      <c r="T270" s="46"/>
      <c r="U270" s="57"/>
      <c r="V270" s="58" t="str">
        <f>V208</f>
        <v>Agg. Emerging Asia Incumbent</v>
      </c>
      <c r="Z270" s="46"/>
      <c r="AI270" s="41"/>
      <c r="AJ270" s="64"/>
      <c r="AK270" s="64"/>
    </row>
    <row r="271" spans="1:45">
      <c r="C271" s="43"/>
      <c r="D271" s="44"/>
      <c r="E271" s="44"/>
      <c r="F271" s="68"/>
      <c r="G271" s="44"/>
      <c r="H271" s="46"/>
      <c r="I271" s="62"/>
      <c r="J271" s="62"/>
      <c r="K271" s="62"/>
      <c r="L271" s="62"/>
      <c r="M271" s="61"/>
      <c r="N271" s="56"/>
      <c r="O271" s="61"/>
      <c r="P271" s="61"/>
      <c r="Q271" s="61"/>
      <c r="R271" s="61"/>
      <c r="S271" s="61"/>
      <c r="T271" s="46"/>
      <c r="U271" s="48"/>
      <c r="V271" s="50"/>
      <c r="Z271" s="46"/>
      <c r="AI271" s="41"/>
      <c r="AJ271" s="64"/>
      <c r="AK271" s="64"/>
    </row>
    <row r="272" spans="1:45">
      <c r="C272" s="51" t="str">
        <f>C210</f>
        <v>Agg. Emerging Incumbent</v>
      </c>
      <c r="D272" s="52"/>
      <c r="E272" s="52"/>
      <c r="F272" s="53"/>
      <c r="G272" s="52"/>
      <c r="H272" s="46"/>
      <c r="I272" s="54">
        <f>'EM INCUMB'!$D$42</f>
        <v>1.2111681352410864</v>
      </c>
      <c r="J272" s="54">
        <f>'EM INCUMB'!$E$42</f>
        <v>1.185956965244517</v>
      </c>
      <c r="K272" s="54">
        <f>'EM INCUMB'!$F$42</f>
        <v>1.1302029797289712</v>
      </c>
      <c r="L272" s="54">
        <f>'EM INCUMB'!$G$42</f>
        <v>1.1238793277898012</v>
      </c>
      <c r="M272" s="55">
        <f>'EM INCUMB'!$H$42</f>
        <v>-4.2191848028902523E-2</v>
      </c>
      <c r="N272" s="56"/>
      <c r="O272" s="55">
        <f>('EM INCUMB'!$D$23/'EM INCUMB'!$C$23)-1</f>
        <v>5.962068319959446E-2</v>
      </c>
      <c r="P272" s="55">
        <f>('EM INCUMB'!$E$23/'EM INCUMB'!$D$23)-1</f>
        <v>3.6334024661139885E-2</v>
      </c>
      <c r="Q272" s="55">
        <f>('EM INCUMB'!$F$23/'EM INCUMB'!$E$23)-1</f>
        <v>4.2074893508616373E-2</v>
      </c>
      <c r="R272" s="55">
        <f>('EM INCUMB'!$G$23/'EM INCUMB'!$F$23)-1</f>
        <v>3.4030306660924214E-2</v>
      </c>
      <c r="S272" s="55">
        <f>'EM INCUMB'!$H$23</f>
        <v>3.7474232769618476E-2</v>
      </c>
      <c r="T272" s="46"/>
      <c r="U272" s="57"/>
      <c r="V272" s="58" t="str">
        <f>V210</f>
        <v>Agg. Emerging Incumbent</v>
      </c>
      <c r="Z272" s="46"/>
      <c r="AI272" s="41"/>
      <c r="AJ272" s="64"/>
      <c r="AK272" s="64"/>
    </row>
    <row r="273" spans="1:45">
      <c r="C273" s="43"/>
      <c r="D273" s="44"/>
      <c r="E273" s="44"/>
      <c r="F273" s="45"/>
      <c r="G273" s="44"/>
      <c r="H273" s="46"/>
      <c r="I273" s="47"/>
      <c r="J273" s="47"/>
      <c r="K273" s="47"/>
      <c r="L273" s="47"/>
      <c r="M273" s="45"/>
      <c r="N273" s="56"/>
      <c r="O273" s="45"/>
      <c r="P273" s="45"/>
      <c r="Q273" s="45"/>
      <c r="R273" s="45"/>
      <c r="S273" s="45"/>
      <c r="T273" s="46"/>
      <c r="U273" s="48"/>
      <c r="V273" s="50"/>
      <c r="Z273" s="46"/>
      <c r="AE273" s="41"/>
      <c r="AF273" s="31"/>
      <c r="AG273" s="31"/>
      <c r="AM273" s="41"/>
      <c r="AN273" s="17"/>
      <c r="AO273" s="17"/>
      <c r="AQ273" s="41"/>
      <c r="AR273" s="18"/>
      <c r="AS273" s="18"/>
    </row>
    <row r="274" spans="1:45">
      <c r="A274" s="41" t="s">
        <v>502</v>
      </c>
      <c r="C274" s="48" t="str">
        <f t="shared" ref="C274:G280" si="40">C212</f>
        <v>Airtel Africa</v>
      </c>
      <c r="D274" s="44" t="str">
        <f t="shared" si="40"/>
        <v>USD 1.13</v>
      </c>
      <c r="E274" s="44" t="str">
        <f t="shared" si="40"/>
        <v>USD 2.00</v>
      </c>
      <c r="F274" s="45">
        <f t="shared" si="40"/>
        <v>0.77619893428063969</v>
      </c>
      <c r="G274" s="44" t="str">
        <f t="shared" si="40"/>
        <v>Buy</v>
      </c>
      <c r="H274" s="46"/>
      <c r="I274" s="47">
        <f>AAF!$D$42</f>
        <v>2.7499519040927676</v>
      </c>
      <c r="J274" s="47">
        <f>AAF!$E$42</f>
        <v>2.7447352691920677</v>
      </c>
      <c r="K274" s="47">
        <f>AAF!$F$42</f>
        <v>2.5194003183900735</v>
      </c>
      <c r="L274" s="47">
        <f>AAF!$G$42</f>
        <v>2.2468866882002603</v>
      </c>
      <c r="M274" s="45">
        <f>AAF!$H$42</f>
        <v>1.8767263959831082E-2</v>
      </c>
      <c r="N274" s="56"/>
      <c r="O274" s="169">
        <f>(AAF!$D$23/AAF!$C$23)-1</f>
        <v>-5.2521408182683138E-2</v>
      </c>
      <c r="P274" s="169">
        <f>(AAF!$E$23/AAF!$D$23)-1</f>
        <v>-1.4846451575327602E-2</v>
      </c>
      <c r="Q274" s="169">
        <f>(AAF!$F$23/AAF!$E$23)-1</f>
        <v>0.13590274398490454</v>
      </c>
      <c r="R274" s="169">
        <f>(AAF!$G$23/AAF!$F$23)-1</f>
        <v>0.11356179216587492</v>
      </c>
      <c r="S274" s="169">
        <f>AAF!$H$23</f>
        <v>7.6101240332220543E-2</v>
      </c>
      <c r="T274" s="46"/>
      <c r="U274" s="48" t="str">
        <f t="shared" ref="U274:V280" si="41">U212</f>
        <v>USD 1.13</v>
      </c>
      <c r="V274" s="44" t="str">
        <f t="shared" si="41"/>
        <v>Airtel Africa</v>
      </c>
      <c r="Z274" s="46"/>
    </row>
    <row r="275" spans="1:45">
      <c r="A275" s="41"/>
      <c r="C275" s="48" t="str">
        <f t="shared" si="40"/>
        <v>MobileTeleSystems</v>
      </c>
      <c r="D275" s="44" t="str">
        <f t="shared" si="40"/>
        <v>USD 10.00</v>
      </c>
      <c r="E275" s="44" t="str">
        <f t="shared" si="40"/>
        <v>USD 10.10</v>
      </c>
      <c r="F275" s="45">
        <f t="shared" si="40"/>
        <v>1.0000000000000009E-2</v>
      </c>
      <c r="G275" s="44" t="str">
        <f t="shared" si="40"/>
        <v>Buy</v>
      </c>
      <c r="H275" s="46"/>
      <c r="I275" s="47">
        <f>MTS!$D$42</f>
        <v>5.9738852486552938</v>
      </c>
      <c r="J275" s="47">
        <f>MTS!$E$42</f>
        <v>5.9710634570511818</v>
      </c>
      <c r="K275" s="47">
        <f>MTS!$F$42</f>
        <v>5.9045375093296082</v>
      </c>
      <c r="L275" s="47">
        <f>MTS!$G$42</f>
        <v>5.7937345861635769</v>
      </c>
      <c r="M275" s="45">
        <f>MTS!$H$42</f>
        <v>-2.6269996550228214E-2</v>
      </c>
      <c r="N275" s="56"/>
      <c r="O275" s="169">
        <f>(MTS!$D$23/MTS!$C$23)-1</f>
        <v>2.1703121973661421E-2</v>
      </c>
      <c r="P275" s="169">
        <f>(MTS!$E$23/MTS!$D$23)-1</f>
        <v>2.1223040160335938E-2</v>
      </c>
      <c r="Q275" s="169">
        <f>(MTS!$F$23/MTS!$E$23)-1</f>
        <v>2.0960083440349608E-2</v>
      </c>
      <c r="R275" s="169">
        <f>(MTS!$G$23/MTS!$F$23)-1</f>
        <v>2.0813142617820857E-2</v>
      </c>
      <c r="S275" s="169">
        <f>MTS!$H$23</f>
        <v>2.0998741327123316E-2</v>
      </c>
      <c r="T275" s="46"/>
      <c r="U275" s="48" t="str">
        <f t="shared" si="41"/>
        <v>USD 10.00</v>
      </c>
      <c r="V275" s="44" t="str">
        <f t="shared" si="41"/>
        <v>MobileTeleSystems</v>
      </c>
      <c r="Z275" s="46"/>
    </row>
    <row r="276" spans="1:45">
      <c r="C276" s="48" t="str">
        <f t="shared" si="40"/>
        <v>MTN</v>
      </c>
      <c r="D276" s="44" t="str">
        <f t="shared" si="40"/>
        <v>ZAR 92.00</v>
      </c>
      <c r="E276" s="44" t="str">
        <f t="shared" si="40"/>
        <v>ZAR 130.00</v>
      </c>
      <c r="F276" s="45">
        <f t="shared" si="40"/>
        <v>0.41304347826086962</v>
      </c>
      <c r="G276" s="44" t="str">
        <f t="shared" si="40"/>
        <v>Buy</v>
      </c>
      <c r="H276" s="46"/>
      <c r="I276" s="47">
        <f>MTN!$D$42</f>
        <v>1.9594361079538585</v>
      </c>
      <c r="J276" s="47">
        <f>MTN!$E$42</f>
        <v>1.6857137434926355</v>
      </c>
      <c r="K276" s="47">
        <f>MTN!$F$42</f>
        <v>1.665588102325517</v>
      </c>
      <c r="L276" s="47">
        <f>MTN!$G$42</f>
        <v>1.6118100439310894</v>
      </c>
      <c r="M276" s="45">
        <f>MTN!$H$42</f>
        <v>7.9193950037332206E-2</v>
      </c>
      <c r="N276" s="56"/>
      <c r="O276" s="169">
        <f>(MTN!$D$23/MTN!$C$23)-1</f>
        <v>6.7887905006207561E-2</v>
      </c>
      <c r="P276" s="169">
        <f>(MTN!$E$23/MTN!$D$23)-1</f>
        <v>-0.12460191118368358</v>
      </c>
      <c r="Q276" s="169">
        <f>(MTN!$F$23/MTN!$E$23)-1</f>
        <v>9.7582119557298341E-2</v>
      </c>
      <c r="R276" s="169">
        <f>(MTN!$G$23/MTN!$F$23)-1</f>
        <v>0.1209174450863324</v>
      </c>
      <c r="S276" s="169">
        <f>MTN!$H$23</f>
        <v>2.5035127195639495E-2</v>
      </c>
      <c r="T276" s="46"/>
      <c r="U276" s="48" t="str">
        <f t="shared" si="41"/>
        <v>ZAR 92.00</v>
      </c>
      <c r="V276" s="44" t="str">
        <f t="shared" si="41"/>
        <v>MTN</v>
      </c>
      <c r="Z276" s="46"/>
    </row>
    <row r="277" spans="1:45">
      <c r="C277" s="48" t="str">
        <f t="shared" si="40"/>
        <v>Safaricom</v>
      </c>
      <c r="D277" s="44" t="str">
        <f t="shared" si="40"/>
        <v>KES 14.80</v>
      </c>
      <c r="E277" s="44" t="str">
        <f t="shared" si="40"/>
        <v>KES 17.0</v>
      </c>
      <c r="F277" s="45">
        <f t="shared" si="40"/>
        <v>0.14864864864864868</v>
      </c>
      <c r="G277" s="44" t="str">
        <f t="shared" si="40"/>
        <v>Neutral</v>
      </c>
      <c r="H277" s="46"/>
      <c r="I277" s="47">
        <f>SAF!$D$42</f>
        <v>2.6683737476128213</v>
      </c>
      <c r="J277" s="47">
        <f>SAF!$E$42</f>
        <v>2.4279205183218941</v>
      </c>
      <c r="K277" s="47">
        <f>SAF!$F$42</f>
        <v>2.2368869414810755</v>
      </c>
      <c r="L277" s="47">
        <f>SAF!$G$42</f>
        <v>1.9695187549200615</v>
      </c>
      <c r="M277" s="45">
        <f>SAF!$H$42</f>
        <v>2.4877277502107997E-2</v>
      </c>
      <c r="N277" s="56"/>
      <c r="O277" s="169">
        <f>(SAF!$D$23/SAF!$C$23)-1</f>
        <v>5.9230597948020769E-2</v>
      </c>
      <c r="P277" s="169">
        <f>(SAF!$E$23/SAF!$D$23)-1</f>
        <v>8.0360882143441836E-2</v>
      </c>
      <c r="Q277" s="169">
        <f>(SAF!$F$23/SAF!$E$23)-1</f>
        <v>7.2444294288096733E-2</v>
      </c>
      <c r="R277" s="169">
        <f>(SAF!$G$23/SAF!$F$23)-1</f>
        <v>6.2404650397453798E-2</v>
      </c>
      <c r="S277" s="169">
        <f>SAF!$H$23</f>
        <v>7.1711404607406992E-2</v>
      </c>
      <c r="T277" s="46"/>
      <c r="U277" s="48" t="str">
        <f t="shared" si="41"/>
        <v>KES 14.80</v>
      </c>
      <c r="V277" s="44" t="str">
        <f t="shared" si="41"/>
        <v>Safaricom</v>
      </c>
      <c r="Z277" s="46"/>
    </row>
    <row r="278" spans="1:45">
      <c r="C278" s="48" t="str">
        <f t="shared" si="40"/>
        <v>Turkcell</v>
      </c>
      <c r="D278" s="44" t="str">
        <f t="shared" si="40"/>
        <v>USD 99.65</v>
      </c>
      <c r="E278" s="44" t="str">
        <f t="shared" si="40"/>
        <v>USD 16.90</v>
      </c>
      <c r="F278" s="45">
        <f t="shared" si="40"/>
        <v>-0.83040642247867535</v>
      </c>
      <c r="G278" s="44" t="str">
        <f t="shared" si="40"/>
        <v>Buy</v>
      </c>
      <c r="H278" s="46"/>
      <c r="I278" s="47">
        <f>TKC!$D$42</f>
        <v>13.229539440567166</v>
      </c>
      <c r="J278" s="47">
        <f>TKC!$E$42</f>
        <v>12.96402147972592</v>
      </c>
      <c r="K278" s="47">
        <f>TKC!$F$42</f>
        <v>12.891937849382568</v>
      </c>
      <c r="L278" s="47">
        <f>TKC!$G$42</f>
        <v>12.737951513263896</v>
      </c>
      <c r="M278" s="45">
        <f>TKC!$H$42</f>
        <v>-1.1561384352462012E-2</v>
      </c>
      <c r="N278" s="56"/>
      <c r="O278" s="169">
        <f>(TKC!$D$23/TKC!$C$23)-1</f>
        <v>6.8915828842198268E-2</v>
      </c>
      <c r="P278" s="169">
        <f>(TKC!$E$23/TKC!$D$23)-1</f>
        <v>6.8772068079935078E-2</v>
      </c>
      <c r="Q278" s="169">
        <f>(TKC!$F$23/TKC!$E$23)-1</f>
        <v>6.8720377995901805E-2</v>
      </c>
      <c r="R278" s="169">
        <f>(TKC!$G$23/TKC!$F$23)-1</f>
        <v>6.8667701421323279E-2</v>
      </c>
      <c r="S278" s="169">
        <f>TKC!$H$23</f>
        <v>6.8720048316360804E-2</v>
      </c>
      <c r="T278" s="46"/>
      <c r="U278" s="48" t="str">
        <f t="shared" si="41"/>
        <v>USD 99.65</v>
      </c>
      <c r="V278" s="44" t="str">
        <f t="shared" si="41"/>
        <v>Turkcell</v>
      </c>
      <c r="Z278" s="46"/>
    </row>
    <row r="279" spans="1:45">
      <c r="C279" s="48" t="str">
        <f t="shared" si="40"/>
        <v>VEON</v>
      </c>
      <c r="D279" s="44" t="str">
        <f t="shared" si="40"/>
        <v>USD 27.2</v>
      </c>
      <c r="E279" s="44" t="str">
        <f t="shared" si="40"/>
        <v>USD 40.0</v>
      </c>
      <c r="F279" s="45">
        <f t="shared" si="40"/>
        <v>0.47058823529411775</v>
      </c>
      <c r="G279" s="44" t="str">
        <f t="shared" si="40"/>
        <v>Buy</v>
      </c>
      <c r="H279" s="46"/>
      <c r="I279" s="47">
        <f>VIMP!$D$42</f>
        <v>17.293951019159827</v>
      </c>
      <c r="J279" s="47">
        <f>VIMP!$E$42</f>
        <v>16.541549476049159</v>
      </c>
      <c r="K279" s="47">
        <f>VIMP!$F$42</f>
        <v>15.60049071925731</v>
      </c>
      <c r="L279" s="47">
        <f>VIMP!$G$42</f>
        <v>14.686245054933796</v>
      </c>
      <c r="M279" s="45">
        <f>VIMP!$H$42</f>
        <v>3.9693106025245672E-2</v>
      </c>
      <c r="N279" s="56"/>
      <c r="O279" s="45">
        <f>(VIMP!$D$23/VIMP!$C$23)-1</f>
        <v>-1.5245582873991359E-2</v>
      </c>
      <c r="P279" s="45">
        <f>(VIMP!$E$23/VIMP!$D$23)-1</f>
        <v>7.9561150265151426E-2</v>
      </c>
      <c r="Q279" s="45">
        <f>(VIMP!$F$23/VIMP!$E$23)-1</f>
        <v>6.1171821527872927E-2</v>
      </c>
      <c r="R279" s="45">
        <f>(VIMP!$G$23/VIMP!$F$23)-1</f>
        <v>5.5320343884203593E-2</v>
      </c>
      <c r="S279" s="45">
        <f>VIMP!$H$23</f>
        <v>6.5301214854422529E-2</v>
      </c>
      <c r="T279" s="46"/>
      <c r="U279" s="48" t="str">
        <f t="shared" si="41"/>
        <v>USD 27.2</v>
      </c>
      <c r="V279" s="44" t="str">
        <f t="shared" si="41"/>
        <v>Vimpel Com</v>
      </c>
      <c r="Z279" s="46"/>
    </row>
    <row r="280" spans="1:45">
      <c r="C280" s="48" t="str">
        <f t="shared" si="40"/>
        <v>Vodacom</v>
      </c>
      <c r="D280" s="44" t="str">
        <f t="shared" si="40"/>
        <v>ZAR 111.1</v>
      </c>
      <c r="E280" s="44" t="str">
        <f t="shared" si="40"/>
        <v>ZAR 150.0</v>
      </c>
      <c r="F280" s="45">
        <f t="shared" si="40"/>
        <v>0.34989200863930892</v>
      </c>
      <c r="G280" s="44" t="str">
        <f t="shared" si="40"/>
        <v>Buy</v>
      </c>
      <c r="H280" s="46"/>
      <c r="I280" s="47">
        <f>VODA!$D$42</f>
        <v>3.4703347690932498</v>
      </c>
      <c r="J280" s="47">
        <f>VODA!$E$42</f>
        <v>3.5629326131192518</v>
      </c>
      <c r="K280" s="47">
        <f>VODA!$F$42</f>
        <v>3.2448306551082942</v>
      </c>
      <c r="L280" s="47">
        <f>VODA!$G$42</f>
        <v>2.8668269620948177</v>
      </c>
      <c r="M280" s="45">
        <f>VODA!$H$42</f>
        <v>1.9020868801993718E-2</v>
      </c>
      <c r="N280" s="56"/>
      <c r="O280" s="45">
        <f>(VODA!$D$23/VODA!$C$23)-1</f>
        <v>0.26369052613912891</v>
      </c>
      <c r="P280" s="45">
        <f>(VODA!$E$23/VODA!$D$23)-1</f>
        <v>4.0554736984488304E-3</v>
      </c>
      <c r="Q280" s="45">
        <f>(VODA!$F$23/VODA!$E$23)-1</f>
        <v>9.555726347892346E-2</v>
      </c>
      <c r="R280" s="45">
        <f>(VODA!$G$23/VODA!$F$23)-1</f>
        <v>7.6047824000432307E-2</v>
      </c>
      <c r="S280" s="45">
        <f>VODA!$H$23</f>
        <v>5.7811103631183469E-2</v>
      </c>
      <c r="T280" s="46"/>
      <c r="U280" s="48" t="str">
        <f t="shared" si="41"/>
        <v>ZAR 111.1</v>
      </c>
      <c r="V280" s="44" t="str">
        <f t="shared" si="41"/>
        <v>Vodacom</v>
      </c>
      <c r="Z280" s="46"/>
    </row>
    <row r="281" spans="1:45">
      <c r="C281" s="51" t="str">
        <f>C219</f>
        <v>Agg. EMEA Cellular</v>
      </c>
      <c r="D281" s="52"/>
      <c r="E281" s="52"/>
      <c r="F281" s="53"/>
      <c r="G281" s="52"/>
      <c r="H281" s="46"/>
      <c r="I281" s="54">
        <f>'EMEA CELLULAR'!$D$42</f>
        <v>4.7109464900339777</v>
      </c>
      <c r="J281" s="54">
        <f>'EMEA CELLULAR'!$E$42</f>
        <v>4.3550930553623157</v>
      </c>
      <c r="K281" s="54">
        <f>'EMEA CELLULAR'!$F$42</f>
        <v>4.15717737946275</v>
      </c>
      <c r="L281" s="54">
        <f>'EMEA CELLULAR'!$G$42</f>
        <v>3.8993389218542824</v>
      </c>
      <c r="M281" s="55">
        <f>'EMEA CELLULAR'!$H$42</f>
        <v>4.0721900193509741E-2</v>
      </c>
      <c r="N281" s="56"/>
      <c r="O281" s="55">
        <f>('EMEA CELLULAR'!$D$23/'EMEA CELLULAR'!$C$23)-1</f>
        <v>7.2287495315821015E-2</v>
      </c>
      <c r="P281" s="55">
        <f>('EMEA CELLULAR'!$E$23/'EMEA CELLULAR'!$D$23)-1</f>
        <v>-2.4795981936523548E-2</v>
      </c>
      <c r="Q281" s="55">
        <f>('EMEA CELLULAR'!$F$23/'EMEA CELLULAR'!$E$23)-1</f>
        <v>8.61986381353812E-2</v>
      </c>
      <c r="R281" s="55">
        <f>('EMEA CELLULAR'!$G$23/'EMEA CELLULAR'!$F$23)-1</f>
        <v>8.5049257199163453E-2</v>
      </c>
      <c r="S281" s="55">
        <f>'EMEA CELLULAR'!$H$23</f>
        <v>4.7493644526533263E-2</v>
      </c>
      <c r="T281" s="46"/>
      <c r="U281" s="57"/>
      <c r="V281" s="58" t="str">
        <f>V219</f>
        <v>Agg. EMEA Cellular</v>
      </c>
      <c r="Z281" s="46"/>
    </row>
    <row r="282" spans="1:45">
      <c r="A282" s="5"/>
      <c r="C282" s="43"/>
      <c r="D282" s="44"/>
      <c r="E282" s="44"/>
      <c r="F282" s="45"/>
      <c r="G282" s="44"/>
      <c r="H282" s="46"/>
      <c r="I282" s="47"/>
      <c r="J282" s="47"/>
      <c r="K282" s="47"/>
      <c r="L282" s="47"/>
      <c r="M282" s="45"/>
      <c r="N282" s="56"/>
      <c r="O282" s="45"/>
      <c r="P282" s="45"/>
      <c r="Q282" s="45"/>
      <c r="R282" s="45"/>
      <c r="S282" s="45"/>
      <c r="T282" s="46"/>
      <c r="U282" s="48"/>
      <c r="V282" s="50"/>
      <c r="Z282" s="46"/>
    </row>
    <row r="283" spans="1:45">
      <c r="A283" s="5"/>
      <c r="C283" s="48" t="str">
        <f t="shared" ref="C283:G285" si="42">C221</f>
        <v>Entel</v>
      </c>
      <c r="D283" s="44" t="str">
        <f t="shared" si="42"/>
        <v>CLP 2,900</v>
      </c>
      <c r="E283" s="44" t="str">
        <f t="shared" si="42"/>
        <v>CLP 3,150</v>
      </c>
      <c r="F283" s="45">
        <f t="shared" si="42"/>
        <v>8.6206896551724199E-2</v>
      </c>
      <c r="G283" s="44" t="str">
        <f t="shared" si="42"/>
        <v>Neutral</v>
      </c>
      <c r="H283" s="46"/>
      <c r="I283" s="47">
        <f>ENTEL!$D$42</f>
        <v>0.99126287848232431</v>
      </c>
      <c r="J283" s="47">
        <f>ENTEL!$E$42</f>
        <v>0.91124321132113906</v>
      </c>
      <c r="K283" s="47">
        <f>ENTEL!$F$42</f>
        <v>0.80500646287046729</v>
      </c>
      <c r="L283" s="47">
        <f>ENTEL!$G$42</f>
        <v>0.67161403670428033</v>
      </c>
      <c r="M283" s="45">
        <f>ENTEL!$H$42</f>
        <v>1.0296482080886182E-2</v>
      </c>
      <c r="N283" s="56"/>
      <c r="O283" s="169">
        <f>(ENTEL!$D$23/ENTEL!$C$23)-1</f>
        <v>2.4837110678697982E-2</v>
      </c>
      <c r="P283" s="169">
        <f>(ENTEL!$E$23/ENTEL!$D$23)-1</f>
        <v>2.6727537643034927E-2</v>
      </c>
      <c r="Q283" s="169">
        <f>(ENTEL!$F$23/ENTEL!$E$23)-1</f>
        <v>2.8422346348874861E-2</v>
      </c>
      <c r="R283" s="169">
        <f>(ENTEL!$G$23/ENTEL!$F$23)-1</f>
        <v>2.9930525642278827E-2</v>
      </c>
      <c r="S283" s="169">
        <f>ENTEL!$H$23</f>
        <v>2.8359304202485891E-2</v>
      </c>
      <c r="T283" s="46"/>
      <c r="U283" s="48" t="str">
        <f t="shared" ref="U283:V285" si="43">U221</f>
        <v>CLP 2,900</v>
      </c>
      <c r="V283" s="44" t="str">
        <f t="shared" si="43"/>
        <v>Entel</v>
      </c>
      <c r="Z283" s="46"/>
    </row>
    <row r="284" spans="1:45">
      <c r="A284" s="5"/>
      <c r="C284" s="48" t="str">
        <f t="shared" si="42"/>
        <v>Millicom</v>
      </c>
      <c r="D284" s="44" t="str">
        <f t="shared" si="42"/>
        <v>USD  26.6</v>
      </c>
      <c r="E284" s="44" t="str">
        <f t="shared" si="42"/>
        <v>USD 18.0</v>
      </c>
      <c r="F284" s="45">
        <f t="shared" si="42"/>
        <v>-0.32407059707097252</v>
      </c>
      <c r="G284" s="44" t="str">
        <f t="shared" si="42"/>
        <v>Neutral</v>
      </c>
      <c r="H284" s="46"/>
      <c r="I284" s="47">
        <f>MILLI!$D$42</f>
        <v>1.3334418399674992</v>
      </c>
      <c r="J284" s="47">
        <f>MILLI!$E$42</f>
        <v>1.3394292200942468</v>
      </c>
      <c r="K284" s="47">
        <f>MILLI!$F$42</f>
        <v>1.3187510458209952</v>
      </c>
      <c r="L284" s="47">
        <f>MILLI!$G$42</f>
        <v>1.2817249746210662</v>
      </c>
      <c r="M284" s="45">
        <f>MILLI!$H$42</f>
        <v>-7.0716907447597732E-3</v>
      </c>
      <c r="N284" s="56"/>
      <c r="O284" s="169">
        <f>(MILLI!$D$23/MILLI!$C$23)-1</f>
        <v>2.032018956888515E-2</v>
      </c>
      <c r="P284" s="169">
        <f>(MILLI!$E$23/MILLI!$D$23)-1</f>
        <v>1.1470022393937906E-2</v>
      </c>
      <c r="Q284" s="169">
        <f>(MILLI!$F$23/MILLI!$E$23)-1</f>
        <v>1.7856256088548239E-2</v>
      </c>
      <c r="R284" s="169">
        <f>(MILLI!$G$23/MILLI!$F$23)-1</f>
        <v>2.3471211462788188E-2</v>
      </c>
      <c r="S284" s="169">
        <f>MILLI!$H$23</f>
        <v>1.7587349161343635E-2</v>
      </c>
      <c r="T284" s="46"/>
      <c r="U284" s="48" t="str">
        <f t="shared" si="43"/>
        <v>USD  26.6</v>
      </c>
      <c r="V284" s="44" t="str">
        <f t="shared" si="43"/>
        <v>Millicom</v>
      </c>
      <c r="Z284" s="46"/>
    </row>
    <row r="285" spans="1:45">
      <c r="A285" s="5"/>
      <c r="C285" s="48" t="str">
        <f t="shared" si="42"/>
        <v>TIM Participacoes</v>
      </c>
      <c r="D285" s="44" t="str">
        <f t="shared" si="42"/>
        <v>BRL 18.63</v>
      </c>
      <c r="E285" s="44" t="str">
        <f t="shared" si="42"/>
        <v>BRL 23.00</v>
      </c>
      <c r="F285" s="45">
        <f t="shared" si="42"/>
        <v>0.23456790123456805</v>
      </c>
      <c r="G285" s="44" t="str">
        <f t="shared" si="42"/>
        <v>Buy</v>
      </c>
      <c r="H285" s="46"/>
      <c r="I285" s="47">
        <f>TIMP!$D$42</f>
        <v>2.0141320628043822</v>
      </c>
      <c r="J285" s="47">
        <f>TIMP!$E$42</f>
        <v>1.7263818078026454</v>
      </c>
      <c r="K285" s="47">
        <f>TIMP!$F$42</f>
        <v>1.4254319238488693</v>
      </c>
      <c r="L285" s="47">
        <f>TIMP!$G$42</f>
        <v>1.0876257628136994</v>
      </c>
      <c r="M285" s="45">
        <f>TIMP!$H$42</f>
        <v>4.6345444874369202E-2</v>
      </c>
      <c r="N285" s="56"/>
      <c r="O285" s="45">
        <f>(TIMP!$D$23/TIMP!$C$23)-1</f>
        <v>0.10804128232708843</v>
      </c>
      <c r="P285" s="45">
        <f>(TIMP!$E$23/TIMP!$D$23)-1</f>
        <v>7.4850394038312729E-2</v>
      </c>
      <c r="Q285" s="45">
        <f>(TIMP!$F$23/TIMP!$E$23)-1</f>
        <v>6.1104890989370331E-2</v>
      </c>
      <c r="R285" s="45">
        <f>(TIMP!$G$23/TIMP!$F$23)-1</f>
        <v>4.39615144044887E-2</v>
      </c>
      <c r="S285" s="45">
        <f>TIMP!$H$23</f>
        <v>5.9896866881330002E-2</v>
      </c>
      <c r="T285" s="46"/>
      <c r="U285" s="48" t="str">
        <f t="shared" si="43"/>
        <v>BRL 18.63</v>
      </c>
      <c r="V285" s="44" t="str">
        <f t="shared" si="43"/>
        <v>TIM Participacoes</v>
      </c>
      <c r="Z285" s="46"/>
    </row>
    <row r="286" spans="1:45">
      <c r="A286" s="5"/>
      <c r="C286" s="51" t="str">
        <f>C224</f>
        <v>Agg. LatAm Cellular</v>
      </c>
      <c r="D286" s="52"/>
      <c r="E286" s="52"/>
      <c r="F286" s="53"/>
      <c r="G286" s="52"/>
      <c r="H286" s="46"/>
      <c r="I286" s="54">
        <f>'LATAM CELLULAR'!$D$42</f>
        <v>1.4348277635777664</v>
      </c>
      <c r="J286" s="54">
        <f>'LATAM CELLULAR'!$E$42</f>
        <v>1.368629959068183</v>
      </c>
      <c r="K286" s="54">
        <f>'LATAM CELLULAR'!$F$42</f>
        <v>1.2739435355271413</v>
      </c>
      <c r="L286" s="54">
        <f>'LATAM CELLULAR'!$G$42</f>
        <v>1.152261214295307</v>
      </c>
      <c r="M286" s="55">
        <f>'LATAM CELLULAR'!$H$42</f>
        <v>7.2697555235381461E-3</v>
      </c>
      <c r="N286" s="56"/>
      <c r="O286" s="55">
        <f>('LATAM CELLULAR'!$D$23/'LATAM CELLULAR'!$C$23)-1</f>
        <v>4.9874367591268287E-2</v>
      </c>
      <c r="P286" s="55">
        <f>('LATAM CELLULAR'!$E$23/'LATAM CELLULAR'!$D$23)-1</f>
        <v>3.6282158567467526E-2</v>
      </c>
      <c r="Q286" s="55">
        <f>('LATAM CELLULAR'!$F$23/'LATAM CELLULAR'!$E$23)-1</f>
        <v>3.5353329506623288E-2</v>
      </c>
      <c r="R286" s="55">
        <f>('LATAM CELLULAR'!$G$23/'LATAM CELLULAR'!$F$23)-1</f>
        <v>3.2214259533405176E-2</v>
      </c>
      <c r="S286" s="55">
        <f>'LATAM CELLULAR'!$H$23</f>
        <v>3.4615117612012414E-2</v>
      </c>
      <c r="T286" s="46"/>
      <c r="U286" s="57"/>
      <c r="V286" s="58" t="str">
        <f>V224</f>
        <v>Agg. LatAm Cellular</v>
      </c>
      <c r="Z286" s="46"/>
    </row>
    <row r="287" spans="1:45">
      <c r="C287" s="43"/>
      <c r="D287" s="44"/>
      <c r="E287" s="44"/>
      <c r="F287" s="45"/>
      <c r="G287" s="44"/>
      <c r="H287" s="46"/>
      <c r="I287" s="47"/>
      <c r="J287" s="47"/>
      <c r="K287" s="47"/>
      <c r="L287" s="47"/>
      <c r="M287" s="45"/>
      <c r="N287" s="46"/>
      <c r="O287" s="45"/>
      <c r="P287" s="45"/>
      <c r="Q287" s="45"/>
      <c r="R287" s="45"/>
      <c r="S287" s="45"/>
      <c r="T287" s="46"/>
      <c r="U287" s="48"/>
      <c r="V287" s="50"/>
      <c r="Z287" s="46"/>
    </row>
    <row r="288" spans="1:45">
      <c r="A288" s="5"/>
      <c r="C288" s="48" t="str">
        <f t="shared" ref="C288:G301" si="44">C226</f>
        <v>AIS</v>
      </c>
      <c r="D288" s="44" t="str">
        <f t="shared" si="44"/>
        <v>THB 269.0</v>
      </c>
      <c r="E288" s="44" t="str">
        <f t="shared" si="44"/>
        <v>THB 300.0</v>
      </c>
      <c r="F288" s="45">
        <f t="shared" si="44"/>
        <v>0.11524163568773238</v>
      </c>
      <c r="G288" s="44" t="str">
        <f t="shared" si="44"/>
        <v>Buy</v>
      </c>
      <c r="H288" s="46"/>
      <c r="I288" s="47">
        <f>ADVANCED!$D$42</f>
        <v>7.5369406863846571</v>
      </c>
      <c r="J288" s="47">
        <f>ADVANCED!$E$42</f>
        <v>8.3541516848691746</v>
      </c>
      <c r="K288" s="47">
        <f>ADVANCED!$F$42</f>
        <v>8.6261890181926191</v>
      </c>
      <c r="L288" s="47">
        <f>ADVANCED!$G$42</f>
        <v>8.3016523441878718</v>
      </c>
      <c r="M288" s="45">
        <f>ADVANCED!$H$42</f>
        <v>-9.4648693737996559E-2</v>
      </c>
      <c r="N288" s="46"/>
      <c r="O288" s="45">
        <f>(ADVANCED!$D$23/ADVANCED!$C$23)-1</f>
        <v>1.8273578013702219E-2</v>
      </c>
      <c r="P288" s="45">
        <f>(ADVANCED!$E$23/ADVANCED!$D$23)-1</f>
        <v>0.11875892021833367</v>
      </c>
      <c r="Q288" s="45">
        <f>(ADVANCED!$F$23/ADVANCED!$E$23)-1</f>
        <v>5.3295764784845545E-2</v>
      </c>
      <c r="R288" s="45">
        <f>(ADVANCED!$G$23/ADVANCED!$F$23)-1</f>
        <v>3.1213300334912875E-2</v>
      </c>
      <c r="S288" s="45">
        <f>ADVANCED!$H$23</f>
        <v>6.7116376718759252E-2</v>
      </c>
      <c r="T288" s="46"/>
      <c r="U288" s="48" t="str">
        <f t="shared" ref="U288:V301" si="45">U226</f>
        <v>THB 269.0</v>
      </c>
      <c r="V288" s="44" t="str">
        <f t="shared" si="45"/>
        <v>AIS</v>
      </c>
      <c r="Z288" s="46"/>
    </row>
    <row r="289" spans="1:26">
      <c r="C289" s="48" t="str">
        <f t="shared" si="44"/>
        <v>Axiata</v>
      </c>
      <c r="D289" s="44" t="str">
        <f t="shared" si="44"/>
        <v>MYR 2.44</v>
      </c>
      <c r="E289" s="44" t="str">
        <f t="shared" si="44"/>
        <v>MYR 4.50</v>
      </c>
      <c r="F289" s="45">
        <f t="shared" si="44"/>
        <v>0.84426229508196715</v>
      </c>
      <c r="G289" s="44" t="str">
        <f t="shared" si="44"/>
        <v>Buy</v>
      </c>
      <c r="H289" s="46"/>
      <c r="I289" s="47">
        <f>AXI!$D$42</f>
        <v>1.6489835018147625</v>
      </c>
      <c r="J289" s="47">
        <f>AXI!$E$42</f>
        <v>1.9977116623214861</v>
      </c>
      <c r="K289" s="47">
        <f>AXI!$F$42</f>
        <v>2.0024344585514759</v>
      </c>
      <c r="L289" s="47">
        <f>AXI!$G$42</f>
        <v>2.014113568340012</v>
      </c>
      <c r="M289" s="45">
        <f>AXI!$H$42</f>
        <v>-3.5463179142296797E-2</v>
      </c>
      <c r="N289" s="46"/>
      <c r="O289" s="45">
        <f>(AXI!D23/AXI!C23)-1</f>
        <v>-0.11892142439796338</v>
      </c>
      <c r="P289" s="45">
        <f>(AXI!E23/AXI!D23)-1</f>
        <v>3.3176728685858192E-2</v>
      </c>
      <c r="Q289" s="45">
        <f>(AXI!$F$23/AXI!$E$23)-1</f>
        <v>6.0830123453079255E-2</v>
      </c>
      <c r="R289" s="45">
        <f>(AXI!$G$23/AXI!$F$23)-1</f>
        <v>4.8931080978561692E-2</v>
      </c>
      <c r="S289" s="45">
        <f>AXI!$H$23</f>
        <v>4.7584677909829676E-2</v>
      </c>
      <c r="T289" s="46"/>
      <c r="U289" s="48" t="str">
        <f t="shared" si="45"/>
        <v>MYR 2.44</v>
      </c>
      <c r="V289" s="44" t="str">
        <f t="shared" si="45"/>
        <v>Axiata</v>
      </c>
      <c r="Z289" s="46"/>
    </row>
    <row r="290" spans="1:26">
      <c r="C290" s="48" t="str">
        <f t="shared" si="44"/>
        <v>Bharti Airtel</v>
      </c>
      <c r="D290" s="44" t="str">
        <f t="shared" si="44"/>
        <v>INR 1539</v>
      </c>
      <c r="E290" s="44" t="str">
        <f t="shared" si="44"/>
        <v>INR 1500</v>
      </c>
      <c r="F290" s="45">
        <f t="shared" si="44"/>
        <v>-2.5404457150282611E-2</v>
      </c>
      <c r="G290" s="44" t="str">
        <f t="shared" si="44"/>
        <v>Neutral</v>
      </c>
      <c r="H290" s="46"/>
      <c r="I290" s="47">
        <f>BHART!$D$42</f>
        <v>7.1436788575376946</v>
      </c>
      <c r="J290" s="47">
        <f>BHART!$E$42</f>
        <v>7.2101187131285291</v>
      </c>
      <c r="K290" s="47">
        <f>BHART!$F$42</f>
        <v>7.234132265806978</v>
      </c>
      <c r="L290" s="47">
        <f>BHART!$G$42</f>
        <v>7.3390608791861425</v>
      </c>
      <c r="M290" s="45">
        <f>BHART!$H$42</f>
        <v>-4.2052852985401845E-2</v>
      </c>
      <c r="N290" s="46"/>
      <c r="O290" s="45">
        <f>(BHART!$D$23/BHART!$C$23)-1</f>
        <v>8.0927232309214503E-2</v>
      </c>
      <c r="P290" s="45">
        <f>(BHART!$E$23/BHART!$D$23)-1</f>
        <v>0.1217690450647666</v>
      </c>
      <c r="Q290" s="45">
        <f>(BHART!$F$23/BHART!$E$23)-1</f>
        <v>0.14908955942540114</v>
      </c>
      <c r="R290" s="45">
        <f>(BHART!$G$23/BHART!$F$23)-1</f>
        <v>0.13908852053811271</v>
      </c>
      <c r="S290" s="45">
        <f>BHART!$H$23</f>
        <v>0.13659289046180012</v>
      </c>
      <c r="T290" s="46"/>
      <c r="U290" s="48" t="str">
        <f t="shared" si="45"/>
        <v>INR 1539</v>
      </c>
      <c r="V290" s="44" t="str">
        <f t="shared" si="45"/>
        <v>Bharti Airtel</v>
      </c>
      <c r="Z290" s="46"/>
    </row>
    <row r="291" spans="1:26">
      <c r="A291" s="5"/>
      <c r="C291" s="48" t="str">
        <f t="shared" si="44"/>
        <v>China Mobile</v>
      </c>
      <c r="D291" s="44" t="str">
        <f t="shared" si="44"/>
        <v>HKD 72.0</v>
      </c>
      <c r="E291" s="44" t="str">
        <f t="shared" si="44"/>
        <v>HKD 115.0</v>
      </c>
      <c r="F291" s="45">
        <f t="shared" si="44"/>
        <v>0.59722222222222232</v>
      </c>
      <c r="G291" s="44" t="str">
        <f t="shared" si="44"/>
        <v>Buy</v>
      </c>
      <c r="H291" s="46"/>
      <c r="I291" s="47">
        <f>_CM!$D$42</f>
        <v>1.7099257011210096</v>
      </c>
      <c r="J291" s="47">
        <f>_CM!$E$42</f>
        <v>1.5448259854947815</v>
      </c>
      <c r="K291" s="47">
        <f>_CM!$F$42</f>
        <v>1.2735664633891746</v>
      </c>
      <c r="L291" s="47">
        <f>_CM!$G$42</f>
        <v>1.0277018631160511</v>
      </c>
      <c r="M291" s="45">
        <f>_CM!$H$42</f>
        <v>6.5341183199726816E-2</v>
      </c>
      <c r="N291" s="46"/>
      <c r="O291" s="45">
        <f>(_CM!$D$23/_CM!$C$23)-1</f>
        <v>7.687309484358118E-2</v>
      </c>
      <c r="P291" s="45">
        <f>(_CM!$E$23/_CM!$D$23)-1</f>
        <v>3.2997578609377021E-2</v>
      </c>
      <c r="Q291" s="45">
        <f>(_CM!$F$23/_CM!$E$23)-1</f>
        <v>3.7859528610854065E-2</v>
      </c>
      <c r="R291" s="45">
        <f>(_CM!$G$23/_CM!$F$23)-1</f>
        <v>3.8877232701860942E-2</v>
      </c>
      <c r="S291" s="45">
        <f>_CM!$H$23</f>
        <v>3.6574934801534287E-2</v>
      </c>
      <c r="T291" s="46"/>
      <c r="U291" s="48" t="str">
        <f t="shared" si="45"/>
        <v>HKD 72.0</v>
      </c>
      <c r="V291" s="44" t="str">
        <f t="shared" si="45"/>
        <v>China Mobile</v>
      </c>
      <c r="Z291" s="46"/>
    </row>
    <row r="292" spans="1:26">
      <c r="A292" s="5"/>
      <c r="C292" s="48" t="str">
        <f t="shared" si="44"/>
        <v>CelcomDigi</v>
      </c>
      <c r="D292" s="44" t="str">
        <f t="shared" si="44"/>
        <v>MYR 3.7</v>
      </c>
      <c r="E292" s="44" t="str">
        <f t="shared" si="44"/>
        <v>MYR 6.0</v>
      </c>
      <c r="F292" s="45">
        <f t="shared" si="44"/>
        <v>0.63934426229508201</v>
      </c>
      <c r="G292" s="44" t="str">
        <f t="shared" si="44"/>
        <v>Buy</v>
      </c>
      <c r="H292" s="46"/>
      <c r="I292" s="47">
        <f>DIGI!$D$42</f>
        <v>9.2893606659217323</v>
      </c>
      <c r="J292" s="47">
        <f>DIGI!$E$42</f>
        <v>9.5333910516397093</v>
      </c>
      <c r="K292" s="47">
        <f>DIGI!$F$42</f>
        <v>9.3768947476168272</v>
      </c>
      <c r="L292" s="47">
        <f>DIGI!$G$42</f>
        <v>9.1328300540808343</v>
      </c>
      <c r="M292" s="45">
        <f>DIGI!$H$42</f>
        <v>-4.902542586759473E-2</v>
      </c>
      <c r="N292" s="46"/>
      <c r="O292" s="45">
        <f>(DIGI!$D$23/DIGI!$C$23)-1</f>
        <v>1.0377570694087406</v>
      </c>
      <c r="P292" s="45">
        <f>(DIGI!$E$23/DIGI!$D$23)-1</f>
        <v>1.4759156876431367E-2</v>
      </c>
      <c r="Q292" s="45">
        <f>(DIGI!$F$23/DIGI!$E$23)-1</f>
        <v>2.0536964032197069E-2</v>
      </c>
      <c r="R292" s="45">
        <f>(DIGI!$G$23/DIGI!$F$23)-1</f>
        <v>2.0500986669935495E-2</v>
      </c>
      <c r="S292" s="45">
        <f>DIGI!$H$23</f>
        <v>1.8595412333380024E-2</v>
      </c>
      <c r="T292" s="46"/>
      <c r="U292" s="48" t="str">
        <f t="shared" si="45"/>
        <v>MYR 3.7</v>
      </c>
      <c r="V292" s="44" t="str">
        <f t="shared" si="45"/>
        <v>CelcomDigi</v>
      </c>
      <c r="Z292" s="46"/>
    </row>
    <row r="293" spans="1:26">
      <c r="A293" s="5"/>
      <c r="C293" s="48" t="str">
        <f t="shared" si="44"/>
        <v>Far EasTone</v>
      </c>
      <c r="D293" s="44" t="str">
        <f t="shared" si="44"/>
        <v>TWD 91.9</v>
      </c>
      <c r="E293" s="44" t="str">
        <f t="shared" si="44"/>
        <v>TWD n/r</v>
      </c>
      <c r="F293" s="45" t="str">
        <f t="shared" si="44"/>
        <v>-</v>
      </c>
      <c r="G293" s="44" t="str">
        <f t="shared" si="44"/>
        <v>n/r</v>
      </c>
      <c r="H293" s="46"/>
      <c r="I293" s="47">
        <f>FAR!$D$42</f>
        <v>8.2380094588470349</v>
      </c>
      <c r="J293" s="47">
        <f>FAR!$E$42</f>
        <v>8.2334016903058558</v>
      </c>
      <c r="K293" s="47">
        <f>FAR!$F$42</f>
        <v>8.1280352882171165</v>
      </c>
      <c r="L293" s="47">
        <f>FAR!$G$42</f>
        <v>7.9348893913296106</v>
      </c>
      <c r="M293" s="45">
        <f>FAR!$H$42</f>
        <v>-3.0805475439947272E-2</v>
      </c>
      <c r="N293" s="46"/>
      <c r="O293" s="45">
        <f>(FAR!$D$23/FAR!$C$23)-1</f>
        <v>2.3300073866665549E-2</v>
      </c>
      <c r="P293" s="45">
        <f>(FAR!$E$23/FAR!$D$23)-1</f>
        <v>2.6378186587066033E-2</v>
      </c>
      <c r="Q293" s="45">
        <f>(FAR!$F$23/FAR!$E$23)-1</f>
        <v>2.6812240821729061E-2</v>
      </c>
      <c r="R293" s="45">
        <f>(FAR!$G$23/FAR!$F$23)-1</f>
        <v>2.7243326458235906E-2</v>
      </c>
      <c r="S293" s="45">
        <f>FAR!$H$23</f>
        <v>2.6811190545072972E-2</v>
      </c>
      <c r="T293" s="46"/>
      <c r="U293" s="48" t="str">
        <f t="shared" si="45"/>
        <v>TWD 91.9</v>
      </c>
      <c r="V293" s="44" t="str">
        <f t="shared" si="45"/>
        <v>Far EasTone</v>
      </c>
      <c r="Z293" s="46"/>
    </row>
    <row r="294" spans="1:26">
      <c r="A294" s="5"/>
      <c r="C294" s="48" t="str">
        <f t="shared" si="44"/>
        <v>Vodafone IDEA</v>
      </c>
      <c r="D294" s="44" t="str">
        <f t="shared" si="44"/>
        <v>INR 13.4</v>
      </c>
      <c r="E294" s="44" t="str">
        <f t="shared" si="44"/>
        <v>INR 5.0</v>
      </c>
      <c r="F294" s="45">
        <f t="shared" si="44"/>
        <v>-0.62574850299401197</v>
      </c>
      <c r="G294" s="44" t="str">
        <f t="shared" si="44"/>
        <v>Reduce</v>
      </c>
      <c r="H294" s="46"/>
      <c r="I294" s="47">
        <f>IDEA!$D$42</f>
        <v>1.9584131631231592</v>
      </c>
      <c r="J294" s="47">
        <f>IDEA!$E$42</f>
        <v>2.271281582995166</v>
      </c>
      <c r="K294" s="47">
        <f>IDEA!$F$42</f>
        <v>2.4182871317003465</v>
      </c>
      <c r="L294" s="47">
        <f>IDEA!$G$42</f>
        <v>2.6964701991987199</v>
      </c>
      <c r="M294" s="45">
        <f>IDEA!$H$42</f>
        <v>-3.2575497241350004E-2</v>
      </c>
      <c r="N294" s="46"/>
      <c r="O294" s="45">
        <f>(IDEA!$D$23/IDEA!$C$23)-1</f>
        <v>1.125015411170005E-2</v>
      </c>
      <c r="P294" s="45">
        <f>(IDEA!$E$23/IDEA!$D$23)-1</f>
        <v>8.6287669837810554E-2</v>
      </c>
      <c r="Q294" s="45">
        <f>(IDEA!$F$23/IDEA!$E$23)-1</f>
        <v>0.14049036647809432</v>
      </c>
      <c r="R294" s="45">
        <f>(IDEA!$G$23/IDEA!$F$23)-1</f>
        <v>9.4227977761068837E-2</v>
      </c>
      <c r="S294" s="45">
        <f>IDEA!$H$23</f>
        <v>0.10674634231514601</v>
      </c>
      <c r="T294" s="46"/>
      <c r="U294" s="48" t="str">
        <f t="shared" si="45"/>
        <v>INR 13.4</v>
      </c>
      <c r="V294" s="44" t="str">
        <f t="shared" si="45"/>
        <v>Vodafone IDEA</v>
      </c>
      <c r="Z294" s="46"/>
    </row>
    <row r="295" spans="1:26">
      <c r="A295" s="5"/>
      <c r="C295" s="48" t="str">
        <f t="shared" si="44"/>
        <v>Indosat</v>
      </c>
      <c r="D295" s="44" t="str">
        <f t="shared" si="44"/>
        <v>IDR 10,900</v>
      </c>
      <c r="E295" s="44" t="str">
        <f t="shared" si="44"/>
        <v>IDR 12,500</v>
      </c>
      <c r="F295" s="45">
        <f t="shared" si="44"/>
        <v>0.14678899082568808</v>
      </c>
      <c r="G295" s="44" t="str">
        <f t="shared" si="44"/>
        <v>Buy</v>
      </c>
      <c r="H295" s="46"/>
      <c r="I295" s="47">
        <f>INDO!$D$42</f>
        <v>1.8740871284469092</v>
      </c>
      <c r="J295" s="47">
        <f>INDO!$E$42</f>
        <v>1.8512814481679287</v>
      </c>
      <c r="K295" s="47">
        <f>INDO!$F$42</f>
        <v>1.692114698757061</v>
      </c>
      <c r="L295" s="47">
        <f>INDO!$G$42</f>
        <v>1.4444078367759094</v>
      </c>
      <c r="M295" s="45">
        <f>INDO!$H$42</f>
        <v>-6.7937535571264696E-2</v>
      </c>
      <c r="N295" s="46"/>
      <c r="O295" s="45">
        <f>(INDO!$D$23/INDO!$C$23)-1</f>
        <v>9.5748550040241964E-2</v>
      </c>
      <c r="P295" s="45">
        <f>(INDO!$E$23/INDO!$D$23)-1</f>
        <v>9.8875275450277744E-2</v>
      </c>
      <c r="Q295" s="45">
        <f>(INDO!$F$23/INDO!$E$23)-1</f>
        <v>9.555262361700656E-2</v>
      </c>
      <c r="R295" s="45">
        <f>(INDO!$G$23/INDO!$F$23)-1</f>
        <v>9.3312842959276665E-2</v>
      </c>
      <c r="S295" s="45">
        <f>INDO!$H$23</f>
        <v>9.5911198990965563E-2</v>
      </c>
      <c r="T295" s="46"/>
      <c r="U295" s="48" t="str">
        <f t="shared" si="45"/>
        <v>IDR 10,900</v>
      </c>
      <c r="V295" s="44" t="str">
        <f t="shared" si="45"/>
        <v>Indosat</v>
      </c>
      <c r="Z295" s="46"/>
    </row>
    <row r="296" spans="1:26">
      <c r="A296" s="5"/>
      <c r="C296" s="48" t="str">
        <f t="shared" si="44"/>
        <v>LG Uplus</v>
      </c>
      <c r="D296" s="44" t="str">
        <f t="shared" si="44"/>
        <v>KRW 9,890</v>
      </c>
      <c r="E296" s="44" t="str">
        <f t="shared" si="44"/>
        <v>KRW 21,000</v>
      </c>
      <c r="F296" s="45">
        <f t="shared" si="44"/>
        <v>1.1233569261880687</v>
      </c>
      <c r="G296" s="44" t="str">
        <f t="shared" si="44"/>
        <v>Buy</v>
      </c>
      <c r="H296" s="46"/>
      <c r="I296" s="47">
        <f>_LG!$D$42</f>
        <v>1.0938374655081982</v>
      </c>
      <c r="J296" s="47">
        <f>_LG!$E$42</f>
        <v>1.1641270134977091</v>
      </c>
      <c r="K296" s="47">
        <f>_LG!$F$42</f>
        <v>1.1342093872979302</v>
      </c>
      <c r="L296" s="47">
        <f>_LG!$G$42</f>
        <v>1.0963748558496624</v>
      </c>
      <c r="M296" s="45">
        <f>_LG!$H$42</f>
        <v>-2.3386959304283139E-2</v>
      </c>
      <c r="N296" s="46"/>
      <c r="O296" s="45">
        <f>(_LG!$D$23/_LG!$C$23)-1</f>
        <v>3.3556018984611136E-2</v>
      </c>
      <c r="P296" s="45">
        <f>(_LG!$E$23/_LG!$D$23)-1</f>
        <v>1.5259856964614738E-2</v>
      </c>
      <c r="Q296" s="45">
        <f>(_LG!$F$23/_LG!$E$23)-1</f>
        <v>1.9646064195368629E-2</v>
      </c>
      <c r="R296" s="45">
        <f>(_LG!$G$23/_LG!$F$23)-1</f>
        <v>2.0236443035076768E-2</v>
      </c>
      <c r="S296" s="45">
        <f>_LG!$H$23</f>
        <v>1.8378366080334496E-2</v>
      </c>
      <c r="T296" s="46"/>
      <c r="U296" s="48" t="str">
        <f t="shared" si="45"/>
        <v>KRW 9,890</v>
      </c>
      <c r="V296" s="44" t="str">
        <f t="shared" si="45"/>
        <v>LG Uplus</v>
      </c>
      <c r="Z296" s="46"/>
    </row>
    <row r="297" spans="1:26">
      <c r="C297" s="48" t="str">
        <f t="shared" si="44"/>
        <v>Maxis</v>
      </c>
      <c r="D297" s="44" t="str">
        <f t="shared" si="44"/>
        <v>MYR 3.82</v>
      </c>
      <c r="E297" s="44" t="str">
        <f t="shared" si="44"/>
        <v>MYR 5.60</v>
      </c>
      <c r="F297" s="45">
        <f t="shared" si="44"/>
        <v>0.46596858638743455</v>
      </c>
      <c r="G297" s="44" t="str">
        <f t="shared" si="44"/>
        <v>Buy</v>
      </c>
      <c r="H297" s="46"/>
      <c r="I297" s="47">
        <f>MAXI!$D$42</f>
        <v>7.2633655274888556</v>
      </c>
      <c r="J297" s="47">
        <f>MAXI!$E$42</f>
        <v>7.5611198527792061</v>
      </c>
      <c r="K297" s="47">
        <f>MAXI!$F$42</f>
        <v>7.4226788090937506</v>
      </c>
      <c r="L297" s="47">
        <f>MAXI!$G$42</f>
        <v>7.1347474382628739</v>
      </c>
      <c r="M297" s="45">
        <f>MAXI!$H$42</f>
        <v>-3.6210776064720229E-2</v>
      </c>
      <c r="N297" s="46"/>
      <c r="O297" s="45">
        <f>(MAXI!$D$23/MAXI!$C$23)-1</f>
        <v>3.9942792930840687E-2</v>
      </c>
      <c r="P297" s="45">
        <f>(MAXI!$E$23/MAXI!$D$23)-1</f>
        <v>4.2243239986058834E-2</v>
      </c>
      <c r="Q297" s="45">
        <f>(MAXI!$F$23/MAXI!$E$23)-1</f>
        <v>2.7720733882881099E-2</v>
      </c>
      <c r="R297" s="45">
        <f>(MAXI!$G$23/MAXI!$F$23)-1</f>
        <v>2.8019731415444449E-2</v>
      </c>
      <c r="S297" s="45">
        <f>MAXI!$H$23</f>
        <v>3.2639068367961599E-2</v>
      </c>
      <c r="T297" s="46"/>
      <c r="U297" s="48" t="str">
        <f t="shared" si="45"/>
        <v>MYR 3.82</v>
      </c>
      <c r="V297" s="44" t="str">
        <f t="shared" si="45"/>
        <v>Maxis</v>
      </c>
      <c r="Z297" s="46"/>
    </row>
    <row r="298" spans="1:26">
      <c r="A298" s="5"/>
      <c r="C298" s="48" t="str">
        <f t="shared" si="44"/>
        <v>SK Telecom</v>
      </c>
      <c r="D298" s="44" t="str">
        <f t="shared" si="44"/>
        <v>KRW 57,800</v>
      </c>
      <c r="E298" s="44" t="str">
        <f t="shared" si="44"/>
        <v>KRW 116,000</v>
      </c>
      <c r="F298" s="45">
        <f t="shared" si="44"/>
        <v>1.0069204152249136</v>
      </c>
      <c r="G298" s="44" t="str">
        <f t="shared" si="44"/>
        <v>Buy</v>
      </c>
      <c r="H298" s="46"/>
      <c r="I298" s="47">
        <f>SKT!$D$42</f>
        <v>1.3654684376563238</v>
      </c>
      <c r="J298" s="47">
        <f>SKT!$E$42</f>
        <v>1.4314763288936341</v>
      </c>
      <c r="K298" s="47">
        <f>SKT!$F$42</f>
        <v>1.4431927837188196</v>
      </c>
      <c r="L298" s="47">
        <f>SKT!$G$42</f>
        <v>1.4321784724281157</v>
      </c>
      <c r="M298" s="45">
        <f>SKT!$H$42</f>
        <v>-6.7898923541350964E-2</v>
      </c>
      <c r="N298" s="46"/>
      <c r="O298" s="45">
        <f>(SKT!$D$23/SKT!$C$23)-1</f>
        <v>1.7541427690118239E-2</v>
      </c>
      <c r="P298" s="45">
        <f>(SKT!$E$23/SKT!$D$23)-1</f>
        <v>2.1395525623378209E-2</v>
      </c>
      <c r="Q298" s="45">
        <f>(SKT!$F$23/SKT!$E$23)-1</f>
        <v>2.1529674779667385E-2</v>
      </c>
      <c r="R298" s="45">
        <f>(SKT!$G$23/SKT!$F$23)-1</f>
        <v>2.2069810510342291E-2</v>
      </c>
      <c r="S298" s="45">
        <f>SKT!$H$23</f>
        <v>2.1664962076225036E-2</v>
      </c>
      <c r="T298" s="46"/>
      <c r="U298" s="48" t="str">
        <f t="shared" si="45"/>
        <v>KRW 57,800</v>
      </c>
      <c r="V298" s="44" t="str">
        <f t="shared" si="45"/>
        <v>SK Telecom</v>
      </c>
      <c r="Z298" s="46"/>
    </row>
    <row r="299" spans="1:26">
      <c r="A299" s="5"/>
      <c r="C299" s="48" t="str">
        <f t="shared" si="44"/>
        <v>Taiwan Mobile</v>
      </c>
      <c r="D299" s="44" t="str">
        <f t="shared" si="44"/>
        <v>TWD 115.0</v>
      </c>
      <c r="E299" s="44" t="str">
        <f t="shared" si="44"/>
        <v>TWD n/r</v>
      </c>
      <c r="F299" s="45" t="str">
        <f t="shared" si="44"/>
        <v>-</v>
      </c>
      <c r="G299" s="44" t="str">
        <f t="shared" si="44"/>
        <v>n/r</v>
      </c>
      <c r="H299" s="46"/>
      <c r="I299" s="47">
        <f>TAIWAN!$D$42</f>
        <v>10.09782620603993</v>
      </c>
      <c r="J299" s="47">
        <f>TAIWAN!$E$42</f>
        <v>10.414452990071554</v>
      </c>
      <c r="K299" s="47">
        <f>TAIWAN!$F$42</f>
        <v>10.033973831276823</v>
      </c>
      <c r="L299" s="47">
        <f>TAIWAN!$G$42</f>
        <v>9.3981693262619235</v>
      </c>
      <c r="M299" s="45">
        <f>TAIWAN!$H$42</f>
        <v>-4.3611572895530193E-2</v>
      </c>
      <c r="N299" s="46"/>
      <c r="O299" s="45">
        <f>(TAIWAN!$D$23/TAIWAN!$C$23)-1</f>
        <v>2.517229459719017E-2</v>
      </c>
      <c r="P299" s="45">
        <f>(TAIWAN!$E$23/TAIWAN!$D$23)-1</f>
        <v>2.9937533079832601E-2</v>
      </c>
      <c r="Q299" s="45">
        <f>(TAIWAN!$F$23/TAIWAN!$E$23)-1</f>
        <v>3.3416522552040195E-2</v>
      </c>
      <c r="R299" s="45">
        <f>(TAIWAN!$G$23/TAIWAN!$F$23)-1</f>
        <v>3.3839718524802276E-2</v>
      </c>
      <c r="S299" s="45">
        <f>TAIWAN!$H$23</f>
        <v>3.2396443240543915E-2</v>
      </c>
      <c r="T299" s="46"/>
      <c r="U299" s="48" t="str">
        <f t="shared" si="45"/>
        <v>TWD 115.0</v>
      </c>
      <c r="V299" s="44" t="str">
        <f t="shared" si="45"/>
        <v>Taiwan Mobile</v>
      </c>
      <c r="Z299" s="46"/>
    </row>
    <row r="300" spans="1:26" s="5" customFormat="1">
      <c r="B300" s="42"/>
      <c r="C300" s="48" t="str">
        <f t="shared" si="44"/>
        <v>True Corp</v>
      </c>
      <c r="D300" s="44" t="str">
        <f t="shared" si="44"/>
        <v>THB 10.7</v>
      </c>
      <c r="E300" s="44" t="str">
        <f t="shared" si="44"/>
        <v>THB 15.0</v>
      </c>
      <c r="F300" s="45">
        <f t="shared" si="44"/>
        <v>0.40186915887850483</v>
      </c>
      <c r="G300" s="44" t="str">
        <f t="shared" si="44"/>
        <v>Buy</v>
      </c>
      <c r="H300" s="46"/>
      <c r="I300" s="47">
        <f>TRUECORP!$D$42</f>
        <v>3.882352977032089</v>
      </c>
      <c r="J300" s="47">
        <f>TRUECORP!$E$42</f>
        <v>4.288696553415928</v>
      </c>
      <c r="K300" s="47">
        <f>TRUECORP!$F$42</f>
        <v>4.615082489596344</v>
      </c>
      <c r="L300" s="47">
        <f>TRUECORP!$G$42</f>
        <v>4.7215154584075147</v>
      </c>
      <c r="M300" s="45">
        <f>TRUECORP!$H$42</f>
        <v>-0.11214578817069887</v>
      </c>
      <c r="N300" s="46"/>
      <c r="O300" s="45">
        <f>(TRUECORP!$D$23/TRUECORP!$C$23)-1</f>
        <v>0.50179158399715718</v>
      </c>
      <c r="P300" s="45">
        <f>(TRUECORP!$E$23/TRUECORP!$D$23)-1</f>
        <v>3.5016365089349133E-2</v>
      </c>
      <c r="Q300" s="45">
        <f>(TRUECORP!$F$23/TRUECORP!$E$23)-1</f>
        <v>3.4500952097663351E-2</v>
      </c>
      <c r="R300" s="45">
        <f>(TRUECORP!$G$23/TRUECORP!$F$23)-1</f>
        <v>3.474515317017568E-2</v>
      </c>
      <c r="S300" s="45">
        <f>TRUECORP!$H$23</f>
        <v>3.4754135372314421E-2</v>
      </c>
      <c r="T300" s="46"/>
      <c r="U300" s="48" t="str">
        <f t="shared" si="45"/>
        <v>THB 10.7</v>
      </c>
      <c r="V300" s="44" t="str">
        <f t="shared" si="45"/>
        <v>True Corp</v>
      </c>
      <c r="Z300" s="46"/>
    </row>
    <row r="301" spans="1:26" s="5" customFormat="1">
      <c r="B301" s="42"/>
      <c r="C301" s="48" t="str">
        <f t="shared" si="44"/>
        <v>XL Axiata</v>
      </c>
      <c r="D301" s="44" t="str">
        <f t="shared" si="44"/>
        <v>IDR 2,330</v>
      </c>
      <c r="E301" s="44" t="str">
        <f t="shared" si="44"/>
        <v>IDR 5,000</v>
      </c>
      <c r="F301" s="45">
        <f t="shared" si="44"/>
        <v>1.1459227467811157</v>
      </c>
      <c r="G301" s="44" t="str">
        <f t="shared" si="44"/>
        <v>Buy</v>
      </c>
      <c r="H301" s="46"/>
      <c r="I301" s="47">
        <f>XLAX!$D$42</f>
        <v>1.182355825010259</v>
      </c>
      <c r="J301" s="47">
        <f>XLAX!$E$42</f>
        <v>1.1698513994540012</v>
      </c>
      <c r="K301" s="47">
        <f>XLAX!$F$42</f>
        <v>1.135368723578263</v>
      </c>
      <c r="L301" s="47">
        <f>XLAX!$G$42</f>
        <v>1.0846982819870776</v>
      </c>
      <c r="M301" s="45">
        <f>XLAX!$H$42</f>
        <v>-7.3874641728225221E-2</v>
      </c>
      <c r="N301" s="56"/>
      <c r="O301" s="45">
        <f>(XLAX!$D$23/XLAX!$C$23)-1</f>
        <v>0.10914342374787411</v>
      </c>
      <c r="P301" s="45">
        <f>(XLAX!$E$23/XLAX!$D$23)-1</f>
        <v>7.7623018353116358E-2</v>
      </c>
      <c r="Q301" s="45">
        <f>(XLAX!$F$23/XLAX!$E$23)-1</f>
        <v>4.8625869824375778E-2</v>
      </c>
      <c r="R301" s="45">
        <f>(XLAX!$G$23/XLAX!$F$23)-1</f>
        <v>4.7425343562232714E-2</v>
      </c>
      <c r="S301" s="45">
        <f>XLAX!$H$23</f>
        <v>5.7799851407760672E-2</v>
      </c>
      <c r="T301" s="46"/>
      <c r="U301" s="48" t="str">
        <f t="shared" si="45"/>
        <v>IDR 2,330</v>
      </c>
      <c r="V301" s="44" t="str">
        <f t="shared" si="45"/>
        <v>XL Axiata</v>
      </c>
      <c r="Z301" s="46"/>
    </row>
    <row r="302" spans="1:26" s="5" customFormat="1">
      <c r="B302" s="42"/>
      <c r="C302" s="51" t="str">
        <f>C240</f>
        <v>Agg. Emerging Asia Cellular</v>
      </c>
      <c r="D302" s="52"/>
      <c r="E302" s="52"/>
      <c r="F302" s="53"/>
      <c r="G302" s="52"/>
      <c r="H302" s="46"/>
      <c r="I302" s="54">
        <f>'EM ASIA CELLULAR'!$D$42</f>
        <v>2.6372229726335932</v>
      </c>
      <c r="J302" s="54">
        <f>'EM ASIA CELLULAR'!$E$42</f>
        <v>2.5669592844922602</v>
      </c>
      <c r="K302" s="54">
        <f>'EM ASIA CELLULAR'!$F$42</f>
        <v>2.3568640321082914</v>
      </c>
      <c r="L302" s="54">
        <f>'EM ASIA CELLULAR'!$G$42</f>
        <v>2.1486020726478685</v>
      </c>
      <c r="M302" s="55">
        <f>'EM ASIA CELLULAR'!$H$42</f>
        <v>1.3589689287555551E-2</v>
      </c>
      <c r="N302" s="56"/>
      <c r="O302" s="55">
        <f>('EM ASIA CELLULAR'!$D$23/'EM ASIA CELLULAR'!$C$23)-1</f>
        <v>7.5645953284292133E-2</v>
      </c>
      <c r="P302" s="55">
        <f>('EM ASIA CELLULAR'!$E$23/'EM ASIA CELLULAR'!$D$23)-1</f>
        <v>4.3100020762651514E-2</v>
      </c>
      <c r="Q302" s="55">
        <f>('EM ASIA CELLULAR'!$F$23/'EM ASIA CELLULAR'!$E$23)-1</f>
        <v>4.9393797065935052E-2</v>
      </c>
      <c r="R302" s="55">
        <f>('EM ASIA CELLULAR'!$G$23/'EM ASIA CELLULAR'!$F$23)-1</f>
        <v>4.8281438974506097E-2</v>
      </c>
      <c r="S302" s="55">
        <f>'EM ASIA CELLULAR'!$H$23</f>
        <v>4.6921489371530178E-2</v>
      </c>
      <c r="T302" s="46"/>
      <c r="U302" s="57"/>
      <c r="V302" s="58" t="str">
        <f>V240</f>
        <v>Agg. Emerging Asia Cellular</v>
      </c>
      <c r="Z302" s="46"/>
    </row>
    <row r="303" spans="1:26" s="5" customFormat="1">
      <c r="B303" s="42"/>
      <c r="C303" s="43"/>
      <c r="D303" s="44"/>
      <c r="E303" s="44"/>
      <c r="F303" s="68"/>
      <c r="G303" s="44"/>
      <c r="H303" s="46"/>
      <c r="I303" s="62"/>
      <c r="J303" s="62"/>
      <c r="K303" s="62"/>
      <c r="L303" s="62"/>
      <c r="M303" s="61"/>
      <c r="N303" s="46"/>
      <c r="O303" s="61"/>
      <c r="P303" s="61"/>
      <c r="Q303" s="61"/>
      <c r="R303" s="61"/>
      <c r="S303" s="61"/>
      <c r="T303" s="46"/>
      <c r="U303" s="48"/>
      <c r="V303" s="50"/>
      <c r="Z303" s="46"/>
    </row>
    <row r="304" spans="1:26" s="5" customFormat="1">
      <c r="B304" s="42"/>
      <c r="C304" s="51" t="str">
        <f>C242</f>
        <v>Agg. Emerging  Cellular</v>
      </c>
      <c r="D304" s="52"/>
      <c r="E304" s="52"/>
      <c r="F304" s="53"/>
      <c r="G304" s="52"/>
      <c r="H304" s="46"/>
      <c r="I304" s="54">
        <f>'EM CELLULAR'!$D$42</f>
        <v>2.7624241253170956</v>
      </c>
      <c r="J304" s="54">
        <f>'EM CELLULAR'!$E$42</f>
        <v>2.6732057804679736</v>
      </c>
      <c r="K304" s="54">
        <f>'EM CELLULAR'!$F$42</f>
        <v>2.4753011765074051</v>
      </c>
      <c r="L304" s="54">
        <f>'EM CELLULAR'!$G$42</f>
        <v>2.2720312772237086</v>
      </c>
      <c r="M304" s="55">
        <f>'EM CELLULAR'!$H$42</f>
        <v>1.6075575533494924E-2</v>
      </c>
      <c r="N304" s="46"/>
      <c r="O304" s="55">
        <f>('EM CELLULAR'!$D$23/'EM CELLULAR'!$C$23)-1</f>
        <v>7.399271467841495E-2</v>
      </c>
      <c r="P304" s="55">
        <f>('EM CELLULAR'!$E$23/'EM CELLULAR'!$D$23)-1</f>
        <v>3.3508676376809543E-2</v>
      </c>
      <c r="Q304" s="55">
        <f>('EM CELLULAR'!$F$23/'EM CELLULAR'!$E$23)-1</f>
        <v>5.3504635579454618E-2</v>
      </c>
      <c r="R304" s="55">
        <f>('EM CELLULAR'!$G$23/'EM CELLULAR'!$F$23)-1</f>
        <v>5.2455282518305779E-2</v>
      </c>
      <c r="S304" s="55">
        <f>'EM CELLULAR'!$H$23</f>
        <v>4.6449022636606552E-2</v>
      </c>
      <c r="T304" s="46"/>
      <c r="U304" s="57"/>
      <c r="V304" s="58" t="str">
        <f>V242</f>
        <v>Agg. Emerging  Cellular</v>
      </c>
      <c r="Z304" s="46"/>
    </row>
    <row r="305" spans="1:69" s="5" customFormat="1">
      <c r="A305" s="39"/>
      <c r="B305" s="42"/>
      <c r="C305" s="43"/>
      <c r="D305" s="44"/>
      <c r="E305" s="44"/>
      <c r="F305" s="45"/>
      <c r="G305" s="44"/>
      <c r="H305" s="46"/>
      <c r="I305" s="47"/>
      <c r="J305" s="47"/>
      <c r="K305" s="47"/>
      <c r="L305" s="47"/>
      <c r="M305" s="45"/>
      <c r="N305" s="46"/>
      <c r="O305" s="45"/>
      <c r="P305" s="45"/>
      <c r="Q305" s="45"/>
      <c r="R305" s="45"/>
      <c r="S305" s="45"/>
      <c r="T305" s="46"/>
      <c r="U305" s="48"/>
      <c r="V305" s="50"/>
      <c r="Z305" s="46"/>
    </row>
    <row r="306" spans="1:69">
      <c r="A306" s="41" t="s">
        <v>503</v>
      </c>
      <c r="B306" s="42" t="s">
        <v>577</v>
      </c>
      <c r="C306" s="48" t="s">
        <v>811</v>
      </c>
      <c r="D306" s="44" t="str">
        <f>'EM Multiples'!B306&amp;TEXT(Prices!C$135,"0.00")</f>
        <v>MXN42.67</v>
      </c>
      <c r="E306" s="44" t="str">
        <f>'EM Multiples'!B306&amp;TEXT(Prices!E$135,"0.00")</f>
        <v>MXN55.00</v>
      </c>
      <c r="F306" s="45">
        <f>Prices!F$135</f>
        <v>0.28896179985938586</v>
      </c>
      <c r="G306" s="44" t="str">
        <f>Prices!D$135</f>
        <v>Buy</v>
      </c>
      <c r="H306" s="46"/>
      <c r="I306" s="47">
        <f>MEGA!$D$42</f>
        <v>1.2025684491413691</v>
      </c>
      <c r="J306" s="47">
        <f>MEGA!$E$42</f>
        <v>1.123499999365811</v>
      </c>
      <c r="K306" s="47">
        <f>MEGA!$F$42</f>
        <v>1.050825359356689</v>
      </c>
      <c r="L306" s="47">
        <f>MEGA!$G$42</f>
        <v>0.96663295501705693</v>
      </c>
      <c r="M306" s="45">
        <f>MEGA!$H$42</f>
        <v>5.3946028302531701E-2</v>
      </c>
      <c r="N306" s="46"/>
      <c r="O306" s="45">
        <f>(MEGA!$D$23/MEGA!$C$23)-1</f>
        <v>9.5249224505013608E-2</v>
      </c>
      <c r="P306" s="45">
        <f>(MEGA!$E$23/MEGA!$D$23)-1</f>
        <v>0.1059238056627716</v>
      </c>
      <c r="Q306" s="45">
        <f>(MEGA!$F$23/MEGA!$E$23)-1</f>
        <v>8.1074869452573584E-2</v>
      </c>
      <c r="R306" s="45">
        <f>(MEGA!$G$23/MEGA!$F$23)-1</f>
        <v>7.4684729513550874E-2</v>
      </c>
      <c r="S306" s="45">
        <f>MEGA!$H$23</f>
        <v>8.7144697988267739E-2</v>
      </c>
      <c r="T306" s="46"/>
      <c r="U306" s="48" t="str">
        <f>D306</f>
        <v>MXN42.67</v>
      </c>
      <c r="V306" s="44" t="str">
        <f>C306</f>
        <v>Megacable</v>
      </c>
      <c r="Z306" s="46"/>
      <c r="AE306" s="41"/>
    </row>
    <row r="307" spans="1:69">
      <c r="A307" s="5"/>
      <c r="B307" s="42" t="s">
        <v>406</v>
      </c>
      <c r="C307" s="48" t="s">
        <v>797</v>
      </c>
      <c r="D307" s="44" t="str">
        <f>'EM Multiples'!B307&amp;TEXT(Prices!C$138,"0.00")</f>
        <v>USD9.48</v>
      </c>
      <c r="E307" s="44" t="str">
        <f>'EM Multiples'!B307&amp;TEXT(Prices!E$138,"0.00")</f>
        <v>USD14.00</v>
      </c>
      <c r="F307" s="45">
        <f>Prices!F$138</f>
        <v>0.47679324894514763</v>
      </c>
      <c r="G307" s="44" t="str">
        <f>Prices!D$138</f>
        <v>Buy</v>
      </c>
      <c r="H307" s="46"/>
      <c r="I307" s="47">
        <f>LiLAC!$D$42</f>
        <v>3.5709110303456297</v>
      </c>
      <c r="J307" s="47">
        <f>LiLAC!$E$42</f>
        <v>3.1557320778028681</v>
      </c>
      <c r="K307" s="47">
        <f>LiLAC!$F$42</f>
        <v>3.4437799351357503</v>
      </c>
      <c r="L307" s="47">
        <f>LiLAC!$G$42</f>
        <v>3.1391082987343557</v>
      </c>
      <c r="M307" s="45">
        <f>LiLAC!$H$42</f>
        <v>7.5472661546031272E-2</v>
      </c>
      <c r="N307" s="46"/>
      <c r="O307" s="45">
        <f>(LiLAC!$D$23/LiLAC!$C$23)-1</f>
        <v>-4.6304135085881715E-2</v>
      </c>
      <c r="P307" s="45">
        <f>(LiLAC!$E$23/LiLAC!$D$23)-1</f>
        <v>1.7650462193364191E-2</v>
      </c>
      <c r="Q307" s="45">
        <f>(LiLAC!$F$23/LiLAC!$E$23)-1</f>
        <v>1.9573940801440592E-2</v>
      </c>
      <c r="R307" s="45">
        <f>(LiLAC!$G$23/LiLAC!$F$23)-1</f>
        <v>-1.5247089013729176E-2</v>
      </c>
      <c r="S307" s="45">
        <f>LiLAC!$H$23</f>
        <v>7.1980542314982188E-3</v>
      </c>
      <c r="T307" s="46"/>
      <c r="U307" s="48" t="str">
        <f>D307</f>
        <v>USD9.48</v>
      </c>
      <c r="V307" s="44" t="str">
        <f>C307</f>
        <v>LiLAC</v>
      </c>
      <c r="Z307" s="46"/>
      <c r="AE307" s="41"/>
    </row>
    <row r="308" spans="1:69">
      <c r="A308" s="5"/>
      <c r="C308" s="67" t="s">
        <v>814</v>
      </c>
      <c r="D308" s="52"/>
      <c r="E308" s="52"/>
      <c r="F308" s="53"/>
      <c r="G308" s="52"/>
      <c r="H308" s="46"/>
      <c r="I308" s="54">
        <f>'LATAM ALTNET &amp; CABLE'!$D$42</f>
        <v>2.3774967737691939</v>
      </c>
      <c r="J308" s="54">
        <f>'LATAM ALTNET &amp; CABLE'!$E$42</f>
        <v>2.1276647884375359</v>
      </c>
      <c r="K308" s="54">
        <f>'LATAM ALTNET &amp; CABLE'!$F$42</f>
        <v>2.2439216252801724</v>
      </c>
      <c r="L308" s="54">
        <f>'LATAM ALTNET &amp; CABLE'!$G$42</f>
        <v>2.0773317386242183</v>
      </c>
      <c r="M308" s="55">
        <f>'LATAM ALTNET &amp; CABLE'!$H$42</f>
        <v>6.4734137256737601E-2</v>
      </c>
      <c r="N308" s="46"/>
      <c r="O308" s="55">
        <f>('LATAM ALTNET &amp; CABLE'!$D$23/'LATAM ALTNET &amp; CABLE'!$C$23)-1</f>
        <v>-1.502625143854297E-2</v>
      </c>
      <c r="P308" s="55">
        <f>('LATAM ALTNET &amp; CABLE'!$E$23/'LATAM ALTNET &amp; CABLE'!$D$23)-1</f>
        <v>3.93392386892224E-2</v>
      </c>
      <c r="Q308" s="55">
        <f>('LATAM ALTNET &amp; CABLE'!$F$23/'LATAM ALTNET &amp; CABLE'!$E$23)-1</f>
        <v>3.5652792643135145E-2</v>
      </c>
      <c r="R308" s="55">
        <f>('LATAM ALTNET &amp; CABLE'!$G$23/'LATAM ALTNET &amp; CABLE'!$F$23)-1</f>
        <v>9.2959493711211039E-3</v>
      </c>
      <c r="S308" s="55">
        <f>'LATAM ALTNET &amp; CABLE'!$H$23</f>
        <v>2.8008435151252398E-2</v>
      </c>
      <c r="T308" s="46"/>
      <c r="U308" s="57"/>
      <c r="V308" s="58" t="str">
        <f>C308</f>
        <v>Agg. Emerging LatAm Altnets &amp; Cable</v>
      </c>
      <c r="Z308" s="46"/>
      <c r="AE308" s="41"/>
    </row>
    <row r="309" spans="1:69" s="5" customFormat="1">
      <c r="A309" s="39"/>
      <c r="B309" s="42"/>
      <c r="C309" s="43"/>
      <c r="D309" s="44"/>
      <c r="E309" s="44"/>
      <c r="F309" s="45"/>
      <c r="G309" s="44"/>
      <c r="H309" s="46"/>
      <c r="I309" s="47"/>
      <c r="J309" s="47"/>
      <c r="K309" s="47"/>
      <c r="L309" s="47"/>
      <c r="M309" s="45"/>
      <c r="N309" s="46"/>
      <c r="O309" s="45"/>
      <c r="P309" s="45"/>
      <c r="Q309" s="45"/>
      <c r="R309" s="45"/>
      <c r="S309" s="45"/>
      <c r="T309" s="46"/>
      <c r="U309" s="48"/>
      <c r="V309" s="50"/>
      <c r="Z309" s="46"/>
    </row>
    <row r="310" spans="1:69" s="5" customFormat="1">
      <c r="A310" s="39"/>
      <c r="B310" s="42"/>
      <c r="C310" s="67" t="str">
        <f>C248</f>
        <v>Agg. EMEA sector</v>
      </c>
      <c r="D310" s="52"/>
      <c r="E310" s="52"/>
      <c r="F310" s="53"/>
      <c r="G310" s="52"/>
      <c r="H310" s="46"/>
      <c r="I310" s="54">
        <f>'EMEA AGG'!$D$42</f>
        <v>4.3413789771684126</v>
      </c>
      <c r="J310" s="54">
        <f>'EMEA AGG'!$E$42</f>
        <v>4.0281467755042364</v>
      </c>
      <c r="K310" s="54">
        <f>'EMEA AGG'!$F$42</f>
        <v>3.8434960476953877</v>
      </c>
      <c r="L310" s="54">
        <f>'EMEA AGG'!$G$42</f>
        <v>3.6036087488736332</v>
      </c>
      <c r="M310" s="55">
        <f>'EMEA AGG'!$H$42</f>
        <v>3.8445957538745912E-2</v>
      </c>
      <c r="N310" s="56"/>
      <c r="O310" s="55">
        <f>('EMEA AGG'!$D$23/'EMEA AGG'!$C$23)-1</f>
        <v>6.8510990034892361E-2</v>
      </c>
      <c r="P310" s="55">
        <f>('EMEA AGG'!$E$23/'EMEA AGG'!$D$23)-1</f>
        <v>-2.1954525608277264E-2</v>
      </c>
      <c r="Q310" s="55">
        <f>('EMEA AGG'!$F$23/'EMEA AGG'!$E$23)-1</f>
        <v>8.1536559240778628E-2</v>
      </c>
      <c r="R310" s="55">
        <f>('EMEA AGG'!$G$23/'EMEA AGG'!$F$23)-1</f>
        <v>8.0725879021737112E-2</v>
      </c>
      <c r="S310" s="55">
        <f>'EMEA AGG'!$H$23</f>
        <v>4.5615312204706271E-2</v>
      </c>
      <c r="T310" s="46"/>
      <c r="U310" s="57"/>
      <c r="V310" s="58" t="str">
        <f>V248</f>
        <v>Agg. EMEA sector</v>
      </c>
      <c r="Z310" s="46"/>
    </row>
    <row r="311" spans="1:69">
      <c r="C311" s="41" t="str">
        <f>C249</f>
        <v>Agg. LatAm sector</v>
      </c>
      <c r="D311" s="44"/>
      <c r="E311" s="44"/>
      <c r="F311" s="45"/>
      <c r="G311" s="44"/>
      <c r="H311" s="46"/>
      <c r="I311" s="60">
        <f>'LATAM AGG'!$D$42</f>
        <v>2.0797731055540019</v>
      </c>
      <c r="J311" s="60">
        <f>'LATAM AGG'!$E$42</f>
        <v>2.0195658177087492</v>
      </c>
      <c r="K311" s="60">
        <f>'LATAM AGG'!$F$42</f>
        <v>1.9535875036639896</v>
      </c>
      <c r="L311" s="60">
        <f>'LATAM AGG'!$G$42</f>
        <v>1.8558856953589817</v>
      </c>
      <c r="M311" s="59">
        <f>'LATAM AGG'!$H$42</f>
        <v>-1.1373040173887738E-2</v>
      </c>
      <c r="N311" s="56"/>
      <c r="O311" s="59">
        <f>('LATAM AGG'!$D$23/'LATAM AGG'!$C$23)-1</f>
        <v>7.1450175429188079E-2</v>
      </c>
      <c r="P311" s="59">
        <f>('LATAM AGG'!$E$23/'LATAM AGG'!$D$23)-1</f>
        <v>4.0524544831483267E-2</v>
      </c>
      <c r="Q311" s="59">
        <f>('LATAM AGG'!$F$23/'LATAM AGG'!$E$23)-1</f>
        <v>3.0371200975460422E-2</v>
      </c>
      <c r="R311" s="59">
        <f>('LATAM AGG'!$G$23/'LATAM AGG'!$F$23)-1</f>
        <v>2.5975053490388866E-2</v>
      </c>
      <c r="S311" s="59">
        <f>'LATAM AGG'!$H$23</f>
        <v>3.2272316594768702E-2</v>
      </c>
      <c r="T311" s="46"/>
      <c r="U311" s="48"/>
      <c r="V311" s="50" t="str">
        <f>V249</f>
        <v>Agg. LatAm sector</v>
      </c>
      <c r="Z311" s="46"/>
      <c r="AG311" s="175"/>
    </row>
    <row r="312" spans="1:69" s="5" customFormat="1">
      <c r="A312" s="39"/>
      <c r="B312" s="42"/>
      <c r="C312" s="67" t="str">
        <f>C250</f>
        <v>Agg. Emerging Asia sector</v>
      </c>
      <c r="D312" s="52"/>
      <c r="E312" s="52"/>
      <c r="F312" s="53"/>
      <c r="G312" s="52"/>
      <c r="H312" s="46"/>
      <c r="I312" s="54">
        <f>'AGG EM ASIA'!$D$42</f>
        <v>1.8776561062009349</v>
      </c>
      <c r="J312" s="54">
        <f>'AGG EM ASIA'!$E$42</f>
        <v>1.8445344677768414</v>
      </c>
      <c r="K312" s="54">
        <f>'AGG EM ASIA'!$F$42</f>
        <v>1.7182082792640099</v>
      </c>
      <c r="L312" s="54">
        <f>'AGG EM ASIA'!$G$42</f>
        <v>1.6258849381854623</v>
      </c>
      <c r="M312" s="55">
        <f>'AGG EM ASIA'!$H$42</f>
        <v>-1.1707861979180167E-2</v>
      </c>
      <c r="N312" s="56"/>
      <c r="O312" s="55">
        <f>('AGG EM ASIA'!$D$23/'AGG EM ASIA'!$C$23)-1</f>
        <v>6.508219338852772E-2</v>
      </c>
      <c r="P312" s="55">
        <f>('AGG EM ASIA'!$E$23/'AGG EM ASIA'!$D$23)-1</f>
        <v>3.9576504867843365E-2</v>
      </c>
      <c r="Q312" s="55">
        <f>('AGG EM ASIA'!$F$23/'AGG EM ASIA'!$E$23)-1</f>
        <v>4.8663472997464874E-2</v>
      </c>
      <c r="R312" s="55">
        <f>('AGG EM ASIA'!$G$23/'AGG EM ASIA'!$F$23)-1</f>
        <v>4.368947195402062E-2</v>
      </c>
      <c r="S312" s="55">
        <f>'AGG EM ASIA'!$H$23</f>
        <v>4.3969874091504657E-2</v>
      </c>
      <c r="T312" s="46"/>
      <c r="U312" s="57"/>
      <c r="V312" s="58" t="str">
        <f>V250</f>
        <v>Agg. Emerging Asia sector</v>
      </c>
      <c r="Z312" s="46"/>
      <c r="AG312" s="175"/>
    </row>
    <row r="313" spans="1:69">
      <c r="C313" s="41"/>
      <c r="D313" s="44"/>
      <c r="E313" s="44"/>
      <c r="F313" s="45"/>
      <c r="G313" s="44"/>
      <c r="H313" s="46"/>
      <c r="I313" s="60"/>
      <c r="J313" s="60"/>
      <c r="K313" s="60"/>
      <c r="L313" s="60"/>
      <c r="M313" s="59"/>
      <c r="N313" s="56"/>
      <c r="O313" s="59"/>
      <c r="P313" s="59"/>
      <c r="Q313" s="59"/>
      <c r="R313" s="59"/>
      <c r="S313" s="59"/>
      <c r="T313" s="46"/>
      <c r="U313" s="48"/>
      <c r="V313" s="50"/>
      <c r="Z313" s="46"/>
      <c r="AG313" s="175"/>
    </row>
    <row r="314" spans="1:69">
      <c r="C314" s="67" t="str">
        <f>C252</f>
        <v>Agg. Global EM sector (ex-consensus)</v>
      </c>
      <c r="D314" s="52"/>
      <c r="E314" s="52"/>
      <c r="F314" s="53"/>
      <c r="G314" s="52"/>
      <c r="H314" s="46"/>
      <c r="I314" s="54">
        <f>'AGG EM'!$D$42</f>
        <v>2.0711803682152934</v>
      </c>
      <c r="J314" s="54">
        <f>'AGG EM'!$E$42</f>
        <v>2.0248906449245871</v>
      </c>
      <c r="K314" s="54">
        <f>'AGG EM'!$F$42</f>
        <v>1.9071372802806041</v>
      </c>
      <c r="L314" s="54">
        <f>'AGG EM'!$G$42</f>
        <v>1.8113330320796608</v>
      </c>
      <c r="M314" s="55">
        <f>'AGG EM'!$H$42</f>
        <v>-8.2588640298681959E-3</v>
      </c>
      <c r="N314" s="56"/>
      <c r="O314" s="55">
        <f>('AGG EM'!$D$23/'AGG EM'!$C$23)-1</f>
        <v>6.6373158698640466E-2</v>
      </c>
      <c r="P314" s="55">
        <f>('AGG EM'!$E$23/'AGG EM'!$D$23)-1</f>
        <v>3.4841376765523124E-2</v>
      </c>
      <c r="Q314" s="55">
        <f>('AGG EM'!$F$23/'AGG EM'!$E$23)-1</f>
        <v>4.8173715678289097E-2</v>
      </c>
      <c r="R314" s="55">
        <f>('AGG EM'!$G$23/'AGG EM'!$F$23)-1</f>
        <v>4.3742847122358652E-2</v>
      </c>
      <c r="S314" s="55">
        <f>'AGG EM'!$H$23</f>
        <v>4.2237881472639405E-2</v>
      </c>
      <c r="T314" s="46"/>
      <c r="U314" s="57"/>
      <c r="V314" s="58" t="str">
        <f>V252</f>
        <v>Agg. Global EM sector (ex-consensus)</v>
      </c>
      <c r="Z314" s="46"/>
      <c r="AG314" s="175"/>
    </row>
    <row r="315" spans="1:69" s="5" customFormat="1">
      <c r="A315" s="39"/>
      <c r="B315" s="42"/>
      <c r="C315" s="39"/>
      <c r="D315" s="39"/>
      <c r="H315" s="39"/>
      <c r="I315" s="39"/>
      <c r="J315" s="39"/>
      <c r="K315" s="39"/>
      <c r="L315" s="39"/>
      <c r="M315" s="69"/>
      <c r="N315" s="39"/>
      <c r="O315" s="171"/>
      <c r="P315" s="171"/>
      <c r="Q315" s="171"/>
      <c r="R315" s="171"/>
      <c r="S315" s="69"/>
      <c r="T315" s="46"/>
      <c r="V315" s="63"/>
      <c r="Z315" s="46"/>
    </row>
    <row r="316" spans="1:69" s="5" customFormat="1">
      <c r="A316" s="39"/>
      <c r="B316" s="42"/>
      <c r="C316" s="39"/>
      <c r="D316" s="39"/>
      <c r="H316" s="39"/>
      <c r="I316" s="39"/>
      <c r="J316" s="39"/>
      <c r="K316" s="39"/>
      <c r="L316" s="39"/>
      <c r="M316" s="69"/>
      <c r="N316" s="39"/>
      <c r="O316" s="171"/>
      <c r="P316" s="171"/>
      <c r="Q316" s="171"/>
      <c r="R316" s="171"/>
      <c r="S316" s="69"/>
      <c r="T316" s="46"/>
      <c r="V316" s="63"/>
      <c r="Z316" s="46"/>
    </row>
    <row r="317" spans="1:69" s="41" customFormat="1">
      <c r="B317" s="147"/>
      <c r="C317" s="164"/>
      <c r="D317" s="165" t="s">
        <v>459</v>
      </c>
      <c r="E317" s="165" t="s">
        <v>56</v>
      </c>
      <c r="F317" s="165" t="s">
        <v>58</v>
      </c>
      <c r="G317" s="165" t="s">
        <v>55</v>
      </c>
      <c r="H317" s="134"/>
      <c r="I317" s="166" t="s">
        <v>465</v>
      </c>
      <c r="J317" s="166"/>
      <c r="K317" s="166"/>
      <c r="L317" s="166"/>
      <c r="M317" s="166"/>
      <c r="N317" s="46"/>
      <c r="O317" s="166" t="s">
        <v>466</v>
      </c>
      <c r="P317" s="166"/>
      <c r="Q317" s="166"/>
      <c r="R317" s="166"/>
      <c r="S317" s="166"/>
      <c r="T317" s="46"/>
      <c r="U317" s="167" t="s">
        <v>459</v>
      </c>
      <c r="V317" s="165"/>
      <c r="Z317" s="49"/>
      <c r="AC317" s="135"/>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BC317" s="137"/>
      <c r="BD317" s="137"/>
      <c r="BE317" s="137"/>
      <c r="BG317" s="137"/>
      <c r="BH317" s="137"/>
      <c r="BI317" s="137"/>
      <c r="BK317" s="137"/>
      <c r="BL317" s="137"/>
      <c r="BM317" s="137"/>
      <c r="BO317" s="137"/>
      <c r="BP317" s="137"/>
      <c r="BQ317" s="137"/>
    </row>
    <row r="318" spans="1:69" s="5" customFormat="1">
      <c r="A318" s="41" t="s">
        <v>501</v>
      </c>
      <c r="B318" s="42"/>
      <c r="C318" s="48" t="str">
        <f>C256</f>
        <v>Telkom SA</v>
      </c>
      <c r="D318" s="44" t="str">
        <f>D256</f>
        <v>ZAR 27.6</v>
      </c>
      <c r="E318" s="44" t="str">
        <f>E256</f>
        <v>ZAR 56.0</v>
      </c>
      <c r="F318" s="45">
        <f>F256</f>
        <v>1.0326678765880217</v>
      </c>
      <c r="G318" s="44" t="str">
        <f>G256</f>
        <v>Neutral</v>
      </c>
      <c r="H318" s="134"/>
      <c r="I318" s="45">
        <f>(TKG!$D$24/TKG!$C$24)-1</f>
        <v>-1.1482679292367459E-2</v>
      </c>
      <c r="J318" s="45">
        <f>(TKG!$E$24/TKG!$D$24)-1</f>
        <v>-8.120915641855464E-3</v>
      </c>
      <c r="K318" s="45">
        <f>(TKG!$F$24/TKG!$E$24)-1</f>
        <v>7.536087424774518E-3</v>
      </c>
      <c r="L318" s="45">
        <f>(TKG!$G$24/TKG!$F$24)-1</f>
        <v>2.094605673730876E-2</v>
      </c>
      <c r="M318" s="45">
        <f>TKG!$H$24</f>
        <v>6.71694721895566E-3</v>
      </c>
      <c r="N318" s="46"/>
      <c r="O318" s="45">
        <f>(TKG!$D$25/TKG!$C$25)-1</f>
        <v>3.4794739188994672E-3</v>
      </c>
      <c r="P318" s="45">
        <f>(TKG!$E$25/TKG!$D$25)-1</f>
        <v>9.3548196734949407E-3</v>
      </c>
      <c r="Q318" s="45">
        <f>(TKG!$F$25/TKG!$E$25)-1</f>
        <v>-1.1418127446912951E-2</v>
      </c>
      <c r="R318" s="45">
        <f>(TKG!$G$25/TKG!$F$25)-1</f>
        <v>2.0946056737308982E-2</v>
      </c>
      <c r="S318" s="45">
        <f>TKG!$H$25</f>
        <v>6.2049124089686991E-3</v>
      </c>
      <c r="T318" s="46"/>
      <c r="U318" s="48" t="str">
        <f>U256</f>
        <v>ZAR 27.6</v>
      </c>
      <c r="V318" s="44" t="str">
        <f>V256</f>
        <v>Telkom SA</v>
      </c>
      <c r="Z318" s="46"/>
      <c r="AE318" s="41"/>
      <c r="AF318" s="31"/>
      <c r="AG318" s="31"/>
      <c r="AI318" s="41"/>
      <c r="AJ318" s="64"/>
      <c r="AK318" s="64"/>
      <c r="AM318" s="41"/>
      <c r="AN318" s="64"/>
      <c r="AO318" s="64"/>
      <c r="AQ318" s="41"/>
      <c r="AR318" s="64"/>
      <c r="AS318" s="64"/>
    </row>
    <row r="319" spans="1:69" s="5" customFormat="1">
      <c r="B319" s="42"/>
      <c r="C319" s="51" t="str">
        <f>C257</f>
        <v>Agg. EMEA Incumbent</v>
      </c>
      <c r="D319" s="58"/>
      <c r="E319" s="58"/>
      <c r="F319" s="55"/>
      <c r="G319" s="58"/>
      <c r="H319" s="134"/>
      <c r="I319" s="55"/>
      <c r="J319" s="55"/>
      <c r="K319" s="55"/>
      <c r="L319" s="55"/>
      <c r="M319" s="55"/>
      <c r="N319" s="56"/>
      <c r="O319" s="55"/>
      <c r="P319" s="55"/>
      <c r="Q319" s="55"/>
      <c r="R319" s="55"/>
      <c r="S319" s="55"/>
      <c r="T319" s="56"/>
      <c r="U319" s="51"/>
      <c r="V319" s="58" t="str">
        <f>V257</f>
        <v>Agg. EMEA Incumbent</v>
      </c>
      <c r="Z319" s="46"/>
      <c r="AE319" s="41"/>
      <c r="AF319" s="31"/>
      <c r="AG319" s="31"/>
      <c r="AI319" s="41"/>
      <c r="AJ319" s="64"/>
      <c r="AK319" s="64"/>
      <c r="AM319" s="41"/>
      <c r="AN319" s="64"/>
      <c r="AO319" s="64"/>
      <c r="AQ319" s="41"/>
      <c r="AR319" s="64"/>
      <c r="AS319" s="64"/>
    </row>
    <row r="320" spans="1:69" s="5" customFormat="1">
      <c r="B320" s="42"/>
      <c r="C320" s="48"/>
      <c r="D320" s="44"/>
      <c r="E320" s="44"/>
      <c r="F320" s="68"/>
      <c r="G320" s="44"/>
      <c r="H320" s="134"/>
      <c r="I320" s="61"/>
      <c r="J320" s="61"/>
      <c r="K320" s="61"/>
      <c r="L320" s="61"/>
      <c r="M320" s="61"/>
      <c r="N320" s="46"/>
      <c r="O320" s="61"/>
      <c r="P320" s="61"/>
      <c r="Q320" s="61"/>
      <c r="R320" s="61"/>
      <c r="S320" s="61"/>
      <c r="T320" s="46"/>
      <c r="U320" s="48"/>
      <c r="V320" s="44"/>
      <c r="Z320" s="46"/>
      <c r="AE320" s="41"/>
      <c r="AF320" s="31"/>
      <c r="AG320" s="31"/>
      <c r="AI320" s="41"/>
      <c r="AJ320" s="64"/>
      <c r="AK320" s="64"/>
      <c r="AM320" s="41"/>
      <c r="AN320" s="64"/>
      <c r="AO320" s="64"/>
      <c r="AQ320" s="41"/>
      <c r="AR320" s="64"/>
      <c r="AS320" s="64"/>
    </row>
    <row r="321" spans="1:45" s="5" customFormat="1">
      <c r="B321" s="42"/>
      <c r="C321" s="48" t="str">
        <f t="shared" ref="C321:G323" si="46">C259</f>
        <v>America Movil</v>
      </c>
      <c r="D321" s="44" t="str">
        <f t="shared" si="46"/>
        <v>USD 16.3</v>
      </c>
      <c r="E321" s="44" t="str">
        <f t="shared" si="46"/>
        <v>USD 24.0</v>
      </c>
      <c r="F321" s="45">
        <f t="shared" si="46"/>
        <v>0.4714898835070509</v>
      </c>
      <c r="G321" s="44" t="str">
        <f t="shared" si="46"/>
        <v>Buy</v>
      </c>
      <c r="H321" s="46"/>
      <c r="I321" s="45">
        <f>(AMX!$D$24/AMX!$C$24)-1</f>
        <v>0.1222017710517096</v>
      </c>
      <c r="J321" s="45">
        <f>(AMX!$E$24/AMX!$D$24)-1</f>
        <v>6.4172601283289943E-2</v>
      </c>
      <c r="K321" s="45">
        <f>(AMX!$F$24/AMX!$E$24)-1</f>
        <v>4.3531501329128641E-2</v>
      </c>
      <c r="L321" s="45">
        <f>(AMX!$G$24/AMX!$F$24)-1</f>
        <v>3.9334609963629585E-2</v>
      </c>
      <c r="M321" s="45">
        <f>AMX!$H$24</f>
        <v>4.8956975895425581E-2</v>
      </c>
      <c r="N321" s="46"/>
      <c r="O321" s="45">
        <f>(AMX!$D$25/AMX!$C$25)-1</f>
        <v>0.20560731928447051</v>
      </c>
      <c r="P321" s="45">
        <f>(AMX!$E$25/AMX!$D$25)-1</f>
        <v>0.17852733773878637</v>
      </c>
      <c r="Q321" s="45">
        <f>(AMX!$F$25/AMX!$E$25)-1</f>
        <v>8.8524918609688141E-2</v>
      </c>
      <c r="R321" s="45">
        <f>(AMX!$G$25/AMX!$F$25)-1</f>
        <v>8.621751772446351E-2</v>
      </c>
      <c r="S321" s="45">
        <f>AMX!$H$25</f>
        <v>0.11694454902488172</v>
      </c>
      <c r="T321" s="46"/>
      <c r="U321" s="48" t="str">
        <f t="shared" ref="U321:V323" si="47">U259</f>
        <v>USD 16.3</v>
      </c>
      <c r="V321" s="44" t="str">
        <f t="shared" si="47"/>
        <v>America Movil</v>
      </c>
      <c r="Z321" s="46"/>
      <c r="AE321" s="41"/>
      <c r="AF321" s="31"/>
      <c r="AG321" s="31"/>
      <c r="AI321" s="41"/>
      <c r="AJ321" s="64"/>
      <c r="AK321" s="64"/>
      <c r="AM321" s="41"/>
      <c r="AN321" s="64"/>
      <c r="AO321" s="64"/>
      <c r="AQ321" s="41"/>
      <c r="AR321" s="64"/>
      <c r="AS321" s="64"/>
    </row>
    <row r="322" spans="1:45" s="5" customFormat="1">
      <c r="B322" s="42"/>
      <c r="C322" s="48" t="str">
        <f t="shared" si="46"/>
        <v>Oi</v>
      </c>
      <c r="D322" s="44" t="str">
        <f t="shared" si="46"/>
        <v>BRL 12.10</v>
      </c>
      <c r="E322" s="44" t="str">
        <f t="shared" si="46"/>
        <v>BRL 0.90</v>
      </c>
      <c r="F322" s="45">
        <f t="shared" si="46"/>
        <v>-0.92561983471074383</v>
      </c>
      <c r="G322" s="44" t="str">
        <f t="shared" si="46"/>
        <v>Neutral</v>
      </c>
      <c r="H322" s="46"/>
      <c r="I322" s="45">
        <f>(OIBR!$D$24/OIBR!$C$24)-1</f>
        <v>-2.1612523218836555E-2</v>
      </c>
      <c r="J322" s="45">
        <f>(OIBR!$E$24/OIBR!$D$24)-1</f>
        <v>9.047935262882123E-2</v>
      </c>
      <c r="K322" s="45">
        <f>(OIBR!$F$24/OIBR!$E$24)-1</f>
        <v>9.0589884975149193E-2</v>
      </c>
      <c r="L322" s="45">
        <f>(OIBR!$G$24/OIBR!$F$24)-1</f>
        <v>6.1179169655319665E-2</v>
      </c>
      <c r="M322" s="45">
        <f>OIBR!$H$24</f>
        <v>8.0660330902892818E-2</v>
      </c>
      <c r="N322" s="46"/>
      <c r="O322" s="45">
        <f>(OIBR!$D$25/OIBR!$C$25)-1</f>
        <v>-0.19510765297148902</v>
      </c>
      <c r="P322" s="45">
        <f>(OIBR!$E$25/OIBR!$D$25)-1</f>
        <v>-0.25642512795782268</v>
      </c>
      <c r="Q322" s="45">
        <f>(OIBR!$F$25/OIBR!$E$25)-1</f>
        <v>-0.96812812520682057</v>
      </c>
      <c r="R322" s="45">
        <f>(OIBR!$G$25/OIBR!$F$25)-1</f>
        <v>-17.574562940044579</v>
      </c>
      <c r="S322" s="45">
        <f>OIBR!$H$25</f>
        <v>-1.7323603107617997</v>
      </c>
      <c r="T322" s="46"/>
      <c r="U322" s="48" t="str">
        <f t="shared" si="47"/>
        <v>BRL 12.10</v>
      </c>
      <c r="V322" s="44" t="str">
        <f t="shared" si="47"/>
        <v>Oi</v>
      </c>
      <c r="Z322" s="46"/>
      <c r="AE322" s="41"/>
      <c r="AF322" s="31"/>
      <c r="AG322" s="31"/>
      <c r="AI322" s="41"/>
      <c r="AJ322" s="64"/>
      <c r="AK322" s="64"/>
      <c r="AM322" s="41"/>
      <c r="AN322" s="64"/>
      <c r="AO322" s="64"/>
      <c r="AQ322" s="41"/>
      <c r="AR322" s="64"/>
      <c r="AS322" s="64"/>
    </row>
    <row r="323" spans="1:45" s="5" customFormat="1">
      <c r="B323" s="42"/>
      <c r="C323" s="48" t="str">
        <f t="shared" si="46"/>
        <v>Telefonica Brasil</v>
      </c>
      <c r="D323" s="44" t="str">
        <f t="shared" si="46"/>
        <v>BRL 55.12</v>
      </c>
      <c r="E323" s="44" t="str">
        <f t="shared" si="46"/>
        <v>BRL 61.00</v>
      </c>
      <c r="F323" s="45">
        <f t="shared" si="46"/>
        <v>0.10667634252539915</v>
      </c>
      <c r="G323" s="44" t="str">
        <f t="shared" si="46"/>
        <v>Buy</v>
      </c>
      <c r="H323" s="46"/>
      <c r="I323" s="45">
        <f>(VIVO!$D$24/VIVO!$C$24)-1</f>
        <v>9.3588475042109431E-2</v>
      </c>
      <c r="J323" s="45">
        <f>(VIVO!$E$24/VIVO!$D$24)-1</f>
        <v>7.6906340006623886E-2</v>
      </c>
      <c r="K323" s="45">
        <f>(VIVO!$F$24/VIVO!$E$24)-1</f>
        <v>8.6309395623007434E-2</v>
      </c>
      <c r="L323" s="45">
        <f>(VIVO!$G$24/VIVO!$F$24)-1</f>
        <v>6.0383612649223872E-2</v>
      </c>
      <c r="M323" s="45">
        <f>VIVO!$H$24</f>
        <v>7.4479561881599876E-2</v>
      </c>
      <c r="N323" s="46"/>
      <c r="O323" s="45">
        <f>(VIVO!$D$25/VIVO!$C$25)-1</f>
        <v>0.25143733840483962</v>
      </c>
      <c r="P323" s="45">
        <f>(VIVO!$E$25/VIVO!$D$25)-1</f>
        <v>0.15269105945851846</v>
      </c>
      <c r="Q323" s="45">
        <f>(VIVO!$F$25/VIVO!$E$25)-1</f>
        <v>0.11358230018622995</v>
      </c>
      <c r="R323" s="45">
        <f>(VIVO!$G$25/VIVO!$F$25)-1</f>
        <v>8.2791974179513783E-2</v>
      </c>
      <c r="S323" s="45">
        <f>VIVO!$H$25</f>
        <v>0.11598945437726726</v>
      </c>
      <c r="T323" s="46"/>
      <c r="U323" s="48" t="str">
        <f t="shared" si="47"/>
        <v>BRL 55.12</v>
      </c>
      <c r="V323" s="44" t="str">
        <f t="shared" si="47"/>
        <v>Telefonica Brasil</v>
      </c>
      <c r="Z323" s="46"/>
      <c r="AE323" s="41"/>
      <c r="AF323" s="31"/>
      <c r="AG323" s="31"/>
      <c r="AI323" s="41"/>
      <c r="AJ323" s="64"/>
      <c r="AK323" s="64"/>
      <c r="AM323" s="41"/>
      <c r="AN323" s="64"/>
      <c r="AO323" s="64"/>
      <c r="AQ323" s="41"/>
      <c r="AR323" s="64"/>
      <c r="AS323" s="64"/>
    </row>
    <row r="324" spans="1:45" s="5" customFormat="1">
      <c r="B324" s="42"/>
      <c r="C324" s="48" t="s">
        <v>667</v>
      </c>
      <c r="D324" s="44" t="str">
        <f>D262</f>
        <v>USD 1.8</v>
      </c>
      <c r="E324" s="44" t="str">
        <f>E262</f>
        <v>USD 3.7</v>
      </c>
      <c r="F324" s="45">
        <f>F262</f>
        <v>1.0903954802259888</v>
      </c>
      <c r="G324" s="44" t="str">
        <f>G262</f>
        <v>Neutral</v>
      </c>
      <c r="H324" s="46"/>
      <c r="I324" s="45">
        <f>(TVIS!$D$24/TVIS!$C$24)-1</f>
        <v>-8.0539412612388062E-2</v>
      </c>
      <c r="J324" s="45">
        <f>(TVIS!$E$24/TVIS!$D$24)-1</f>
        <v>3.309290305739454E-2</v>
      </c>
      <c r="K324" s="45">
        <f>(TVIS!$F$24/TVIS!$E$24)-1</f>
        <v>5.7751287327516554E-3</v>
      </c>
      <c r="L324" s="45">
        <f>(TVIS!$G$24/TVIS!$F$24)-1</f>
        <v>5.9298595828554124E-3</v>
      </c>
      <c r="M324" s="45">
        <f>TVIS!$H$24</f>
        <v>1.485187073949934E-2</v>
      </c>
      <c r="N324" s="46"/>
      <c r="O324" s="45">
        <f>(TVIS!$D$25/TVIS!$C$25)-1</f>
        <v>6.8938286288764417E-2</v>
      </c>
      <c r="P324" s="45">
        <f>(TVIS!$E$25/TVIS!$D$25)-1</f>
        <v>0.10253474824488529</v>
      </c>
      <c r="Q324" s="45">
        <f>(TVIS!$F$25/TVIS!$E$25)-1</f>
        <v>4.8774867626164564E-3</v>
      </c>
      <c r="R324" s="45">
        <f>(TVIS!$G$25/TVIS!$F$25)-1</f>
        <v>1.5140346490697176E-2</v>
      </c>
      <c r="S324" s="45">
        <f>TVIS!$H$25</f>
        <v>3.9945301517286813E-2</v>
      </c>
      <c r="T324" s="46"/>
      <c r="U324" s="48" t="str">
        <f>U262</f>
        <v>USD 1.8</v>
      </c>
      <c r="V324" s="44" t="s">
        <v>667</v>
      </c>
      <c r="Z324" s="46"/>
      <c r="AE324" s="41"/>
      <c r="AF324" s="31"/>
      <c r="AG324" s="31"/>
      <c r="AI324" s="41"/>
      <c r="AJ324" s="64"/>
      <c r="AK324" s="64"/>
      <c r="AM324" s="41"/>
      <c r="AN324" s="64"/>
      <c r="AO324" s="64"/>
      <c r="AQ324" s="41"/>
      <c r="AR324" s="64"/>
      <c r="AS324" s="64"/>
    </row>
    <row r="325" spans="1:45" s="5" customFormat="1">
      <c r="B325" s="42"/>
      <c r="C325" s="51" t="str">
        <f>C263</f>
        <v>Agg. LatAm Incumbent</v>
      </c>
      <c r="D325" s="52"/>
      <c r="E325" s="52"/>
      <c r="F325" s="53"/>
      <c r="G325" s="52"/>
      <c r="H325" s="46"/>
      <c r="I325" s="55">
        <f>('LATAM INCUMB'!$D$24/'LATAM INCUMB'!$C$24)-1</f>
        <v>9.9770605886390973E-2</v>
      </c>
      <c r="J325" s="55">
        <f>('LATAM INCUMB'!$E$24/'LATAM INCUMB'!$D$24)-1</f>
        <v>6.5437732082041622E-2</v>
      </c>
      <c r="K325" s="55">
        <f>('LATAM INCUMB'!$F$24/'LATAM INCUMB'!$E$24)-1</f>
        <v>5.0053422664701142E-2</v>
      </c>
      <c r="L325" s="55">
        <f>('LATAM INCUMB'!$G$24/'LATAM INCUMB'!$F$24)-1</f>
        <v>4.1969415062987458E-2</v>
      </c>
      <c r="M325" s="55">
        <f>'LATAM INCUMB'!$H$24</f>
        <v>5.2441939874377175E-2</v>
      </c>
      <c r="N325" s="56"/>
      <c r="O325" s="55">
        <f>('LATAM INCUMB'!$D$25/'LATAM INCUMB'!$C$25)-1</f>
        <v>0.23227766613881462</v>
      </c>
      <c r="P325" s="55">
        <f>('LATAM INCUMB'!$E$25/'LATAM INCUMB'!$D$25)-1</f>
        <v>0.18839713256923085</v>
      </c>
      <c r="Q325" s="55">
        <f>('LATAM INCUMB'!$F$25/'LATAM INCUMB'!$E$25)-1</f>
        <v>0.11643896118167851</v>
      </c>
      <c r="R325" s="55">
        <f>('LATAM INCUMB'!$G$25/'LATAM INCUMB'!$F$25)-1</f>
        <v>9.5990484972831025E-2</v>
      </c>
      <c r="S325" s="55">
        <f>'LATAM INCUMB'!$H$25</f>
        <v>0.13292489725074952</v>
      </c>
      <c r="T325" s="46"/>
      <c r="U325" s="57"/>
      <c r="V325" s="58" t="str">
        <f>V263</f>
        <v>Agg. LatAm Incumbent</v>
      </c>
      <c r="Z325" s="46"/>
      <c r="AE325" s="41"/>
      <c r="AF325" s="31"/>
      <c r="AG325" s="31"/>
      <c r="AI325" s="41"/>
      <c r="AJ325" s="64"/>
      <c r="AK325" s="64"/>
      <c r="AM325" s="41"/>
      <c r="AN325" s="64"/>
      <c r="AO325" s="64"/>
      <c r="AQ325" s="41"/>
      <c r="AR325" s="64"/>
      <c r="AS325" s="64"/>
    </row>
    <row r="326" spans="1:45" s="5" customFormat="1">
      <c r="A326" s="39"/>
      <c r="B326" s="42"/>
      <c r="C326" s="48"/>
      <c r="D326" s="44"/>
      <c r="E326" s="44"/>
      <c r="F326" s="45"/>
      <c r="G326" s="44"/>
      <c r="H326" s="46"/>
      <c r="I326" s="45"/>
      <c r="J326" s="45"/>
      <c r="K326" s="45"/>
      <c r="L326" s="45"/>
      <c r="M326" s="45"/>
      <c r="N326" s="56"/>
      <c r="O326" s="45"/>
      <c r="P326" s="45"/>
      <c r="Q326" s="45"/>
      <c r="R326" s="45"/>
      <c r="S326" s="45"/>
      <c r="T326" s="46"/>
      <c r="U326" s="48"/>
      <c r="V326" s="50"/>
      <c r="Z326" s="46"/>
      <c r="AE326" s="41"/>
      <c r="AF326" s="31"/>
      <c r="AG326" s="31"/>
      <c r="AI326" s="41"/>
      <c r="AJ326" s="64"/>
      <c r="AK326" s="64"/>
      <c r="AM326" s="41"/>
      <c r="AN326" s="64"/>
      <c r="AO326" s="64"/>
      <c r="AQ326" s="41"/>
      <c r="AR326" s="64"/>
      <c r="AS326" s="64"/>
    </row>
    <row r="327" spans="1:45" s="5" customFormat="1">
      <c r="B327" s="42"/>
      <c r="C327" s="48" t="str">
        <f t="shared" ref="C327:G331" si="48">C265</f>
        <v>China Telecom</v>
      </c>
      <c r="D327" s="44" t="str">
        <f t="shared" si="48"/>
        <v>HKD 4.48</v>
      </c>
      <c r="E327" s="44" t="str">
        <f t="shared" si="48"/>
        <v>HKD 8.75</v>
      </c>
      <c r="F327" s="45">
        <f t="shared" si="48"/>
        <v>0.95312499999999978</v>
      </c>
      <c r="G327" s="44" t="str">
        <f t="shared" si="48"/>
        <v>Buy</v>
      </c>
      <c r="H327" s="46"/>
      <c r="I327" s="169">
        <f>(_CT!$D$24/_CT!$C$24)-1</f>
        <v>4.9639840747474295E-2</v>
      </c>
      <c r="J327" s="169">
        <f>(_CT!$E$24/_CT!$D$24)-1</f>
        <v>4.5046285809336784E-2</v>
      </c>
      <c r="K327" s="169">
        <f>(_CT!$F$24/_CT!$E$24)-1</f>
        <v>4.1097791636062864E-2</v>
      </c>
      <c r="L327" s="169">
        <f>(_CT!$G$24/_CT!$F$24)-1</f>
        <v>5.273552336730658E-2</v>
      </c>
      <c r="M327" s="45">
        <f>_CT!$H$24</f>
        <v>4.6282054325352373E-2</v>
      </c>
      <c r="N327" s="56"/>
      <c r="O327" s="169">
        <f>(_CT!$D$25/_CT!$C$25)-1</f>
        <v>4.2557690782691893E-3</v>
      </c>
      <c r="P327" s="169">
        <f>(_CT!$E$25/_CT!$D$25)-1</f>
        <v>0.22482434861738576</v>
      </c>
      <c r="Q327" s="169">
        <f>(_CT!$F$25/_CT!$E$25)-1</f>
        <v>8.7851079104745766E-2</v>
      </c>
      <c r="R327" s="169">
        <f>(_CT!$G$25/_CT!$F$25)-1</f>
        <v>0.13487681116375638</v>
      </c>
      <c r="S327" s="169">
        <f>_CT!$H$25</f>
        <v>0.14779411433436151</v>
      </c>
      <c r="T327" s="46"/>
      <c r="U327" s="48" t="str">
        <f t="shared" ref="U327:V331" si="49">U265</f>
        <v>HKD 4.48</v>
      </c>
      <c r="V327" s="44" t="str">
        <f t="shared" si="49"/>
        <v>China Telecom</v>
      </c>
      <c r="Z327" s="46"/>
      <c r="AE327" s="41"/>
      <c r="AF327" s="31"/>
      <c r="AG327" s="31"/>
      <c r="AI327" s="41"/>
      <c r="AJ327" s="64"/>
      <c r="AK327" s="64"/>
      <c r="AM327" s="41"/>
      <c r="AN327" s="64"/>
      <c r="AO327" s="64"/>
      <c r="AQ327" s="41"/>
      <c r="AR327" s="64"/>
      <c r="AS327" s="64"/>
    </row>
    <row r="328" spans="1:45" s="5" customFormat="1">
      <c r="B328" s="42"/>
      <c r="C328" s="48" t="str">
        <f t="shared" si="48"/>
        <v>China Unicom</v>
      </c>
      <c r="D328" s="44" t="str">
        <f t="shared" si="48"/>
        <v>HKD 6.32</v>
      </c>
      <c r="E328" s="44" t="str">
        <f t="shared" si="48"/>
        <v>HKD 13.20</v>
      </c>
      <c r="F328" s="45">
        <f t="shared" si="48"/>
        <v>1.0886075949367084</v>
      </c>
      <c r="G328" s="44" t="str">
        <f t="shared" si="48"/>
        <v>Buy</v>
      </c>
      <c r="H328" s="46"/>
      <c r="I328" s="169">
        <f>(_CU!$D$24/_CU!$C$24)-1</f>
        <v>6.4838810515381873E-3</v>
      </c>
      <c r="J328" s="169">
        <f>(_CU!$E$24/_CU!$D$24)-1</f>
        <v>2.3387770336151803E-2</v>
      </c>
      <c r="K328" s="169">
        <f>(_CU!$F$24/_CU!$E$24)-1</f>
        <v>3.3210801021605896E-2</v>
      </c>
      <c r="L328" s="169">
        <f>(_CU!$G$24/_CU!$F$24)-1</f>
        <v>3.3533515641364975E-2</v>
      </c>
      <c r="M328" s="45">
        <f>_CU!$H$24</f>
        <v>3.0033243982205304E-2</v>
      </c>
      <c r="N328" s="56"/>
      <c r="O328" s="169">
        <f>(_CU!$D$25/_CU!$C$25)-1</f>
        <v>3.7766830870279211E-2</v>
      </c>
      <c r="P328" s="169">
        <f>(_CU!$E$25/_CU!$D$25)-1</f>
        <v>0.38960854404821155</v>
      </c>
      <c r="Q328" s="169">
        <f>(_CU!$F$25/_CU!$E$25)-1</f>
        <v>6.2752957921258457E-2</v>
      </c>
      <c r="R328" s="169">
        <f>(_CU!$G$25/_CU!$F$25)-1</f>
        <v>7.0972599959021387E-2</v>
      </c>
      <c r="S328" s="169">
        <f>_CU!$H$25</f>
        <v>0.1651121181976094</v>
      </c>
      <c r="T328" s="46"/>
      <c r="U328" s="48" t="str">
        <f t="shared" si="49"/>
        <v>HKD 6.32</v>
      </c>
      <c r="V328" s="44" t="str">
        <f t="shared" si="49"/>
        <v>China Unicom</v>
      </c>
      <c r="Z328" s="46"/>
      <c r="AE328" s="41"/>
      <c r="AF328" s="31"/>
      <c r="AG328" s="31"/>
      <c r="AI328" s="41"/>
      <c r="AJ328" s="64"/>
      <c r="AK328" s="64"/>
      <c r="AM328" s="41"/>
      <c r="AN328" s="64"/>
      <c r="AO328" s="64"/>
      <c r="AQ328" s="41"/>
      <c r="AR328" s="64"/>
      <c r="AS328" s="64"/>
    </row>
    <row r="329" spans="1:45" s="5" customFormat="1">
      <c r="A329" s="39"/>
      <c r="B329" s="42"/>
      <c r="C329" s="48" t="str">
        <f t="shared" si="48"/>
        <v>Chunghwa Telecom</v>
      </c>
      <c r="D329" s="44" t="str">
        <f t="shared" si="48"/>
        <v>TWD 124.00</v>
      </c>
      <c r="E329" s="44" t="str">
        <f t="shared" si="48"/>
        <v>TWD n/r</v>
      </c>
      <c r="F329" s="45" t="str">
        <f t="shared" si="48"/>
        <v>-</v>
      </c>
      <c r="G329" s="44" t="str">
        <f t="shared" si="48"/>
        <v>n/r</v>
      </c>
      <c r="H329" s="46"/>
      <c r="I329" s="45">
        <f>(CHUNG!$D$24/CHUNG!$C$24)-1</f>
        <v>1.4027157074484986E-2</v>
      </c>
      <c r="J329" s="45">
        <f>(CHUNG!$E$24/CHUNG!$D$24)-1</f>
        <v>1.3520098186603935E-2</v>
      </c>
      <c r="K329" s="45">
        <f>(CHUNG!$F$24/CHUNG!$E$24)-1</f>
        <v>1.4501389115283425E-2</v>
      </c>
      <c r="L329" s="45">
        <f>(CHUNG!$G$24/CHUNG!$F$24)-1</f>
        <v>1.5442999120380163E-2</v>
      </c>
      <c r="M329" s="45">
        <f>CHUNG!$H$24</f>
        <v>1.4487858365059614E-2</v>
      </c>
      <c r="N329" s="56"/>
      <c r="O329" s="45">
        <f>(CHUNG!$D$25/CHUNG!$C$25)-1</f>
        <v>9.9807552950548217E-2</v>
      </c>
      <c r="P329" s="45">
        <f>(CHUNG!$E$25/CHUNG!$D$25)-1</f>
        <v>9.6959491588610947E-2</v>
      </c>
      <c r="Q329" s="45">
        <f>(CHUNG!$F$25/CHUNG!$E$25)-1</f>
        <v>5.3600059992703564E-2</v>
      </c>
      <c r="R329" s="45">
        <f>(CHUNG!$G$25/CHUNG!$F$25)-1</f>
        <v>1.6662767358061936E-2</v>
      </c>
      <c r="S329" s="45">
        <f>CHUNG!$H$25</f>
        <v>5.5231544534847021E-2</v>
      </c>
      <c r="T329" s="46"/>
      <c r="U329" s="48" t="str">
        <f t="shared" si="49"/>
        <v>TWD 124.00</v>
      </c>
      <c r="V329" s="44" t="str">
        <f t="shared" si="49"/>
        <v>Chunghwa Telecom</v>
      </c>
      <c r="Z329" s="46"/>
      <c r="AE329" s="41"/>
      <c r="AF329" s="31"/>
      <c r="AG329" s="31"/>
      <c r="AI329" s="41"/>
      <c r="AJ329" s="64"/>
      <c r="AK329" s="64"/>
      <c r="AM329" s="41"/>
      <c r="AN329" s="64"/>
      <c r="AO329" s="64"/>
      <c r="AQ329" s="41"/>
      <c r="AR329" s="64"/>
      <c r="AS329" s="64"/>
    </row>
    <row r="330" spans="1:45" s="5" customFormat="1">
      <c r="A330" s="39"/>
      <c r="B330" s="42"/>
      <c r="C330" s="48" t="str">
        <f t="shared" si="48"/>
        <v>KT Corp</v>
      </c>
      <c r="D330" s="44" t="str">
        <f t="shared" si="48"/>
        <v>KRW 41,200</v>
      </c>
      <c r="E330" s="44" t="str">
        <f t="shared" si="48"/>
        <v>KRW 70,000</v>
      </c>
      <c r="F330" s="45">
        <f t="shared" si="48"/>
        <v>0.69902912621359214</v>
      </c>
      <c r="G330" s="44" t="str">
        <f t="shared" si="48"/>
        <v>Buy</v>
      </c>
      <c r="H330" s="46"/>
      <c r="I330" s="45">
        <f>(_KT!$D$24/_KT!$C$24)-1</f>
        <v>2.1305649083426914E-2</v>
      </c>
      <c r="J330" s="45">
        <f>(_KT!$E$24/_KT!$D$24)-1</f>
        <v>5.1444976271406873E-2</v>
      </c>
      <c r="K330" s="45">
        <f>(_KT!$F$24/_KT!$E$24)-1</f>
        <v>6.704178538889094E-2</v>
      </c>
      <c r="L330" s="45">
        <f>(_KT!$G$24/_KT!$F$24)-1</f>
        <v>2.0548757274651663E-2</v>
      </c>
      <c r="M330" s="45">
        <f>_KT!$H$24</f>
        <v>4.6165944374719992E-2</v>
      </c>
      <c r="N330" s="56"/>
      <c r="O330" s="45">
        <f>(_KT!$D$25/_KT!$C$25)-1</f>
        <v>0.18086045228902403</v>
      </c>
      <c r="P330" s="45">
        <f>(_KT!$E$25/_KT!$D$25)-1</f>
        <v>8.2924299092554943E-3</v>
      </c>
      <c r="Q330" s="45">
        <f>(_KT!$F$25/_KT!$E$25)-1</f>
        <v>0.27977696006336505</v>
      </c>
      <c r="R330" s="45">
        <f>(_KT!$G$25/_KT!$F$25)-1</f>
        <v>6.6225601651400678E-2</v>
      </c>
      <c r="S330" s="45">
        <f>_KT!$H$25</f>
        <v>0.11221812132162357</v>
      </c>
      <c r="T330" s="46"/>
      <c r="U330" s="48" t="str">
        <f t="shared" si="49"/>
        <v>KRW 41,200</v>
      </c>
      <c r="V330" s="44" t="str">
        <f t="shared" si="49"/>
        <v>KT Corp</v>
      </c>
      <c r="Z330" s="46"/>
      <c r="AE330" s="41"/>
      <c r="AF330" s="31"/>
      <c r="AG330" s="31"/>
      <c r="AI330" s="41"/>
      <c r="AJ330" s="64"/>
      <c r="AK330" s="64"/>
      <c r="AM330" s="41"/>
      <c r="AN330" s="64"/>
      <c r="AO330" s="64"/>
      <c r="AQ330" s="41"/>
      <c r="AR330" s="64"/>
      <c r="AS330" s="64"/>
    </row>
    <row r="331" spans="1:45" s="5" customFormat="1">
      <c r="A331" s="39"/>
      <c r="B331" s="42"/>
      <c r="C331" s="48" t="str">
        <f t="shared" si="48"/>
        <v>PT Telkom</v>
      </c>
      <c r="D331" s="44" t="str">
        <f t="shared" si="48"/>
        <v>IDR 3,040</v>
      </c>
      <c r="E331" s="44" t="str">
        <f t="shared" si="48"/>
        <v>IDR 4,500</v>
      </c>
      <c r="F331" s="45">
        <f t="shared" si="48"/>
        <v>0.48026315789473695</v>
      </c>
      <c r="G331" s="44" t="str">
        <f t="shared" si="48"/>
        <v>Buy</v>
      </c>
      <c r="H331" s="46"/>
      <c r="I331" s="169">
        <f>(PTT!$D$24/PTT!$C$24)-1</f>
        <v>-1.7887887381000556E-2</v>
      </c>
      <c r="J331" s="169">
        <f>(PTT!$E$24/PTT!$D$24)-1</f>
        <v>1.7697183197310506E-2</v>
      </c>
      <c r="K331" s="169">
        <f>(PTT!$F$24/PTT!$E$24)-1</f>
        <v>5.2647765103906341E-2</v>
      </c>
      <c r="L331" s="169">
        <f>(PTT!$G$24/PTT!$F$24)-1</f>
        <v>4.7667736229897173E-2</v>
      </c>
      <c r="M331" s="45">
        <f>PTT!$H$24</f>
        <v>3.922217449285248E-2</v>
      </c>
      <c r="N331" s="56"/>
      <c r="O331" s="169">
        <f>(PTT!$D$25/PTT!$C$25)-1</f>
        <v>-5.018288875011101E-3</v>
      </c>
      <c r="P331" s="169">
        <f>(PTT!$E$25/PTT!$D$25)-1</f>
        <v>5.4676464034869143E-2</v>
      </c>
      <c r="Q331" s="169">
        <f>(PTT!$F$25/PTT!$E$25)-1</f>
        <v>8.8841528607761955E-2</v>
      </c>
      <c r="R331" s="169">
        <f>(PTT!$G$25/PTT!$F$25)-1</f>
        <v>6.8324763218743145E-2</v>
      </c>
      <c r="S331" s="169">
        <f>PTT!$H$25</f>
        <v>7.0522358187728118E-2</v>
      </c>
      <c r="T331" s="46"/>
      <c r="U331" s="48" t="str">
        <f t="shared" si="49"/>
        <v>IDR 3,040</v>
      </c>
      <c r="V331" s="44" t="str">
        <f t="shared" si="49"/>
        <v>PT Telkom</v>
      </c>
      <c r="Z331" s="46"/>
      <c r="AE331" s="41"/>
      <c r="AF331" s="31"/>
      <c r="AG331" s="31"/>
      <c r="AI331" s="41"/>
      <c r="AJ331" s="64"/>
      <c r="AK331" s="64"/>
      <c r="AM331" s="41"/>
      <c r="AN331" s="64"/>
      <c r="AO331" s="64"/>
      <c r="AQ331" s="41"/>
      <c r="AR331" s="64"/>
      <c r="AS331" s="64"/>
    </row>
    <row r="332" spans="1:45" s="5" customFormat="1">
      <c r="A332" s="39"/>
      <c r="B332" s="42"/>
      <c r="C332" s="51" t="str">
        <f>C270</f>
        <v>Agg. Emerging Asia Incumbent</v>
      </c>
      <c r="D332" s="52"/>
      <c r="E332" s="52"/>
      <c r="F332" s="53"/>
      <c r="G332" s="52"/>
      <c r="H332" s="46"/>
      <c r="I332" s="55">
        <f>('EM ASIA INCUMB'!$D$24/'EM ASIA INCUMB'!$C$24)-1</f>
        <v>2.345691058512811E-2</v>
      </c>
      <c r="J332" s="55">
        <f>('EM ASIA INCUMB'!$E$24/'EM ASIA INCUMB'!$D$24)-1</f>
        <v>3.4064832828481828E-2</v>
      </c>
      <c r="K332" s="55">
        <f>('EM ASIA INCUMB'!$F$24/'EM ASIA INCUMB'!$E$24)-1</f>
        <v>4.0918435698450883E-2</v>
      </c>
      <c r="L332" s="55">
        <f>('EM ASIA INCUMB'!$G$24/'EM ASIA INCUMB'!$F$24)-1</f>
        <v>4.125655303988629E-2</v>
      </c>
      <c r="M332" s="55">
        <f>'EM ASIA INCUMB'!$H$24</f>
        <v>3.8741314755313283E-2</v>
      </c>
      <c r="N332" s="56"/>
      <c r="O332" s="55">
        <f>('EM ASIA INCUMB'!$D$25/'EM ASIA INCUMB'!$C$25)-1</f>
        <v>3.6561251468884004E-2</v>
      </c>
      <c r="P332" s="55">
        <f>('EM ASIA INCUMB'!$E$25/'EM ASIA INCUMB'!$D$25)-1</f>
        <v>0.19534196702184214</v>
      </c>
      <c r="Q332" s="55">
        <f>('EM ASIA INCUMB'!$F$25/'EM ASIA INCUMB'!$E$25)-1</f>
        <v>9.4882872707320098E-2</v>
      </c>
      <c r="R332" s="55">
        <f>('EM ASIA INCUMB'!$G$25/'EM ASIA INCUMB'!$F$25)-1</f>
        <v>8.7970975538918861E-2</v>
      </c>
      <c r="S332" s="55">
        <f>'EM ASIA INCUMB'!$H$25</f>
        <v>0.12501689969524077</v>
      </c>
      <c r="T332" s="46"/>
      <c r="U332" s="57"/>
      <c r="V332" s="58" t="str">
        <f>V270</f>
        <v>Agg. Emerging Asia Incumbent</v>
      </c>
      <c r="Z332" s="46"/>
      <c r="AE332" s="41"/>
      <c r="AF332" s="31"/>
      <c r="AG332" s="31"/>
      <c r="AI332" s="41"/>
      <c r="AJ332" s="64"/>
      <c r="AK332" s="64"/>
      <c r="AM332" s="41"/>
      <c r="AN332" s="64"/>
      <c r="AO332" s="64"/>
      <c r="AQ332" s="41"/>
      <c r="AR332" s="64"/>
      <c r="AS332" s="64"/>
    </row>
    <row r="333" spans="1:45" s="5" customFormat="1">
      <c r="A333" s="39"/>
      <c r="B333" s="42"/>
      <c r="C333" s="43"/>
      <c r="D333" s="44"/>
      <c r="E333" s="44"/>
      <c r="F333" s="68"/>
      <c r="G333" s="44"/>
      <c r="H333" s="46"/>
      <c r="I333" s="61"/>
      <c r="J333" s="61"/>
      <c r="K333" s="61"/>
      <c r="L333" s="61"/>
      <c r="M333" s="61"/>
      <c r="N333" s="56"/>
      <c r="O333" s="61"/>
      <c r="P333" s="61"/>
      <c r="Q333" s="61"/>
      <c r="R333" s="61"/>
      <c r="S333" s="61"/>
      <c r="T333" s="46"/>
      <c r="U333" s="48"/>
      <c r="V333" s="50"/>
      <c r="Z333" s="46"/>
      <c r="AE333" s="41"/>
      <c r="AF333" s="31"/>
      <c r="AG333" s="31"/>
      <c r="AI333" s="41"/>
      <c r="AJ333" s="64"/>
      <c r="AK333" s="64"/>
      <c r="AM333" s="41"/>
      <c r="AN333" s="64"/>
      <c r="AO333" s="64"/>
      <c r="AQ333" s="41"/>
      <c r="AR333" s="64"/>
      <c r="AS333" s="64"/>
    </row>
    <row r="334" spans="1:45" s="5" customFormat="1">
      <c r="A334" s="39"/>
      <c r="B334" s="42"/>
      <c r="C334" s="51" t="str">
        <f>C272</f>
        <v>Agg. Emerging Incumbent</v>
      </c>
      <c r="D334" s="52"/>
      <c r="E334" s="52"/>
      <c r="F334" s="53"/>
      <c r="G334" s="52"/>
      <c r="H334" s="46"/>
      <c r="I334" s="55">
        <f>('EM INCUMB'!$D$24/'EM INCUMB'!$C$24)-1</f>
        <v>4.8017858671845381E-2</v>
      </c>
      <c r="J334" s="55">
        <f>('EM INCUMB'!$E$24/'EM INCUMB'!$D$24)-1</f>
        <v>4.4379640862326486E-2</v>
      </c>
      <c r="K334" s="55">
        <f>('EM INCUMB'!$F$24/'EM INCUMB'!$E$24)-1</f>
        <v>4.3776869078921976E-2</v>
      </c>
      <c r="L334" s="55">
        <f>('EM INCUMB'!$G$24/'EM INCUMB'!$F$24)-1</f>
        <v>4.1308036357182942E-2</v>
      </c>
      <c r="M334" s="55">
        <f>'EM INCUMB'!$H$24</f>
        <v>4.3154001905154393E-2</v>
      </c>
      <c r="N334" s="56"/>
      <c r="O334" s="55">
        <f>('EM INCUMB'!$D$25/'EM INCUMB'!$C$25)-1</f>
        <v>0.11394564376564897</v>
      </c>
      <c r="P334" s="55">
        <f>('EM INCUMB'!$E$25/'EM INCUMB'!$D$25)-1</f>
        <v>0.19001303508505263</v>
      </c>
      <c r="Q334" s="55">
        <f>('EM INCUMB'!$F$25/'EM INCUMB'!$E$25)-1</f>
        <v>0.10325090597302955</v>
      </c>
      <c r="R334" s="55">
        <f>('EM INCUMB'!$G$25/'EM INCUMB'!$F$25)-1</f>
        <v>9.0913565461140822E-2</v>
      </c>
      <c r="S334" s="55">
        <f>'EM INCUMB'!$H$25</f>
        <v>0.12721160462737946</v>
      </c>
      <c r="T334" s="46"/>
      <c r="U334" s="57"/>
      <c r="V334" s="58" t="str">
        <f>V272</f>
        <v>Agg. Emerging Incumbent</v>
      </c>
      <c r="Z334" s="46"/>
      <c r="AE334" s="41"/>
      <c r="AF334" s="31"/>
      <c r="AG334" s="31"/>
      <c r="AI334" s="41"/>
      <c r="AJ334" s="64"/>
      <c r="AK334" s="64"/>
      <c r="AM334" s="41"/>
      <c r="AN334" s="64"/>
      <c r="AO334" s="64"/>
      <c r="AQ334" s="41"/>
      <c r="AR334" s="64"/>
      <c r="AS334" s="64"/>
    </row>
    <row r="335" spans="1:45" s="5" customFormat="1">
      <c r="A335" s="39"/>
      <c r="B335" s="42"/>
      <c r="C335" s="43"/>
      <c r="D335" s="44"/>
      <c r="E335" s="44"/>
      <c r="F335" s="45"/>
      <c r="G335" s="44"/>
      <c r="H335" s="46"/>
      <c r="I335" s="45"/>
      <c r="J335" s="45"/>
      <c r="K335" s="45"/>
      <c r="L335" s="45"/>
      <c r="M335" s="45"/>
      <c r="N335" s="56"/>
      <c r="O335" s="45"/>
      <c r="P335" s="45"/>
      <c r="Q335" s="45"/>
      <c r="R335" s="45"/>
      <c r="S335" s="45"/>
      <c r="T335" s="46"/>
      <c r="U335" s="48"/>
      <c r="V335" s="50"/>
      <c r="Z335" s="46"/>
      <c r="AE335" s="41"/>
      <c r="AF335" s="31"/>
      <c r="AG335" s="31"/>
      <c r="AI335" s="41"/>
      <c r="AJ335" s="64"/>
      <c r="AK335" s="64"/>
      <c r="AM335" s="41"/>
      <c r="AN335" s="64"/>
      <c r="AO335" s="64"/>
      <c r="AQ335" s="41"/>
      <c r="AR335" s="64"/>
      <c r="AS335" s="64"/>
    </row>
    <row r="336" spans="1:45" s="5" customFormat="1">
      <c r="A336" s="41" t="s">
        <v>502</v>
      </c>
      <c r="B336" s="42"/>
      <c r="C336" s="48" t="str">
        <f t="shared" ref="C336:G342" si="50">C274</f>
        <v>Airtel Africa</v>
      </c>
      <c r="D336" s="44" t="str">
        <f t="shared" si="50"/>
        <v>USD 1.13</v>
      </c>
      <c r="E336" s="44" t="str">
        <f t="shared" si="50"/>
        <v>USD 2.00</v>
      </c>
      <c r="F336" s="45">
        <f t="shared" si="50"/>
        <v>0.77619893428063969</v>
      </c>
      <c r="G336" s="44" t="str">
        <f t="shared" si="50"/>
        <v>Buy</v>
      </c>
      <c r="H336" s="46"/>
      <c r="I336" s="169">
        <f>(AAF!$D$24/AAF!$C$24)-1</f>
        <v>-8.362369337979092E-2</v>
      </c>
      <c r="J336" s="169">
        <f>(AAF!$E$24/AAF!$D$24)-1</f>
        <v>-4.500511086341108E-2</v>
      </c>
      <c r="K336" s="169">
        <f>(AAF!$F$24/AAF!$E$24)-1</f>
        <v>0.16855370990930729</v>
      </c>
      <c r="L336" s="169">
        <f>(AAF!$G$24/AAF!$F$24)-1</f>
        <v>0.13750577581469581</v>
      </c>
      <c r="M336" s="45">
        <f>AAF!$H$24</f>
        <v>8.2765589799916217E-2</v>
      </c>
      <c r="N336" s="56"/>
      <c r="O336" s="169">
        <f>(AAF!$D$25/AAF!$C$25)-1</f>
        <v>-0.11692506459948315</v>
      </c>
      <c r="P336" s="169">
        <f>(AAF!$E$25/AAF!$D$25)-1</f>
        <v>-7.1147010983035219E-2</v>
      </c>
      <c r="Q336" s="169">
        <f>(AAF!$F$25/AAF!$E$25)-1</f>
        <v>0.17187888255887374</v>
      </c>
      <c r="R336" s="169">
        <f>(AAF!$G$25/AAF!$F$25)-1</f>
        <v>0.16043673845882123</v>
      </c>
      <c r="S336" s="169">
        <f>AAF!$H$25</f>
        <v>8.0978510320863561E-2</v>
      </c>
      <c r="T336" s="46"/>
      <c r="U336" s="48" t="str">
        <f t="shared" ref="U336:V342" si="51">U274</f>
        <v>USD 1.13</v>
      </c>
      <c r="V336" s="44" t="str">
        <f t="shared" si="51"/>
        <v>Airtel Africa</v>
      </c>
      <c r="Z336" s="46"/>
      <c r="AE336" s="41"/>
      <c r="AF336" s="31"/>
      <c r="AG336" s="31"/>
      <c r="AI336" s="41"/>
      <c r="AJ336" s="64"/>
      <c r="AK336" s="64"/>
      <c r="AM336" s="41"/>
      <c r="AN336" s="64"/>
      <c r="AO336" s="64"/>
      <c r="AQ336" s="41"/>
      <c r="AR336" s="64"/>
      <c r="AS336" s="64"/>
    </row>
    <row r="337" spans="1:45" s="5" customFormat="1">
      <c r="A337" s="41"/>
      <c r="B337" s="42"/>
      <c r="C337" s="48" t="str">
        <f t="shared" si="50"/>
        <v>MobileTeleSystems</v>
      </c>
      <c r="D337" s="44" t="str">
        <f t="shared" si="50"/>
        <v>USD 10.00</v>
      </c>
      <c r="E337" s="44" t="str">
        <f t="shared" si="50"/>
        <v>USD 10.10</v>
      </c>
      <c r="F337" s="45">
        <f t="shared" si="50"/>
        <v>1.0000000000000009E-2</v>
      </c>
      <c r="G337" s="44" t="str">
        <f t="shared" si="50"/>
        <v>Buy</v>
      </c>
      <c r="H337" s="46"/>
      <c r="I337" s="169">
        <f>(MTS!$D$24/MTS!$C$24)-1</f>
        <v>1.0270452923701878E-3</v>
      </c>
      <c r="J337" s="169">
        <f>(MTS!$E$24/MTS!$D$24)-1</f>
        <v>1.3949054720230336E-4</v>
      </c>
      <c r="K337" s="169">
        <f>(MTS!$F$24/MTS!$E$24)-1</f>
        <v>2.9728291360309189E-3</v>
      </c>
      <c r="L337" s="169">
        <f>(MTS!$G$24/MTS!$F$24)-1</f>
        <v>2.5124281915767099E-3</v>
      </c>
      <c r="M337" s="45">
        <f>MTS!$H$24</f>
        <v>1.8741464069604863E-3</v>
      </c>
      <c r="N337" s="56"/>
      <c r="O337" s="169">
        <f>(MTS!$D$25/MTS!$C$25)-1</f>
        <v>6.2818774073745143E-3</v>
      </c>
      <c r="P337" s="169">
        <f>(MTS!$E$25/MTS!$D$25)-1</f>
        <v>4.6627985062124289E-2</v>
      </c>
      <c r="Q337" s="169">
        <f>(MTS!$F$25/MTS!$E$25)-1</f>
        <v>-8.5869916211371855E-3</v>
      </c>
      <c r="R337" s="169">
        <f>(MTS!$G$25/MTS!$F$25)-1</f>
        <v>-9.5990602798423641E-3</v>
      </c>
      <c r="S337" s="169">
        <f>MTS!$H$25</f>
        <v>9.1428942790983125E-3</v>
      </c>
      <c r="T337" s="46"/>
      <c r="U337" s="48" t="str">
        <f t="shared" si="51"/>
        <v>USD 10.00</v>
      </c>
      <c r="V337" s="44" t="str">
        <f t="shared" si="51"/>
        <v>MobileTeleSystems</v>
      </c>
      <c r="Z337" s="46"/>
      <c r="AE337" s="41"/>
      <c r="AF337" s="31"/>
      <c r="AG337" s="31"/>
      <c r="AI337" s="41"/>
      <c r="AJ337" s="64"/>
      <c r="AK337" s="64"/>
      <c r="AM337" s="41"/>
      <c r="AN337" s="64"/>
      <c r="AO337" s="64"/>
      <c r="AQ337" s="41"/>
      <c r="AR337" s="64"/>
      <c r="AS337" s="64"/>
    </row>
    <row r="338" spans="1:45" s="5" customFormat="1">
      <c r="A338" s="39"/>
      <c r="B338" s="42"/>
      <c r="C338" s="48" t="str">
        <f t="shared" si="50"/>
        <v>MTN</v>
      </c>
      <c r="D338" s="44" t="str">
        <f t="shared" si="50"/>
        <v>ZAR 92.00</v>
      </c>
      <c r="E338" s="44" t="str">
        <f t="shared" si="50"/>
        <v>ZAR 130.00</v>
      </c>
      <c r="F338" s="45">
        <f t="shared" si="50"/>
        <v>0.41304347826086962</v>
      </c>
      <c r="G338" s="44" t="str">
        <f t="shared" si="50"/>
        <v>Buy</v>
      </c>
      <c r="H338" s="46"/>
      <c r="I338" s="169">
        <f>(MTN!$D$24/MTN!$C$24)-1</f>
        <v>-1.1776753712237631E-2</v>
      </c>
      <c r="J338" s="169">
        <f>(MTN!$E$24/MTN!$D$24)-1</f>
        <v>-0.20050462811160619</v>
      </c>
      <c r="K338" s="169">
        <f>(MTN!$F$24/MTN!$E$24)-1</f>
        <v>0.13548795064761654</v>
      </c>
      <c r="L338" s="169">
        <f>(MTN!$G$24/MTN!$F$24)-1</f>
        <v>0.15041995822621312</v>
      </c>
      <c r="M338" s="45">
        <f>MTN!$H$24</f>
        <v>1.4576885597962663E-2</v>
      </c>
      <c r="N338" s="56"/>
      <c r="O338" s="169">
        <f>(MTN!$D$25/MTN!$C$25)-1</f>
        <v>-0.29602372890841422</v>
      </c>
      <c r="P338" s="169">
        <f>(MTN!$E$25/MTN!$D$25)-1</f>
        <v>0.19469621000268411</v>
      </c>
      <c r="Q338" s="169">
        <f>(MTN!$F$25/MTN!$E$25)-1</f>
        <v>0.28252281612859509</v>
      </c>
      <c r="R338" s="169">
        <f>(MTN!$G$25/MTN!$F$25)-1</f>
        <v>0.18205225310976592</v>
      </c>
      <c r="S338" s="169">
        <f>MTN!$H$25</f>
        <v>0.21895148380249196</v>
      </c>
      <c r="T338" s="46"/>
      <c r="U338" s="48" t="str">
        <f t="shared" si="51"/>
        <v>ZAR 92.00</v>
      </c>
      <c r="V338" s="44" t="str">
        <f t="shared" si="51"/>
        <v>MTN</v>
      </c>
      <c r="Z338" s="46"/>
      <c r="AE338" s="41"/>
      <c r="AF338" s="31"/>
      <c r="AG338" s="31"/>
      <c r="AI338" s="41"/>
      <c r="AJ338" s="64"/>
      <c r="AK338" s="64"/>
      <c r="AM338" s="41"/>
      <c r="AN338" s="64"/>
      <c r="AO338" s="64"/>
      <c r="AQ338" s="41"/>
      <c r="AR338" s="64"/>
      <c r="AS338" s="64"/>
    </row>
    <row r="339" spans="1:45" s="5" customFormat="1">
      <c r="A339" s="39"/>
      <c r="B339" s="42"/>
      <c r="C339" s="48" t="str">
        <f t="shared" si="50"/>
        <v>Safaricom</v>
      </c>
      <c r="D339" s="44" t="str">
        <f t="shared" si="50"/>
        <v>KES 14.80</v>
      </c>
      <c r="E339" s="44" t="str">
        <f t="shared" si="50"/>
        <v>KES 17.0</v>
      </c>
      <c r="F339" s="45">
        <f t="shared" si="50"/>
        <v>0.14864864864864868</v>
      </c>
      <c r="G339" s="44" t="str">
        <f t="shared" si="50"/>
        <v>Neutral</v>
      </c>
      <c r="H339" s="46"/>
      <c r="I339" s="169">
        <f>(SAF!$D$24/SAF!$C$24)-1</f>
        <v>0.18934393488403045</v>
      </c>
      <c r="J339" s="169">
        <f>(SAF!$E$24/SAF!$D$24)-1</f>
        <v>8.4879286375713736E-2</v>
      </c>
      <c r="K339" s="169">
        <f>(SAF!$F$24/SAF!$E$24)-1</f>
        <v>9.2859271009246847E-2</v>
      </c>
      <c r="L339" s="169">
        <f>(SAF!$G$24/SAF!$F$24)-1</f>
        <v>5.6801599029950189E-2</v>
      </c>
      <c r="M339" s="45">
        <f>SAF!$H$24</f>
        <v>7.8068541407177117E-2</v>
      </c>
      <c r="N339" s="56"/>
      <c r="O339" s="169">
        <f>(SAF!$D$25/SAF!$C$25)-1</f>
        <v>0.76529640826453194</v>
      </c>
      <c r="P339" s="169">
        <f>(SAF!$E$25/SAF!$D$25)-1</f>
        <v>-0.10820802090447335</v>
      </c>
      <c r="Q339" s="169">
        <f>(SAF!$F$25/SAF!$E$25)-1</f>
        <v>0.53006167905741797</v>
      </c>
      <c r="R339" s="169">
        <f>(SAF!$G$25/SAF!$F$25)-1</f>
        <v>0.27441749283171002</v>
      </c>
      <c r="S339" s="169">
        <f>SAF!$H$25</f>
        <v>0.20252673734908933</v>
      </c>
      <c r="T339" s="46"/>
      <c r="U339" s="48" t="str">
        <f t="shared" si="51"/>
        <v>KES 14.80</v>
      </c>
      <c r="V339" s="44" t="str">
        <f t="shared" si="51"/>
        <v>Safaricom</v>
      </c>
      <c r="Z339" s="46"/>
      <c r="AE339" s="41"/>
      <c r="AF339" s="31"/>
      <c r="AG339" s="31"/>
      <c r="AI339" s="41"/>
      <c r="AJ339" s="64"/>
      <c r="AK339" s="64"/>
      <c r="AM339" s="41"/>
      <c r="AN339" s="64"/>
      <c r="AO339" s="64"/>
      <c r="AQ339" s="41"/>
      <c r="AR339" s="64"/>
      <c r="AS339" s="64"/>
    </row>
    <row r="340" spans="1:45" s="5" customFormat="1">
      <c r="A340" s="39"/>
      <c r="B340" s="42"/>
      <c r="C340" s="48" t="str">
        <f t="shared" si="50"/>
        <v>Turkcell</v>
      </c>
      <c r="D340" s="44" t="str">
        <f t="shared" si="50"/>
        <v>USD 99.65</v>
      </c>
      <c r="E340" s="44" t="str">
        <f t="shared" si="50"/>
        <v>USD 16.90</v>
      </c>
      <c r="F340" s="45">
        <f t="shared" si="50"/>
        <v>-0.83040642247867535</v>
      </c>
      <c r="G340" s="44" t="str">
        <f t="shared" si="50"/>
        <v>Buy</v>
      </c>
      <c r="H340" s="46"/>
      <c r="I340" s="169">
        <f>(TKC!$D$24/TKC!$C$24)-1</f>
        <v>5.9561869015394509E-2</v>
      </c>
      <c r="J340" s="169">
        <f>(TKC!$E$24/TKC!$D$24)-1</f>
        <v>5.9082445823887886E-2</v>
      </c>
      <c r="K340" s="169">
        <f>(TKC!$F$24/TKC!$E$24)-1</f>
        <v>5.8550544325711718E-2</v>
      </c>
      <c r="L340" s="169">
        <f>(TKC!$G$24/TKC!$F$24)-1</f>
        <v>5.8004463140254758E-2</v>
      </c>
      <c r="M340" s="45">
        <f>TKC!$H$24</f>
        <v>5.8545726276221677E-2</v>
      </c>
      <c r="N340" s="56"/>
      <c r="O340" s="169">
        <f>(TKC!$D$25/TKC!$C$25)-1</f>
        <v>5.2276783953843164E-2</v>
      </c>
      <c r="P340" s="169">
        <f>(TKC!$E$25/TKC!$D$25)-1</f>
        <v>9.4605639612265424E-2</v>
      </c>
      <c r="Q340" s="169">
        <f>(TKC!$F$25/TKC!$E$25)-1</f>
        <v>9.0847195885055632E-2</v>
      </c>
      <c r="R340" s="169">
        <f>(TKC!$G$25/TKC!$F$25)-1</f>
        <v>5.1075034357674021E-2</v>
      </c>
      <c r="S340" s="169">
        <f>TKC!$H$25</f>
        <v>7.8661324138610045E-2</v>
      </c>
      <c r="T340" s="46"/>
      <c r="U340" s="48" t="str">
        <f t="shared" si="51"/>
        <v>USD 99.65</v>
      </c>
      <c r="V340" s="44" t="str">
        <f t="shared" si="51"/>
        <v>Turkcell</v>
      </c>
      <c r="Z340" s="46"/>
      <c r="AE340" s="41"/>
      <c r="AF340" s="31"/>
      <c r="AG340" s="31"/>
      <c r="AI340" s="41"/>
      <c r="AJ340" s="64"/>
      <c r="AK340" s="64"/>
      <c r="AM340" s="41"/>
      <c r="AN340" s="64"/>
      <c r="AO340" s="64"/>
      <c r="AQ340" s="41"/>
      <c r="AR340" s="64"/>
      <c r="AS340" s="64"/>
    </row>
    <row r="341" spans="1:45" s="5" customFormat="1">
      <c r="A341" s="39"/>
      <c r="B341" s="42"/>
      <c r="C341" s="48" t="str">
        <f t="shared" si="50"/>
        <v>VEON</v>
      </c>
      <c r="D341" s="44" t="str">
        <f t="shared" si="50"/>
        <v>USD 27.2</v>
      </c>
      <c r="E341" s="44" t="str">
        <f t="shared" si="50"/>
        <v>USD 40.0</v>
      </c>
      <c r="F341" s="45">
        <f t="shared" si="50"/>
        <v>0.47058823529411775</v>
      </c>
      <c r="G341" s="44" t="str">
        <f t="shared" si="50"/>
        <v>Buy</v>
      </c>
      <c r="H341" s="46"/>
      <c r="I341" s="45">
        <f>(VIMP!$D$24/VIMP!$C$24)-1</f>
        <v>-7.8992452389007761E-2</v>
      </c>
      <c r="J341" s="45">
        <f>(VIMP!$E$24/VIMP!$D$24)-1</f>
        <v>0.14873029503272184</v>
      </c>
      <c r="K341" s="45">
        <f>(VIMP!$F$24/VIMP!$E$24)-1</f>
        <v>6.4370177494315506E-2</v>
      </c>
      <c r="L341" s="45">
        <f>(VIMP!$G$24/VIMP!$F$24)-1</f>
        <v>5.8290523367701574E-2</v>
      </c>
      <c r="M341" s="45">
        <f>VIMP!$H$24</f>
        <v>8.9695673255873132E-2</v>
      </c>
      <c r="N341" s="56"/>
      <c r="O341" s="45">
        <f>(VIMP!$D$25/VIMP!$C$25)-1</f>
        <v>5.7352149208570902E-2</v>
      </c>
      <c r="P341" s="45">
        <f>(VIMP!$E$25/VIMP!$D$25)-1</f>
        <v>0.20740663770320089</v>
      </c>
      <c r="Q341" s="45">
        <f>(VIMP!$F$25/VIMP!$E$25)-1</f>
        <v>3.5921329922620648E-2</v>
      </c>
      <c r="R341" s="45">
        <f>(VIMP!$G$25/VIMP!$F$25)-1</f>
        <v>6.581752387201667E-2</v>
      </c>
      <c r="S341" s="45">
        <f>VIMP!$H$25</f>
        <v>0.10057859914116829</v>
      </c>
      <c r="T341" s="46"/>
      <c r="U341" s="48" t="str">
        <f t="shared" si="51"/>
        <v>USD 27.2</v>
      </c>
      <c r="V341" s="44" t="str">
        <f t="shared" si="51"/>
        <v>Vimpel Com</v>
      </c>
      <c r="Z341" s="46"/>
      <c r="AE341" s="41"/>
      <c r="AF341" s="31"/>
      <c r="AG341" s="31"/>
      <c r="AI341" s="41"/>
      <c r="AJ341" s="64"/>
      <c r="AK341" s="64"/>
      <c r="AM341" s="41"/>
      <c r="AN341" s="64"/>
      <c r="AO341" s="64"/>
      <c r="AQ341" s="41"/>
      <c r="AR341" s="64"/>
      <c r="AS341" s="64"/>
    </row>
    <row r="342" spans="1:45" s="5" customFormat="1">
      <c r="A342" s="39"/>
      <c r="B342" s="42"/>
      <c r="C342" s="48" t="str">
        <f t="shared" si="50"/>
        <v>Vodacom</v>
      </c>
      <c r="D342" s="44" t="str">
        <f t="shared" si="50"/>
        <v>ZAR 111.1</v>
      </c>
      <c r="E342" s="44" t="str">
        <f t="shared" si="50"/>
        <v>ZAR 150.0</v>
      </c>
      <c r="F342" s="45">
        <f t="shared" si="50"/>
        <v>0.34989200863930892</v>
      </c>
      <c r="G342" s="44" t="str">
        <f t="shared" si="50"/>
        <v>Buy</v>
      </c>
      <c r="H342" s="46"/>
      <c r="I342" s="45">
        <f>(VODA!$D$24/VODA!$C$24)-1</f>
        <v>0.24304447988658517</v>
      </c>
      <c r="J342" s="45">
        <f>(VODA!$E$24/VODA!$D$24)-1</f>
        <v>-1.598712278842529E-2</v>
      </c>
      <c r="K342" s="45">
        <f>(VODA!$F$24/VODA!$E$24)-1</f>
        <v>0.11001909546830291</v>
      </c>
      <c r="L342" s="45">
        <f>(VODA!$G$24/VODA!$F$24)-1</f>
        <v>8.5410555378936381E-2</v>
      </c>
      <c r="M342" s="45">
        <f>VODA!$H$24</f>
        <v>5.8380324139227779E-2</v>
      </c>
      <c r="N342" s="56"/>
      <c r="O342" s="45">
        <f>(VODA!$D$25/VODA!$C$25)-1</f>
        <v>0.24568995602708177</v>
      </c>
      <c r="P342" s="45">
        <f>(VODA!$E$25/VODA!$D$25)-1</f>
        <v>-3.5098755272919724E-2</v>
      </c>
      <c r="Q342" s="45">
        <f>(VODA!$F$25/VODA!$E$25)-1</f>
        <v>0.12207444612130725</v>
      </c>
      <c r="R342" s="45">
        <f>(VODA!$G$25/VODA!$F$25)-1</f>
        <v>9.3263769321401346E-2</v>
      </c>
      <c r="S342" s="45">
        <f>VODA!$H$25</f>
        <v>5.7815268871281411E-2</v>
      </c>
      <c r="T342" s="46"/>
      <c r="U342" s="48" t="str">
        <f t="shared" si="51"/>
        <v>ZAR 111.1</v>
      </c>
      <c r="V342" s="44" t="str">
        <f t="shared" si="51"/>
        <v>Vodacom</v>
      </c>
      <c r="Z342" s="46"/>
      <c r="AE342" s="41"/>
      <c r="AF342" s="31"/>
      <c r="AG342" s="31"/>
      <c r="AI342" s="41"/>
      <c r="AJ342" s="64"/>
      <c r="AK342" s="64"/>
      <c r="AM342" s="41"/>
      <c r="AN342" s="64"/>
      <c r="AO342" s="64"/>
      <c r="AQ342" s="41"/>
      <c r="AR342" s="64"/>
      <c r="AS342" s="64"/>
    </row>
    <row r="343" spans="1:45" s="5" customFormat="1">
      <c r="A343" s="39"/>
      <c r="B343" s="42"/>
      <c r="C343" s="51" t="str">
        <f>C281</f>
        <v>Agg. EMEA Cellular</v>
      </c>
      <c r="D343" s="52"/>
      <c r="E343" s="52"/>
      <c r="F343" s="53"/>
      <c r="G343" s="52"/>
      <c r="H343" s="46"/>
      <c r="I343" s="55">
        <f>('EMEA CELLULAR'!$D$24/'EMEA CELLULAR'!$C$24)-1</f>
        <v>3.0667107506472169E-2</v>
      </c>
      <c r="J343" s="55">
        <f>('EMEA CELLULAR'!$E$24/'EMEA CELLULAR'!$D$24)-1</f>
        <v>-5.0450312492291816E-2</v>
      </c>
      <c r="K343" s="55">
        <f>('EMEA CELLULAR'!$F$24/'EMEA CELLULAR'!$E$24)-1</f>
        <v>0.10268771574125313</v>
      </c>
      <c r="L343" s="55">
        <f>('EMEA CELLULAR'!$G$24/'EMEA CELLULAR'!$F$24)-1</f>
        <v>9.5058165258412597E-2</v>
      </c>
      <c r="M343" s="55">
        <f>'EMEA CELLULAR'!$H$24</f>
        <v>4.6652398847596643E-2</v>
      </c>
      <c r="N343" s="56"/>
      <c r="O343" s="55">
        <f>('EMEA CELLULAR'!$D$25/'EMEA CELLULAR'!$C$25)-1</f>
        <v>-6.6423114478696421E-3</v>
      </c>
      <c r="P343" s="55">
        <f>('EMEA CELLULAR'!$E$25/'EMEA CELLULAR'!$D$25)-1</f>
        <v>4.1046924767415227E-2</v>
      </c>
      <c r="Q343" s="55">
        <f>('EMEA CELLULAR'!$F$25/'EMEA CELLULAR'!$E$25)-1</f>
        <v>0.15952967148882324</v>
      </c>
      <c r="R343" s="55">
        <f>('EMEA CELLULAR'!$G$25/'EMEA CELLULAR'!$F$25)-1</f>
        <v>0.1237440141937185</v>
      </c>
      <c r="S343" s="55">
        <f>'EMEA CELLULAR'!$H$25</f>
        <v>0.10698020388173712</v>
      </c>
      <c r="T343" s="46"/>
      <c r="U343" s="57"/>
      <c r="V343" s="58" t="str">
        <f>V281</f>
        <v>Agg. EMEA Cellular</v>
      </c>
      <c r="Z343" s="46"/>
      <c r="AE343" s="41"/>
      <c r="AF343" s="31"/>
      <c r="AG343" s="31"/>
      <c r="AI343" s="41"/>
      <c r="AJ343" s="64"/>
      <c r="AK343" s="64"/>
      <c r="AM343" s="41"/>
      <c r="AN343" s="64"/>
      <c r="AO343" s="64"/>
      <c r="AQ343" s="41"/>
      <c r="AR343" s="64"/>
      <c r="AS343" s="64"/>
    </row>
    <row r="344" spans="1:45" s="5" customFormat="1">
      <c r="B344" s="42"/>
      <c r="C344" s="43"/>
      <c r="D344" s="44"/>
      <c r="E344" s="44"/>
      <c r="F344" s="45"/>
      <c r="G344" s="44"/>
      <c r="H344" s="46"/>
      <c r="I344" s="45"/>
      <c r="J344" s="45"/>
      <c r="K344" s="45"/>
      <c r="L344" s="45"/>
      <c r="M344" s="45"/>
      <c r="N344" s="56"/>
      <c r="O344" s="45"/>
      <c r="P344" s="45"/>
      <c r="Q344" s="45"/>
      <c r="R344" s="45"/>
      <c r="S344" s="45"/>
      <c r="T344" s="46"/>
      <c r="U344" s="48"/>
      <c r="V344" s="50"/>
      <c r="Z344" s="46"/>
      <c r="AE344" s="41"/>
      <c r="AF344" s="31"/>
      <c r="AG344" s="31"/>
      <c r="AI344" s="41"/>
      <c r="AJ344" s="64"/>
      <c r="AK344" s="64"/>
      <c r="AM344" s="41"/>
      <c r="AN344" s="64"/>
      <c r="AO344" s="64"/>
      <c r="AQ344" s="41"/>
      <c r="AR344" s="64"/>
      <c r="AS344" s="64"/>
    </row>
    <row r="345" spans="1:45" s="5" customFormat="1">
      <c r="B345" s="42"/>
      <c r="C345" s="48" t="str">
        <f t="shared" ref="C345:G347" si="52">C283</f>
        <v>Entel</v>
      </c>
      <c r="D345" s="44" t="str">
        <f t="shared" si="52"/>
        <v>CLP 2,900</v>
      </c>
      <c r="E345" s="44" t="str">
        <f t="shared" si="52"/>
        <v>CLP 3,150</v>
      </c>
      <c r="F345" s="45">
        <f t="shared" si="52"/>
        <v>8.6206896551724199E-2</v>
      </c>
      <c r="G345" s="44" t="str">
        <f t="shared" si="52"/>
        <v>Neutral</v>
      </c>
      <c r="H345" s="46"/>
      <c r="I345" s="169">
        <f>(ENTEL!$D$24/ENTEL!$C$24)-1</f>
        <v>7.364900897522042E-2</v>
      </c>
      <c r="J345" s="169">
        <f>(ENTEL!$E$24/ENTEL!$D$24)-1</f>
        <v>6.4340300744376799E-2</v>
      </c>
      <c r="K345" s="169">
        <f>(ENTEL!$F$24/ENTEL!$E$24)-1</f>
        <v>6.3104409690005081E-2</v>
      </c>
      <c r="L345" s="169">
        <f>(ENTEL!$G$24/ENTEL!$F$24)-1</f>
        <v>6.1183280934368423E-2</v>
      </c>
      <c r="M345" s="45">
        <f>ENTEL!$H$24</f>
        <v>6.28752032525417E-2</v>
      </c>
      <c r="N345" s="56"/>
      <c r="O345" s="169">
        <f>(ENTEL!$D$25/ENTEL!$C$25)-1</f>
        <v>0.29953817072939803</v>
      </c>
      <c r="P345" s="169">
        <f>(ENTEL!$E$25/ENTEL!$D$25)-1</f>
        <v>0.16195807820664454</v>
      </c>
      <c r="Q345" s="169">
        <f>(ENTEL!$F$25/ENTEL!$E$25)-1</f>
        <v>0.15921898454988836</v>
      </c>
      <c r="R345" s="169">
        <f>(ENTEL!$G$25/ENTEL!$F$25)-1</f>
        <v>0.11310667973633026</v>
      </c>
      <c r="S345" s="169">
        <f>ENTEL!$H$25</f>
        <v>0.1445398311886632</v>
      </c>
      <c r="T345" s="46"/>
      <c r="U345" s="48" t="str">
        <f t="shared" ref="U345:V347" si="53">U283</f>
        <v>CLP 2,900</v>
      </c>
      <c r="V345" s="44" t="str">
        <f t="shared" si="53"/>
        <v>Entel</v>
      </c>
      <c r="Z345" s="46"/>
      <c r="AE345" s="41"/>
      <c r="AF345" s="31"/>
      <c r="AG345" s="31"/>
      <c r="AI345" s="41"/>
      <c r="AJ345" s="64"/>
      <c r="AK345" s="64"/>
      <c r="AM345" s="41"/>
      <c r="AN345" s="64"/>
      <c r="AO345" s="64"/>
      <c r="AQ345" s="41"/>
      <c r="AR345" s="64"/>
      <c r="AS345" s="64"/>
    </row>
    <row r="346" spans="1:45" s="5" customFormat="1">
      <c r="B346" s="42"/>
      <c r="C346" s="48" t="str">
        <f t="shared" si="52"/>
        <v>Millicom</v>
      </c>
      <c r="D346" s="44" t="str">
        <f t="shared" si="52"/>
        <v>USD  26.6</v>
      </c>
      <c r="E346" s="44" t="str">
        <f t="shared" si="52"/>
        <v>USD 18.0</v>
      </c>
      <c r="F346" s="45">
        <f t="shared" si="52"/>
        <v>-0.32407059707097252</v>
      </c>
      <c r="G346" s="44" t="str">
        <f t="shared" si="52"/>
        <v>Neutral</v>
      </c>
      <c r="H346" s="46"/>
      <c r="I346" s="169">
        <f>(MILLI!$D$24/MILLI!$C$24)-1</f>
        <v>-3.5703277173319892E-2</v>
      </c>
      <c r="J346" s="169">
        <f>(MILLI!$E$24/MILLI!$D$24)-1</f>
        <v>1.3473194189742799E-2</v>
      </c>
      <c r="K346" s="169">
        <f>(MILLI!$F$24/MILLI!$E$24)-1</f>
        <v>3.0898503686831003E-2</v>
      </c>
      <c r="L346" s="169">
        <f>(MILLI!$G$24/MILLI!$F$24)-1</f>
        <v>3.5076597094688466E-2</v>
      </c>
      <c r="M346" s="45">
        <f>MILLI!$H$24</f>
        <v>2.6439969252693762E-2</v>
      </c>
      <c r="N346" s="56"/>
      <c r="O346" s="169">
        <f>(MILLI!$D$25/MILLI!$C$25)-1</f>
        <v>2.3429387186608475E-2</v>
      </c>
      <c r="P346" s="169">
        <f>(MILLI!$E$25/MILLI!$D$25)-1</f>
        <v>3.0796932597046522E-2</v>
      </c>
      <c r="Q346" s="169">
        <f>(MILLI!$F$25/MILLI!$E$25)-1</f>
        <v>5.0928837146379857E-2</v>
      </c>
      <c r="R346" s="169">
        <f>(MILLI!$G$25/MILLI!$F$25)-1</f>
        <v>4.6205344438754903E-2</v>
      </c>
      <c r="S346" s="169">
        <f>MILLI!$H$25</f>
        <v>4.2608161608423067E-2</v>
      </c>
      <c r="T346" s="46"/>
      <c r="U346" s="48" t="str">
        <f t="shared" si="53"/>
        <v>USD  26.6</v>
      </c>
      <c r="V346" s="44" t="str">
        <f t="shared" si="53"/>
        <v>Millicom</v>
      </c>
      <c r="Z346" s="46"/>
      <c r="AE346" s="41"/>
      <c r="AF346" s="31"/>
      <c r="AG346" s="31"/>
      <c r="AI346" s="41"/>
      <c r="AJ346" s="64"/>
      <c r="AK346" s="64"/>
      <c r="AM346" s="41"/>
      <c r="AN346" s="64"/>
      <c r="AO346" s="64"/>
      <c r="AQ346" s="41"/>
      <c r="AR346" s="64"/>
      <c r="AS346" s="64"/>
    </row>
    <row r="347" spans="1:45" s="5" customFormat="1">
      <c r="B347" s="42"/>
      <c r="C347" s="48" t="str">
        <f t="shared" si="52"/>
        <v>TIM Participacoes</v>
      </c>
      <c r="D347" s="44" t="str">
        <f t="shared" si="52"/>
        <v>BRL 18.63</v>
      </c>
      <c r="E347" s="44" t="str">
        <f t="shared" si="52"/>
        <v>BRL 23.00</v>
      </c>
      <c r="F347" s="45">
        <f t="shared" si="52"/>
        <v>0.23456790123456805</v>
      </c>
      <c r="G347" s="44" t="str">
        <f t="shared" si="52"/>
        <v>Buy</v>
      </c>
      <c r="H347" s="46"/>
      <c r="I347" s="45">
        <f>(TIMP!$D$24/TIMP!$C$24)-1</f>
        <v>0.14628224227761466</v>
      </c>
      <c r="J347" s="45">
        <f>(TIMP!$E$24/TIMP!$D$24)-1</f>
        <v>9.8378839663347595E-2</v>
      </c>
      <c r="K347" s="45">
        <f>(TIMP!$F$24/TIMP!$E$24)-1</f>
        <v>7.7834217194907351E-2</v>
      </c>
      <c r="L347" s="45">
        <f>(TIMP!$G$24/TIMP!$F$24)-1</f>
        <v>3.97234560898303E-2</v>
      </c>
      <c r="M347" s="45">
        <f>TIMP!$H$24</f>
        <v>7.1701870419550895E-2</v>
      </c>
      <c r="N347" s="56"/>
      <c r="O347" s="45">
        <f>(TIMP!$D$25/TIMP!$C$25)-1</f>
        <v>0.306302105116532</v>
      </c>
      <c r="P347" s="45">
        <f>(TIMP!$E$25/TIMP!$D$25)-1</f>
        <v>0.16679749590075055</v>
      </c>
      <c r="Q347" s="45">
        <f>(TIMP!$F$25/TIMP!$E$25)-1</f>
        <v>0.12488138501077861</v>
      </c>
      <c r="R347" s="45">
        <f>(TIMP!$G$25/TIMP!$F$25)-1</f>
        <v>3.9593090698300415E-2</v>
      </c>
      <c r="S347" s="45">
        <f>TIMP!$H$25</f>
        <v>0.10914553252012116</v>
      </c>
      <c r="T347" s="46"/>
      <c r="U347" s="48" t="str">
        <f t="shared" si="53"/>
        <v>BRL 18.63</v>
      </c>
      <c r="V347" s="44" t="str">
        <f t="shared" si="53"/>
        <v>TIM Participacoes</v>
      </c>
      <c r="Z347" s="46"/>
      <c r="AE347" s="41"/>
      <c r="AF347" s="31"/>
      <c r="AG347" s="31"/>
      <c r="AI347" s="41"/>
      <c r="AJ347" s="64"/>
      <c r="AK347" s="64"/>
      <c r="AM347" s="41"/>
      <c r="AN347" s="64"/>
      <c r="AO347" s="64"/>
      <c r="AQ347" s="41"/>
      <c r="AR347" s="64"/>
      <c r="AS347" s="64"/>
    </row>
    <row r="348" spans="1:45" s="5" customFormat="1">
      <c r="B348" s="42"/>
      <c r="C348" s="51" t="str">
        <f>C286</f>
        <v>Agg. LatAm Cellular</v>
      </c>
      <c r="D348" s="52"/>
      <c r="E348" s="52"/>
      <c r="F348" s="53"/>
      <c r="G348" s="52"/>
      <c r="H348" s="46"/>
      <c r="I348" s="55">
        <f>('LATAM CELLULAR'!$D$24/'LATAM CELLULAR'!$C$24)-1</f>
        <v>5.040771511181763E-2</v>
      </c>
      <c r="J348" s="55">
        <f>('LATAM CELLULAR'!$E$24/'LATAM CELLULAR'!$D$24)-1</f>
        <v>5.678791719052656E-2</v>
      </c>
      <c r="K348" s="55">
        <f>('LATAM CELLULAR'!$F$24/'LATAM CELLULAR'!$E$24)-1</f>
        <v>5.6255124244812604E-2</v>
      </c>
      <c r="L348" s="55">
        <f>('LATAM CELLULAR'!$G$24/'LATAM CELLULAR'!$F$24)-1</f>
        <v>4.1032785011432926E-2</v>
      </c>
      <c r="M348" s="55">
        <f>'LATAM CELLULAR'!$H$24</f>
        <v>5.1333149380524246E-2</v>
      </c>
      <c r="N348" s="56"/>
      <c r="O348" s="55">
        <f>('LATAM CELLULAR'!$D$25/'LATAM CELLULAR'!$C$25)-1</f>
        <v>0.16183901346607321</v>
      </c>
      <c r="P348" s="55">
        <f>('LATAM CELLULAR'!$E$25/'LATAM CELLULAR'!$D$25)-1</f>
        <v>0.10538373752163821</v>
      </c>
      <c r="Q348" s="55">
        <f>('LATAM CELLULAR'!$F$25/'LATAM CELLULAR'!$E$25)-1</f>
        <v>9.7673608646949628E-2</v>
      </c>
      <c r="R348" s="55">
        <f>('LATAM CELLULAR'!$G$25/'LATAM CELLULAR'!$F$25)-1</f>
        <v>5.0565052239847086E-2</v>
      </c>
      <c r="S348" s="55">
        <f>'LATAM CELLULAR'!$H$25</f>
        <v>8.4267435127213242E-2</v>
      </c>
      <c r="T348" s="46"/>
      <c r="U348" s="57"/>
      <c r="V348" s="58" t="str">
        <f>V286</f>
        <v>Agg. LatAm Cellular</v>
      </c>
      <c r="Z348" s="46"/>
      <c r="AE348" s="41"/>
      <c r="AF348" s="31"/>
      <c r="AG348" s="31"/>
      <c r="AI348" s="41"/>
      <c r="AJ348" s="64"/>
      <c r="AK348" s="64"/>
      <c r="AM348" s="41"/>
      <c r="AN348" s="64"/>
      <c r="AO348" s="64"/>
      <c r="AQ348" s="41"/>
      <c r="AR348" s="64"/>
      <c r="AS348" s="64"/>
    </row>
    <row r="349" spans="1:45" s="5" customFormat="1">
      <c r="A349" s="39"/>
      <c r="B349" s="42"/>
      <c r="C349" s="43"/>
      <c r="D349" s="44"/>
      <c r="E349" s="44"/>
      <c r="F349" s="45"/>
      <c r="G349" s="44"/>
      <c r="H349" s="46"/>
      <c r="I349" s="45"/>
      <c r="J349" s="45"/>
      <c r="K349" s="45"/>
      <c r="L349" s="45"/>
      <c r="M349" s="45"/>
      <c r="N349" s="46"/>
      <c r="O349" s="45"/>
      <c r="P349" s="45"/>
      <c r="Q349" s="45"/>
      <c r="R349" s="45"/>
      <c r="S349" s="45"/>
      <c r="T349" s="46"/>
      <c r="U349" s="48"/>
      <c r="V349" s="50"/>
      <c r="Z349" s="46"/>
      <c r="AE349" s="41"/>
      <c r="AF349" s="31"/>
      <c r="AG349" s="31"/>
      <c r="AI349" s="41"/>
      <c r="AJ349" s="64"/>
      <c r="AK349" s="64"/>
      <c r="AM349" s="41"/>
      <c r="AN349" s="64"/>
      <c r="AO349" s="64"/>
      <c r="AQ349" s="41"/>
      <c r="AR349" s="64"/>
      <c r="AS349" s="64"/>
    </row>
    <row r="350" spans="1:45" s="5" customFormat="1">
      <c r="B350" s="42"/>
      <c r="C350" s="48" t="str">
        <f t="shared" ref="C350:G363" si="54">C288</f>
        <v>AIS</v>
      </c>
      <c r="D350" s="44" t="str">
        <f t="shared" si="54"/>
        <v>THB 269.0</v>
      </c>
      <c r="E350" s="44" t="str">
        <f t="shared" si="54"/>
        <v>THB 300.0</v>
      </c>
      <c r="F350" s="45">
        <f t="shared" si="54"/>
        <v>0.11524163568773238</v>
      </c>
      <c r="G350" s="44" t="str">
        <f t="shared" si="54"/>
        <v>Buy</v>
      </c>
      <c r="H350" s="46"/>
      <c r="I350" s="45">
        <f>(ADVANCED!$D$24/ADVANCED!$C$24)-1</f>
        <v>4.0797672526223128E-2</v>
      </c>
      <c r="J350" s="45">
        <f>(ADVANCED!$E$24/ADVANCED!$D$24)-1</f>
        <v>0.16382982291830395</v>
      </c>
      <c r="K350" s="45">
        <f>(ADVANCED!$F$24/ADVANCED!$E$24)-1</f>
        <v>6.5213064217376049E-2</v>
      </c>
      <c r="L350" s="45">
        <f>(ADVANCED!$G$24/ADVANCED!$F$24)-1</f>
        <v>3.3989579436563888E-2</v>
      </c>
      <c r="M350" s="45">
        <f>ADVANCED!$H$24</f>
        <v>8.6293987917293702E-2</v>
      </c>
      <c r="N350" s="46"/>
      <c r="O350" s="45">
        <f>(ADVANCED!$D$25/ADVANCED!$C$25)-1</f>
        <v>-2.1029012732206254E-2</v>
      </c>
      <c r="P350" s="45">
        <f>(ADVANCED!$E$25/ADVANCED!$D$25)-1</f>
        <v>0.46879083196888871</v>
      </c>
      <c r="Q350" s="45">
        <f>(ADVANCED!$F$25/ADVANCED!$E$25)-1</f>
        <v>8.5723305241797387E-2</v>
      </c>
      <c r="R350" s="45">
        <f>(ADVANCED!$G$25/ADVANCED!$F$25)-1</f>
        <v>1.0907403799276238E-3</v>
      </c>
      <c r="S350" s="45">
        <f>ADVANCED!$H$25</f>
        <v>0.16873895371596181</v>
      </c>
      <c r="T350" s="46"/>
      <c r="U350" s="48" t="str">
        <f t="shared" ref="U350:V363" si="55">U288</f>
        <v>THB 269.0</v>
      </c>
      <c r="V350" s="44" t="str">
        <f t="shared" si="55"/>
        <v>AIS</v>
      </c>
      <c r="Z350" s="46"/>
      <c r="AE350" s="41"/>
      <c r="AF350" s="31"/>
      <c r="AG350" s="31"/>
      <c r="AI350" s="41"/>
      <c r="AJ350" s="64"/>
      <c r="AK350" s="64"/>
      <c r="AM350" s="41"/>
      <c r="AN350" s="64"/>
      <c r="AO350" s="64"/>
      <c r="AQ350" s="41"/>
      <c r="AR350" s="64"/>
      <c r="AS350" s="64"/>
    </row>
    <row r="351" spans="1:45" s="5" customFormat="1">
      <c r="A351" s="39"/>
      <c r="B351" s="42"/>
      <c r="C351" s="48" t="str">
        <f t="shared" si="54"/>
        <v>Axiata</v>
      </c>
      <c r="D351" s="44" t="str">
        <f t="shared" si="54"/>
        <v>MYR 2.44</v>
      </c>
      <c r="E351" s="44" t="str">
        <f t="shared" si="54"/>
        <v>MYR 4.50</v>
      </c>
      <c r="F351" s="45">
        <f t="shared" si="54"/>
        <v>0.84426229508196715</v>
      </c>
      <c r="G351" s="44" t="str">
        <f t="shared" si="54"/>
        <v>Buy</v>
      </c>
      <c r="H351" s="46"/>
      <c r="I351" s="45">
        <f>(AXI!$D$24/AXI!$C$24)-1</f>
        <v>-0.10829120322819474</v>
      </c>
      <c r="J351" s="45">
        <f>(AXI!$E$24/AXI!$D$24)-1</f>
        <v>4.6618579869265098E-2</v>
      </c>
      <c r="K351" s="45">
        <f>(AXI!$F$24/AXI!$E$24)-1</f>
        <v>6.7245091502968091E-2</v>
      </c>
      <c r="L351" s="45">
        <f>(AXI!$G$24/AXI!$F$24)-1</f>
        <v>5.5962285250463095E-2</v>
      </c>
      <c r="M351" s="45">
        <f>AXI!$H$24</f>
        <v>5.6575017875276856E-2</v>
      </c>
      <c r="N351" s="46"/>
      <c r="O351" s="45">
        <f>(AXI!$D$25/AXI!$C$25)-1</f>
        <v>-0.18046639436118039</v>
      </c>
      <c r="P351" s="45">
        <f>(AXI!$E$25/AXI!$D$25)-1</f>
        <v>4.0007675896565065E-2</v>
      </c>
      <c r="Q351" s="45">
        <f>(AXI!$F$25/AXI!$E$25)-1</f>
        <v>7.7451892463809013E-3</v>
      </c>
      <c r="R351" s="45">
        <f>(AXI!$G$25/AXI!$F$25)-1</f>
        <v>6.9599720272357946E-2</v>
      </c>
      <c r="S351" s="45">
        <f>AXI!$H$25</f>
        <v>3.8810154632409111E-2</v>
      </c>
      <c r="T351" s="46"/>
      <c r="U351" s="48" t="str">
        <f t="shared" si="55"/>
        <v>MYR 2.44</v>
      </c>
      <c r="V351" s="44" t="str">
        <f t="shared" si="55"/>
        <v>Axiata</v>
      </c>
      <c r="Z351" s="46"/>
      <c r="AE351" s="41"/>
      <c r="AF351" s="31"/>
      <c r="AG351" s="31"/>
      <c r="AI351" s="41"/>
      <c r="AJ351" s="64"/>
      <c r="AK351" s="64"/>
      <c r="AM351" s="41"/>
      <c r="AN351" s="64"/>
      <c r="AO351" s="64"/>
      <c r="AQ351" s="41"/>
      <c r="AR351" s="64"/>
      <c r="AS351" s="64"/>
    </row>
    <row r="352" spans="1:45" s="5" customFormat="1">
      <c r="A352" s="39"/>
      <c r="B352" s="42"/>
      <c r="C352" s="48" t="str">
        <f t="shared" si="54"/>
        <v>Bharti Airtel</v>
      </c>
      <c r="D352" s="44" t="str">
        <f t="shared" si="54"/>
        <v>INR 1539</v>
      </c>
      <c r="E352" s="44" t="str">
        <f t="shared" si="54"/>
        <v>INR 1500</v>
      </c>
      <c r="F352" s="45">
        <f t="shared" si="54"/>
        <v>-2.5404457150282611E-2</v>
      </c>
      <c r="G352" s="44" t="str">
        <f t="shared" si="54"/>
        <v>Neutral</v>
      </c>
      <c r="H352" s="46"/>
      <c r="I352" s="45">
        <f>(BHART!$D$24/BHART!$C$24)-1</f>
        <v>0.10194410609936866</v>
      </c>
      <c r="J352" s="45">
        <f>(BHART!$E$24/BHART!$D$24)-1</f>
        <v>0.14281163728266755</v>
      </c>
      <c r="K352" s="45">
        <f>(BHART!$F$24/BHART!$E$24)-1</f>
        <v>0.16760102117965414</v>
      </c>
      <c r="L352" s="45">
        <f>(BHART!$G$24/BHART!$F$24)-1</f>
        <v>0.14863378402984218</v>
      </c>
      <c r="M352" s="45">
        <f>BHART!$H$24</f>
        <v>0.15296706595857801</v>
      </c>
      <c r="N352" s="46"/>
      <c r="O352" s="45">
        <f>(BHART!$D$25/BHART!$C$25)-1</f>
        <v>4.9718957901903948E-2</v>
      </c>
      <c r="P352" s="45">
        <f>(BHART!$E$25/BHART!$D$25)-1</f>
        <v>0.33807229877093903</v>
      </c>
      <c r="Q352" s="45">
        <f>(BHART!$F$25/BHART!$E$25)-1</f>
        <v>0.27609779482467722</v>
      </c>
      <c r="R352" s="45">
        <f>(BHART!$G$25/BHART!$F$25)-1</f>
        <v>0.23969298470881717</v>
      </c>
      <c r="S352" s="45">
        <f>BHART!$H$25</f>
        <v>0.28398286260087913</v>
      </c>
      <c r="T352" s="46"/>
      <c r="U352" s="48" t="str">
        <f t="shared" si="55"/>
        <v>INR 1539</v>
      </c>
      <c r="V352" s="44" t="str">
        <f t="shared" si="55"/>
        <v>Bharti Airtel</v>
      </c>
      <c r="Z352" s="46"/>
      <c r="AE352" s="41"/>
      <c r="AF352" s="31"/>
      <c r="AG352" s="31"/>
      <c r="AI352" s="41"/>
      <c r="AJ352" s="64"/>
      <c r="AK352" s="64"/>
      <c r="AM352" s="41"/>
      <c r="AN352" s="64"/>
      <c r="AO352" s="64"/>
      <c r="AQ352" s="41"/>
      <c r="AR352" s="64"/>
      <c r="AS352" s="64"/>
    </row>
    <row r="353" spans="1:45" s="5" customFormat="1">
      <c r="B353" s="42"/>
      <c r="C353" s="48" t="str">
        <f t="shared" si="54"/>
        <v>China Mobile</v>
      </c>
      <c r="D353" s="44" t="str">
        <f t="shared" si="54"/>
        <v>HKD 72.0</v>
      </c>
      <c r="E353" s="44" t="str">
        <f t="shared" si="54"/>
        <v>HKD 115.0</v>
      </c>
      <c r="F353" s="45">
        <f t="shared" si="54"/>
        <v>0.59722222222222232</v>
      </c>
      <c r="G353" s="44" t="str">
        <f t="shared" si="54"/>
        <v>Buy</v>
      </c>
      <c r="H353" s="46"/>
      <c r="I353" s="45">
        <f>(_CM!$D$24/_CM!$C$24)-1</f>
        <v>3.7372104892215763E-2</v>
      </c>
      <c r="J353" s="45">
        <f>(_CM!$E$24/_CM!$D$24)-1</f>
        <v>1.3962595109621834E-2</v>
      </c>
      <c r="K353" s="45">
        <f>(_CM!$F$24/_CM!$E$24)-1</f>
        <v>2.8815725639758316E-2</v>
      </c>
      <c r="L353" s="45">
        <f>(_CM!$G$24/_CM!$F$24)-1</f>
        <v>3.5503733560911854E-2</v>
      </c>
      <c r="M353" s="45">
        <f>_CM!$H$24</f>
        <v>2.6054428351446557E-2</v>
      </c>
      <c r="N353" s="46"/>
      <c r="O353" s="45">
        <f>(_CM!$D$25/_CM!$C$25)-1</f>
        <v>0.11500091286090619</v>
      </c>
      <c r="P353" s="45">
        <f>(_CM!$E$25/_CM!$D$25)-1</f>
        <v>6.1312936386155981E-2</v>
      </c>
      <c r="Q353" s="45">
        <f>(_CM!$F$25/_CM!$E$25)-1</f>
        <v>8.1367134376404415E-2</v>
      </c>
      <c r="R353" s="45">
        <f>(_CM!$G$25/_CM!$F$25)-1</f>
        <v>5.1450602186767336E-2</v>
      </c>
      <c r="S353" s="45">
        <f>_CM!$H$25</f>
        <v>6.4637679710742635E-2</v>
      </c>
      <c r="T353" s="46"/>
      <c r="U353" s="48" t="str">
        <f t="shared" si="55"/>
        <v>HKD 72.0</v>
      </c>
      <c r="V353" s="44" t="str">
        <f t="shared" si="55"/>
        <v>China Mobile</v>
      </c>
      <c r="Z353" s="46"/>
      <c r="AE353" s="41"/>
      <c r="AF353" s="31"/>
      <c r="AG353" s="31"/>
      <c r="AI353" s="41"/>
      <c r="AJ353" s="64"/>
      <c r="AK353" s="64"/>
      <c r="AM353" s="41"/>
      <c r="AN353" s="64"/>
      <c r="AO353" s="64"/>
      <c r="AQ353" s="41"/>
      <c r="AR353" s="64"/>
      <c r="AS353" s="64"/>
    </row>
    <row r="354" spans="1:45" s="5" customFormat="1">
      <c r="B354" s="42"/>
      <c r="C354" s="48" t="str">
        <f t="shared" si="54"/>
        <v>CelcomDigi</v>
      </c>
      <c r="D354" s="44" t="str">
        <f t="shared" si="54"/>
        <v>MYR 3.7</v>
      </c>
      <c r="E354" s="44" t="str">
        <f t="shared" si="54"/>
        <v>MYR 6.0</v>
      </c>
      <c r="F354" s="45">
        <f t="shared" si="54"/>
        <v>0.63934426229508201</v>
      </c>
      <c r="G354" s="44" t="str">
        <f t="shared" si="54"/>
        <v>Buy</v>
      </c>
      <c r="H354" s="46"/>
      <c r="I354" s="45">
        <f>(DIGI!$D$24/DIGI!$C$24)-1</f>
        <v>1.2020930232558142</v>
      </c>
      <c r="J354" s="45">
        <f>(DIGI!$E$24/DIGI!$D$24)-1</f>
        <v>4.3161878018176392E-2</v>
      </c>
      <c r="K354" s="45">
        <f>(DIGI!$F$24/DIGI!$E$24)-1</f>
        <v>3.4755656270931246E-2</v>
      </c>
      <c r="L354" s="45">
        <f>(DIGI!$G$24/DIGI!$F$24)-1</f>
        <v>3.7290365135250525E-2</v>
      </c>
      <c r="M354" s="45">
        <f>DIGI!$H$24</f>
        <v>3.8396670293431745E-2</v>
      </c>
      <c r="N354" s="46"/>
      <c r="O354" s="45">
        <f>(DIGI!$D$25/DIGI!$C$25)-1</f>
        <v>1.1566323529411768</v>
      </c>
      <c r="P354" s="45">
        <f>(DIGI!$E$25/DIGI!$D$25)-1</f>
        <v>-8.6953781303983346E-3</v>
      </c>
      <c r="Q354" s="45">
        <f>(DIGI!$F$25/DIGI!$E$25)-1</f>
        <v>7.1585398874160378E-2</v>
      </c>
      <c r="R354" s="45">
        <f>(DIGI!$G$25/DIGI!$F$25)-1</f>
        <v>7.3048697582496214E-2</v>
      </c>
      <c r="S354" s="45">
        <f>DIGI!$H$25</f>
        <v>4.460263434813605E-2</v>
      </c>
      <c r="T354" s="46"/>
      <c r="U354" s="48" t="str">
        <f t="shared" si="55"/>
        <v>MYR 3.7</v>
      </c>
      <c r="V354" s="44" t="str">
        <f t="shared" si="55"/>
        <v>CelcomDigi</v>
      </c>
      <c r="Z354" s="46"/>
      <c r="AE354" s="41"/>
      <c r="AF354" s="31"/>
      <c r="AG354" s="31"/>
      <c r="AI354" s="41"/>
      <c r="AJ354" s="64"/>
      <c r="AK354" s="64"/>
      <c r="AM354" s="41"/>
      <c r="AN354" s="64"/>
      <c r="AO354" s="64"/>
      <c r="AQ354" s="41"/>
      <c r="AR354" s="64"/>
      <c r="AS354" s="64"/>
    </row>
    <row r="355" spans="1:45" s="5" customFormat="1">
      <c r="B355" s="42"/>
      <c r="C355" s="48" t="str">
        <f t="shared" si="54"/>
        <v>Far EasTone</v>
      </c>
      <c r="D355" s="44" t="str">
        <f t="shared" si="54"/>
        <v>TWD 91.9</v>
      </c>
      <c r="E355" s="44" t="str">
        <f t="shared" si="54"/>
        <v>TWD n/r</v>
      </c>
      <c r="F355" s="45" t="str">
        <f t="shared" si="54"/>
        <v>-</v>
      </c>
      <c r="G355" s="44" t="str">
        <f t="shared" si="54"/>
        <v>n/r</v>
      </c>
      <c r="H355" s="46"/>
      <c r="I355" s="45">
        <f>(FAR!$D$24/FAR!$C$24)-1</f>
        <v>1.5021025383199715E-2</v>
      </c>
      <c r="J355" s="45">
        <f>(FAR!$E$24/FAR!$D$24)-1</f>
        <v>1.7935239094289068E-2</v>
      </c>
      <c r="K355" s="45">
        <f>(FAR!$F$24/FAR!$E$24)-1</f>
        <v>1.8163215818177036E-2</v>
      </c>
      <c r="L355" s="45">
        <f>(FAR!$G$24/FAR!$F$24)-1</f>
        <v>1.8389424688877831E-2</v>
      </c>
      <c r="M355" s="45">
        <f>FAR!$H$24</f>
        <v>1.8162609649959416E-2</v>
      </c>
      <c r="N355" s="46"/>
      <c r="O355" s="45">
        <f>(FAR!$D$25/FAR!$C$25)-1</f>
        <v>0.10322824457088675</v>
      </c>
      <c r="P355" s="45">
        <f>(FAR!$E$25/FAR!$D$25)-1</f>
        <v>3.5950210543163719E-2</v>
      </c>
      <c r="Q355" s="45">
        <f>(FAR!$F$25/FAR!$E$25)-1</f>
        <v>1.4742799333389511E-2</v>
      </c>
      <c r="R355" s="45">
        <f>(FAR!$G$25/FAR!$F$25)-1</f>
        <v>1.4846339482126325E-2</v>
      </c>
      <c r="S355" s="45">
        <f>FAR!$H$25</f>
        <v>2.1798004661201187E-2</v>
      </c>
      <c r="T355" s="46"/>
      <c r="U355" s="48" t="str">
        <f t="shared" si="55"/>
        <v>TWD 91.9</v>
      </c>
      <c r="V355" s="44" t="str">
        <f t="shared" si="55"/>
        <v>Far EasTone</v>
      </c>
      <c r="Z355" s="46"/>
      <c r="AE355" s="41"/>
      <c r="AF355" s="31"/>
      <c r="AG355" s="31"/>
      <c r="AI355" s="41"/>
      <c r="AJ355" s="64"/>
      <c r="AK355" s="64"/>
      <c r="AM355" s="41"/>
      <c r="AN355" s="64"/>
      <c r="AO355" s="64"/>
      <c r="AQ355" s="41"/>
      <c r="AR355" s="64"/>
      <c r="AS355" s="64"/>
    </row>
    <row r="356" spans="1:45" s="5" customFormat="1">
      <c r="B356" s="42"/>
      <c r="C356" s="48" t="str">
        <f t="shared" si="54"/>
        <v>Vodafone IDEA</v>
      </c>
      <c r="D356" s="44" t="str">
        <f t="shared" si="54"/>
        <v>INR 13.4</v>
      </c>
      <c r="E356" s="44" t="str">
        <f t="shared" si="54"/>
        <v>INR 5.0</v>
      </c>
      <c r="F356" s="45">
        <f t="shared" si="54"/>
        <v>-0.62574850299401197</v>
      </c>
      <c r="G356" s="44" t="str">
        <f t="shared" si="54"/>
        <v>Reduce</v>
      </c>
      <c r="H356" s="46"/>
      <c r="I356" s="45">
        <f>(IDEA!$D$24/IDEA!$C$24)-1</f>
        <v>1.8374264137480001E-2</v>
      </c>
      <c r="J356" s="45">
        <f>(IDEA!$E$24/IDEA!$D$24)-1</f>
        <v>0.10687404580828241</v>
      </c>
      <c r="K356" s="45">
        <f>(IDEA!$F$24/IDEA!$E$24)-1</f>
        <v>0.17612854514668363</v>
      </c>
      <c r="L356" s="45">
        <f>(IDEA!$G$24/IDEA!$F$24)-1</f>
        <v>0.1138722719082188</v>
      </c>
      <c r="M356" s="45">
        <f>IDEA!$H$24</f>
        <v>0.13186890558136688</v>
      </c>
      <c r="N356" s="46"/>
      <c r="O356" s="45">
        <f>(IDEA!$D$25/IDEA!$C$25)-1</f>
        <v>0.13517128631938768</v>
      </c>
      <c r="P356" s="45">
        <f>(IDEA!$E$25/IDEA!$D$25)-1</f>
        <v>-0.91161567808218558</v>
      </c>
      <c r="Q356" s="45">
        <f>(IDEA!$F$25/IDEA!$E$25)-1</f>
        <v>0.64085287431369253</v>
      </c>
      <c r="R356" s="45">
        <f>(IDEA!$G$25/IDEA!$F$25)-1</f>
        <v>4.9897649825142487</v>
      </c>
      <c r="S356" s="45">
        <f>IDEA!$H$25</f>
        <v>-4.5846561559431231E-2</v>
      </c>
      <c r="T356" s="46"/>
      <c r="U356" s="48" t="str">
        <f t="shared" si="55"/>
        <v>INR 13.4</v>
      </c>
      <c r="V356" s="44" t="str">
        <f t="shared" si="55"/>
        <v>Vodafone IDEA</v>
      </c>
      <c r="Z356" s="46"/>
      <c r="AE356" s="41"/>
      <c r="AF356" s="31"/>
      <c r="AG356" s="31"/>
      <c r="AI356" s="41"/>
      <c r="AJ356" s="64"/>
      <c r="AK356" s="64"/>
      <c r="AM356" s="41"/>
      <c r="AN356" s="64"/>
      <c r="AO356" s="64"/>
      <c r="AQ356" s="41"/>
      <c r="AR356" s="64"/>
      <c r="AS356" s="64"/>
    </row>
    <row r="357" spans="1:45" s="5" customFormat="1">
      <c r="B357" s="42"/>
      <c r="C357" s="48" t="str">
        <f t="shared" si="54"/>
        <v>Indosat</v>
      </c>
      <c r="D357" s="44" t="str">
        <f t="shared" si="54"/>
        <v>IDR 10,900</v>
      </c>
      <c r="E357" s="44" t="str">
        <f t="shared" si="54"/>
        <v>IDR 12,500</v>
      </c>
      <c r="F357" s="45">
        <f t="shared" si="54"/>
        <v>0.14678899082568808</v>
      </c>
      <c r="G357" s="44" t="str">
        <f t="shared" si="54"/>
        <v>Buy</v>
      </c>
      <c r="H357" s="46"/>
      <c r="I357" s="45">
        <f>(INDO!$D$24/INDO!$C$24)-1</f>
        <v>0.22956286793366143</v>
      </c>
      <c r="J357" s="45">
        <f>(INDO!$E$24/INDO!$D$24)-1</f>
        <v>0.15106984826572267</v>
      </c>
      <c r="K357" s="45">
        <f>(INDO!$F$24/INDO!$E$24)-1</f>
        <v>0.10245425787338758</v>
      </c>
      <c r="L357" s="45">
        <f>(INDO!$G$24/INDO!$F$24)-1</f>
        <v>9.9805456424789218E-2</v>
      </c>
      <c r="M357" s="45">
        <f>INDO!$H$24</f>
        <v>0.11753047636265901</v>
      </c>
      <c r="N357" s="46"/>
      <c r="O357" s="45">
        <f>(INDO!$D$25/INDO!$C$25)-1</f>
        <v>0.49559450131551541</v>
      </c>
      <c r="P357" s="45">
        <f>(INDO!$E$25/INDO!$D$25)-1</f>
        <v>0.37442595634609566</v>
      </c>
      <c r="Q357" s="45">
        <f>(INDO!$F$25/INDO!$E$25)-1</f>
        <v>0.17544041967691637</v>
      </c>
      <c r="R357" s="45">
        <f>(INDO!$G$25/INDO!$F$25)-1</f>
        <v>0.10422886882748683</v>
      </c>
      <c r="S357" s="45">
        <f>INDO!$H$25</f>
        <v>0.21281256776527746</v>
      </c>
      <c r="T357" s="46"/>
      <c r="U357" s="48" t="str">
        <f t="shared" si="55"/>
        <v>IDR 10,900</v>
      </c>
      <c r="V357" s="44" t="str">
        <f t="shared" si="55"/>
        <v>Indosat</v>
      </c>
      <c r="Z357" s="46"/>
      <c r="AE357" s="41"/>
      <c r="AF357" s="31"/>
      <c r="AG357" s="31"/>
      <c r="AI357" s="41"/>
      <c r="AJ357" s="64"/>
      <c r="AK357" s="64"/>
      <c r="AM357" s="41"/>
      <c r="AN357" s="64"/>
      <c r="AO357" s="64"/>
      <c r="AQ357" s="41"/>
      <c r="AR357" s="64"/>
      <c r="AS357" s="64"/>
    </row>
    <row r="358" spans="1:45" s="5" customFormat="1">
      <c r="B358" s="42"/>
      <c r="C358" s="48" t="str">
        <f t="shared" si="54"/>
        <v>LG Uplus</v>
      </c>
      <c r="D358" s="44" t="str">
        <f t="shared" si="54"/>
        <v>KRW 9,890</v>
      </c>
      <c r="E358" s="44" t="str">
        <f t="shared" si="54"/>
        <v>KRW 21,000</v>
      </c>
      <c r="F358" s="45">
        <f t="shared" si="54"/>
        <v>1.1233569261880687</v>
      </c>
      <c r="G358" s="44" t="str">
        <f t="shared" si="54"/>
        <v>Buy</v>
      </c>
      <c r="H358" s="46"/>
      <c r="I358" s="45">
        <f>(_LG!$D$24/_LG!$C$24)-1</f>
        <v>1.0446155588268669E-2</v>
      </c>
      <c r="J358" s="45">
        <f>(_LG!$E$24/_LG!$D$24)-1</f>
        <v>1.1281245654212624E-2</v>
      </c>
      <c r="K358" s="45">
        <f>(_LG!$F$24/_LG!$E$24)-1</f>
        <v>2.404072031470661E-2</v>
      </c>
      <c r="L358" s="45">
        <f>(_LG!$G$24/_LG!$F$24)-1</f>
        <v>2.7749309505273434E-2</v>
      </c>
      <c r="M358" s="45">
        <f>_LG!$H$24</f>
        <v>2.09993316265773E-2</v>
      </c>
      <c r="N358" s="46"/>
      <c r="O358" s="45">
        <f>(_LG!$D$25/_LG!$C$25)-1</f>
        <v>-5.125899280575541E-2</v>
      </c>
      <c r="P358" s="45">
        <f>(_LG!$E$25/_LG!$D$25)-1</f>
        <v>0.27330934002857932</v>
      </c>
      <c r="Q358" s="45">
        <f>(_LG!$F$25/_LG!$E$25)-1</f>
        <v>6.0201375988599537E-2</v>
      </c>
      <c r="R358" s="45">
        <f>(_LG!$G$25/_LG!$F$25)-1</f>
        <v>6.6745796359961584E-2</v>
      </c>
      <c r="S358" s="45">
        <f>_LG!$H$25</f>
        <v>0.12926120752589632</v>
      </c>
      <c r="T358" s="46"/>
      <c r="U358" s="48" t="str">
        <f t="shared" si="55"/>
        <v>KRW 9,890</v>
      </c>
      <c r="V358" s="44" t="str">
        <f t="shared" si="55"/>
        <v>LG Uplus</v>
      </c>
      <c r="Z358" s="46"/>
      <c r="AE358" s="41"/>
      <c r="AF358" s="31"/>
      <c r="AG358" s="31"/>
      <c r="AI358" s="41"/>
      <c r="AJ358" s="64"/>
      <c r="AK358" s="64"/>
      <c r="AM358" s="41"/>
      <c r="AN358" s="64"/>
      <c r="AO358" s="64"/>
      <c r="AQ358" s="41"/>
      <c r="AR358" s="64"/>
      <c r="AS358" s="64"/>
    </row>
    <row r="359" spans="1:45" s="5" customFormat="1">
      <c r="A359" s="39"/>
      <c r="B359" s="42"/>
      <c r="C359" s="48" t="str">
        <f t="shared" si="54"/>
        <v>Maxis</v>
      </c>
      <c r="D359" s="44" t="str">
        <f t="shared" si="54"/>
        <v>MYR 3.82</v>
      </c>
      <c r="E359" s="44" t="str">
        <f t="shared" si="54"/>
        <v>MYR 5.60</v>
      </c>
      <c r="F359" s="45">
        <f t="shared" si="54"/>
        <v>0.46596858638743455</v>
      </c>
      <c r="G359" s="44" t="str">
        <f t="shared" si="54"/>
        <v>Buy</v>
      </c>
      <c r="H359" s="46"/>
      <c r="I359" s="45">
        <f>(MAXI!$D$24/MAXI!$C$24)-1</f>
        <v>7.8900483583608239E-3</v>
      </c>
      <c r="J359" s="45">
        <f>(MAXI!$E$24/MAXI!$D$24)-1</f>
        <v>5.1183407804816561E-2</v>
      </c>
      <c r="K359" s="45">
        <f>(MAXI!$F$24/MAXI!$E$24)-1</f>
        <v>3.2154126088769663E-2</v>
      </c>
      <c r="L359" s="45">
        <f>(MAXI!$G$24/MAXI!$F$24)-1</f>
        <v>3.2551854512054446E-2</v>
      </c>
      <c r="M359" s="45">
        <f>MAXI!$H$24</f>
        <v>3.8592001793239294E-2</v>
      </c>
      <c r="N359" s="46"/>
      <c r="O359" s="45">
        <f>(MAXI!$D$25/MAXI!$C$25)-1</f>
        <v>0.11793960923623437</v>
      </c>
      <c r="P359" s="45">
        <f>(MAXI!$E$25/MAXI!$D$25)-1</f>
        <v>-4.8114930165018999E-2</v>
      </c>
      <c r="Q359" s="45">
        <f>(MAXI!$F$25/MAXI!$E$25)-1</f>
        <v>3.3881412854846804E-2</v>
      </c>
      <c r="R359" s="45">
        <f>(MAXI!$G$25/MAXI!$F$25)-1</f>
        <v>3.4307085914112134E-2</v>
      </c>
      <c r="S359" s="45">
        <f>MAXI!$H$25</f>
        <v>5.9311284383554153E-3</v>
      </c>
      <c r="T359" s="46"/>
      <c r="U359" s="48" t="str">
        <f t="shared" si="55"/>
        <v>MYR 3.82</v>
      </c>
      <c r="V359" s="44" t="str">
        <f t="shared" si="55"/>
        <v>Maxis</v>
      </c>
      <c r="Z359" s="46"/>
      <c r="AE359" s="41"/>
      <c r="AF359" s="31"/>
      <c r="AG359" s="31"/>
      <c r="AI359" s="41"/>
      <c r="AJ359" s="64"/>
      <c r="AK359" s="64"/>
      <c r="AM359" s="41"/>
      <c r="AN359" s="64"/>
      <c r="AO359" s="64"/>
      <c r="AQ359" s="41"/>
      <c r="AR359" s="64"/>
      <c r="AS359" s="64"/>
    </row>
    <row r="360" spans="1:45" s="5" customFormat="1">
      <c r="B360" s="42"/>
      <c r="C360" s="48" t="str">
        <f t="shared" si="54"/>
        <v>SK Telecom</v>
      </c>
      <c r="D360" s="44" t="str">
        <f t="shared" si="54"/>
        <v>KRW 57,800</v>
      </c>
      <c r="E360" s="44" t="str">
        <f t="shared" si="54"/>
        <v>KRW 116,000</v>
      </c>
      <c r="F360" s="45">
        <f t="shared" si="54"/>
        <v>1.0069204152249136</v>
      </c>
      <c r="G360" s="44" t="str">
        <f t="shared" si="54"/>
        <v>Buy</v>
      </c>
      <c r="H360" s="46"/>
      <c r="I360" s="45">
        <f>(SKT!$D$24/SKT!$C$24)-1</f>
        <v>2.5238138477003957E-2</v>
      </c>
      <c r="J360" s="45">
        <f>(SKT!$E$24/SKT!$D$24)-1</f>
        <v>1.395327126864343E-2</v>
      </c>
      <c r="K360" s="45">
        <f>(SKT!$F$24/SKT!$E$24)-1</f>
        <v>2.5186195328957162E-2</v>
      </c>
      <c r="L360" s="45">
        <f>(SKT!$G$24/SKT!$F$24)-1</f>
        <v>2.53268792967416E-2</v>
      </c>
      <c r="M360" s="45">
        <f>SKT!$H$24</f>
        <v>2.1474848655110845E-2</v>
      </c>
      <c r="N360" s="46"/>
      <c r="O360" s="45">
        <f>(SKT!$D$25/SKT!$C$25)-1</f>
        <v>0.1839048706026627</v>
      </c>
      <c r="P360" s="45">
        <f>(SKT!$E$25/SKT!$D$25)-1</f>
        <v>8.3991624157063516E-2</v>
      </c>
      <c r="Q360" s="45">
        <f>(SKT!$F$25/SKT!$E$25)-1</f>
        <v>3.9860819239075251E-2</v>
      </c>
      <c r="R360" s="45">
        <f>(SKT!$G$25/SKT!$F$25)-1</f>
        <v>3.9755282355244947E-2</v>
      </c>
      <c r="S360" s="45">
        <f>SKT!$H$25</f>
        <v>5.4332091262206506E-2</v>
      </c>
      <c r="T360" s="46"/>
      <c r="U360" s="48" t="str">
        <f t="shared" si="55"/>
        <v>KRW 57,800</v>
      </c>
      <c r="V360" s="44" t="str">
        <f t="shared" si="55"/>
        <v>SK Telecom</v>
      </c>
      <c r="Z360" s="46"/>
      <c r="AE360" s="41"/>
      <c r="AF360" s="31"/>
      <c r="AG360" s="31"/>
      <c r="AI360" s="41"/>
      <c r="AJ360" s="64"/>
      <c r="AK360" s="64"/>
      <c r="AM360" s="41"/>
      <c r="AN360" s="64"/>
      <c r="AO360" s="64"/>
      <c r="AQ360" s="41"/>
      <c r="AR360" s="64"/>
      <c r="AS360" s="64"/>
    </row>
    <row r="361" spans="1:45" s="5" customFormat="1">
      <c r="B361" s="42"/>
      <c r="C361" s="48" t="str">
        <f t="shared" si="54"/>
        <v>Taiwan Mobile</v>
      </c>
      <c r="D361" s="44" t="str">
        <f t="shared" si="54"/>
        <v>TWD 115.0</v>
      </c>
      <c r="E361" s="44" t="str">
        <f t="shared" si="54"/>
        <v>TWD n/r</v>
      </c>
      <c r="F361" s="45" t="str">
        <f t="shared" si="54"/>
        <v>-</v>
      </c>
      <c r="G361" s="44" t="str">
        <f t="shared" si="54"/>
        <v>n/r</v>
      </c>
      <c r="H361" s="46"/>
      <c r="I361" s="45">
        <f>(TAIWAN!$D$24/TAIWAN!$C$24)-1</f>
        <v>3.543908952062913E-2</v>
      </c>
      <c r="J361" s="45">
        <f>(TAIWAN!$E$24/TAIWAN!$D$24)-1</f>
        <v>4.4106059248306684E-2</v>
      </c>
      <c r="K361" s="45">
        <f>(TAIWAN!$F$24/TAIWAN!$E$24)-1</f>
        <v>5.0423635448649362E-2</v>
      </c>
      <c r="L361" s="45">
        <f>(TAIWAN!$G$24/TAIWAN!$F$24)-1</f>
        <v>7.676084063793831E-2</v>
      </c>
      <c r="M361" s="45">
        <f>TAIWAN!$H$24</f>
        <v>5.7002752048651795E-2</v>
      </c>
      <c r="N361" s="46"/>
      <c r="O361" s="45">
        <f>(TAIWAN!$D$25/TAIWAN!$C$25)-1</f>
        <v>0.11312584512244528</v>
      </c>
      <c r="P361" s="45">
        <f>(TAIWAN!$E$25/TAIWAN!$D$25)-1</f>
        <v>0.11706368603820927</v>
      </c>
      <c r="Q361" s="45">
        <f>(TAIWAN!$F$25/TAIWAN!$E$25)-1</f>
        <v>2.571990090062215E-2</v>
      </c>
      <c r="R361" s="45">
        <f>(TAIWAN!$G$25/TAIWAN!$F$25)-1</f>
        <v>9.3506245943508315E-2</v>
      </c>
      <c r="S361" s="45">
        <f>TAIWAN!$H$25</f>
        <v>7.8059326725372857E-2</v>
      </c>
      <c r="T361" s="46"/>
      <c r="U361" s="48" t="str">
        <f t="shared" si="55"/>
        <v>TWD 115.0</v>
      </c>
      <c r="V361" s="44" t="str">
        <f t="shared" si="55"/>
        <v>Taiwan Mobile</v>
      </c>
      <c r="Z361" s="46"/>
      <c r="AE361" s="41"/>
      <c r="AF361" s="31"/>
      <c r="AG361" s="31"/>
      <c r="AI361" s="41"/>
      <c r="AJ361" s="64"/>
      <c r="AK361" s="64"/>
      <c r="AM361" s="41"/>
      <c r="AN361" s="64"/>
      <c r="AO361" s="64"/>
      <c r="AQ361" s="41"/>
      <c r="AR361" s="64"/>
      <c r="AS361" s="64"/>
    </row>
    <row r="362" spans="1:45" s="5" customFormat="1">
      <c r="B362" s="42"/>
      <c r="C362" s="48" t="str">
        <f t="shared" si="54"/>
        <v>True Corp</v>
      </c>
      <c r="D362" s="44" t="str">
        <f t="shared" si="54"/>
        <v>THB 10.7</v>
      </c>
      <c r="E362" s="44" t="str">
        <f t="shared" si="54"/>
        <v>THB 15.0</v>
      </c>
      <c r="F362" s="45">
        <f t="shared" si="54"/>
        <v>0.40186915887850483</v>
      </c>
      <c r="G362" s="44" t="str">
        <f t="shared" si="54"/>
        <v>Buy</v>
      </c>
      <c r="H362" s="46"/>
      <c r="I362" s="45">
        <f>(TRUECORP!$D$24/TRUECORP!$C$24)-1</f>
        <v>0.6236459359139459</v>
      </c>
      <c r="J362" s="45">
        <f>(TRUECORP!$E$24/TRUECORP!$D$24)-1</f>
        <v>0.12684427539278764</v>
      </c>
      <c r="K362" s="45">
        <f>(TRUECORP!$F$24/TRUECORP!$E$24)-1</f>
        <v>0.10220807071912508</v>
      </c>
      <c r="L362" s="45">
        <f>(TRUECORP!$G$24/TRUECORP!$F$24)-1</f>
        <v>9.1361164400110662E-2</v>
      </c>
      <c r="M362" s="45">
        <f>TRUECORP!$H$24</f>
        <v>0.10670531330914002</v>
      </c>
      <c r="N362" s="46"/>
      <c r="O362" s="45">
        <f>(TRUECORP!$D$25/TRUECORP!$C$25)-1</f>
        <v>2.5723312027036958</v>
      </c>
      <c r="P362" s="45">
        <f>(TRUECORP!$E$25/TRUECORP!$D$25)-1</f>
        <v>0.3823847723275311</v>
      </c>
      <c r="Q362" s="45">
        <f>(TRUECORP!$F$25/TRUECORP!$E$25)-1</f>
        <v>0.16413161494256245</v>
      </c>
      <c r="R362" s="45">
        <f>(TRUECORP!$G$25/TRUECORP!$F$25)-1</f>
        <v>0.11179151474764604</v>
      </c>
      <c r="S362" s="45">
        <f>TRUECORP!$H$25</f>
        <v>0.21399843450490885</v>
      </c>
      <c r="T362" s="46"/>
      <c r="U362" s="48" t="str">
        <f t="shared" si="55"/>
        <v>THB 10.7</v>
      </c>
      <c r="V362" s="44" t="str">
        <f t="shared" si="55"/>
        <v>True Corp</v>
      </c>
      <c r="Z362" s="46"/>
      <c r="AE362" s="41"/>
      <c r="AF362" s="31"/>
      <c r="AG362" s="31"/>
      <c r="AI362" s="41"/>
      <c r="AJ362" s="64"/>
      <c r="AK362" s="64"/>
      <c r="AM362" s="41"/>
      <c r="AN362" s="64"/>
      <c r="AO362" s="64"/>
      <c r="AQ362" s="41"/>
      <c r="AR362" s="64"/>
      <c r="AS362" s="64"/>
    </row>
    <row r="363" spans="1:45" s="5" customFormat="1">
      <c r="B363" s="42"/>
      <c r="C363" s="48" t="str">
        <f t="shared" si="54"/>
        <v>XL Axiata</v>
      </c>
      <c r="D363" s="44" t="str">
        <f t="shared" si="54"/>
        <v>IDR 2,330</v>
      </c>
      <c r="E363" s="44" t="str">
        <f t="shared" si="54"/>
        <v>IDR 5,000</v>
      </c>
      <c r="F363" s="45">
        <f t="shared" si="54"/>
        <v>1.1459227467811157</v>
      </c>
      <c r="G363" s="44" t="str">
        <f t="shared" si="54"/>
        <v>Buy</v>
      </c>
      <c r="H363" s="46"/>
      <c r="I363" s="45">
        <f>(XLAX!$D$24/XLAX!$C$24)-1</f>
        <v>0.11591148577449939</v>
      </c>
      <c r="J363" s="45">
        <f>(XLAX!$E$24/XLAX!$D$24)-1</f>
        <v>0.11256988442230886</v>
      </c>
      <c r="K363" s="45">
        <f>(XLAX!$F$24/XLAX!$E$24)-1</f>
        <v>5.0692581442511875E-2</v>
      </c>
      <c r="L363" s="45">
        <f>(XLAX!$G$24/XLAX!$F$24)-1</f>
        <v>4.948562852560312E-2</v>
      </c>
      <c r="M363" s="45">
        <f>XLAX!$H$24</f>
        <v>7.0515978419444014E-2</v>
      </c>
      <c r="N363" s="56"/>
      <c r="O363" s="45">
        <f>(XLAX!$D$25/XLAX!$C$25)-1</f>
        <v>0.68735498839907194</v>
      </c>
      <c r="P363" s="45">
        <f>(XLAX!$E$25/XLAX!$D$25)-1</f>
        <v>8.7170725573129104E-2</v>
      </c>
      <c r="Q363" s="45">
        <f>(XLAX!$F$25/XLAX!$E$25)-1</f>
        <v>9.0973036644460104E-2</v>
      </c>
      <c r="R363" s="45">
        <f>(XLAX!$G$25/XLAX!$F$25)-1</f>
        <v>5.11214182226567E-2</v>
      </c>
      <c r="S363" s="45">
        <f>XLAX!$H$25</f>
        <v>7.6270782791585834E-2</v>
      </c>
      <c r="T363" s="46"/>
      <c r="U363" s="48" t="str">
        <f t="shared" si="55"/>
        <v>IDR 2,330</v>
      </c>
      <c r="V363" s="44" t="str">
        <f t="shared" si="55"/>
        <v>XL Axiata</v>
      </c>
      <c r="Z363" s="46"/>
      <c r="AE363" s="41"/>
      <c r="AF363" s="31"/>
      <c r="AG363" s="31"/>
      <c r="AI363" s="41"/>
      <c r="AJ363" s="64"/>
      <c r="AK363" s="64"/>
      <c r="AM363" s="41"/>
      <c r="AN363" s="64"/>
      <c r="AO363" s="64"/>
      <c r="AQ363" s="41"/>
      <c r="AR363" s="64"/>
      <c r="AS363" s="64"/>
    </row>
    <row r="364" spans="1:45" s="5" customFormat="1">
      <c r="B364" s="42"/>
      <c r="C364" s="51" t="str">
        <f>C302</f>
        <v>Agg. Emerging Asia Cellular</v>
      </c>
      <c r="D364" s="52"/>
      <c r="E364" s="52"/>
      <c r="F364" s="53"/>
      <c r="G364" s="52"/>
      <c r="H364" s="46"/>
      <c r="I364" s="55">
        <f>('EM ASIA CELLULAR'!$D$24/'EM ASIA CELLULAR'!$C$24)-1</f>
        <v>6.2954080357476183E-2</v>
      </c>
      <c r="J364" s="55">
        <f>('EM ASIA CELLULAR'!$E$24/'EM ASIA CELLULAR'!$D$24)-1</f>
        <v>4.6100069594085857E-2</v>
      </c>
      <c r="K364" s="55">
        <f>('EM ASIA CELLULAR'!$F$24/'EM ASIA CELLULAR'!$E$24)-1</f>
        <v>5.7182117298084201E-2</v>
      </c>
      <c r="L364" s="55">
        <f>('EM ASIA CELLULAR'!$G$24/'EM ASIA CELLULAR'!$F$24)-1</f>
        <v>5.7431157780048814E-2</v>
      </c>
      <c r="M364" s="55">
        <f>'EM ASIA CELLULAR'!$H$24</f>
        <v>5.3557833944543054E-2</v>
      </c>
      <c r="N364" s="56"/>
      <c r="O364" s="55">
        <f>('EM ASIA CELLULAR'!$D$25/'EM ASIA CELLULAR'!$C$25)-1</f>
        <v>0.14211911635108443</v>
      </c>
      <c r="P364" s="55">
        <f>('EM ASIA CELLULAR'!$E$25/'EM ASIA CELLULAR'!$D$25)-1</f>
        <v>8.4980015776287887E-2</v>
      </c>
      <c r="Q364" s="55">
        <f>('EM ASIA CELLULAR'!$F$25/'EM ASIA CELLULAR'!$E$25)-1</f>
        <v>0.10924430453918865</v>
      </c>
      <c r="R364" s="55">
        <f>('EM ASIA CELLULAR'!$G$25/'EM ASIA CELLULAR'!$F$25)-1</f>
        <v>0.10904623434663563</v>
      </c>
      <c r="S364" s="55">
        <f>'EM ASIA CELLULAR'!$H$25</f>
        <v>0.10103096398056932</v>
      </c>
      <c r="T364" s="46"/>
      <c r="U364" s="57"/>
      <c r="V364" s="58" t="str">
        <f>V302</f>
        <v>Agg. Emerging Asia Cellular</v>
      </c>
      <c r="Z364" s="46"/>
      <c r="AE364" s="41"/>
      <c r="AF364" s="31"/>
      <c r="AG364" s="31"/>
      <c r="AI364" s="41"/>
      <c r="AJ364" s="64"/>
      <c r="AK364" s="64"/>
      <c r="AM364" s="41"/>
      <c r="AN364" s="64"/>
      <c r="AO364" s="64"/>
      <c r="AQ364" s="41"/>
      <c r="AR364" s="64"/>
      <c r="AS364" s="64"/>
    </row>
    <row r="365" spans="1:45" s="5" customFormat="1">
      <c r="B365" s="42"/>
      <c r="C365" s="43"/>
      <c r="D365" s="44"/>
      <c r="E365" s="44"/>
      <c r="F365" s="68"/>
      <c r="G365" s="44"/>
      <c r="H365" s="46"/>
      <c r="I365" s="61"/>
      <c r="J365" s="61"/>
      <c r="K365" s="61"/>
      <c r="L365" s="61"/>
      <c r="M365" s="61"/>
      <c r="N365" s="46"/>
      <c r="O365" s="61"/>
      <c r="P365" s="61"/>
      <c r="Q365" s="61"/>
      <c r="R365" s="61"/>
      <c r="S365" s="61"/>
      <c r="T365" s="46"/>
      <c r="U365" s="48"/>
      <c r="V365" s="50"/>
      <c r="Z365" s="46"/>
      <c r="AE365" s="41"/>
      <c r="AF365" s="31"/>
      <c r="AG365" s="31"/>
      <c r="AI365" s="41"/>
      <c r="AJ365" s="64"/>
      <c r="AK365" s="64"/>
      <c r="AM365" s="41"/>
      <c r="AN365" s="64"/>
      <c r="AO365" s="64"/>
      <c r="AQ365" s="41"/>
      <c r="AR365" s="64"/>
      <c r="AS365" s="64"/>
    </row>
    <row r="366" spans="1:45" s="5" customFormat="1">
      <c r="B366" s="42"/>
      <c r="C366" s="51" t="str">
        <f>C304</f>
        <v>Agg. Emerging  Cellular</v>
      </c>
      <c r="D366" s="52"/>
      <c r="E366" s="52"/>
      <c r="F366" s="53"/>
      <c r="G366" s="52"/>
      <c r="H366" s="46"/>
      <c r="I366" s="55">
        <f>('EM CELLULAR'!$D$24/'EM CELLULAR'!$C$24)-1</f>
        <v>5.7306549636457982E-2</v>
      </c>
      <c r="J366" s="55">
        <f>('EM CELLULAR'!$E$24/'EM CELLULAR'!$D$24)-1</f>
        <v>3.1968697578603988E-2</v>
      </c>
      <c r="K366" s="55">
        <f>('EM CELLULAR'!$F$24/'EM CELLULAR'!$E$24)-1</f>
        <v>6.3491405203838003E-2</v>
      </c>
      <c r="L366" s="55">
        <f>('EM CELLULAR'!$G$24/'EM CELLULAR'!$F$24)-1</f>
        <v>6.2061718784550024E-2</v>
      </c>
      <c r="M366" s="55">
        <f>'EM CELLULAR'!$H$24</f>
        <v>5.2406256537620211E-2</v>
      </c>
      <c r="N366" s="46"/>
      <c r="O366" s="55">
        <f>('EM CELLULAR'!$D$25/'EM CELLULAR'!$C$25)-1</f>
        <v>0.11874515825300036</v>
      </c>
      <c r="P366" s="55">
        <f>('EM CELLULAR'!$E$25/'EM CELLULAR'!$D$25)-1</f>
        <v>7.9691896614492608E-2</v>
      </c>
      <c r="Q366" s="55">
        <f>('EM CELLULAR'!$F$25/'EM CELLULAR'!$E$25)-1</f>
        <v>0.11566236407946273</v>
      </c>
      <c r="R366" s="55">
        <f>('EM CELLULAR'!$G$25/'EM CELLULAR'!$F$25)-1</f>
        <v>0.10797975349778333</v>
      </c>
      <c r="S366" s="55">
        <f>'EM CELLULAR'!$H$25</f>
        <v>0.10100210602425808</v>
      </c>
      <c r="T366" s="46"/>
      <c r="U366" s="57"/>
      <c r="V366" s="58" t="str">
        <f>V304</f>
        <v>Agg. Emerging  Cellular</v>
      </c>
      <c r="Z366" s="46"/>
      <c r="AE366" s="41"/>
      <c r="AF366" s="31"/>
      <c r="AG366" s="31"/>
      <c r="AI366" s="41"/>
      <c r="AJ366" s="64"/>
      <c r="AK366" s="64"/>
      <c r="AM366" s="41"/>
      <c r="AN366" s="64"/>
      <c r="AO366" s="64"/>
      <c r="AQ366" s="41"/>
      <c r="AR366" s="64"/>
      <c r="AS366" s="64"/>
    </row>
    <row r="367" spans="1:45" s="5" customFormat="1">
      <c r="A367" s="39"/>
      <c r="B367" s="42"/>
      <c r="C367" s="43"/>
      <c r="D367" s="44"/>
      <c r="E367" s="44"/>
      <c r="F367" s="45"/>
      <c r="G367" s="44"/>
      <c r="H367" s="46"/>
      <c r="I367" s="45"/>
      <c r="J367" s="45"/>
      <c r="K367" s="45"/>
      <c r="L367" s="45"/>
      <c r="M367" s="45"/>
      <c r="N367" s="46"/>
      <c r="O367" s="45"/>
      <c r="P367" s="45"/>
      <c r="Q367" s="45"/>
      <c r="R367" s="45"/>
      <c r="S367" s="45"/>
      <c r="T367" s="46"/>
      <c r="U367" s="48"/>
      <c r="V367" s="50"/>
      <c r="Z367" s="46"/>
      <c r="AE367" s="41"/>
      <c r="AF367" s="31"/>
      <c r="AG367" s="31"/>
      <c r="AI367" s="41"/>
      <c r="AJ367" s="64"/>
      <c r="AK367" s="64"/>
      <c r="AM367" s="41"/>
      <c r="AN367" s="64"/>
      <c r="AO367" s="64"/>
      <c r="AQ367" s="41"/>
      <c r="AR367" s="64"/>
      <c r="AS367" s="64"/>
    </row>
    <row r="368" spans="1:45">
      <c r="A368" s="41" t="s">
        <v>503</v>
      </c>
      <c r="B368" s="42" t="s">
        <v>577</v>
      </c>
      <c r="C368" s="48" t="s">
        <v>811</v>
      </c>
      <c r="D368" s="44" t="str">
        <f>'EM Multiples'!B368&amp;TEXT(Prices!C$135,"0.00")</f>
        <v>MXN42.67</v>
      </c>
      <c r="E368" s="44" t="str">
        <f>'EM Multiples'!B368&amp;TEXT(Prices!E$135,"0.00")</f>
        <v>MXN55.00</v>
      </c>
      <c r="F368" s="45">
        <f>Prices!F$135</f>
        <v>0.28896179985938586</v>
      </c>
      <c r="G368" s="44" t="str">
        <f>Prices!D$135</f>
        <v>Buy</v>
      </c>
      <c r="H368" s="46"/>
      <c r="I368" s="45">
        <f>(MEGA!$D$24/MEGA!$C$24)-1</f>
        <v>3.5433285095729072E-2</v>
      </c>
      <c r="J368" s="45">
        <f>(MEGA!$E$24/MEGA!$D$24)-1</f>
        <v>8.7780631153970612E-2</v>
      </c>
      <c r="K368" s="45">
        <f>(MEGA!$F$24/MEGA!$E$24)-1</f>
        <v>9.8410254459488922E-2</v>
      </c>
      <c r="L368" s="45">
        <f>(MEGA!$G$24/MEGA!$F$24)-1</f>
        <v>7.494650995074692E-2</v>
      </c>
      <c r="M368" s="45">
        <f>MEGA!$H$24</f>
        <v>8.7003439023187523E-2</v>
      </c>
      <c r="N368" s="46"/>
      <c r="O368" s="45">
        <f>(MEGA!$D$25/MEGA!$C$25)-1</f>
        <v>0.10094877884206288</v>
      </c>
      <c r="P368" s="45">
        <f>(MEGA!$E$25/MEGA!$D$25)-1</f>
        <v>0.51282462863559508</v>
      </c>
      <c r="Q368" s="45">
        <f>(MEGA!$F$25/MEGA!$E$25)-1</f>
        <v>2.0721278394113574</v>
      </c>
      <c r="R368" s="45">
        <f>(MEGA!$G$25/MEGA!$F$25)-1</f>
        <v>0.5558369800522438</v>
      </c>
      <c r="S368" s="45">
        <f>MEGA!$H$25</f>
        <v>0.93373661215068116</v>
      </c>
      <c r="T368" s="46"/>
      <c r="U368" s="48" t="str">
        <f>D368</f>
        <v>MXN42.67</v>
      </c>
      <c r="V368" s="44" t="str">
        <f>C368</f>
        <v>Megacable</v>
      </c>
      <c r="Z368" s="46"/>
      <c r="AE368" s="41"/>
    </row>
    <row r="369" spans="1:69">
      <c r="A369" s="5"/>
      <c r="B369" s="42" t="s">
        <v>406</v>
      </c>
      <c r="C369" s="48" t="s">
        <v>797</v>
      </c>
      <c r="D369" s="44" t="str">
        <f>'EM Multiples'!B369&amp;TEXT(Prices!C$138,"0.00")</f>
        <v>USD9.48</v>
      </c>
      <c r="E369" s="44" t="str">
        <f>'EM Multiples'!B369&amp;TEXT(Prices!E$138,"0.00")</f>
        <v>USD14.00</v>
      </c>
      <c r="F369" s="45">
        <f>Prices!F$138</f>
        <v>0.47679324894514763</v>
      </c>
      <c r="G369" s="44" t="str">
        <f>Prices!D$138</f>
        <v>Buy</v>
      </c>
      <c r="H369" s="46"/>
      <c r="I369" s="45">
        <f>(LiLAC!$D$24/LiLAC!$C$24)-1</f>
        <v>-2.884917412019572E-2</v>
      </c>
      <c r="J369" s="45">
        <f>(LiLAC!$E$24/LiLAC!$D$24)-1</f>
        <v>7.1358022263985799E-2</v>
      </c>
      <c r="K369" s="45">
        <f>(LiLAC!$F$24/LiLAC!$E$24)-1</f>
        <v>3.5342171231292019E-2</v>
      </c>
      <c r="L369" s="45">
        <f>(LiLAC!$G$24/LiLAC!$F$24)-1</f>
        <v>-2.2239982705398731E-3</v>
      </c>
      <c r="M369" s="45">
        <f>LiLAC!$H$24</f>
        <v>3.4388923456728726E-2</v>
      </c>
      <c r="N369" s="46"/>
      <c r="O369" s="45">
        <f>(LiLAC!$D$25/LiLAC!$C$25)-1</f>
        <v>8.4983121266604122E-3</v>
      </c>
      <c r="P369" s="45">
        <f>(LiLAC!$E$25/LiLAC!$D$25)-1</f>
        <v>0.15019427137211272</v>
      </c>
      <c r="Q369" s="45">
        <f>(LiLAC!$F$25/LiLAC!$E$25)-1</f>
        <v>6.9270297782890067E-2</v>
      </c>
      <c r="R369" s="45">
        <f>(LiLAC!$G$25/LiLAC!$F$25)-1</f>
        <v>-4.4944818081710913E-2</v>
      </c>
      <c r="S369" s="45">
        <f>LiLAC!$H$25</f>
        <v>5.5105101534048684E-2</v>
      </c>
      <c r="T369" s="46"/>
      <c r="U369" s="48" t="str">
        <f>D369</f>
        <v>USD9.48</v>
      </c>
      <c r="V369" s="44" t="str">
        <f>C369</f>
        <v>LiLAC</v>
      </c>
      <c r="Z369" s="46"/>
      <c r="AE369" s="41"/>
    </row>
    <row r="370" spans="1:69">
      <c r="A370" s="5"/>
      <c r="C370" s="67" t="s">
        <v>814</v>
      </c>
      <c r="D370" s="52"/>
      <c r="E370" s="52"/>
      <c r="F370" s="53"/>
      <c r="G370" s="52"/>
      <c r="H370" s="46"/>
      <c r="I370" s="55">
        <f>('LATAM ALTNET &amp; CABLE'!$D$24/'LATAM ALTNET &amp; CABLE'!$C$24)-1</f>
        <v>-1.1358692535794135E-2</v>
      </c>
      <c r="J370" s="55">
        <f>('LATAM ALTNET &amp; CABLE'!$E$24/'LATAM ALTNET &amp; CABLE'!$D$24)-1</f>
        <v>7.603790320206949E-2</v>
      </c>
      <c r="K370" s="55">
        <f>('LATAM ALTNET &amp; CABLE'!$F$24/'LATAM ALTNET &amp; CABLE'!$E$24)-1</f>
        <v>5.3510544263028592E-2</v>
      </c>
      <c r="L370" s="55">
        <f>('LATAM ALTNET &amp; CABLE'!$G$24/'LATAM ALTNET &amp; CABLE'!$F$24)-1</f>
        <v>2.0954402003554362E-2</v>
      </c>
      <c r="M370" s="55">
        <f>'LATAM ALTNET &amp; CABLE'!$H$24</f>
        <v>4.992336528871455E-2</v>
      </c>
      <c r="N370" s="46"/>
      <c r="O370" s="55">
        <f>('LATAM ALTNET &amp; CABLE'!$D$25/'LATAM ALTNET &amp; CABLE'!$C$25)-1</f>
        <v>1.3071315201594658E-2</v>
      </c>
      <c r="P370" s="55">
        <f>('LATAM ALTNET &amp; CABLE'!$E$25/'LATAM ALTNET &amp; CABLE'!$D$25)-1</f>
        <v>0.16968749381910642</v>
      </c>
      <c r="Q370" s="55">
        <f>('LATAM ALTNET &amp; CABLE'!$F$25/'LATAM ALTNET &amp; CABLE'!$E$25)-1</f>
        <v>0.20851807799239963</v>
      </c>
      <c r="R370" s="55">
        <f>('LATAM ALTNET &amp; CABLE'!$G$25/'LATAM ALTNET &amp; CABLE'!$F$25)-1</f>
        <v>6.1234790381934356E-2</v>
      </c>
      <c r="S370" s="55">
        <f>'LATAM ALTNET &amp; CABLE'!$H$25</f>
        <v>0.14475221432857377</v>
      </c>
      <c r="T370" s="46"/>
      <c r="U370" s="57"/>
      <c r="V370" s="58" t="str">
        <f>C370</f>
        <v>Agg. Emerging LatAm Altnets &amp; Cable</v>
      </c>
      <c r="Z370" s="46"/>
      <c r="AE370" s="41"/>
    </row>
    <row r="371" spans="1:69" s="5" customFormat="1">
      <c r="A371" s="39"/>
      <c r="B371" s="42"/>
      <c r="C371" s="43"/>
      <c r="D371" s="44"/>
      <c r="E371" s="44"/>
      <c r="F371" s="45"/>
      <c r="G371" s="44"/>
      <c r="H371" s="46"/>
      <c r="I371" s="45"/>
      <c r="J371" s="45"/>
      <c r="K371" s="45"/>
      <c r="L371" s="45"/>
      <c r="M371" s="45"/>
      <c r="N371" s="46"/>
      <c r="O371" s="45"/>
      <c r="P371" s="45"/>
      <c r="Q371" s="45"/>
      <c r="R371" s="45"/>
      <c r="S371" s="45"/>
      <c r="T371" s="46"/>
      <c r="U371" s="48"/>
      <c r="V371" s="50"/>
      <c r="Z371" s="46"/>
      <c r="AE371" s="41"/>
      <c r="AF371" s="31"/>
      <c r="AG371" s="31"/>
      <c r="AI371" s="41"/>
      <c r="AJ371" s="64"/>
      <c r="AK371" s="64"/>
      <c r="AM371" s="41"/>
      <c r="AN371" s="64"/>
      <c r="AO371" s="64"/>
      <c r="AQ371" s="41"/>
      <c r="AR371" s="64"/>
      <c r="AS371" s="64"/>
    </row>
    <row r="372" spans="1:69" s="5" customFormat="1">
      <c r="A372" s="39"/>
      <c r="B372" s="42"/>
      <c r="C372" s="67" t="str">
        <f>C310</f>
        <v>Agg. EMEA sector</v>
      </c>
      <c r="D372" s="52"/>
      <c r="E372" s="52"/>
      <c r="F372" s="53"/>
      <c r="G372" s="52"/>
      <c r="H372" s="46"/>
      <c r="I372" s="55">
        <f>('EMEA AGG'!$D$24/'EMEA AGG'!$C$24)-1</f>
        <v>2.8640200429820295E-2</v>
      </c>
      <c r="J372" s="55">
        <f>('EMEA AGG'!$E$24/'EMEA AGG'!$D$24)-1</f>
        <v>-4.8494166215503953E-2</v>
      </c>
      <c r="K372" s="55">
        <f>('EMEA AGG'!$F$24/'EMEA AGG'!$E$24)-1</f>
        <v>9.8103946469575209E-2</v>
      </c>
      <c r="L372" s="55">
        <f>('EMEA AGG'!$G$24/'EMEA AGG'!$F$24)-1</f>
        <v>9.1782399404581216E-2</v>
      </c>
      <c r="M372" s="55">
        <f>'EMEA AGG'!$H$24</f>
        <v>4.4873381424675785E-2</v>
      </c>
      <c r="N372" s="56"/>
      <c r="O372" s="55">
        <f>('EMEA AGG'!$D$25/'EMEA AGG'!$C$25)-1</f>
        <v>-6.2189661491198756E-3</v>
      </c>
      <c r="P372" s="55">
        <f>('EMEA AGG'!$E$25/'EMEA AGG'!$D$25)-1</f>
        <v>3.9708461384966531E-2</v>
      </c>
      <c r="Q372" s="55">
        <f>('EMEA AGG'!$F$25/'EMEA AGG'!$E$25)-1</f>
        <v>0.15252074987479269</v>
      </c>
      <c r="R372" s="55">
        <f>('EMEA AGG'!$G$25/'EMEA AGG'!$F$25)-1</f>
        <v>0.1201287830912483</v>
      </c>
      <c r="S372" s="55">
        <f>'EMEA AGG'!$H$25</f>
        <v>0.10308614435668972</v>
      </c>
      <c r="T372" s="46"/>
      <c r="U372" s="57"/>
      <c r="V372" s="58" t="str">
        <f>V310</f>
        <v>Agg. EMEA sector</v>
      </c>
      <c r="Z372" s="46"/>
      <c r="AE372" s="41"/>
      <c r="AF372" s="31"/>
      <c r="AG372" s="31"/>
      <c r="AI372" s="41"/>
      <c r="AJ372" s="64"/>
      <c r="AK372" s="64"/>
      <c r="AM372" s="41"/>
      <c r="AN372" s="64"/>
      <c r="AO372" s="64"/>
      <c r="AQ372" s="41"/>
      <c r="AR372" s="64"/>
      <c r="AS372" s="64"/>
    </row>
    <row r="373" spans="1:69" s="5" customFormat="1">
      <c r="A373" s="39"/>
      <c r="B373" s="42"/>
      <c r="C373" s="41" t="str">
        <f>C311</f>
        <v>Agg. LatAm sector</v>
      </c>
      <c r="D373" s="44"/>
      <c r="E373" s="44"/>
      <c r="F373" s="45"/>
      <c r="G373" s="44"/>
      <c r="H373" s="46"/>
      <c r="I373" s="59">
        <f>('LATAM AGG'!$D$24/'LATAM AGG'!$C$24)-1</f>
        <v>8.2557276449634953E-2</v>
      </c>
      <c r="J373" s="59">
        <f>('LATAM AGG'!$E$24/'LATAM AGG'!$D$24)-1</f>
        <v>6.484939936002454E-2</v>
      </c>
      <c r="K373" s="59">
        <f>('LATAM AGG'!$F$24/'LATAM AGG'!$E$24)-1</f>
        <v>5.1296793670652763E-2</v>
      </c>
      <c r="L373" s="59">
        <f>('LATAM AGG'!$G$24/'LATAM AGG'!$F$24)-1</f>
        <v>4.0230015114582907E-2</v>
      </c>
      <c r="M373" s="59">
        <f>'LATAM AGG'!$H$24</f>
        <v>5.207726801776924E-2</v>
      </c>
      <c r="N373" s="56"/>
      <c r="O373" s="59">
        <f>('LATAM AGG'!$D$25/'LATAM AGG'!$C$25)-1</f>
        <v>0.20353275254501679</v>
      </c>
      <c r="P373" s="59">
        <f>('LATAM AGG'!$E$25/'LATAM AGG'!$D$25)-1</f>
        <v>0.17238099742063007</v>
      </c>
      <c r="Q373" s="59">
        <f>('LATAM AGG'!$F$25/'LATAM AGG'!$E$25)-1</f>
        <v>0.11878801416168061</v>
      </c>
      <c r="R373" s="59">
        <f>('LATAM AGG'!$G$25/'LATAM AGG'!$F$25)-1</f>
        <v>8.6200670160945236E-2</v>
      </c>
      <c r="S373" s="59">
        <f>'LATAM AGG'!$H$25</f>
        <v>0.12523236171018404</v>
      </c>
      <c r="T373" s="46"/>
      <c r="U373" s="48"/>
      <c r="V373" s="50" t="str">
        <f>V311</f>
        <v>Agg. LatAm sector</v>
      </c>
      <c r="Z373" s="46"/>
      <c r="AE373" s="41"/>
      <c r="AF373" s="31"/>
      <c r="AG373" s="31"/>
      <c r="AI373" s="41"/>
      <c r="AJ373" s="64"/>
      <c r="AK373" s="64"/>
      <c r="AM373" s="41"/>
      <c r="AN373" s="64"/>
      <c r="AO373" s="64"/>
      <c r="AQ373" s="41"/>
      <c r="AR373" s="64"/>
      <c r="AS373" s="64"/>
    </row>
    <row r="374" spans="1:69" s="5" customFormat="1">
      <c r="A374" s="39"/>
      <c r="B374" s="42"/>
      <c r="C374" s="67" t="str">
        <f>C312</f>
        <v>Agg. Emerging Asia sector</v>
      </c>
      <c r="D374" s="52"/>
      <c r="E374" s="52"/>
      <c r="F374" s="53"/>
      <c r="G374" s="52"/>
      <c r="H374" s="46"/>
      <c r="I374" s="55">
        <f>('AGG EM ASIA'!$D$24/'AGG EM ASIA'!$C$24)-1</f>
        <v>4.851697419417067E-2</v>
      </c>
      <c r="J374" s="55">
        <f>('AGG EM ASIA'!$E$24/'AGG EM ASIA'!$D$24)-1</f>
        <v>4.1806061002825468E-2</v>
      </c>
      <c r="K374" s="55">
        <f>('AGG EM ASIA'!$F$24/'AGG EM ASIA'!$E$24)-1</f>
        <v>5.142257432734243E-2</v>
      </c>
      <c r="L374" s="55">
        <f>('AGG EM ASIA'!$G$24/'AGG EM ASIA'!$F$24)-1</f>
        <v>5.1760385089333782E-2</v>
      </c>
      <c r="M374" s="55">
        <f>'AGG EM ASIA'!$H$24</f>
        <v>4.831949442030492E-2</v>
      </c>
      <c r="N374" s="56"/>
      <c r="O374" s="55">
        <f>('AGG EM ASIA'!$D$25/'AGG EM ASIA'!$C$25)-1</f>
        <v>0.11214110942956856</v>
      </c>
      <c r="P374" s="55">
        <f>('AGG EM ASIA'!$E$25/'AGG EM ASIA'!$D$25)-1</f>
        <v>0.11419237311224983</v>
      </c>
      <c r="Q374" s="55">
        <f>('AGG EM ASIA'!$F$25/'AGG EM ASIA'!$E$25)-1</f>
        <v>0.10516602527467955</v>
      </c>
      <c r="R374" s="55">
        <f>('AGG EM ASIA'!$G$25/'AGG EM ASIA'!$F$25)-1</f>
        <v>0.10311708658961471</v>
      </c>
      <c r="S374" s="55">
        <f>'AGG EM ASIA'!$H$25</f>
        <v>0.10748139595966522</v>
      </c>
      <c r="T374" s="46"/>
      <c r="U374" s="57"/>
      <c r="V374" s="58" t="str">
        <f>V312</f>
        <v>Agg. Emerging Asia sector</v>
      </c>
      <c r="Z374" s="46"/>
      <c r="AE374" s="41"/>
      <c r="AF374" s="31"/>
      <c r="AG374" s="31"/>
      <c r="AI374" s="41"/>
      <c r="AJ374" s="64"/>
      <c r="AK374" s="64"/>
      <c r="AM374" s="41"/>
      <c r="AN374" s="64"/>
      <c r="AO374" s="64"/>
      <c r="AQ374" s="41"/>
      <c r="AR374" s="64"/>
      <c r="AS374" s="64"/>
    </row>
    <row r="375" spans="1:69" s="5" customFormat="1">
      <c r="A375" s="39"/>
      <c r="B375" s="42"/>
      <c r="C375" s="41"/>
      <c r="D375" s="44"/>
      <c r="E375" s="44"/>
      <c r="F375" s="45"/>
      <c r="G375" s="44"/>
      <c r="H375" s="46"/>
      <c r="I375" s="59"/>
      <c r="J375" s="59"/>
      <c r="K375" s="59"/>
      <c r="L375" s="59"/>
      <c r="M375" s="59"/>
      <c r="N375" s="56"/>
      <c r="O375" s="59"/>
      <c r="P375" s="59"/>
      <c r="Q375" s="59"/>
      <c r="R375" s="59"/>
      <c r="S375" s="59"/>
      <c r="T375" s="46"/>
      <c r="U375" s="48"/>
      <c r="V375" s="50"/>
      <c r="Z375" s="46"/>
      <c r="AE375" s="41"/>
      <c r="AF375" s="31"/>
      <c r="AG375" s="31"/>
      <c r="AI375" s="41"/>
      <c r="AJ375" s="64"/>
      <c r="AK375" s="64"/>
      <c r="AM375" s="41"/>
      <c r="AN375" s="64"/>
      <c r="AO375" s="64"/>
      <c r="AQ375" s="41"/>
      <c r="AR375" s="64"/>
      <c r="AS375" s="64"/>
    </row>
    <row r="376" spans="1:69" s="5" customFormat="1">
      <c r="A376" s="39"/>
      <c r="B376" s="42"/>
      <c r="C376" s="67" t="str">
        <f>C314</f>
        <v>Agg. Global EM sector (ex-consensus)</v>
      </c>
      <c r="D376" s="52"/>
      <c r="E376" s="52"/>
      <c r="F376" s="53"/>
      <c r="G376" s="52"/>
      <c r="H376" s="46"/>
      <c r="I376" s="55">
        <f>('AGG EM'!$D$24/'AGG EM'!$C$24)-1</f>
        <v>5.2578426041004933E-2</v>
      </c>
      <c r="J376" s="55">
        <f>('AGG EM'!$E$24/'AGG EM'!$D$24)-1</f>
        <v>3.754352579818665E-2</v>
      </c>
      <c r="K376" s="55">
        <f>('AGG EM'!$F$24/'AGG EM'!$E$24)-1</f>
        <v>5.538590215650796E-2</v>
      </c>
      <c r="L376" s="55">
        <f>('AGG EM'!$G$24/'AGG EM'!$F$24)-1</f>
        <v>5.319548986883782E-2</v>
      </c>
      <c r="M376" s="55">
        <f>'AGG EM'!$H$24</f>
        <v>4.8678106743502703E-2</v>
      </c>
      <c r="N376" s="56"/>
      <c r="O376" s="55">
        <f>('AGG EM'!$D$25/'AGG EM'!$C$25)-1</f>
        <v>0.11573097913455177</v>
      </c>
      <c r="P376" s="55">
        <f>('AGG EM'!$E$25/'AGG EM'!$D$25)-1</f>
        <v>0.11831142323836108</v>
      </c>
      <c r="Q376" s="55">
        <f>('AGG EM'!$F$25/'AGG EM'!$E$25)-1</f>
        <v>0.1123162809977909</v>
      </c>
      <c r="R376" s="55">
        <f>('AGG EM'!$G$25/'AGG EM'!$F$25)-1</f>
        <v>0.10121933702513308</v>
      </c>
      <c r="S376" s="55">
        <f>'AGG EM'!$H$25</f>
        <v>0.11059307549826269</v>
      </c>
      <c r="T376" s="46"/>
      <c r="U376" s="57"/>
      <c r="V376" s="58" t="str">
        <f>V314</f>
        <v>Agg. Global EM sector (ex-consensus)</v>
      </c>
      <c r="Z376" s="46"/>
      <c r="AE376" s="41"/>
      <c r="AF376" s="31"/>
      <c r="AG376" s="31"/>
      <c r="AI376" s="41"/>
      <c r="AJ376" s="64"/>
      <c r="AK376" s="64"/>
      <c r="AM376" s="41"/>
      <c r="AN376" s="64"/>
      <c r="AO376" s="64"/>
      <c r="AQ376" s="41"/>
      <c r="AR376" s="64"/>
      <c r="AS376" s="64"/>
    </row>
    <row r="377" spans="1:69" s="5" customFormat="1">
      <c r="A377" s="39"/>
      <c r="B377" s="42"/>
      <c r="C377" s="43"/>
      <c r="D377" s="44"/>
      <c r="E377" s="44"/>
      <c r="F377" s="45"/>
      <c r="G377" s="44"/>
      <c r="H377" s="134"/>
      <c r="I377" s="45"/>
      <c r="J377" s="45"/>
      <c r="K377" s="45"/>
      <c r="L377" s="45"/>
      <c r="M377" s="45"/>
      <c r="N377" s="46"/>
      <c r="O377" s="45"/>
      <c r="P377" s="45"/>
      <c r="Q377" s="45"/>
      <c r="R377" s="45"/>
      <c r="S377" s="45"/>
      <c r="T377" s="46"/>
      <c r="U377" s="48"/>
      <c r="V377" s="50"/>
      <c r="Z377" s="46"/>
      <c r="AE377" s="41"/>
      <c r="AF377" s="31"/>
      <c r="AG377" s="31"/>
      <c r="AI377" s="41"/>
      <c r="AJ377" s="64"/>
      <c r="AK377" s="64"/>
      <c r="AM377" s="41"/>
      <c r="AN377" s="64"/>
      <c r="AO377" s="64"/>
      <c r="AQ377" s="41"/>
      <c r="AR377" s="64"/>
      <c r="AS377" s="64"/>
    </row>
    <row r="378" spans="1:69" s="5" customFormat="1">
      <c r="A378" s="39"/>
      <c r="B378" s="42"/>
      <c r="C378" s="43"/>
      <c r="D378" s="44"/>
      <c r="E378" s="44"/>
      <c r="F378" s="45"/>
      <c r="G378" s="44"/>
      <c r="H378" s="134"/>
      <c r="I378" s="45"/>
      <c r="J378" s="45"/>
      <c r="K378" s="45"/>
      <c r="L378" s="45"/>
      <c r="M378" s="45"/>
      <c r="N378" s="46"/>
      <c r="O378" s="45"/>
      <c r="P378" s="45"/>
      <c r="Q378" s="45"/>
      <c r="R378" s="45"/>
      <c r="S378" s="45"/>
      <c r="T378" s="46"/>
      <c r="U378" s="48"/>
      <c r="V378" s="50"/>
      <c r="Z378" s="46"/>
      <c r="AE378" s="41"/>
      <c r="AF378" s="31"/>
      <c r="AG378" s="31"/>
      <c r="AI378" s="41"/>
      <c r="AJ378" s="139"/>
      <c r="AK378" s="139"/>
      <c r="AM378" s="41"/>
      <c r="AN378" s="139"/>
      <c r="AO378" s="139"/>
      <c r="AQ378" s="41"/>
      <c r="AR378" s="139"/>
      <c r="AS378" s="139"/>
    </row>
    <row r="379" spans="1:69" s="41" customFormat="1">
      <c r="B379" s="147"/>
      <c r="C379" s="164"/>
      <c r="D379" s="165" t="s">
        <v>459</v>
      </c>
      <c r="E379" s="165" t="s">
        <v>56</v>
      </c>
      <c r="F379" s="165" t="s">
        <v>58</v>
      </c>
      <c r="G379" s="165" t="s">
        <v>55</v>
      </c>
      <c r="H379" s="134"/>
      <c r="I379" s="166" t="s">
        <v>463</v>
      </c>
      <c r="J379" s="166"/>
      <c r="K379" s="166"/>
      <c r="L379" s="166"/>
      <c r="M379" s="166"/>
      <c r="N379" s="46"/>
      <c r="O379" s="166" t="s">
        <v>464</v>
      </c>
      <c r="P379" s="166"/>
      <c r="Q379" s="166"/>
      <c r="R379" s="166"/>
      <c r="S379" s="166"/>
      <c r="T379" s="46"/>
      <c r="U379" s="167" t="s">
        <v>459</v>
      </c>
      <c r="V379" s="165"/>
      <c r="Z379" s="49"/>
      <c r="AC379" s="135"/>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BC379" s="137"/>
      <c r="BD379" s="137"/>
      <c r="BE379" s="137"/>
      <c r="BG379" s="137"/>
      <c r="BH379" s="137"/>
      <c r="BI379" s="137"/>
      <c r="BK379" s="137"/>
      <c r="BL379" s="137"/>
      <c r="BM379" s="137"/>
      <c r="BO379" s="137"/>
      <c r="BP379" s="137"/>
      <c r="BQ379" s="137"/>
    </row>
    <row r="380" spans="1:69" s="5" customFormat="1">
      <c r="A380" s="41" t="s">
        <v>501</v>
      </c>
      <c r="B380" s="42"/>
      <c r="C380" s="48" t="str">
        <f>C318</f>
        <v>Telkom SA</v>
      </c>
      <c r="D380" s="44" t="str">
        <f>D318</f>
        <v>ZAR 27.6</v>
      </c>
      <c r="E380" s="44" t="str">
        <f>E318</f>
        <v>ZAR 56.0</v>
      </c>
      <c r="F380" s="45">
        <f>F318</f>
        <v>1.0326678765880217</v>
      </c>
      <c r="G380" s="44" t="str">
        <f>G318</f>
        <v>Neutral</v>
      </c>
      <c r="H380" s="134"/>
      <c r="I380" s="45">
        <f>TKG!$D$24/TKG!$D$23</f>
        <v>0.26916798242176188</v>
      </c>
      <c r="J380" s="45">
        <f>TKG!$E$24/TKG!$E$23</f>
        <v>0.26263815509868987</v>
      </c>
      <c r="K380" s="45">
        <f>TKG!$F$24/TKG!$F$23</f>
        <v>0.25918844335639735</v>
      </c>
      <c r="L380" s="45">
        <f>TKG!$G$24/TKG!$G$23</f>
        <v>0.25918844335639735</v>
      </c>
      <c r="M380" s="45">
        <f t="shared" ref="M380" si="56">L380-I380</f>
        <v>-9.9795390653645288E-3</v>
      </c>
      <c r="N380" s="46"/>
      <c r="O380" s="45">
        <f>TKG!$D$25/TKG!$D$23</f>
        <v>0.12177348948550372</v>
      </c>
      <c r="P380" s="45">
        <f>TKG!$E$25/TKG!$E$23</f>
        <v>0.12091280593841618</v>
      </c>
      <c r="Q380" s="45">
        <f>TKG!$F$25/TKG!$F$23</f>
        <v>0.11707984699235033</v>
      </c>
      <c r="R380" s="45">
        <f>TKG!$G$25/TKG!$G$23</f>
        <v>0.11707984699235037</v>
      </c>
      <c r="S380" s="45">
        <f t="shared" ref="S380" si="57">R380-O380</f>
        <v>-4.6936424931533494E-3</v>
      </c>
      <c r="T380" s="46"/>
      <c r="U380" s="48" t="str">
        <f>U318</f>
        <v>ZAR 27.6</v>
      </c>
      <c r="V380" s="44" t="str">
        <f>V318</f>
        <v>Telkom SA</v>
      </c>
      <c r="Z380" s="46"/>
      <c r="AE380" s="41"/>
      <c r="AF380" s="31"/>
      <c r="AG380" s="31"/>
      <c r="AI380" s="41"/>
      <c r="AJ380" s="64"/>
      <c r="AK380" s="64"/>
      <c r="AM380" s="41"/>
      <c r="AN380" s="64"/>
      <c r="AO380" s="64"/>
      <c r="AQ380" s="41"/>
      <c r="AR380" s="64"/>
      <c r="AS380" s="64"/>
    </row>
    <row r="381" spans="1:69" s="5" customFormat="1">
      <c r="B381" s="42"/>
      <c r="C381" s="51" t="str">
        <f>C319</f>
        <v>Agg. EMEA Incumbent</v>
      </c>
      <c r="D381" s="58"/>
      <c r="E381" s="58"/>
      <c r="F381" s="55"/>
      <c r="G381" s="58"/>
      <c r="H381" s="134"/>
      <c r="I381" s="55"/>
      <c r="J381" s="55"/>
      <c r="K381" s="55"/>
      <c r="L381" s="55"/>
      <c r="M381" s="55"/>
      <c r="N381" s="56"/>
      <c r="O381" s="55"/>
      <c r="P381" s="55"/>
      <c r="Q381" s="55"/>
      <c r="R381" s="55"/>
      <c r="S381" s="55"/>
      <c r="T381" s="56"/>
      <c r="U381" s="51"/>
      <c r="V381" s="58" t="str">
        <f>V319</f>
        <v>Agg. EMEA Incumbent</v>
      </c>
      <c r="Z381" s="46"/>
      <c r="AE381" s="41"/>
      <c r="AF381" s="31"/>
      <c r="AG381" s="31"/>
      <c r="AI381" s="41"/>
      <c r="AJ381" s="64"/>
      <c r="AK381" s="64"/>
      <c r="AM381" s="41"/>
      <c r="AN381" s="64"/>
      <c r="AO381" s="64"/>
      <c r="AQ381" s="41"/>
      <c r="AR381" s="64"/>
      <c r="AS381" s="64"/>
    </row>
    <row r="382" spans="1:69" s="5" customFormat="1">
      <c r="B382" s="42"/>
      <c r="C382" s="48"/>
      <c r="D382" s="44"/>
      <c r="E382" s="44"/>
      <c r="F382" s="68"/>
      <c r="G382" s="44"/>
      <c r="H382" s="134"/>
      <c r="I382" s="61"/>
      <c r="J382" s="61"/>
      <c r="K382" s="61"/>
      <c r="L382" s="61"/>
      <c r="M382" s="61"/>
      <c r="N382" s="46"/>
      <c r="O382" s="61"/>
      <c r="P382" s="61"/>
      <c r="Q382" s="61"/>
      <c r="R382" s="61"/>
      <c r="S382" s="61"/>
      <c r="T382" s="46"/>
      <c r="U382" s="48"/>
      <c r="V382" s="44"/>
      <c r="X382" s="56"/>
      <c r="Y382" s="56"/>
      <c r="Z382" s="56"/>
      <c r="AE382" s="41"/>
      <c r="AF382" s="31"/>
      <c r="AG382" s="31"/>
      <c r="AI382" s="41"/>
      <c r="AJ382" s="64"/>
      <c r="AK382" s="64"/>
      <c r="AM382" s="41"/>
      <c r="AN382" s="64"/>
      <c r="AO382" s="64"/>
      <c r="AQ382" s="41"/>
      <c r="AR382" s="64"/>
      <c r="AS382" s="64"/>
    </row>
    <row r="383" spans="1:69" s="5" customFormat="1">
      <c r="B383" s="42"/>
      <c r="C383" s="48" t="str">
        <f t="shared" ref="C383:G385" si="58">C321</f>
        <v>America Movil</v>
      </c>
      <c r="D383" s="44" t="str">
        <f t="shared" si="58"/>
        <v>USD 16.3</v>
      </c>
      <c r="E383" s="44" t="str">
        <f t="shared" si="58"/>
        <v>USD 24.0</v>
      </c>
      <c r="F383" s="45">
        <f t="shared" si="58"/>
        <v>0.4714898835070509</v>
      </c>
      <c r="G383" s="44" t="str">
        <f t="shared" si="58"/>
        <v>Buy</v>
      </c>
      <c r="H383" s="46"/>
      <c r="I383" s="45">
        <f>AMX!$D$24/AMX!$D$23</f>
        <v>0.38898519756152417</v>
      </c>
      <c r="J383" s="45">
        <f>AMX!$E$24/AMX!$E$23</f>
        <v>0.39626048136159947</v>
      </c>
      <c r="K383" s="45">
        <f>AMX!$F$24/AMX!$F$23</f>
        <v>0.40406418675401479</v>
      </c>
      <c r="L383" s="45">
        <f>AMX!$G$24/AMX!$G$23</f>
        <v>0.41096203491994959</v>
      </c>
      <c r="M383" s="45">
        <f t="shared" ref="M383:M387" si="59">L383-I383</f>
        <v>2.1976837358425427E-2</v>
      </c>
      <c r="N383" s="46"/>
      <c r="O383" s="45">
        <f>AMX!$D$25/AMX!$D$23</f>
        <v>0.21462590271734924</v>
      </c>
      <c r="P383" s="45">
        <f>AMX!$E$25/AMX!$E$23</f>
        <v>0.24213491099665188</v>
      </c>
      <c r="Q383" s="45">
        <f>AMX!$F$25/AMX!$F$23</f>
        <v>0.25754897091046308</v>
      </c>
      <c r="R383" s="45">
        <f>AMX!$G$25/AMX!$G$23</f>
        <v>0.2737616283935741</v>
      </c>
      <c r="S383" s="45">
        <f t="shared" ref="S383:S387" si="60">R383-O383</f>
        <v>5.9135725676224854E-2</v>
      </c>
      <c r="T383" s="46"/>
      <c r="U383" s="48" t="str">
        <f t="shared" ref="U383:V385" si="61">U321</f>
        <v>USD 16.3</v>
      </c>
      <c r="V383" s="44" t="str">
        <f t="shared" si="61"/>
        <v>America Movil</v>
      </c>
      <c r="Z383" s="46"/>
      <c r="AE383" s="41"/>
      <c r="AF383" s="31"/>
      <c r="AG383" s="31"/>
      <c r="AI383" s="41"/>
      <c r="AJ383" s="64"/>
      <c r="AK383" s="64"/>
      <c r="AM383" s="41"/>
      <c r="AN383" s="64"/>
      <c r="AO383" s="64"/>
      <c r="AQ383" s="41"/>
      <c r="AR383" s="64"/>
      <c r="AS383" s="64"/>
    </row>
    <row r="384" spans="1:69" s="5" customFormat="1">
      <c r="B384" s="42"/>
      <c r="C384" s="48" t="str">
        <f t="shared" si="58"/>
        <v>Oi</v>
      </c>
      <c r="D384" s="44" t="str">
        <f t="shared" si="58"/>
        <v>BRL 12.10</v>
      </c>
      <c r="E384" s="44" t="str">
        <f t="shared" si="58"/>
        <v>BRL 0.90</v>
      </c>
      <c r="F384" s="45">
        <f t="shared" si="58"/>
        <v>-0.92561983471074383</v>
      </c>
      <c r="G384" s="44" t="str">
        <f t="shared" si="58"/>
        <v>Neutral</v>
      </c>
      <c r="H384" s="46"/>
      <c r="I384" s="45">
        <f>OIBR!$D$24/OIBR!$D$23</f>
        <v>0.23281985995197482</v>
      </c>
      <c r="J384" s="45">
        <f>OIBR!$E$24/OIBR!$E$23</f>
        <v>0.2513022364690452</v>
      </c>
      <c r="K384" s="45">
        <f>OIBR!$F$24/OIBR!$F$23</f>
        <v>0.26560610619525621</v>
      </c>
      <c r="L384" s="45">
        <f>OIBR!$G$24/OIBR!$G$23</f>
        <v>0.27212895067921594</v>
      </c>
      <c r="M384" s="45">
        <f>L384-I384</f>
        <v>3.9309090727241119E-2</v>
      </c>
      <c r="N384" s="46"/>
      <c r="O384" s="45">
        <f>OIBR!$D$25/OIBR!$D$23</f>
        <v>-0.14493804396003981</v>
      </c>
      <c r="P384" s="45">
        <f>OIBR!$E$25/OIBR!$E$23</f>
        <v>-0.10667581854010856</v>
      </c>
      <c r="Q384" s="45">
        <f>OIBR!$F$25/OIBR!$F$23</f>
        <v>-3.2949879501398211E-3</v>
      </c>
      <c r="R384" s="45">
        <f>OIBR!$G$25/OIBR!$G$23</f>
        <v>5.2728314789410438E-2</v>
      </c>
      <c r="S384" s="45">
        <f>R384-O384</f>
        <v>0.19766635874945027</v>
      </c>
      <c r="T384" s="46"/>
      <c r="U384" s="48" t="str">
        <f t="shared" si="61"/>
        <v>BRL 12.10</v>
      </c>
      <c r="V384" s="44" t="str">
        <f t="shared" si="61"/>
        <v>Oi</v>
      </c>
      <c r="W384" s="56"/>
      <c r="AE384" s="41"/>
      <c r="AF384" s="31"/>
      <c r="AG384" s="31"/>
      <c r="AI384" s="41"/>
      <c r="AJ384" s="64"/>
      <c r="AK384" s="64"/>
      <c r="AM384" s="41"/>
      <c r="AN384" s="64"/>
      <c r="AO384" s="64"/>
      <c r="AQ384" s="41"/>
      <c r="AR384" s="64"/>
      <c r="AS384" s="64"/>
    </row>
    <row r="385" spans="1:45" s="5" customFormat="1">
      <c r="B385" s="42"/>
      <c r="C385" s="48" t="str">
        <f t="shared" si="58"/>
        <v>Telefonica Brasil</v>
      </c>
      <c r="D385" s="44" t="str">
        <f t="shared" si="58"/>
        <v>BRL 55.12</v>
      </c>
      <c r="E385" s="44" t="str">
        <f t="shared" si="58"/>
        <v>BRL 61.00</v>
      </c>
      <c r="F385" s="45">
        <f t="shared" si="58"/>
        <v>0.10667634252539915</v>
      </c>
      <c r="G385" s="44" t="str">
        <f t="shared" si="58"/>
        <v>Buy</v>
      </c>
      <c r="H385" s="46"/>
      <c r="I385" s="45">
        <f>VIVO!$D$24/VIVO!$D$23</f>
        <v>0.40469381208134653</v>
      </c>
      <c r="J385" s="45">
        <f>VIVO!$E$24/VIVO!$E$23</f>
        <v>0.4143835852342444</v>
      </c>
      <c r="K385" s="45">
        <f>VIVO!$F$24/VIVO!$F$23</f>
        <v>0.42430185795284564</v>
      </c>
      <c r="L385" s="45">
        <f>VIVO!$G$24/VIVO!$G$23</f>
        <v>0.42928444683173234</v>
      </c>
      <c r="M385" s="45">
        <f t="shared" si="59"/>
        <v>2.4590634750385809E-2</v>
      </c>
      <c r="N385" s="46"/>
      <c r="O385" s="45">
        <f>VIVO!$D$25/VIVO!$D$23</f>
        <v>0.2342196684784216</v>
      </c>
      <c r="P385" s="45">
        <f>VIVO!$E$25/VIVO!$E$23</f>
        <v>0.25670500280582581</v>
      </c>
      <c r="Q385" s="45">
        <f>VIVO!$F$25/VIVO!$F$23</f>
        <v>0.2694483360646362</v>
      </c>
      <c r="R385" s="45">
        <f>VIVO!$G$25/VIVO!$G$23</f>
        <v>0.27837340856385739</v>
      </c>
      <c r="S385" s="45">
        <f t="shared" si="60"/>
        <v>4.4153740085435794E-2</v>
      </c>
      <c r="T385" s="46"/>
      <c r="U385" s="48" t="str">
        <f t="shared" si="61"/>
        <v>BRL 55.12</v>
      </c>
      <c r="V385" s="44" t="str">
        <f t="shared" si="61"/>
        <v>Telefonica Brasil</v>
      </c>
      <c r="AE385" s="41"/>
      <c r="AF385" s="31"/>
      <c r="AG385" s="31"/>
      <c r="AI385" s="41"/>
      <c r="AJ385" s="64"/>
      <c r="AK385" s="64"/>
      <c r="AM385" s="41"/>
      <c r="AN385" s="64"/>
      <c r="AO385" s="64"/>
      <c r="AQ385" s="41"/>
      <c r="AR385" s="64"/>
      <c r="AS385" s="64"/>
    </row>
    <row r="386" spans="1:45" s="5" customFormat="1">
      <c r="B386" s="42"/>
      <c r="C386" s="48" t="s">
        <v>667</v>
      </c>
      <c r="D386" s="44" t="str">
        <f>D324</f>
        <v>USD 1.8</v>
      </c>
      <c r="E386" s="44" t="str">
        <f>E324</f>
        <v>USD 3.7</v>
      </c>
      <c r="F386" s="45">
        <f>F324</f>
        <v>1.0903954802259888</v>
      </c>
      <c r="G386" s="44" t="str">
        <f>G324</f>
        <v>Neutral</v>
      </c>
      <c r="H386" s="46"/>
      <c r="I386" s="45">
        <f>TVIS!$D$24/TVIS!$D$23</f>
        <v>0.31591269898195984</v>
      </c>
      <c r="J386" s="45">
        <f>TVIS!$E$24/TVIS!$E$23</f>
        <v>0.32430699968937438</v>
      </c>
      <c r="K386" s="45">
        <f>TVIS!$F$24/TVIS!$F$23</f>
        <v>0.32154928668854021</v>
      </c>
      <c r="L386" s="45">
        <f>TVIS!$G$24/TVIS!$G$23</f>
        <v>0.31801877879124185</v>
      </c>
      <c r="M386" s="45">
        <f>L386-I386</f>
        <v>2.1060798092820132E-3</v>
      </c>
      <c r="N386" s="46"/>
      <c r="O386" s="45">
        <f>TVIS!$D$25/TVIS!$D$23</f>
        <v>0.11938707987986974</v>
      </c>
      <c r="P386" s="45">
        <f>TVIS!$E$25/TVIS!$E$23</f>
        <v>0.13079750989330005</v>
      </c>
      <c r="Q386" s="45">
        <f>TVIS!$F$25/TVIS!$F$23</f>
        <v>0.12956954347332775</v>
      </c>
      <c r="R386" s="45">
        <f>TVIS!$G$25/TVIS!$G$23</f>
        <v>0.12932024922196497</v>
      </c>
      <c r="S386" s="45">
        <f>R386-O386</f>
        <v>9.9331693420952327E-3</v>
      </c>
      <c r="T386" s="46"/>
      <c r="U386" s="48" t="str">
        <f>U324</f>
        <v>USD 1.8</v>
      </c>
      <c r="V386" s="44" t="s">
        <v>667</v>
      </c>
      <c r="AE386" s="41"/>
      <c r="AF386" s="31"/>
      <c r="AG386" s="31"/>
      <c r="AI386" s="41"/>
      <c r="AJ386" s="64"/>
      <c r="AK386" s="64"/>
      <c r="AM386" s="41"/>
      <c r="AN386" s="64"/>
      <c r="AO386" s="64"/>
      <c r="AQ386" s="41"/>
      <c r="AR386" s="64"/>
      <c r="AS386" s="64"/>
    </row>
    <row r="387" spans="1:45" s="5" customFormat="1">
      <c r="B387" s="42"/>
      <c r="C387" s="51" t="str">
        <f>C325</f>
        <v>Agg. LatAm Incumbent</v>
      </c>
      <c r="D387" s="52"/>
      <c r="E387" s="52"/>
      <c r="F387" s="53"/>
      <c r="G387" s="52"/>
      <c r="H387" s="46"/>
      <c r="I387" s="55">
        <f>'LATAM INCUMB'!D26/'LATAM INCUMB'!D25</f>
        <v>0.61418104318967359</v>
      </c>
      <c r="J387" s="55">
        <f>'LATAM INCUMB'!E26/'LATAM INCUMB'!E25</f>
        <v>0.67843886074156345</v>
      </c>
      <c r="K387" s="55">
        <f>'LATAM INCUMB'!F26/'LATAM INCUMB'!F25</f>
        <v>0.68575988717934855</v>
      </c>
      <c r="L387" s="55">
        <f>'LATAM INCUMB'!G26/'LATAM INCUMB'!G25</f>
        <v>0.69327692582151279</v>
      </c>
      <c r="M387" s="55">
        <f t="shared" si="59"/>
        <v>7.9095882631839198E-2</v>
      </c>
      <c r="N387" s="56"/>
      <c r="O387" s="55">
        <f>'LATAM INCUMB'!D30/'LATAM INCUMB'!D28</f>
        <v>8.9707281808725892E-2</v>
      </c>
      <c r="P387" s="55">
        <f>'LATAM INCUMB'!E30/'LATAM INCUMB'!E28</f>
        <v>0.12304007825595455</v>
      </c>
      <c r="Q387" s="55">
        <f>'LATAM INCUMB'!F30/'LATAM INCUMB'!F28</f>
        <v>0.16318327304531816</v>
      </c>
      <c r="R387" s="55">
        <f>'LATAM INCUMB'!G30/'LATAM INCUMB'!G28</f>
        <v>0.20263749851525562</v>
      </c>
      <c r="S387" s="55">
        <f t="shared" si="60"/>
        <v>0.11293021670652972</v>
      </c>
      <c r="T387" s="46"/>
      <c r="U387" s="57"/>
      <c r="V387" s="58" t="str">
        <f>V325</f>
        <v>Agg. LatAm Incumbent</v>
      </c>
      <c r="AE387" s="41"/>
      <c r="AF387" s="31"/>
      <c r="AG387" s="31"/>
      <c r="AI387" s="41"/>
      <c r="AJ387" s="64"/>
      <c r="AK387" s="64"/>
      <c r="AM387" s="41"/>
      <c r="AN387" s="64"/>
      <c r="AO387" s="64"/>
      <c r="AQ387" s="41"/>
      <c r="AR387" s="64"/>
      <c r="AS387" s="64"/>
    </row>
    <row r="388" spans="1:45" s="5" customFormat="1">
      <c r="A388" s="39"/>
      <c r="B388" s="42"/>
      <c r="C388" s="48"/>
      <c r="D388" s="44"/>
      <c r="E388" s="44"/>
      <c r="F388" s="45"/>
      <c r="G388" s="44"/>
      <c r="H388" s="46"/>
      <c r="I388" s="45"/>
      <c r="J388" s="45"/>
      <c r="K388" s="45"/>
      <c r="L388" s="45"/>
      <c r="M388" s="45"/>
      <c r="N388" s="56"/>
      <c r="O388" s="45"/>
      <c r="P388" s="45"/>
      <c r="Q388" s="45"/>
      <c r="R388" s="45"/>
      <c r="S388" s="45"/>
      <c r="T388" s="46"/>
      <c r="U388" s="48"/>
      <c r="V388" s="50"/>
      <c r="AE388" s="41"/>
      <c r="AF388" s="31"/>
      <c r="AG388" s="31"/>
      <c r="AI388" s="41"/>
      <c r="AJ388" s="64"/>
      <c r="AK388" s="64"/>
      <c r="AM388" s="41"/>
      <c r="AN388" s="64"/>
      <c r="AO388" s="64"/>
      <c r="AQ388" s="41"/>
      <c r="AR388" s="64"/>
      <c r="AS388" s="64"/>
    </row>
    <row r="389" spans="1:45" s="5" customFormat="1">
      <c r="B389" s="42"/>
      <c r="C389" s="48" t="str">
        <f t="shared" ref="C389:G393" si="62">C327</f>
        <v>China Telecom</v>
      </c>
      <c r="D389" s="44" t="str">
        <f t="shared" si="62"/>
        <v>HKD 4.48</v>
      </c>
      <c r="E389" s="44" t="str">
        <f t="shared" si="62"/>
        <v>HKD 8.75</v>
      </c>
      <c r="F389" s="45">
        <f t="shared" si="62"/>
        <v>0.95312499999999978</v>
      </c>
      <c r="G389" s="44" t="str">
        <f t="shared" si="62"/>
        <v>Buy</v>
      </c>
      <c r="H389" s="46"/>
      <c r="I389" s="169">
        <f>_CT!$D$24/_CT!$D$23</f>
        <v>0.26643897100774799</v>
      </c>
      <c r="J389" s="169">
        <f>_CT!$E$24/_CT!$E$23</f>
        <v>0.26801997233720964</v>
      </c>
      <c r="K389" s="169">
        <f>_CT!$F$24/_CT!$F$23</f>
        <v>0.26629565672032446</v>
      </c>
      <c r="L389" s="169">
        <f>_CT!$G$24/_CT!$G$23</f>
        <v>0.26799036163673995</v>
      </c>
      <c r="M389" s="45">
        <f t="shared" ref="M389:M394" si="63">L389-I389</f>
        <v>1.5513906289919555E-3</v>
      </c>
      <c r="N389" s="56"/>
      <c r="O389" s="169">
        <f>_CT!$D$25/_CT!$D$23</f>
        <v>7.3979020584128932E-2</v>
      </c>
      <c r="P389" s="169">
        <f>_CT!$E$25/_CT!$E$23</f>
        <v>8.7220038252628973E-2</v>
      </c>
      <c r="Q389" s="169">
        <f>_CT!$F$25/_CT!$F$23</f>
        <v>9.0550555632152002E-2</v>
      </c>
      <c r="R389" s="169">
        <f>_CT!$G$25/_CT!$G$23</f>
        <v>9.8237127590377366E-2</v>
      </c>
      <c r="S389" s="169">
        <f t="shared" ref="S389:S394" si="64">R389-O389</f>
        <v>2.4258107006248433E-2</v>
      </c>
      <c r="T389" s="46"/>
      <c r="U389" s="48" t="str">
        <f t="shared" ref="U389:V393" si="65">U327</f>
        <v>HKD 4.48</v>
      </c>
      <c r="V389" s="44" t="str">
        <f t="shared" si="65"/>
        <v>China Telecom</v>
      </c>
      <c r="AE389" s="41"/>
      <c r="AF389" s="31"/>
      <c r="AG389" s="31"/>
      <c r="AI389" s="41"/>
      <c r="AJ389" s="64"/>
      <c r="AK389" s="64"/>
      <c r="AM389" s="41"/>
      <c r="AN389" s="64"/>
      <c r="AO389" s="64"/>
      <c r="AQ389" s="41"/>
      <c r="AR389" s="64"/>
      <c r="AS389" s="64"/>
    </row>
    <row r="390" spans="1:45" s="5" customFormat="1">
      <c r="B390" s="42"/>
      <c r="C390" s="48" t="str">
        <f t="shared" si="62"/>
        <v>China Unicom</v>
      </c>
      <c r="D390" s="44" t="str">
        <f t="shared" si="62"/>
        <v>HKD 6.32</v>
      </c>
      <c r="E390" s="44" t="str">
        <f t="shared" si="62"/>
        <v>HKD 13.20</v>
      </c>
      <c r="F390" s="45">
        <f t="shared" si="62"/>
        <v>1.0886075949367084</v>
      </c>
      <c r="G390" s="44" t="str">
        <f t="shared" si="62"/>
        <v>Buy</v>
      </c>
      <c r="H390" s="46"/>
      <c r="I390" s="169">
        <f>_CU!$D$24/_CU!$D$23</f>
        <v>0.26788192068105754</v>
      </c>
      <c r="J390" s="169">
        <f>_CU!$E$24/_CU!$E$23</f>
        <v>0.26514595827122106</v>
      </c>
      <c r="K390" s="169">
        <f>_CU!$F$24/_CU!$F$23</f>
        <v>0.2623940625787588</v>
      </c>
      <c r="L390" s="169">
        <f>_CU!$G$24/_CU!$G$23</f>
        <v>0.2606759372197221</v>
      </c>
      <c r="M390" s="45">
        <f t="shared" si="63"/>
        <v>-7.2059834613354412E-3</v>
      </c>
      <c r="N390" s="56"/>
      <c r="O390" s="169">
        <f>_CU!$D$25/_CU!$D$23</f>
        <v>6.9544306583252141E-2</v>
      </c>
      <c r="P390" s="169">
        <f>_CU!$E$25/_CU!$E$23</f>
        <v>9.346638405223448E-2</v>
      </c>
      <c r="Q390" s="169">
        <f>_CU!$F$25/_CU!$F$23</f>
        <v>9.5141023363489244E-2</v>
      </c>
      <c r="R390" s="169">
        <f>_CU!$G$25/_CU!$G$23</f>
        <v>9.7941906548577318E-2</v>
      </c>
      <c r="S390" s="169">
        <f t="shared" si="64"/>
        <v>2.8397599965325176E-2</v>
      </c>
      <c r="T390" s="46"/>
      <c r="U390" s="48" t="str">
        <f t="shared" si="65"/>
        <v>HKD 6.32</v>
      </c>
      <c r="V390" s="44" t="str">
        <f t="shared" si="65"/>
        <v>China Unicom</v>
      </c>
      <c r="AE390" s="41"/>
      <c r="AF390" s="31"/>
      <c r="AG390" s="31"/>
      <c r="AI390" s="41"/>
      <c r="AJ390" s="64"/>
      <c r="AK390" s="64"/>
      <c r="AM390" s="41"/>
      <c r="AN390" s="64"/>
      <c r="AO390" s="64"/>
      <c r="AQ390" s="41"/>
      <c r="AR390" s="64"/>
      <c r="AS390" s="64"/>
    </row>
    <row r="391" spans="1:45" s="5" customFormat="1">
      <c r="A391" s="39"/>
      <c r="B391" s="42"/>
      <c r="C391" s="48" t="str">
        <f t="shared" si="62"/>
        <v>Chunghwa Telecom</v>
      </c>
      <c r="D391" s="44" t="str">
        <f t="shared" si="62"/>
        <v>TWD 124.00</v>
      </c>
      <c r="E391" s="44" t="str">
        <f t="shared" si="62"/>
        <v>TWD n/r</v>
      </c>
      <c r="F391" s="45" t="str">
        <f t="shared" si="62"/>
        <v>-</v>
      </c>
      <c r="G391" s="44" t="str">
        <f t="shared" si="62"/>
        <v>n/r</v>
      </c>
      <c r="H391" s="46"/>
      <c r="I391" s="45">
        <f>CHUNG!$D$24/CHUNG!$D$23</f>
        <v>0.37583216219042875</v>
      </c>
      <c r="J391" s="45">
        <f>CHUNG!$E$24/CHUNG!$E$23</f>
        <v>0.37664866980042322</v>
      </c>
      <c r="K391" s="45">
        <f>CHUNG!$F$24/CHUNG!$F$23</f>
        <v>0.3776933084540936</v>
      </c>
      <c r="L391" s="45">
        <f>CHUNG!$G$24/CHUNG!$G$23</f>
        <v>0.3789573972271495</v>
      </c>
      <c r="M391" s="45">
        <f t="shared" si="63"/>
        <v>3.1252350367207415E-3</v>
      </c>
      <c r="N391" s="56"/>
      <c r="O391" s="45">
        <f>CHUNG!$D$25/CHUNG!$D$23</f>
        <v>0.24583216219042872</v>
      </c>
      <c r="P391" s="45">
        <f>CHUNG!$E$25/CHUNG!$E$23</f>
        <v>0.26664866980042323</v>
      </c>
      <c r="Q391" s="45">
        <f>CHUNG!$F$25/CHUNG!$F$23</f>
        <v>0.27769330845409362</v>
      </c>
      <c r="R391" s="45">
        <f>CHUNG!$G$25/CHUNG!$G$23</f>
        <v>0.27895739722714952</v>
      </c>
      <c r="S391" s="45">
        <f t="shared" si="64"/>
        <v>3.3125235036720796E-2</v>
      </c>
      <c r="T391" s="46"/>
      <c r="U391" s="48" t="str">
        <f t="shared" si="65"/>
        <v>TWD 124.00</v>
      </c>
      <c r="V391" s="44" t="str">
        <f t="shared" si="65"/>
        <v>Chunghwa Telecom</v>
      </c>
      <c r="AE391" s="41"/>
      <c r="AF391" s="31"/>
      <c r="AG391" s="31"/>
      <c r="AI391" s="41"/>
      <c r="AJ391" s="64"/>
      <c r="AK391" s="64"/>
      <c r="AM391" s="41"/>
      <c r="AN391" s="64"/>
      <c r="AO391" s="64"/>
      <c r="AQ391" s="41"/>
      <c r="AR391" s="64"/>
      <c r="AS391" s="64"/>
    </row>
    <row r="392" spans="1:45" s="5" customFormat="1">
      <c r="A392" s="39"/>
      <c r="B392" s="42"/>
      <c r="C392" s="48" t="str">
        <f t="shared" si="62"/>
        <v>KT Corp</v>
      </c>
      <c r="D392" s="44" t="str">
        <f t="shared" si="62"/>
        <v>KRW 41,200</v>
      </c>
      <c r="E392" s="44" t="str">
        <f t="shared" si="62"/>
        <v>KRW 70,000</v>
      </c>
      <c r="F392" s="45">
        <f t="shared" si="62"/>
        <v>0.69902912621359214</v>
      </c>
      <c r="G392" s="44" t="str">
        <f t="shared" si="62"/>
        <v>Buy</v>
      </c>
      <c r="H392" s="46"/>
      <c r="I392" s="45">
        <f>_KT!$D$24/_KT!$D$23</f>
        <v>0.20691628453405089</v>
      </c>
      <c r="J392" s="45">
        <f>_KT!$E$24/_KT!$E$23</f>
        <v>0.21167151419786451</v>
      </c>
      <c r="K392" s="45">
        <f>_KT!$F$24/_KT!$F$23</f>
        <v>0.21170373116383892</v>
      </c>
      <c r="L392" s="45">
        <f>_KT!$G$24/_KT!$G$23</f>
        <v>0.2159421393751805</v>
      </c>
      <c r="M392" s="45">
        <f t="shared" si="63"/>
        <v>9.0258548411296102E-3</v>
      </c>
      <c r="N392" s="56"/>
      <c r="O392" s="45">
        <f>_KT!$D$25/_KT!$D$23</f>
        <v>8.1134649638079384E-2</v>
      </c>
      <c r="P392" s="45">
        <f>_KT!$E$25/_KT!$E$23</f>
        <v>7.9592851942530435E-2</v>
      </c>
      <c r="Q392" s="45">
        <f>_KT!$F$25/_KT!$F$23</f>
        <v>9.5475737713494949E-2</v>
      </c>
      <c r="R392" s="45">
        <f>_KT!$G$25/_KT!$G$23</f>
        <v>0.1017459797870959</v>
      </c>
      <c r="S392" s="45">
        <f t="shared" si="64"/>
        <v>2.0611330149016518E-2</v>
      </c>
      <c r="T392" s="46"/>
      <c r="U392" s="48" t="str">
        <f t="shared" si="65"/>
        <v>KRW 41,200</v>
      </c>
      <c r="V392" s="44" t="str">
        <f t="shared" si="65"/>
        <v>KT Corp</v>
      </c>
      <c r="AE392" s="41"/>
      <c r="AF392" s="31"/>
      <c r="AG392" s="31"/>
      <c r="AI392" s="41"/>
      <c r="AJ392" s="64"/>
      <c r="AK392" s="64"/>
      <c r="AM392" s="41"/>
      <c r="AN392" s="64"/>
      <c r="AO392" s="64"/>
      <c r="AQ392" s="41"/>
      <c r="AR392" s="64"/>
      <c r="AS392" s="64"/>
    </row>
    <row r="393" spans="1:45" s="5" customFormat="1">
      <c r="A393" s="39"/>
      <c r="B393" s="42"/>
      <c r="C393" s="48" t="str">
        <f t="shared" si="62"/>
        <v>PT Telkom</v>
      </c>
      <c r="D393" s="44" t="str">
        <f t="shared" si="62"/>
        <v>IDR 3,040</v>
      </c>
      <c r="E393" s="44" t="str">
        <f t="shared" si="62"/>
        <v>IDR 4,500</v>
      </c>
      <c r="F393" s="45">
        <f t="shared" si="62"/>
        <v>0.48026315789473695</v>
      </c>
      <c r="G393" s="44" t="str">
        <f t="shared" si="62"/>
        <v>Buy</v>
      </c>
      <c r="H393" s="46"/>
      <c r="I393" s="169">
        <f>PTT!$D$24/PTT!$D$23</f>
        <v>0.51991073343341199</v>
      </c>
      <c r="J393" s="169">
        <f>PTT!$E$24/PTT!$E$23</f>
        <v>0.51037207583993938</v>
      </c>
      <c r="K393" s="169">
        <f>PTT!$F$24/PTT!$F$23</f>
        <v>0.51163598071583483</v>
      </c>
      <c r="L393" s="169">
        <f>PTT!$G$24/PTT!$G$23</f>
        <v>0.51248534942377788</v>
      </c>
      <c r="M393" s="45">
        <f t="shared" si="63"/>
        <v>-7.4253840096341062E-3</v>
      </c>
      <c r="N393" s="56"/>
      <c r="O393" s="169">
        <f>PTT!$D$25/PTT!$D$23</f>
        <v>0.29896927943384088</v>
      </c>
      <c r="P393" s="169">
        <f>PTT!$E$25/PTT!$E$23</f>
        <v>0.30414828220692952</v>
      </c>
      <c r="Q393" s="169">
        <f>PTT!$F$25/PTT!$F$23</f>
        <v>0.31538508109313018</v>
      </c>
      <c r="R393" s="169">
        <f>PTT!$G$25/PTT!$G$23</f>
        <v>0.32213747281595712</v>
      </c>
      <c r="S393" s="169">
        <f t="shared" si="64"/>
        <v>2.3168193382116231E-2</v>
      </c>
      <c r="T393" s="46"/>
      <c r="U393" s="48" t="str">
        <f t="shared" si="65"/>
        <v>IDR 3,040</v>
      </c>
      <c r="V393" s="44" t="str">
        <f t="shared" si="65"/>
        <v>PT Telkom</v>
      </c>
      <c r="AE393" s="41"/>
      <c r="AF393" s="31"/>
      <c r="AG393" s="31"/>
      <c r="AI393" s="41"/>
      <c r="AJ393" s="64"/>
      <c r="AK393" s="64"/>
      <c r="AM393" s="41"/>
      <c r="AN393" s="64"/>
      <c r="AO393" s="64"/>
      <c r="AQ393" s="41"/>
      <c r="AR393" s="64"/>
      <c r="AS393" s="64"/>
    </row>
    <row r="394" spans="1:45" s="5" customFormat="1">
      <c r="A394" s="39"/>
      <c r="B394" s="42"/>
      <c r="C394" s="51" t="str">
        <f>C332</f>
        <v>Agg. Emerging Asia Incumbent</v>
      </c>
      <c r="D394" s="52"/>
      <c r="E394" s="52"/>
      <c r="F394" s="53"/>
      <c r="G394" s="52"/>
      <c r="H394" s="46"/>
      <c r="I394" s="55">
        <f>'EM ASIA INCUMB'!$D$24/'EM ASIA INCUMB'!$D$23</f>
        <v>0.27928094646925306</v>
      </c>
      <c r="J394" s="55">
        <f>'EM ASIA INCUMB'!$E$24/'EM ASIA INCUMB'!$E$23</f>
        <v>0.27912036129483664</v>
      </c>
      <c r="K394" s="55">
        <f>'EM ASIA INCUMB'!$F$24/'EM ASIA INCUMB'!$F$23</f>
        <v>0.27733059348430278</v>
      </c>
      <c r="L394" s="55">
        <f>'EM ASIA INCUMB'!$G$24/'EM ASIA INCUMB'!$G$23</f>
        <v>0.27841023420095679</v>
      </c>
      <c r="M394" s="55">
        <f t="shared" si="63"/>
        <v>-8.707122682962698E-4</v>
      </c>
      <c r="N394" s="56"/>
      <c r="O394" s="55">
        <f>'EM ASIA INCUMB'!$D$25/'EM ASIA INCUMB'!$D$23</f>
        <v>9.3946339790127412E-2</v>
      </c>
      <c r="P394" s="55">
        <f>'EM ASIA INCUMB'!$E$25/'EM ASIA INCUMB'!$E$23</f>
        <v>0.10853616546608574</v>
      </c>
      <c r="Q394" s="55">
        <f>'EM ASIA INCUMB'!$F$25/'EM ASIA INCUMB'!$F$23</f>
        <v>0.11343098366800347</v>
      </c>
      <c r="R394" s="55">
        <f>'EM ASIA INCUMB'!$G$25/'EM ASIA INCUMB'!$G$23</f>
        <v>0.11898129043934429</v>
      </c>
      <c r="S394" s="55">
        <f t="shared" si="64"/>
        <v>2.5034950649216875E-2</v>
      </c>
      <c r="T394" s="46"/>
      <c r="U394" s="57"/>
      <c r="V394" s="58" t="str">
        <f>V332</f>
        <v>Agg. Emerging Asia Incumbent</v>
      </c>
      <c r="AE394" s="41"/>
      <c r="AF394" s="31"/>
      <c r="AG394" s="31"/>
      <c r="AI394" s="41"/>
      <c r="AJ394" s="64"/>
      <c r="AK394" s="64"/>
      <c r="AM394" s="41"/>
      <c r="AN394" s="64"/>
      <c r="AO394" s="64"/>
      <c r="AQ394" s="41"/>
      <c r="AR394" s="64"/>
      <c r="AS394" s="64"/>
    </row>
    <row r="395" spans="1:45" s="5" customFormat="1">
      <c r="A395" s="39"/>
      <c r="B395" s="42"/>
      <c r="C395" s="43"/>
      <c r="D395" s="44"/>
      <c r="E395" s="44"/>
      <c r="F395" s="68"/>
      <c r="G395" s="44"/>
      <c r="H395" s="46"/>
      <c r="I395" s="61"/>
      <c r="J395" s="61"/>
      <c r="K395" s="61"/>
      <c r="L395" s="61"/>
      <c r="M395" s="61"/>
      <c r="N395" s="56"/>
      <c r="O395" s="61"/>
      <c r="P395" s="61"/>
      <c r="Q395" s="61"/>
      <c r="R395" s="61"/>
      <c r="S395" s="61"/>
      <c r="T395" s="46"/>
      <c r="U395" s="48"/>
      <c r="V395" s="50"/>
      <c r="AE395" s="41"/>
      <c r="AF395" s="31"/>
      <c r="AG395" s="31"/>
      <c r="AI395" s="41"/>
      <c r="AJ395" s="64"/>
      <c r="AK395" s="64"/>
      <c r="AM395" s="41"/>
      <c r="AN395" s="64"/>
      <c r="AO395" s="64"/>
      <c r="AQ395" s="41"/>
      <c r="AR395" s="64"/>
      <c r="AS395" s="64"/>
    </row>
    <row r="396" spans="1:45" s="5" customFormat="1">
      <c r="A396" s="39"/>
      <c r="B396" s="42"/>
      <c r="C396" s="51" t="str">
        <f>C334</f>
        <v>Agg. Emerging Incumbent</v>
      </c>
      <c r="D396" s="52"/>
      <c r="E396" s="52"/>
      <c r="F396" s="53"/>
      <c r="G396" s="52"/>
      <c r="H396" s="46"/>
      <c r="I396" s="55">
        <f>'EM INCUMB'!$D$24/'EM INCUMB'!$D$23</f>
        <v>0.30674282611443404</v>
      </c>
      <c r="J396" s="55">
        <f>'EM INCUMB'!$E$24/'EM INCUMB'!$E$23</f>
        <v>0.30912423499675951</v>
      </c>
      <c r="K396" s="55">
        <f>'EM INCUMB'!$F$24/'EM INCUMB'!$F$23</f>
        <v>0.30962911415605149</v>
      </c>
      <c r="L396" s="55">
        <f>'EM INCUMB'!$G$24/'EM INCUMB'!$G$23</f>
        <v>0.31180835105501281</v>
      </c>
      <c r="M396" s="55">
        <f t="shared" ref="M396" si="66">L396-I396</f>
        <v>5.0655249405787695E-3</v>
      </c>
      <c r="N396" s="56"/>
      <c r="O396" s="55">
        <f>'EM INCUMB'!$D$25/'EM INCUMB'!$D$23</f>
        <v>0.12168702804916352</v>
      </c>
      <c r="P396" s="55">
        <f>'EM INCUMB'!$E$25/'EM INCUMB'!$E$23</f>
        <v>0.13973211931029156</v>
      </c>
      <c r="Q396" s="55">
        <f>'EM INCUMB'!$F$25/'EM INCUMB'!$F$23</f>
        <v>0.14793522824790711</v>
      </c>
      <c r="R396" s="55">
        <f>'EM INCUMB'!$G$25/'EM INCUMB'!$G$23</f>
        <v>0.15607332422042122</v>
      </c>
      <c r="S396" s="55">
        <f t="shared" ref="S396" si="67">R396-O396</f>
        <v>3.4386296171257699E-2</v>
      </c>
      <c r="T396" s="46"/>
      <c r="U396" s="57"/>
      <c r="V396" s="58" t="str">
        <f>V334</f>
        <v>Agg. Emerging Incumbent</v>
      </c>
      <c r="AE396" s="41"/>
      <c r="AF396" s="31"/>
      <c r="AG396" s="31"/>
      <c r="AI396" s="41"/>
      <c r="AJ396" s="64"/>
      <c r="AK396" s="64"/>
      <c r="AM396" s="41"/>
      <c r="AN396" s="64"/>
      <c r="AO396" s="64"/>
      <c r="AQ396" s="41"/>
      <c r="AR396" s="64"/>
      <c r="AS396" s="64"/>
    </row>
    <row r="397" spans="1:45" s="5" customFormat="1">
      <c r="A397" s="39"/>
      <c r="B397" s="42"/>
      <c r="C397" s="43"/>
      <c r="D397" s="44"/>
      <c r="E397" s="44"/>
      <c r="F397" s="45"/>
      <c r="G397" s="44"/>
      <c r="H397" s="46"/>
      <c r="I397" s="45"/>
      <c r="J397" s="45"/>
      <c r="K397" s="45"/>
      <c r="L397" s="45"/>
      <c r="M397" s="45"/>
      <c r="N397" s="56"/>
      <c r="O397" s="45"/>
      <c r="P397" s="45"/>
      <c r="Q397" s="45"/>
      <c r="R397" s="45"/>
      <c r="S397" s="45"/>
      <c r="T397" s="46"/>
      <c r="U397" s="48"/>
      <c r="V397" s="50"/>
      <c r="AE397" s="41"/>
      <c r="AF397" s="31"/>
      <c r="AG397" s="31"/>
      <c r="AI397" s="41"/>
      <c r="AJ397" s="64"/>
      <c r="AK397" s="64"/>
      <c r="AM397" s="41"/>
      <c r="AN397" s="64"/>
      <c r="AO397" s="64"/>
      <c r="AQ397" s="41"/>
      <c r="AR397" s="64"/>
      <c r="AS397" s="64"/>
    </row>
    <row r="398" spans="1:45" s="5" customFormat="1">
      <c r="A398" s="41" t="s">
        <v>502</v>
      </c>
      <c r="B398" s="42"/>
      <c r="C398" s="48" t="str">
        <f t="shared" ref="C398:G404" si="68">C336</f>
        <v>Airtel Africa</v>
      </c>
      <c r="D398" s="44" t="str">
        <f t="shared" si="68"/>
        <v>USD 1.13</v>
      </c>
      <c r="E398" s="44" t="str">
        <f t="shared" si="68"/>
        <v>USD 2.00</v>
      </c>
      <c r="F398" s="45">
        <f t="shared" si="68"/>
        <v>0.77619893428063969</v>
      </c>
      <c r="G398" s="44" t="str">
        <f t="shared" si="68"/>
        <v>Buy</v>
      </c>
      <c r="H398" s="46"/>
      <c r="I398" s="169">
        <f>AAF!$D$24/AAF!$D$23</f>
        <v>0.42257481421972282</v>
      </c>
      <c r="J398" s="169">
        <f>AAF!$E$24/AAF!$E$23</f>
        <v>0.40963846549910277</v>
      </c>
      <c r="K398" s="169">
        <f>AAF!$F$24/AAF!$F$23</f>
        <v>0.42141332179658303</v>
      </c>
      <c r="L398" s="169">
        <f>AAF!$G$24/AAF!$G$23</f>
        <v>0.4304746184012978</v>
      </c>
      <c r="M398" s="45">
        <f t="shared" ref="M398" si="69">L398-I398</f>
        <v>7.8998041815749875E-3</v>
      </c>
      <c r="N398" s="56"/>
      <c r="O398" s="169">
        <f>AAF!$D$25/AAF!$D$23</f>
        <v>0.27455312311709179</v>
      </c>
      <c r="P398" s="169">
        <f>AAF!$E$25/AAF!$E$23</f>
        <v>0.25886268131404178</v>
      </c>
      <c r="Q398" s="169">
        <f>AAF!$F$25/AAF!$F$23</f>
        <v>0.26706134070094695</v>
      </c>
      <c r="R398" s="169">
        <f>AAF!$G$25/AAF!$G$23</f>
        <v>0.27830318295015943</v>
      </c>
      <c r="S398" s="169">
        <f t="shared" ref="S398" si="70">R398-O398</f>
        <v>3.7500598330676427E-3</v>
      </c>
      <c r="T398" s="46"/>
      <c r="U398" s="48" t="str">
        <f t="shared" ref="U398:V404" si="71">U336</f>
        <v>USD 1.13</v>
      </c>
      <c r="V398" s="44" t="str">
        <f t="shared" si="71"/>
        <v>Airtel Africa</v>
      </c>
      <c r="AE398" s="41"/>
      <c r="AF398" s="31"/>
      <c r="AG398" s="31"/>
      <c r="AI398" s="41"/>
      <c r="AJ398" s="64"/>
      <c r="AK398" s="64"/>
      <c r="AM398" s="41"/>
      <c r="AN398" s="64"/>
      <c r="AO398" s="64"/>
      <c r="AQ398" s="41"/>
      <c r="AR398" s="64"/>
      <c r="AS398" s="64"/>
    </row>
    <row r="399" spans="1:45" s="5" customFormat="1">
      <c r="A399" s="41"/>
      <c r="B399" s="42"/>
      <c r="C399" s="48" t="str">
        <f t="shared" si="68"/>
        <v>MobileTeleSystems</v>
      </c>
      <c r="D399" s="44" t="str">
        <f t="shared" si="68"/>
        <v>USD 10.00</v>
      </c>
      <c r="E399" s="44" t="str">
        <f t="shared" si="68"/>
        <v>USD 10.10</v>
      </c>
      <c r="F399" s="45">
        <f t="shared" si="68"/>
        <v>1.0000000000000009E-2</v>
      </c>
      <c r="G399" s="44" t="str">
        <f t="shared" si="68"/>
        <v>Buy</v>
      </c>
      <c r="H399" s="46"/>
      <c r="I399" s="169">
        <f>MTS!$D$24/MTS!$D$23</f>
        <v>0.42135055474166994</v>
      </c>
      <c r="J399" s="169">
        <f>MTS!$E$24/MTS!$E$23</f>
        <v>0.41265160752243896</v>
      </c>
      <c r="K399" s="169">
        <f>MTS!$F$24/MTS!$F$23</f>
        <v>0.40538151976486442</v>
      </c>
      <c r="L399" s="169">
        <f>MTS!$G$24/MTS!$G$23</f>
        <v>0.39811400809483577</v>
      </c>
      <c r="M399" s="45">
        <f t="shared" ref="M399:M405" si="72">L399-I399</f>
        <v>-2.3236546646834166E-2</v>
      </c>
      <c r="N399" s="56"/>
      <c r="O399" s="169">
        <f>MTS!$D$25/MTS!$D$23</f>
        <v>0.24517037176177603</v>
      </c>
      <c r="P399" s="169">
        <f>MTS!$E$25/MTS!$E$23</f>
        <v>0.25126947013815126</v>
      </c>
      <c r="Q399" s="169">
        <f>MTS!$F$25/MTS!$F$23</f>
        <v>0.24399761101725967</v>
      </c>
      <c r="R399" s="169">
        <f>MTS!$G$25/MTS!$G$23</f>
        <v>0.23672840126377578</v>
      </c>
      <c r="S399" s="169">
        <f t="shared" ref="S399:S405" si="73">R399-O399</f>
        <v>-8.4419704980002452E-3</v>
      </c>
      <c r="T399" s="46"/>
      <c r="U399" s="48" t="str">
        <f t="shared" si="71"/>
        <v>USD 10.00</v>
      </c>
      <c r="V399" s="44" t="str">
        <f t="shared" si="71"/>
        <v>MobileTeleSystems</v>
      </c>
      <c r="AE399" s="41"/>
      <c r="AF399" s="31"/>
      <c r="AG399" s="31"/>
      <c r="AI399" s="41"/>
      <c r="AJ399" s="64"/>
      <c r="AK399" s="64"/>
      <c r="AM399" s="41"/>
      <c r="AN399" s="64"/>
      <c r="AO399" s="64"/>
      <c r="AQ399" s="41"/>
      <c r="AR399" s="64"/>
      <c r="AS399" s="64"/>
    </row>
    <row r="400" spans="1:45" s="5" customFormat="1">
      <c r="A400" s="39"/>
      <c r="B400" s="42"/>
      <c r="C400" s="48" t="str">
        <f t="shared" si="68"/>
        <v>MTN</v>
      </c>
      <c r="D400" s="44" t="str">
        <f t="shared" si="68"/>
        <v>ZAR 92.00</v>
      </c>
      <c r="E400" s="44" t="str">
        <f t="shared" si="68"/>
        <v>ZAR 130.00</v>
      </c>
      <c r="F400" s="45">
        <f t="shared" si="68"/>
        <v>0.41304347826086962</v>
      </c>
      <c r="G400" s="44" t="str">
        <f t="shared" si="68"/>
        <v>Buy</v>
      </c>
      <c r="H400" s="46"/>
      <c r="I400" s="169">
        <f>MTN!$D$24/MTN!$D$23</f>
        <v>0.40161768963520555</v>
      </c>
      <c r="J400" s="169">
        <f>MTN!$E$24/MTN!$E$23</f>
        <v>0.3667948196757263</v>
      </c>
      <c r="K400" s="169">
        <f>MTN!$F$24/MTN!$F$23</f>
        <v>0.37946235701228542</v>
      </c>
      <c r="L400" s="169">
        <f>MTN!$G$24/MTN!$G$23</f>
        <v>0.38944979473387681</v>
      </c>
      <c r="M400" s="45">
        <f t="shared" si="72"/>
        <v>-1.2167894901328746E-2</v>
      </c>
      <c r="N400" s="56"/>
      <c r="O400" s="169">
        <f>MTN!$D$25/MTN!$D$23</f>
        <v>0.11380826577880718</v>
      </c>
      <c r="P400" s="169">
        <f>MTN!$E$25/MTN!$E$23</f>
        <v>0.15531939757461447</v>
      </c>
      <c r="Q400" s="169">
        <f>MTN!$F$25/MTN!$F$23</f>
        <v>0.18149044852984442</v>
      </c>
      <c r="R400" s="169">
        <f>MTN!$G$25/MTN!$G$23</f>
        <v>0.1913889328273248</v>
      </c>
      <c r="S400" s="169">
        <f t="shared" si="73"/>
        <v>7.7580667048517626E-2</v>
      </c>
      <c r="T400" s="46"/>
      <c r="U400" s="48" t="str">
        <f t="shared" si="71"/>
        <v>ZAR 92.00</v>
      </c>
      <c r="V400" s="44" t="str">
        <f t="shared" si="71"/>
        <v>MTN</v>
      </c>
      <c r="AE400" s="41"/>
      <c r="AF400" s="31"/>
      <c r="AG400" s="31"/>
      <c r="AI400" s="41"/>
      <c r="AJ400" s="64"/>
      <c r="AK400" s="64"/>
      <c r="AM400" s="41"/>
      <c r="AN400" s="64"/>
      <c r="AO400" s="64"/>
      <c r="AQ400" s="41"/>
      <c r="AR400" s="64"/>
      <c r="AS400" s="64"/>
    </row>
    <row r="401" spans="1:45" s="5" customFormat="1">
      <c r="A401" s="39"/>
      <c r="B401" s="42"/>
      <c r="C401" s="48" t="str">
        <f t="shared" si="68"/>
        <v>Safaricom</v>
      </c>
      <c r="D401" s="44" t="str">
        <f t="shared" si="68"/>
        <v>KES 14.80</v>
      </c>
      <c r="E401" s="44" t="str">
        <f t="shared" si="68"/>
        <v>KES 17.0</v>
      </c>
      <c r="F401" s="45">
        <f t="shared" si="68"/>
        <v>0.14864864864864868</v>
      </c>
      <c r="G401" s="44" t="str">
        <f t="shared" si="68"/>
        <v>Neutral</v>
      </c>
      <c r="H401" s="46"/>
      <c r="I401" s="169">
        <f>SAF!$D$24/SAF!$D$23</f>
        <v>0.50511526534063622</v>
      </c>
      <c r="J401" s="169">
        <f>SAF!$E$24/SAF!$E$23</f>
        <v>0.50722781401804862</v>
      </c>
      <c r="K401" s="169">
        <f>SAF!$F$24/SAF!$F$23</f>
        <v>0.51688336822319481</v>
      </c>
      <c r="L401" s="169">
        <f>SAF!$G$24/SAF!$G$23</f>
        <v>0.5141573597648551</v>
      </c>
      <c r="M401" s="45">
        <f>L401-I401</f>
        <v>9.0420944242188828E-3</v>
      </c>
      <c r="N401" s="56"/>
      <c r="O401" s="169">
        <f>SAF!$D$25/SAF!$D$23</f>
        <v>0.23423045571547932</v>
      </c>
      <c r="P401" s="169">
        <f>SAF!$E$25/SAF!$E$23</f>
        <v>0.19334728341193338</v>
      </c>
      <c r="Q401" s="169">
        <f>SAF!$F$25/SAF!$F$23</f>
        <v>0.27584954358382918</v>
      </c>
      <c r="R401" s="169">
        <f>SAF!$G$25/SAF!$G$23</f>
        <v>0.33089791502828841</v>
      </c>
      <c r="S401" s="169">
        <f>R401-O401</f>
        <v>9.6667459312809095E-2</v>
      </c>
      <c r="T401" s="46"/>
      <c r="U401" s="48" t="str">
        <f t="shared" si="71"/>
        <v>KES 14.80</v>
      </c>
      <c r="V401" s="44" t="str">
        <f t="shared" si="71"/>
        <v>Safaricom</v>
      </c>
      <c r="AE401" s="41"/>
      <c r="AF401" s="31"/>
      <c r="AG401" s="31"/>
      <c r="AI401" s="41"/>
      <c r="AJ401" s="64"/>
      <c r="AK401" s="64"/>
      <c r="AM401" s="41"/>
      <c r="AN401" s="64"/>
      <c r="AO401" s="64"/>
      <c r="AQ401" s="41"/>
      <c r="AR401" s="64"/>
      <c r="AS401" s="64"/>
    </row>
    <row r="402" spans="1:45" s="5" customFormat="1">
      <c r="A402" s="39"/>
      <c r="B402" s="42"/>
      <c r="C402" s="48" t="str">
        <f t="shared" si="68"/>
        <v>Turkcell</v>
      </c>
      <c r="D402" s="44" t="str">
        <f t="shared" si="68"/>
        <v>USD 99.65</v>
      </c>
      <c r="E402" s="44" t="str">
        <f t="shared" si="68"/>
        <v>USD 16.90</v>
      </c>
      <c r="F402" s="45">
        <f t="shared" si="68"/>
        <v>-0.83040642247867535</v>
      </c>
      <c r="G402" s="44" t="str">
        <f t="shared" si="68"/>
        <v>Buy</v>
      </c>
      <c r="H402" s="46"/>
      <c r="I402" s="169">
        <f>TKC!$D$24/TKC!$D$23</f>
        <v>0.38707969287904437</v>
      </c>
      <c r="J402" s="169">
        <f>TKC!$E$24/TKC!$E$23</f>
        <v>0.38357037960355539</v>
      </c>
      <c r="K402" s="169">
        <f>TKC!$F$24/TKC!$F$23</f>
        <v>0.37992036315239086</v>
      </c>
      <c r="L402" s="169">
        <f>TKC!$G$24/TKC!$G$23</f>
        <v>0.37612949218779074</v>
      </c>
      <c r="M402" s="45">
        <f t="shared" si="72"/>
        <v>-1.0950200691253631E-2</v>
      </c>
      <c r="N402" s="56"/>
      <c r="O402" s="169">
        <f>TKC!$D$25/TKC!$D$23</f>
        <v>0.23006224388435348</v>
      </c>
      <c r="P402" s="169">
        <f>TKC!$E$25/TKC!$E$23</f>
        <v>0.23562313905721494</v>
      </c>
      <c r="Q402" s="169">
        <f>TKC!$F$25/TKC!$F$23</f>
        <v>0.24050148740326824</v>
      </c>
      <c r="R402" s="169">
        <f>TKC!$G$25/TKC!$G$23</f>
        <v>0.23654229354855472</v>
      </c>
      <c r="S402" s="169">
        <f t="shared" si="73"/>
        <v>6.4800496642012373E-3</v>
      </c>
      <c r="T402" s="46"/>
      <c r="U402" s="48" t="str">
        <f t="shared" si="71"/>
        <v>USD 99.65</v>
      </c>
      <c r="V402" s="44" t="str">
        <f t="shared" si="71"/>
        <v>Turkcell</v>
      </c>
      <c r="AE402" s="41"/>
      <c r="AF402" s="31"/>
      <c r="AG402" s="31"/>
      <c r="AI402" s="41"/>
      <c r="AJ402" s="64"/>
      <c r="AK402" s="64"/>
      <c r="AM402" s="41"/>
      <c r="AN402" s="64"/>
      <c r="AO402" s="64"/>
      <c r="AQ402" s="41"/>
      <c r="AR402" s="64"/>
      <c r="AS402" s="64"/>
    </row>
    <row r="403" spans="1:45" s="5" customFormat="1">
      <c r="A403" s="39"/>
      <c r="B403" s="42"/>
      <c r="C403" s="48" t="str">
        <f t="shared" si="68"/>
        <v>VEON</v>
      </c>
      <c r="D403" s="44" t="str">
        <f t="shared" si="68"/>
        <v>USD 27.2</v>
      </c>
      <c r="E403" s="44" t="str">
        <f t="shared" si="68"/>
        <v>USD 40.0</v>
      </c>
      <c r="F403" s="45">
        <f t="shared" si="68"/>
        <v>0.47058823529411775</v>
      </c>
      <c r="G403" s="44" t="str">
        <f t="shared" si="68"/>
        <v>Buy</v>
      </c>
      <c r="H403" s="46"/>
      <c r="I403" s="45">
        <f>VIMP!$D$24/VIMP!$D$23</f>
        <v>0.43515322335827566</v>
      </c>
      <c r="J403" s="45">
        <f>VIMP!$E$24/VIMP!$E$23</f>
        <v>0.46303416025115185</v>
      </c>
      <c r="K403" s="45">
        <f>VIMP!$F$24/VIMP!$F$23</f>
        <v>0.46442973827071676</v>
      </c>
      <c r="L403" s="45">
        <f>VIMP!$G$24/VIMP!$G$23</f>
        <v>0.46573686713270851</v>
      </c>
      <c r="M403" s="45">
        <f t="shared" si="72"/>
        <v>3.0583643774432845E-2</v>
      </c>
      <c r="N403" s="56"/>
      <c r="O403" s="45">
        <f>VIMP!$D$25/VIMP!$D$23</f>
        <v>0.25911955284306992</v>
      </c>
      <c r="P403" s="45">
        <f>VIMP!$E$25/VIMP!$E$23</f>
        <v>0.28980541582527836</v>
      </c>
      <c r="Q403" s="45">
        <f>VIMP!$F$25/VIMP!$F$23</f>
        <v>0.28290952105027689</v>
      </c>
      <c r="R403" s="45">
        <f>VIMP!$G$25/VIMP!$G$23</f>
        <v>0.28572359753420051</v>
      </c>
      <c r="S403" s="45">
        <f t="shared" si="73"/>
        <v>2.6604044691130591E-2</v>
      </c>
      <c r="T403" s="46"/>
      <c r="U403" s="48" t="str">
        <f t="shared" si="71"/>
        <v>USD 27.2</v>
      </c>
      <c r="V403" s="44" t="str">
        <f t="shared" si="71"/>
        <v>Vimpel Com</v>
      </c>
      <c r="AE403" s="41"/>
      <c r="AF403" s="31"/>
      <c r="AG403" s="31"/>
      <c r="AI403" s="41"/>
      <c r="AJ403" s="64"/>
      <c r="AK403" s="64"/>
      <c r="AM403" s="41"/>
      <c r="AN403" s="64"/>
      <c r="AO403" s="64"/>
      <c r="AQ403" s="41"/>
      <c r="AR403" s="64"/>
      <c r="AS403" s="64"/>
    </row>
    <row r="404" spans="1:45" s="5" customFormat="1">
      <c r="A404" s="39"/>
      <c r="B404" s="42"/>
      <c r="C404" s="48" t="str">
        <f t="shared" si="68"/>
        <v>Vodacom</v>
      </c>
      <c r="D404" s="44" t="str">
        <f t="shared" si="68"/>
        <v>ZAR 111.1</v>
      </c>
      <c r="E404" s="44" t="str">
        <f t="shared" si="68"/>
        <v>ZAR 150.0</v>
      </c>
      <c r="F404" s="45">
        <f t="shared" si="68"/>
        <v>0.34989200863930892</v>
      </c>
      <c r="G404" s="44" t="str">
        <f t="shared" si="68"/>
        <v>Buy</v>
      </c>
      <c r="H404" s="46"/>
      <c r="I404" s="45">
        <f>VODA!$D$24/VODA!$D$23</f>
        <v>0.37263104771770456</v>
      </c>
      <c r="J404" s="45">
        <f>VODA!$E$24/VODA!$E$23</f>
        <v>0.36519271993251073</v>
      </c>
      <c r="K404" s="45">
        <f>VODA!$F$24/VODA!$F$23</f>
        <v>0.37001342254246611</v>
      </c>
      <c r="L404" s="45">
        <f>VODA!$G$24/VODA!$G$23</f>
        <v>0.37323292283272891</v>
      </c>
      <c r="M404" s="45">
        <f t="shared" si="72"/>
        <v>6.0187511502435287E-4</v>
      </c>
      <c r="N404" s="56"/>
      <c r="O404" s="45">
        <f>VODA!$D$25/VODA!$D$23</f>
        <v>0.23702139527471214</v>
      </c>
      <c r="P404" s="45">
        <f>VODA!$E$25/VODA!$E$23</f>
        <v>0.22777848965365624</v>
      </c>
      <c r="Q404" s="45">
        <f>VODA!$F$25/VODA!$F$23</f>
        <v>0.23329170563377968</v>
      </c>
      <c r="R404" s="45">
        <f>VODA!$G$25/VODA!$G$23</f>
        <v>0.2370241951741564</v>
      </c>
      <c r="S404" s="45">
        <f t="shared" si="73"/>
        <v>2.7998994442668401E-6</v>
      </c>
      <c r="T404" s="46"/>
      <c r="U404" s="48" t="str">
        <f t="shared" si="71"/>
        <v>ZAR 111.1</v>
      </c>
      <c r="V404" s="44" t="str">
        <f t="shared" si="71"/>
        <v>Vodacom</v>
      </c>
      <c r="AE404" s="41"/>
      <c r="AF404" s="31"/>
      <c r="AG404" s="31"/>
      <c r="AI404" s="41"/>
      <c r="AJ404" s="64"/>
      <c r="AK404" s="64"/>
      <c r="AM404" s="41"/>
      <c r="AN404" s="64"/>
      <c r="AO404" s="64"/>
      <c r="AQ404" s="41"/>
      <c r="AR404" s="64"/>
      <c r="AS404" s="64"/>
    </row>
    <row r="405" spans="1:45" s="5" customFormat="1">
      <c r="A405" s="39"/>
      <c r="B405" s="42"/>
      <c r="C405" s="51" t="str">
        <f>C343</f>
        <v>Agg. EMEA Cellular</v>
      </c>
      <c r="D405" s="52"/>
      <c r="E405" s="52"/>
      <c r="F405" s="53"/>
      <c r="G405" s="52"/>
      <c r="H405" s="46"/>
      <c r="I405" s="55">
        <f>'EMEA CELLULAR'!$D$24/'EMEA CELLULAR'!$D$23</f>
        <v>0.41007380008048805</v>
      </c>
      <c r="J405" s="55">
        <f>'EMEA CELLULAR'!$E$24/'EMEA CELLULAR'!$E$23</f>
        <v>0.39928614065265322</v>
      </c>
      <c r="K405" s="55">
        <f>'EMEA CELLULAR'!$F$24/'EMEA CELLULAR'!$F$23</f>
        <v>0.40534751831325572</v>
      </c>
      <c r="L405" s="55">
        <f>'EMEA CELLULAR'!$G$24/'EMEA CELLULAR'!$G$23</f>
        <v>0.409086598374298</v>
      </c>
      <c r="M405" s="55">
        <f t="shared" si="72"/>
        <v>-9.8720170619004399E-4</v>
      </c>
      <c r="N405" s="56"/>
      <c r="O405" s="55">
        <f>'EMEA CELLULAR'!$D$25/'EMEA CELLULAR'!$D$23</f>
        <v>0.20384651641177134</v>
      </c>
      <c r="P405" s="55">
        <f>'EMEA CELLULAR'!$E$25/'EMEA CELLULAR'!$E$23</f>
        <v>0.21760963357844973</v>
      </c>
      <c r="Q405" s="55">
        <f>'EMEA CELLULAR'!$F$25/'EMEA CELLULAR'!$F$23</f>
        <v>0.23230081320040635</v>
      </c>
      <c r="R405" s="55">
        <f>'EMEA CELLULAR'!$G$25/'EMEA CELLULAR'!$G$23</f>
        <v>0.24058506707808752</v>
      </c>
      <c r="S405" s="55">
        <f t="shared" si="73"/>
        <v>3.6738550666316178E-2</v>
      </c>
      <c r="T405" s="46"/>
      <c r="U405" s="57"/>
      <c r="V405" s="58" t="str">
        <f>V343</f>
        <v>Agg. EMEA Cellular</v>
      </c>
      <c r="AE405" s="41"/>
      <c r="AF405" s="31"/>
      <c r="AG405" s="31"/>
      <c r="AI405" s="41"/>
      <c r="AJ405" s="64"/>
      <c r="AK405" s="64"/>
      <c r="AM405" s="41"/>
      <c r="AN405" s="64"/>
      <c r="AO405" s="64"/>
      <c r="AQ405" s="41"/>
      <c r="AR405" s="64"/>
      <c r="AS405" s="64"/>
    </row>
    <row r="406" spans="1:45" s="5" customFormat="1">
      <c r="B406" s="42"/>
      <c r="C406" s="43"/>
      <c r="D406" s="44"/>
      <c r="E406" s="44"/>
      <c r="F406" s="45"/>
      <c r="G406" s="44"/>
      <c r="H406" s="46"/>
      <c r="I406" s="45"/>
      <c r="J406" s="45"/>
      <c r="K406" s="45"/>
      <c r="L406" s="45"/>
      <c r="M406" s="45"/>
      <c r="N406" s="56"/>
      <c r="O406" s="45"/>
      <c r="P406" s="45"/>
      <c r="Q406" s="45"/>
      <c r="R406" s="45"/>
      <c r="S406" s="45"/>
      <c r="T406" s="46"/>
      <c r="U406" s="48"/>
      <c r="V406" s="50"/>
      <c r="AE406" s="41"/>
      <c r="AF406" s="31"/>
      <c r="AG406" s="31"/>
      <c r="AI406" s="41"/>
      <c r="AJ406" s="64"/>
      <c r="AK406" s="64"/>
      <c r="AM406" s="41"/>
      <c r="AN406" s="64"/>
      <c r="AO406" s="64"/>
      <c r="AQ406" s="41"/>
      <c r="AR406" s="64"/>
      <c r="AS406" s="64"/>
    </row>
    <row r="407" spans="1:45" s="5" customFormat="1">
      <c r="B407" s="42"/>
      <c r="C407" s="48" t="str">
        <f t="shared" ref="C407:G409" si="74">C345</f>
        <v>Entel</v>
      </c>
      <c r="D407" s="44" t="str">
        <f t="shared" si="74"/>
        <v>CLP 2,900</v>
      </c>
      <c r="E407" s="44" t="str">
        <f t="shared" si="74"/>
        <v>CLP 3,150</v>
      </c>
      <c r="F407" s="45">
        <f t="shared" si="74"/>
        <v>8.6206896551724199E-2</v>
      </c>
      <c r="G407" s="44" t="str">
        <f t="shared" si="74"/>
        <v>Neutral</v>
      </c>
      <c r="H407" s="46"/>
      <c r="I407" s="169">
        <f>ENTEL!$D$24/ENTEL!$D$23</f>
        <v>0.3021984816673885</v>
      </c>
      <c r="J407" s="169">
        <f>ENTEL!$E$24/ENTEL!$E$23</f>
        <v>0.31326911090816423</v>
      </c>
      <c r="K407" s="169">
        <f>ENTEL!$F$24/ENTEL!$F$23</f>
        <v>0.32383366076057557</v>
      </c>
      <c r="L407" s="169">
        <f>ENTEL!$G$24/ENTEL!$G$23</f>
        <v>0.33366024022697255</v>
      </c>
      <c r="M407" s="45">
        <f>L407-I407</f>
        <v>3.1461758559584052E-2</v>
      </c>
      <c r="N407" s="56"/>
      <c r="O407" s="169">
        <f>ENTEL!$D$25/ENTEL!$D$23</f>
        <v>0.1212128877649561</v>
      </c>
      <c r="P407" s="169">
        <f>ENTEL!$E$25/ENTEL!$E$23</f>
        <v>0.13717786750374839</v>
      </c>
      <c r="Q407" s="169">
        <f>ENTEL!$F$25/ENTEL!$F$23</f>
        <v>0.15462440001908495</v>
      </c>
      <c r="R407" s="169">
        <f>ENTEL!$G$25/ENTEL!$G$23</f>
        <v>0.16711171115559809</v>
      </c>
      <c r="S407" s="169">
        <f>R407-O407</f>
        <v>4.5898823390641982E-2</v>
      </c>
      <c r="T407" s="46"/>
      <c r="U407" s="48" t="str">
        <f t="shared" ref="U407:V409" si="75">U345</f>
        <v>CLP 2,900</v>
      </c>
      <c r="V407" s="44" t="str">
        <f t="shared" si="75"/>
        <v>Entel</v>
      </c>
      <c r="AE407" s="41"/>
      <c r="AF407" s="31"/>
      <c r="AG407" s="31"/>
      <c r="AI407" s="41"/>
      <c r="AJ407" s="64"/>
      <c r="AK407" s="64"/>
      <c r="AM407" s="41"/>
      <c r="AN407" s="64"/>
      <c r="AO407" s="64"/>
      <c r="AQ407" s="41"/>
      <c r="AR407" s="64"/>
      <c r="AS407" s="64"/>
    </row>
    <row r="408" spans="1:45" s="5" customFormat="1">
      <c r="B408" s="42"/>
      <c r="C408" s="48" t="str">
        <f t="shared" si="74"/>
        <v>Millicom</v>
      </c>
      <c r="D408" s="44" t="str">
        <f t="shared" si="74"/>
        <v>USD  26.6</v>
      </c>
      <c r="E408" s="44" t="str">
        <f t="shared" si="74"/>
        <v>USD 18.0</v>
      </c>
      <c r="F408" s="45">
        <f t="shared" si="74"/>
        <v>-0.32407059707097252</v>
      </c>
      <c r="G408" s="44" t="str">
        <f t="shared" si="74"/>
        <v>Neutral</v>
      </c>
      <c r="H408" s="46"/>
      <c r="I408" s="169">
        <f>MILLI!$D$24/MILLI!$D$23</f>
        <v>0.37438695021863816</v>
      </c>
      <c r="J408" s="169">
        <f>MILLI!$E$24/MILLI!$E$23</f>
        <v>0.37512840707132911</v>
      </c>
      <c r="K408" s="169">
        <f>MILLI!$F$24/MILLI!$F$23</f>
        <v>0.37993509518363172</v>
      </c>
      <c r="L408" s="169">
        <f>MILLI!$G$24/MILLI!$G$23</f>
        <v>0.38424327038711092</v>
      </c>
      <c r="M408" s="45">
        <f>L408-I408</f>
        <v>9.8563201684727653E-3</v>
      </c>
      <c r="N408" s="56"/>
      <c r="O408" s="169">
        <f>MILLI!$D$25/MILLI!$D$23</f>
        <v>0.22382574297171687</v>
      </c>
      <c r="P408" s="169">
        <f>MILLI!$E$25/MILLI!$E$23</f>
        <v>0.22810254795830467</v>
      </c>
      <c r="Q408" s="169">
        <f>MILLI!$F$25/MILLI!$F$23</f>
        <v>0.23551414459753842</v>
      </c>
      <c r="R408" s="169">
        <f>MILLI!$G$25/MILLI!$G$23</f>
        <v>0.24074556666494476</v>
      </c>
      <c r="S408" s="169">
        <f>R408-O408</f>
        <v>1.6919823693227892E-2</v>
      </c>
      <c r="T408" s="46"/>
      <c r="U408" s="48" t="str">
        <f t="shared" si="75"/>
        <v>USD  26.6</v>
      </c>
      <c r="V408" s="44" t="str">
        <f t="shared" si="75"/>
        <v>Millicom</v>
      </c>
      <c r="AE408" s="41"/>
      <c r="AF408" s="31"/>
      <c r="AG408" s="31"/>
      <c r="AI408" s="41"/>
      <c r="AJ408" s="64"/>
      <c r="AK408" s="64"/>
      <c r="AM408" s="41"/>
      <c r="AN408" s="64"/>
      <c r="AO408" s="64"/>
      <c r="AQ408" s="41"/>
      <c r="AR408" s="64"/>
      <c r="AS408" s="64"/>
    </row>
    <row r="409" spans="1:45" s="5" customFormat="1">
      <c r="B409" s="42"/>
      <c r="C409" s="48" t="str">
        <f t="shared" si="74"/>
        <v>TIM Participacoes</v>
      </c>
      <c r="D409" s="44" t="str">
        <f t="shared" si="74"/>
        <v>BRL 18.63</v>
      </c>
      <c r="E409" s="44" t="str">
        <f t="shared" si="74"/>
        <v>BRL 23.00</v>
      </c>
      <c r="F409" s="45">
        <f t="shared" si="74"/>
        <v>0.23456790123456805</v>
      </c>
      <c r="G409" s="44" t="str">
        <f t="shared" si="74"/>
        <v>Buy</v>
      </c>
      <c r="H409" s="46"/>
      <c r="I409" s="45">
        <f>TIMP!$D$24/TIMP!$D$23</f>
        <v>0.49070349634474275</v>
      </c>
      <c r="J409" s="45">
        <f>TIMP!$E$24/TIMP!$E$23</f>
        <v>0.50144498241182622</v>
      </c>
      <c r="K409" s="45">
        <f>TIMP!$F$24/TIMP!$F$23</f>
        <v>0.50935073871936298</v>
      </c>
      <c r="L409" s="45">
        <f>TIMP!$G$24/TIMP!$G$23</f>
        <v>0.50728298229010571</v>
      </c>
      <c r="M409" s="45">
        <f>L409-I409</f>
        <v>1.6579485945362959E-2</v>
      </c>
      <c r="N409" s="56"/>
      <c r="O409" s="45">
        <f>TIMP!$D$25/TIMP!$D$23</f>
        <v>0.30080672399594333</v>
      </c>
      <c r="P409" s="45">
        <f>TIMP!$E$25/TIMP!$E$23</f>
        <v>0.32653896231075324</v>
      </c>
      <c r="Q409" s="45">
        <f>TIMP!$F$25/TIMP!$F$23</f>
        <v>0.34616521260364469</v>
      </c>
      <c r="R409" s="45">
        <f>TIMP!$G$25/TIMP!$G$23</f>
        <v>0.34471669529708654</v>
      </c>
      <c r="S409" s="45">
        <f>R409-O409</f>
        <v>4.3909971301143214E-2</v>
      </c>
      <c r="T409" s="46"/>
      <c r="U409" s="48" t="str">
        <f t="shared" si="75"/>
        <v>BRL 18.63</v>
      </c>
      <c r="V409" s="44" t="str">
        <f t="shared" si="75"/>
        <v>TIM Participacoes</v>
      </c>
      <c r="AE409" s="41"/>
      <c r="AF409" s="31"/>
      <c r="AG409" s="31"/>
      <c r="AI409" s="41"/>
      <c r="AJ409" s="64"/>
      <c r="AK409" s="64"/>
      <c r="AM409" s="41"/>
      <c r="AN409" s="64"/>
      <c r="AO409" s="64"/>
      <c r="AQ409" s="41"/>
      <c r="AR409" s="64"/>
      <c r="AS409" s="64"/>
    </row>
    <row r="410" spans="1:45" s="5" customFormat="1">
      <c r="B410" s="42"/>
      <c r="C410" s="51" t="str">
        <f>C348</f>
        <v>Agg. LatAm Cellular</v>
      </c>
      <c r="D410" s="52"/>
      <c r="E410" s="52"/>
      <c r="F410" s="53"/>
      <c r="G410" s="52"/>
      <c r="H410" s="46"/>
      <c r="I410" s="55">
        <f>'LATAM CELLULAR'!$D$24/'LATAM CELLULAR'!$D$23</f>
        <v>0.4004847696418386</v>
      </c>
      <c r="J410" s="55">
        <f>'LATAM CELLULAR'!$E$24/'LATAM CELLULAR'!$E$23</f>
        <v>0.40840948778022607</v>
      </c>
      <c r="K410" s="55">
        <f>'LATAM CELLULAR'!$F$24/'LATAM CELLULAR'!$F$23</f>
        <v>0.41665449075595334</v>
      </c>
      <c r="L410" s="55">
        <f>'LATAM CELLULAR'!$G$24/'LATAM CELLULAR'!$G$23</f>
        <v>0.42021409885895211</v>
      </c>
      <c r="M410" s="55">
        <f>L410-I410</f>
        <v>1.9729329217113512E-2</v>
      </c>
      <c r="N410" s="56"/>
      <c r="O410" s="55">
        <f>'LATAM CELLULAR'!$D$25/'LATAM CELLULAR'!$D$23</f>
        <v>0.23045896343291003</v>
      </c>
      <c r="P410" s="55">
        <f>'LATAM CELLULAR'!$E$25/'LATAM CELLULAR'!$E$23</f>
        <v>0.24582647519184064</v>
      </c>
      <c r="Q410" s="55">
        <f>'LATAM CELLULAR'!$F$25/'LATAM CELLULAR'!$F$23</f>
        <v>0.26062333160542694</v>
      </c>
      <c r="R410" s="55">
        <f>'LATAM CELLULAR'!$G$25/'LATAM CELLULAR'!$G$23</f>
        <v>0.26525671531290973</v>
      </c>
      <c r="S410" s="55">
        <f>R410-O410</f>
        <v>3.47977518799997E-2</v>
      </c>
      <c r="T410" s="46"/>
      <c r="U410" s="57"/>
      <c r="V410" s="58" t="str">
        <f>V348</f>
        <v>Agg. LatAm Cellular</v>
      </c>
      <c r="AE410" s="41"/>
      <c r="AF410" s="31"/>
      <c r="AG410" s="31"/>
      <c r="AI410" s="41"/>
      <c r="AJ410" s="64"/>
      <c r="AK410" s="64"/>
      <c r="AM410" s="41"/>
      <c r="AN410" s="64"/>
      <c r="AO410" s="64"/>
      <c r="AQ410" s="41"/>
      <c r="AR410" s="64"/>
      <c r="AS410" s="64"/>
    </row>
    <row r="411" spans="1:45" s="5" customFormat="1">
      <c r="A411" s="39"/>
      <c r="B411" s="42"/>
      <c r="C411" s="43"/>
      <c r="D411" s="44"/>
      <c r="E411" s="44"/>
      <c r="F411" s="45"/>
      <c r="G411" s="44"/>
      <c r="H411" s="46"/>
      <c r="I411" s="45"/>
      <c r="J411" s="45"/>
      <c r="K411" s="45"/>
      <c r="L411" s="45"/>
      <c r="M411" s="45"/>
      <c r="N411" s="46"/>
      <c r="O411" s="45"/>
      <c r="P411" s="45"/>
      <c r="Q411" s="45"/>
      <c r="R411" s="45"/>
      <c r="S411" s="45"/>
      <c r="T411" s="46"/>
      <c r="U411" s="48"/>
      <c r="V411" s="50"/>
      <c r="AE411" s="41"/>
      <c r="AF411" s="31"/>
      <c r="AG411" s="31"/>
      <c r="AI411" s="41"/>
      <c r="AJ411" s="64"/>
      <c r="AK411" s="64"/>
      <c r="AM411" s="41"/>
      <c r="AN411" s="64"/>
      <c r="AO411" s="64"/>
      <c r="AQ411" s="41"/>
      <c r="AR411" s="64"/>
      <c r="AS411" s="64"/>
    </row>
    <row r="412" spans="1:45" s="5" customFormat="1">
      <c r="B412" s="42"/>
      <c r="C412" s="48" t="str">
        <f t="shared" ref="C412:G425" si="76">C350</f>
        <v>AIS</v>
      </c>
      <c r="D412" s="44" t="str">
        <f t="shared" si="76"/>
        <v>THB 269.0</v>
      </c>
      <c r="E412" s="44" t="str">
        <f t="shared" si="76"/>
        <v>THB 300.0</v>
      </c>
      <c r="F412" s="45">
        <f t="shared" si="76"/>
        <v>0.11524163568773238</v>
      </c>
      <c r="G412" s="44" t="str">
        <f t="shared" si="76"/>
        <v>Buy</v>
      </c>
      <c r="H412" s="46"/>
      <c r="I412" s="45">
        <f>ADVANCED!$D$24/ADVANCED!$D$23</f>
        <v>0.49435864310939098</v>
      </c>
      <c r="J412" s="45">
        <f>ADVANCED!$E$24/ADVANCED!$E$23</f>
        <v>0.51427463206805279</v>
      </c>
      <c r="K412" s="45">
        <f>ADVANCED!$F$24/ADVANCED!$F$23</f>
        <v>0.52009328717501735</v>
      </c>
      <c r="L412" s="45">
        <f>ADVANCED!$G$24/ADVANCED!$G$23</f>
        <v>0.52149350585298038</v>
      </c>
      <c r="M412" s="45">
        <f t="shared" ref="M412:M426" si="77">L412-I412</f>
        <v>2.7134862743589394E-2</v>
      </c>
      <c r="N412" s="46"/>
      <c r="O412" s="45">
        <f>ADVANCED!$D$25/ADVANCED!$D$23</f>
        <v>0.29799389007428273</v>
      </c>
      <c r="P412" s="45">
        <f>ADVANCED!$E$25/ADVANCED!$E$23</f>
        <v>0.39122878558897467</v>
      </c>
      <c r="Q412" s="45">
        <f>ADVANCED!$F$25/ADVANCED!$F$23</f>
        <v>0.40327344360124923</v>
      </c>
      <c r="R412" s="45">
        <f>ADVANCED!$G$25/ADVANCED!$G$23</f>
        <v>0.39149350585298043</v>
      </c>
      <c r="S412" s="45">
        <f t="shared" ref="S412:S426" si="78">R412-O412</f>
        <v>9.3499615778697698E-2</v>
      </c>
      <c r="T412" s="46"/>
      <c r="U412" s="48" t="str">
        <f t="shared" ref="U412:V425" si="79">U350</f>
        <v>THB 269.0</v>
      </c>
      <c r="V412" s="44" t="str">
        <f t="shared" si="79"/>
        <v>AIS</v>
      </c>
      <c r="AE412" s="41"/>
      <c r="AF412" s="31"/>
      <c r="AG412" s="31"/>
      <c r="AI412" s="41"/>
      <c r="AJ412" s="64"/>
      <c r="AK412" s="64"/>
      <c r="AM412" s="41"/>
      <c r="AN412" s="64"/>
      <c r="AO412" s="64"/>
      <c r="AQ412" s="41"/>
      <c r="AR412" s="64"/>
      <c r="AS412" s="64"/>
    </row>
    <row r="413" spans="1:45" s="5" customFormat="1">
      <c r="A413" s="39"/>
      <c r="B413" s="42"/>
      <c r="C413" s="48" t="str">
        <f t="shared" si="76"/>
        <v>Axiata</v>
      </c>
      <c r="D413" s="44" t="str">
        <f t="shared" si="76"/>
        <v>MYR 2.44</v>
      </c>
      <c r="E413" s="44" t="str">
        <f t="shared" si="76"/>
        <v>MYR 4.50</v>
      </c>
      <c r="F413" s="45">
        <f t="shared" si="76"/>
        <v>0.84426229508196715</v>
      </c>
      <c r="G413" s="44" t="str">
        <f t="shared" si="76"/>
        <v>Buy</v>
      </c>
      <c r="H413" s="46"/>
      <c r="I413" s="45">
        <f>AXI!$D$24/AXI!$D$23</f>
        <v>0.4492533427810777</v>
      </c>
      <c r="J413" s="45">
        <f>AXI!$E$24/AXI!$E$23</f>
        <v>0.45509822527760119</v>
      </c>
      <c r="K413" s="45">
        <f>AXI!$F$24/AXI!$F$23</f>
        <v>0.457850259283964</v>
      </c>
      <c r="L413" s="45">
        <f>AXI!$G$24/AXI!$G$23</f>
        <v>0.46091932526679802</v>
      </c>
      <c r="M413" s="45">
        <f t="shared" si="77"/>
        <v>1.1665982485720316E-2</v>
      </c>
      <c r="N413" s="46"/>
      <c r="O413" s="45">
        <f>AXI!$D$25/AXI!$D$23</f>
        <v>0.18107447876288488</v>
      </c>
      <c r="P413" s="45">
        <f>AXI!$E$25/AXI!$E$23</f>
        <v>0.18227167007710349</v>
      </c>
      <c r="Q413" s="45">
        <f>AXI!$F$25/AXI!$F$23</f>
        <v>0.17315062477505988</v>
      </c>
      <c r="R413" s="45">
        <f>AXI!$G$25/AXI!$G$23</f>
        <v>0.17656246743266563</v>
      </c>
      <c r="S413" s="45">
        <f t="shared" si="78"/>
        <v>-4.512011330219251E-3</v>
      </c>
      <c r="T413" s="46"/>
      <c r="U413" s="48" t="str">
        <f t="shared" si="79"/>
        <v>MYR 2.44</v>
      </c>
      <c r="V413" s="44" t="str">
        <f t="shared" si="79"/>
        <v>Axiata</v>
      </c>
      <c r="AE413" s="41"/>
      <c r="AF413" s="31"/>
      <c r="AG413" s="31"/>
      <c r="AI413" s="41"/>
      <c r="AJ413" s="64"/>
      <c r="AK413" s="64"/>
      <c r="AM413" s="41"/>
      <c r="AN413" s="64"/>
      <c r="AO413" s="64"/>
      <c r="AQ413" s="41"/>
      <c r="AR413" s="64"/>
      <c r="AS413" s="64"/>
    </row>
    <row r="414" spans="1:45" s="5" customFormat="1">
      <c r="A414" s="39"/>
      <c r="B414" s="42"/>
      <c r="C414" s="48" t="str">
        <f t="shared" si="76"/>
        <v>Bharti Airtel</v>
      </c>
      <c r="D414" s="44" t="str">
        <f t="shared" si="76"/>
        <v>INR 1539</v>
      </c>
      <c r="E414" s="44" t="str">
        <f t="shared" si="76"/>
        <v>INR 1500</v>
      </c>
      <c r="F414" s="45">
        <f t="shared" si="76"/>
        <v>-2.5404457150282611E-2</v>
      </c>
      <c r="G414" s="44" t="str">
        <f t="shared" si="76"/>
        <v>Neutral</v>
      </c>
      <c r="H414" s="46"/>
      <c r="I414" s="45">
        <f>BHART!$D$24/BHART!$D$23</f>
        <v>0.52203781093721247</v>
      </c>
      <c r="J414" s="45">
        <f>BHART!$E$24/BHART!$E$23</f>
        <v>0.53183040489958466</v>
      </c>
      <c r="K414" s="45">
        <f>BHART!$F$24/BHART!$F$23</f>
        <v>0.54039802099120637</v>
      </c>
      <c r="L414" s="45">
        <f>BHART!$G$24/BHART!$G$23</f>
        <v>0.54492641488489035</v>
      </c>
      <c r="M414" s="45">
        <f t="shared" si="77"/>
        <v>2.2888603947677888E-2</v>
      </c>
      <c r="N414" s="46"/>
      <c r="O414" s="45">
        <f>BHART!$D$25/BHART!$D$23</f>
        <v>0.2612882952311249</v>
      </c>
      <c r="P414" s="45">
        <f>BHART!$E$25/BHART!$E$23</f>
        <v>0.31167077695718126</v>
      </c>
      <c r="Q414" s="45">
        <f>BHART!$F$25/BHART!$F$23</f>
        <v>0.34611957608006877</v>
      </c>
      <c r="R414" s="45">
        <f>BHART!$G$25/BHART!$G$23</f>
        <v>0.37668890749083306</v>
      </c>
      <c r="S414" s="45">
        <f t="shared" si="78"/>
        <v>0.11540061225970816</v>
      </c>
      <c r="T414" s="46"/>
      <c r="U414" s="48" t="str">
        <f t="shared" si="79"/>
        <v>INR 1539</v>
      </c>
      <c r="V414" s="44" t="str">
        <f t="shared" si="79"/>
        <v>Bharti Airtel</v>
      </c>
      <c r="AE414" s="41"/>
      <c r="AF414" s="31"/>
      <c r="AG414" s="31"/>
      <c r="AI414" s="41"/>
      <c r="AJ414" s="64"/>
      <c r="AK414" s="64"/>
      <c r="AM414" s="41"/>
      <c r="AN414" s="64"/>
      <c r="AO414" s="64"/>
      <c r="AQ414" s="41"/>
      <c r="AR414" s="64"/>
      <c r="AS414" s="64"/>
    </row>
    <row r="415" spans="1:45" s="5" customFormat="1">
      <c r="B415" s="42"/>
      <c r="C415" s="48" t="str">
        <f t="shared" si="76"/>
        <v>China Mobile</v>
      </c>
      <c r="D415" s="44" t="str">
        <f t="shared" si="76"/>
        <v>HKD 72.0</v>
      </c>
      <c r="E415" s="44" t="str">
        <f t="shared" si="76"/>
        <v>HKD 115.0</v>
      </c>
      <c r="F415" s="45">
        <f t="shared" si="76"/>
        <v>0.59722222222222232</v>
      </c>
      <c r="G415" s="44" t="str">
        <f t="shared" si="76"/>
        <v>Buy</v>
      </c>
      <c r="H415" s="46"/>
      <c r="I415" s="45">
        <f>_CM!$D$24/_CM!$D$23</f>
        <v>0.33832849999355996</v>
      </c>
      <c r="J415" s="45">
        <f>_CM!$E$24/_CM!$E$23</f>
        <v>0.3320941413191244</v>
      </c>
      <c r="K415" s="45">
        <f>_CM!$F$24/_CM!$F$23</f>
        <v>0.32920030655714522</v>
      </c>
      <c r="L415" s="45">
        <f>_CM!$G$24/_CM!$G$23</f>
        <v>0.32813130926236145</v>
      </c>
      <c r="M415" s="45">
        <f t="shared" si="77"/>
        <v>-1.0197190731198513E-2</v>
      </c>
      <c r="N415" s="46"/>
      <c r="O415" s="45">
        <f>_CM!$D$25/_CM!$D$23</f>
        <v>0.16942383353363541</v>
      </c>
      <c r="P415" s="45">
        <f>_CM!$E$25/_CM!$E$23</f>
        <v>0.17406788746150273</v>
      </c>
      <c r="Q415" s="45">
        <f>_CM!$F$25/_CM!$F$23</f>
        <v>0.18136490292009166</v>
      </c>
      <c r="R415" s="45">
        <f>_CM!$G$25/_CM!$G$23</f>
        <v>0.18355993411745253</v>
      </c>
      <c r="S415" s="45">
        <f t="shared" si="78"/>
        <v>1.4136100583817118E-2</v>
      </c>
      <c r="T415" s="46"/>
      <c r="U415" s="48" t="str">
        <f t="shared" si="79"/>
        <v>HKD 72.0</v>
      </c>
      <c r="V415" s="44" t="str">
        <f t="shared" si="79"/>
        <v>China Mobile</v>
      </c>
      <c r="AE415" s="41"/>
      <c r="AF415" s="31"/>
      <c r="AG415" s="31"/>
      <c r="AI415" s="41"/>
      <c r="AJ415" s="64"/>
      <c r="AK415" s="64"/>
      <c r="AM415" s="41"/>
      <c r="AN415" s="64"/>
      <c r="AO415" s="64"/>
      <c r="AQ415" s="41"/>
      <c r="AR415" s="64"/>
      <c r="AS415" s="64"/>
    </row>
    <row r="416" spans="1:45" s="5" customFormat="1">
      <c r="B416" s="42"/>
      <c r="C416" s="48" t="str">
        <f t="shared" si="76"/>
        <v>CelcomDigi</v>
      </c>
      <c r="D416" s="44" t="str">
        <f t="shared" si="76"/>
        <v>MYR 3.7</v>
      </c>
      <c r="E416" s="44" t="str">
        <f t="shared" si="76"/>
        <v>MYR 6.0</v>
      </c>
      <c r="F416" s="45">
        <f t="shared" si="76"/>
        <v>0.63934426229508201</v>
      </c>
      <c r="G416" s="44" t="str">
        <f t="shared" si="76"/>
        <v>Buy</v>
      </c>
      <c r="H416" s="46"/>
      <c r="I416" s="45">
        <f>DIGI!$D$24/DIGI!$D$23</f>
        <v>0.48528345028778685</v>
      </c>
      <c r="J416" s="45">
        <f>DIGI!$E$24/DIGI!$E$23</f>
        <v>0.49886634867291202</v>
      </c>
      <c r="K416" s="45">
        <f>DIGI!$F$24/DIGI!$F$23</f>
        <v>0.50581683388808296</v>
      </c>
      <c r="L416" s="45">
        <f>DIGI!$G$24/DIGI!$G$23</f>
        <v>0.51413858013742886</v>
      </c>
      <c r="M416" s="45">
        <f t="shared" si="77"/>
        <v>2.8855129849642003E-2</v>
      </c>
      <c r="N416" s="46"/>
      <c r="O416" s="45">
        <f>DIGI!$D$25/DIGI!$D$23</f>
        <v>0.34688401797681939</v>
      </c>
      <c r="P416" s="45">
        <f>DIGI!$E$25/DIGI!$E$23</f>
        <v>0.33886634867291204</v>
      </c>
      <c r="Q416" s="45">
        <f>DIGI!$F$25/DIGI!$F$23</f>
        <v>0.355816833888083</v>
      </c>
      <c r="R416" s="45">
        <f>DIGI!$G$25/DIGI!$G$23</f>
        <v>0.37413858013742884</v>
      </c>
      <c r="S416" s="45">
        <f t="shared" si="78"/>
        <v>2.7254562160609452E-2</v>
      </c>
      <c r="T416" s="46"/>
      <c r="U416" s="48" t="str">
        <f t="shared" si="79"/>
        <v>MYR 3.7</v>
      </c>
      <c r="V416" s="44" t="str">
        <f t="shared" si="79"/>
        <v>CelcomDigi</v>
      </c>
      <c r="AE416" s="41"/>
      <c r="AF416" s="31"/>
      <c r="AG416" s="31"/>
      <c r="AI416" s="41"/>
      <c r="AJ416" s="64"/>
      <c r="AK416" s="64"/>
      <c r="AM416" s="41"/>
      <c r="AN416" s="64"/>
      <c r="AO416" s="64"/>
      <c r="AQ416" s="41"/>
      <c r="AR416" s="64"/>
      <c r="AS416" s="64"/>
    </row>
    <row r="417" spans="1:45" s="5" customFormat="1">
      <c r="B417" s="42"/>
      <c r="C417" s="48" t="str">
        <f t="shared" si="76"/>
        <v>Far EasTone</v>
      </c>
      <c r="D417" s="44" t="str">
        <f t="shared" si="76"/>
        <v>TWD 91.9</v>
      </c>
      <c r="E417" s="44" t="str">
        <f t="shared" si="76"/>
        <v>TWD n/r</v>
      </c>
      <c r="F417" s="45" t="str">
        <f t="shared" si="76"/>
        <v>-</v>
      </c>
      <c r="G417" s="44" t="str">
        <f t="shared" si="76"/>
        <v>n/r</v>
      </c>
      <c r="H417" s="46"/>
      <c r="I417" s="45">
        <f>FAR!$D$24/FAR!$D$23</f>
        <v>0.33800183063434858</v>
      </c>
      <c r="J417" s="45">
        <f>FAR!$E$24/FAR!$E$23</f>
        <v>0.33522144057364628</v>
      </c>
      <c r="K417" s="45">
        <f>FAR!$F$24/FAR!$F$23</f>
        <v>0.33239780982015238</v>
      </c>
      <c r="L417" s="45">
        <f>FAR!$G$24/FAR!$G$23</f>
        <v>0.32953284347703243</v>
      </c>
      <c r="M417" s="45">
        <f t="shared" si="77"/>
        <v>-8.4689871573161435E-3</v>
      </c>
      <c r="N417" s="46"/>
      <c r="O417" s="45">
        <f>FAR!$D$25/FAR!$D$23</f>
        <v>0.23800183063434857</v>
      </c>
      <c r="P417" s="45">
        <f>FAR!$E$25/FAR!$E$23</f>
        <v>0.24022144057364633</v>
      </c>
      <c r="Q417" s="45">
        <f>FAR!$F$25/FAR!$F$23</f>
        <v>0.23739780982015238</v>
      </c>
      <c r="R417" s="45">
        <f>FAR!$G$25/FAR!$G$23</f>
        <v>0.23453284347703246</v>
      </c>
      <c r="S417" s="45">
        <f t="shared" si="78"/>
        <v>-3.4689871573161113E-3</v>
      </c>
      <c r="T417" s="46"/>
      <c r="U417" s="48" t="str">
        <f t="shared" si="79"/>
        <v>TWD 91.9</v>
      </c>
      <c r="V417" s="44" t="str">
        <f t="shared" si="79"/>
        <v>Far EasTone</v>
      </c>
      <c r="AE417" s="41"/>
      <c r="AF417" s="31"/>
      <c r="AG417" s="31"/>
      <c r="AI417" s="41"/>
      <c r="AJ417" s="64"/>
      <c r="AK417" s="64"/>
      <c r="AM417" s="41"/>
      <c r="AN417" s="64"/>
      <c r="AO417" s="64"/>
      <c r="AQ417" s="41"/>
      <c r="AR417" s="64"/>
      <c r="AS417" s="64"/>
    </row>
    <row r="418" spans="1:45" s="5" customFormat="1">
      <c r="B418" s="42"/>
      <c r="C418" s="48" t="str">
        <f t="shared" si="76"/>
        <v>Vodafone IDEA</v>
      </c>
      <c r="D418" s="44" t="str">
        <f t="shared" si="76"/>
        <v>INR 13.4</v>
      </c>
      <c r="E418" s="44" t="str">
        <f t="shared" si="76"/>
        <v>INR 5.0</v>
      </c>
      <c r="F418" s="45">
        <f t="shared" si="76"/>
        <v>-0.62574850299401197</v>
      </c>
      <c r="G418" s="44" t="str">
        <f t="shared" si="76"/>
        <v>Reduce</v>
      </c>
      <c r="H418" s="46"/>
      <c r="I418" s="45">
        <f>IDEA!$D$24/IDEA!$D$23</f>
        <v>0.40153147471261402</v>
      </c>
      <c r="J418" s="45">
        <f>IDEA!$E$24/IDEA!$E$23</f>
        <v>0.40914094882516294</v>
      </c>
      <c r="K418" s="45">
        <f>IDEA!$F$24/IDEA!$F$23</f>
        <v>0.42192583387412175</v>
      </c>
      <c r="L418" s="45">
        <f>IDEA!$G$24/IDEA!$G$23</f>
        <v>0.42950052156019608</v>
      </c>
      <c r="M418" s="45">
        <f t="shared" si="77"/>
        <v>2.7969046847582058E-2</v>
      </c>
      <c r="N418" s="46"/>
      <c r="O418" s="45">
        <f>IDEA!$D$25/IDEA!$D$23</f>
        <v>0.35815688471971807</v>
      </c>
      <c r="P418" s="45">
        <f>IDEA!$E$25/IDEA!$E$23</f>
        <v>2.9140948825162903E-2</v>
      </c>
      <c r="Q418" s="45">
        <f>IDEA!$F$25/IDEA!$F$23</f>
        <v>4.1925833874121708E-2</v>
      </c>
      <c r="R418" s="45">
        <f>IDEA!$G$25/IDEA!$G$23</f>
        <v>0.22950052156019607</v>
      </c>
      <c r="S418" s="45">
        <f t="shared" si="78"/>
        <v>-0.128656363159522</v>
      </c>
      <c r="T418" s="46"/>
      <c r="U418" s="48" t="str">
        <f t="shared" si="79"/>
        <v>INR 13.4</v>
      </c>
      <c r="V418" s="44" t="str">
        <f t="shared" si="79"/>
        <v>Vodafone IDEA</v>
      </c>
      <c r="AE418" s="41"/>
      <c r="AF418" s="31"/>
      <c r="AG418" s="31"/>
      <c r="AI418" s="41"/>
      <c r="AJ418" s="64"/>
      <c r="AK418" s="64"/>
      <c r="AM418" s="41"/>
      <c r="AN418" s="64"/>
      <c r="AO418" s="64"/>
      <c r="AQ418" s="41"/>
      <c r="AR418" s="64"/>
      <c r="AS418" s="64"/>
    </row>
    <row r="419" spans="1:45">
      <c r="A419" s="5"/>
      <c r="C419" s="48" t="str">
        <f t="shared" si="76"/>
        <v>Indosat</v>
      </c>
      <c r="D419" s="44" t="str">
        <f t="shared" si="76"/>
        <v>IDR 10,900</v>
      </c>
      <c r="E419" s="44" t="str">
        <f t="shared" si="76"/>
        <v>IDR 12,500</v>
      </c>
      <c r="F419" s="45">
        <f t="shared" si="76"/>
        <v>0.14678899082568808</v>
      </c>
      <c r="G419" s="44" t="str">
        <f t="shared" si="76"/>
        <v>Buy</v>
      </c>
      <c r="H419" s="46"/>
      <c r="I419" s="45">
        <f>INDO!$D$24/INDO!$D$23</f>
        <v>0.46727586826160283</v>
      </c>
      <c r="J419" s="45">
        <f>INDO!$E$24/INDO!$E$23</f>
        <v>0.48947062036473549</v>
      </c>
      <c r="K419" s="45">
        <f>INDO!$F$24/INDO!$F$23</f>
        <v>0.49255413011878846</v>
      </c>
      <c r="L419" s="45">
        <f>INDO!$G$24/INDO!$G$23</f>
        <v>0.49547915162411266</v>
      </c>
      <c r="M419" s="45">
        <f t="shared" si="77"/>
        <v>2.8203283362509823E-2</v>
      </c>
      <c r="N419" s="46"/>
      <c r="O419" s="45">
        <f>INDO!$D$25/INDO!$D$23</f>
        <v>0.21774045068399028</v>
      </c>
      <c r="P419" s="45">
        <f>INDO!$E$25/INDO!$E$23</f>
        <v>0.27234039554119954</v>
      </c>
      <c r="Q419" s="45">
        <f>INDO!$F$25/INDO!$F$23</f>
        <v>0.29219948173099852</v>
      </c>
      <c r="R419" s="45">
        <f>INDO!$G$25/INDO!$G$23</f>
        <v>0.2951169057069391</v>
      </c>
      <c r="S419" s="45">
        <f t="shared" si="78"/>
        <v>7.737645502294882E-2</v>
      </c>
      <c r="T419" s="46"/>
      <c r="U419" s="48" t="str">
        <f t="shared" si="79"/>
        <v>IDR 10,900</v>
      </c>
      <c r="V419" s="44" t="str">
        <f t="shared" si="79"/>
        <v>Indosat</v>
      </c>
      <c r="AE419" s="41"/>
      <c r="AF419" s="31"/>
      <c r="AG419" s="31"/>
      <c r="AI419" s="41"/>
      <c r="AJ419" s="64"/>
      <c r="AK419" s="64"/>
      <c r="AM419" s="41"/>
      <c r="AN419" s="64"/>
      <c r="AO419" s="64"/>
      <c r="AQ419" s="41"/>
      <c r="AR419" s="64"/>
      <c r="AS419" s="64"/>
    </row>
    <row r="420" spans="1:45">
      <c r="A420" s="5"/>
      <c r="C420" s="48" t="str">
        <f t="shared" si="76"/>
        <v>LG Uplus</v>
      </c>
      <c r="D420" s="44" t="str">
        <f t="shared" si="76"/>
        <v>KRW 9,890</v>
      </c>
      <c r="E420" s="44" t="str">
        <f t="shared" si="76"/>
        <v>KRW 21,000</v>
      </c>
      <c r="F420" s="45">
        <f t="shared" si="76"/>
        <v>1.1233569261880687</v>
      </c>
      <c r="G420" s="44" t="str">
        <f t="shared" si="76"/>
        <v>Buy</v>
      </c>
      <c r="H420" s="46"/>
      <c r="I420" s="45">
        <f>_LG!$D$24/_LG!$D$23</f>
        <v>0.24834007415483456</v>
      </c>
      <c r="J420" s="45">
        <f>_LG!$E$24/_LG!$E$23</f>
        <v>0.24736687638573085</v>
      </c>
      <c r="K420" s="45">
        <f>_LG!$F$24/_LG!$F$23</f>
        <v>0.24843302315489232</v>
      </c>
      <c r="L420" s="45">
        <f>_LG!$G$24/_LG!$G$23</f>
        <v>0.2502624462680263</v>
      </c>
      <c r="M420" s="45">
        <f t="shared" si="77"/>
        <v>1.9223721131917393E-3</v>
      </c>
      <c r="N420" s="46"/>
      <c r="O420" s="45">
        <f>_LG!$D$25/_LG!$D$23</f>
        <v>7.3403406335514093E-2</v>
      </c>
      <c r="P420" s="45">
        <f>_LG!$E$25/_LG!$E$23</f>
        <v>9.2060414125268289E-2</v>
      </c>
      <c r="Q420" s="45">
        <f>_LG!$F$25/_LG!$F$23</f>
        <v>9.5722016841903554E-2</v>
      </c>
      <c r="R420" s="45">
        <f>_LG!$G$25/_LG!$G$23</f>
        <v>0.1000856809049384</v>
      </c>
      <c r="S420" s="45">
        <f t="shared" si="78"/>
        <v>2.6682274569424305E-2</v>
      </c>
      <c r="T420" s="46"/>
      <c r="U420" s="48" t="str">
        <f t="shared" si="79"/>
        <v>KRW 9,890</v>
      </c>
      <c r="V420" s="44" t="str">
        <f t="shared" si="79"/>
        <v>LG Uplus</v>
      </c>
      <c r="AE420" s="41"/>
      <c r="AF420" s="31"/>
      <c r="AG420" s="31"/>
      <c r="AI420" s="41"/>
      <c r="AJ420" s="64"/>
      <c r="AK420" s="64"/>
      <c r="AM420" s="41"/>
      <c r="AN420" s="64"/>
      <c r="AO420" s="64"/>
      <c r="AQ420" s="41"/>
      <c r="AR420" s="64"/>
      <c r="AS420" s="64"/>
    </row>
    <row r="421" spans="1:45">
      <c r="C421" s="48" t="str">
        <f t="shared" si="76"/>
        <v>Maxis</v>
      </c>
      <c r="D421" s="44" t="str">
        <f t="shared" si="76"/>
        <v>MYR 3.82</v>
      </c>
      <c r="E421" s="44" t="str">
        <f t="shared" si="76"/>
        <v>MYR 5.60</v>
      </c>
      <c r="F421" s="45">
        <f t="shared" si="76"/>
        <v>0.46596858638743455</v>
      </c>
      <c r="G421" s="44" t="str">
        <f t="shared" si="76"/>
        <v>Buy</v>
      </c>
      <c r="H421" s="46"/>
      <c r="I421" s="45">
        <f>MAXI!$D$24/MAXI!$D$23</f>
        <v>0.38899803536345778</v>
      </c>
      <c r="J421" s="45">
        <f>MAXI!$E$24/MAXI!$E$23</f>
        <v>0.39233478784492543</v>
      </c>
      <c r="K421" s="45">
        <f>MAXI!$F$24/MAXI!$F$23</f>
        <v>0.39402724566268205</v>
      </c>
      <c r="L421" s="45">
        <f>MAXI!$G$24/MAXI!$G$23</f>
        <v>0.39576435237979013</v>
      </c>
      <c r="M421" s="45">
        <f t="shared" si="77"/>
        <v>6.7663170163323461E-3</v>
      </c>
      <c r="N421" s="46"/>
      <c r="O421" s="45">
        <f>MAXI!$D$25/MAXI!$D$23</f>
        <v>0.30913555992141456</v>
      </c>
      <c r="P421" s="45">
        <f>MAXI!$E$25/MAXI!$E$23</f>
        <v>0.28233478784492544</v>
      </c>
      <c r="Q421" s="45">
        <f>MAXI!$F$25/MAXI!$F$23</f>
        <v>0.28402724566268206</v>
      </c>
      <c r="R421" s="45">
        <f>MAXI!$G$25/MAXI!$G$23</f>
        <v>0.28576435237979014</v>
      </c>
      <c r="S421" s="45">
        <f t="shared" si="78"/>
        <v>-2.3371207541624417E-2</v>
      </c>
      <c r="T421" s="46"/>
      <c r="U421" s="48" t="str">
        <f t="shared" si="79"/>
        <v>MYR 3.82</v>
      </c>
      <c r="V421" s="44" t="str">
        <f t="shared" si="79"/>
        <v>Maxis</v>
      </c>
      <c r="AE421" s="41"/>
      <c r="AF421" s="31"/>
      <c r="AG421" s="31"/>
      <c r="AI421" s="41"/>
      <c r="AJ421" s="64"/>
      <c r="AK421" s="64"/>
      <c r="AM421" s="41"/>
      <c r="AN421" s="64"/>
      <c r="AO421" s="64"/>
      <c r="AQ421" s="41"/>
      <c r="AR421" s="64"/>
      <c r="AS421" s="64"/>
    </row>
    <row r="422" spans="1:45">
      <c r="A422" s="5"/>
      <c r="C422" s="48" t="str">
        <f t="shared" si="76"/>
        <v>SK Telecom</v>
      </c>
      <c r="D422" s="44" t="str">
        <f t="shared" si="76"/>
        <v>KRW 57,800</v>
      </c>
      <c r="E422" s="44" t="str">
        <f t="shared" si="76"/>
        <v>KRW 116,000</v>
      </c>
      <c r="F422" s="45">
        <f t="shared" si="76"/>
        <v>1.0069204152249136</v>
      </c>
      <c r="G422" s="44" t="str">
        <f t="shared" si="76"/>
        <v>Buy</v>
      </c>
      <c r="H422" s="46"/>
      <c r="I422" s="45">
        <f>SKT!$D$24/SKT!$D$23</f>
        <v>0.31251017745644127</v>
      </c>
      <c r="J422" s="45">
        <f>SKT!$E$24/SKT!$E$23</f>
        <v>0.3102331161508764</v>
      </c>
      <c r="K422" s="45">
        <f>SKT!$F$24/SKT!$F$23</f>
        <v>0.31134358194769285</v>
      </c>
      <c r="L422" s="45">
        <f>SKT!$G$24/SKT!$G$23</f>
        <v>0.3123357523965013</v>
      </c>
      <c r="M422" s="45">
        <f t="shared" si="77"/>
        <v>-1.7442505993997548E-4</v>
      </c>
      <c r="N422" s="46"/>
      <c r="O422" s="45">
        <f>SKT!$D$25/SKT!$D$23</f>
        <v>0.1567901695122868</v>
      </c>
      <c r="P422" s="45">
        <f>SKT!$E$25/SKT!$E$23</f>
        <v>0.16639903567010003</v>
      </c>
      <c r="Q422" s="45">
        <f>SKT!$F$25/SKT!$F$23</f>
        <v>0.16938503288200937</v>
      </c>
      <c r="R422" s="45">
        <f>SKT!$G$25/SKT!$G$23</f>
        <v>0.17231600119667559</v>
      </c>
      <c r="S422" s="45">
        <f t="shared" si="78"/>
        <v>1.5525831684388786E-2</v>
      </c>
      <c r="T422" s="46"/>
      <c r="U422" s="48" t="str">
        <f t="shared" si="79"/>
        <v>KRW 57,800</v>
      </c>
      <c r="V422" s="44" t="str">
        <f t="shared" si="79"/>
        <v>SK Telecom</v>
      </c>
      <c r="AE422" s="41"/>
      <c r="AF422" s="31"/>
      <c r="AG422" s="31"/>
      <c r="AI422" s="41"/>
      <c r="AJ422" s="64"/>
      <c r="AK422" s="64"/>
      <c r="AM422" s="41"/>
      <c r="AN422" s="64"/>
      <c r="AO422" s="64"/>
      <c r="AQ422" s="41"/>
      <c r="AR422" s="64"/>
      <c r="AS422" s="64"/>
    </row>
    <row r="423" spans="1:45">
      <c r="A423" s="5"/>
      <c r="C423" s="48" t="str">
        <f t="shared" si="76"/>
        <v>Taiwan Mobile</v>
      </c>
      <c r="D423" s="44" t="str">
        <f t="shared" si="76"/>
        <v>TWD 115.0</v>
      </c>
      <c r="E423" s="44" t="str">
        <f t="shared" si="76"/>
        <v>TWD n/r</v>
      </c>
      <c r="F423" s="45" t="str">
        <f t="shared" si="76"/>
        <v>-</v>
      </c>
      <c r="G423" s="44" t="str">
        <f t="shared" si="76"/>
        <v>n/r</v>
      </c>
      <c r="H423" s="46"/>
      <c r="I423" s="45">
        <f>TAIWAN!$D$24/TAIWAN!$D$23</f>
        <v>0.22476342446152875</v>
      </c>
      <c r="J423" s="45">
        <f>TAIWAN!$E$24/TAIWAN!$E$23</f>
        <v>0.22785542408181267</v>
      </c>
      <c r="K423" s="45">
        <f>TAIWAN!$F$24/TAIWAN!$F$23</f>
        <v>0.23160527986299795</v>
      </c>
      <c r="L423" s="45">
        <f>TAIWAN!$G$24/TAIWAN!$G$23</f>
        <v>0.24122065671583481</v>
      </c>
      <c r="M423" s="45">
        <f t="shared" si="77"/>
        <v>1.6457232254306065E-2</v>
      </c>
      <c r="N423" s="46"/>
      <c r="O423" s="45">
        <f>TAIWAN!$D$25/TAIWAN!$D$23</f>
        <v>0.15476342446152874</v>
      </c>
      <c r="P423" s="45">
        <f>TAIWAN!$E$25/TAIWAN!$E$23</f>
        <v>0.16785542408181267</v>
      </c>
      <c r="Q423" s="45">
        <f>TAIWAN!$F$25/TAIWAN!$F$23</f>
        <v>0.16660527986299795</v>
      </c>
      <c r="R423" s="45">
        <f>TAIWAN!$G$25/TAIWAN!$G$23</f>
        <v>0.17622065671583484</v>
      </c>
      <c r="S423" s="45">
        <f t="shared" si="78"/>
        <v>2.1457232254306097E-2</v>
      </c>
      <c r="T423" s="46"/>
      <c r="U423" s="48" t="str">
        <f t="shared" si="79"/>
        <v>TWD 115.0</v>
      </c>
      <c r="V423" s="44" t="str">
        <f t="shared" si="79"/>
        <v>Taiwan Mobile</v>
      </c>
      <c r="AE423" s="41"/>
      <c r="AF423" s="31"/>
      <c r="AG423" s="31"/>
      <c r="AI423" s="41"/>
      <c r="AJ423" s="64"/>
      <c r="AK423" s="64"/>
      <c r="AM423" s="41"/>
      <c r="AN423" s="64"/>
      <c r="AO423" s="64"/>
      <c r="AQ423" s="41"/>
      <c r="AR423" s="64"/>
      <c r="AS423" s="64"/>
    </row>
    <row r="424" spans="1:45" s="5" customFormat="1">
      <c r="B424" s="42"/>
      <c r="C424" s="48" t="str">
        <f t="shared" si="76"/>
        <v>True Corp</v>
      </c>
      <c r="D424" s="44" t="str">
        <f t="shared" si="76"/>
        <v>THB 10.7</v>
      </c>
      <c r="E424" s="44" t="str">
        <f t="shared" si="76"/>
        <v>THB 15.0</v>
      </c>
      <c r="F424" s="45">
        <f t="shared" si="76"/>
        <v>0.40186915887850483</v>
      </c>
      <c r="G424" s="44" t="str">
        <f t="shared" si="76"/>
        <v>Buy</v>
      </c>
      <c r="H424" s="46"/>
      <c r="I424" s="45">
        <f>TRUECORP!$D$24/TRUECORP!$D$23</f>
        <v>0.4226397050124226</v>
      </c>
      <c r="J424" s="45">
        <f>TRUECORP!$E$24/TRUECORP!$E$23</f>
        <v>0.46013681349456931</v>
      </c>
      <c r="K424" s="45">
        <f>TRUECORP!$F$24/TRUECORP!$F$23</f>
        <v>0.49025233707161964</v>
      </c>
      <c r="L424" s="45">
        <f>TRUECORP!$G$24/TRUECORP!$G$23</f>
        <v>0.51707646061171209</v>
      </c>
      <c r="M424" s="45">
        <f>L424-I424</f>
        <v>9.443675559928949E-2</v>
      </c>
      <c r="N424" s="46"/>
      <c r="O424" s="45">
        <f>TRUECORP!$D$25/TRUECORP!$D$23</f>
        <v>0.23969219544898845</v>
      </c>
      <c r="P424" s="45">
        <f>TRUECORP!$E$25/TRUECORP!$E$23</f>
        <v>0.32013681349456929</v>
      </c>
      <c r="Q424" s="45">
        <f>TRUECORP!$F$25/TRUECORP!$F$23</f>
        <v>0.36025233707161963</v>
      </c>
      <c r="R424" s="45">
        <f>TRUECORP!$G$25/TRUECORP!$G$23</f>
        <v>0.38707646061171214</v>
      </c>
      <c r="S424" s="45">
        <f>R424-O424</f>
        <v>0.14738426516272368</v>
      </c>
      <c r="T424" s="46"/>
      <c r="U424" s="48" t="str">
        <f t="shared" si="79"/>
        <v>THB 10.7</v>
      </c>
      <c r="V424" s="44" t="str">
        <f t="shared" si="79"/>
        <v>True Corp</v>
      </c>
      <c r="AE424" s="41"/>
      <c r="AF424" s="31"/>
      <c r="AG424" s="31"/>
      <c r="AI424" s="41"/>
      <c r="AJ424" s="64"/>
      <c r="AK424" s="64"/>
      <c r="AM424" s="41"/>
      <c r="AN424" s="64"/>
      <c r="AO424" s="64"/>
      <c r="AQ424" s="41"/>
      <c r="AR424" s="64"/>
      <c r="AS424" s="64"/>
    </row>
    <row r="425" spans="1:45" s="5" customFormat="1">
      <c r="B425" s="42"/>
      <c r="C425" s="48" t="str">
        <f t="shared" si="76"/>
        <v>XL Axiata</v>
      </c>
      <c r="D425" s="44" t="str">
        <f t="shared" si="76"/>
        <v>IDR 2,330</v>
      </c>
      <c r="E425" s="44" t="str">
        <f t="shared" si="76"/>
        <v>IDR 5,000</v>
      </c>
      <c r="F425" s="45">
        <f t="shared" si="76"/>
        <v>1.1459227467811157</v>
      </c>
      <c r="G425" s="44" t="str">
        <f t="shared" si="76"/>
        <v>Buy</v>
      </c>
      <c r="H425" s="46"/>
      <c r="I425" s="45">
        <f>XLAX!$D$24/XLAX!$D$23</f>
        <v>0.49145102609312574</v>
      </c>
      <c r="J425" s="45">
        <f>XLAX!$E$24/XLAX!$E$23</f>
        <v>0.50738857836877316</v>
      </c>
      <c r="K425" s="45">
        <f>XLAX!$F$24/XLAX!$F$23</f>
        <v>0.50838857836877305</v>
      </c>
      <c r="L425" s="45">
        <f>XLAX!$G$24/XLAX!$G$23</f>
        <v>0.50938857836877316</v>
      </c>
      <c r="M425" s="45">
        <f t="shared" si="77"/>
        <v>1.7937552275647417E-2</v>
      </c>
      <c r="N425" s="56"/>
      <c r="O425" s="45">
        <f>XLAX!$D$25/XLAX!$D$23</f>
        <v>0.26999641830120924</v>
      </c>
      <c r="P425" s="45">
        <f>XLAX!$E$25/XLAX!$E$23</f>
        <v>0.27238857836877317</v>
      </c>
      <c r="Q425" s="45">
        <f>XLAX!$F$25/XLAX!$F$23</f>
        <v>0.28338857836877307</v>
      </c>
      <c r="R425" s="45">
        <f>XLAX!$G$25/XLAX!$G$23</f>
        <v>0.28438857836877318</v>
      </c>
      <c r="S425" s="45">
        <f t="shared" si="78"/>
        <v>1.4392160067563942E-2</v>
      </c>
      <c r="T425" s="46"/>
      <c r="U425" s="48" t="str">
        <f t="shared" si="79"/>
        <v>IDR 2,330</v>
      </c>
      <c r="V425" s="44" t="str">
        <f t="shared" si="79"/>
        <v>XL Axiata</v>
      </c>
    </row>
    <row r="426" spans="1:45" s="5" customFormat="1">
      <c r="B426" s="42"/>
      <c r="C426" s="51" t="str">
        <f>C364</f>
        <v>Agg. Emerging Asia Cellular</v>
      </c>
      <c r="D426" s="52"/>
      <c r="E426" s="52"/>
      <c r="F426" s="53"/>
      <c r="G426" s="52"/>
      <c r="H426" s="46"/>
      <c r="I426" s="55">
        <f>'EM ASIA CELLULAR'!$D$24/'EM ASIA CELLULAR'!$D$23</f>
        <v>0.36081665339901509</v>
      </c>
      <c r="J426" s="55">
        <f>'EM ASIA CELLULAR'!$E$24/'EM ASIA CELLULAR'!$E$23</f>
        <v>0.36185439432303534</v>
      </c>
      <c r="K426" s="55">
        <f>'EM ASIA CELLULAR'!$F$24/'EM ASIA CELLULAR'!$F$23</f>
        <v>0.36453998090481032</v>
      </c>
      <c r="L426" s="55">
        <f>'EM ASIA CELLULAR'!$G$24/'EM ASIA CELLULAR'!$G$23</f>
        <v>0.36772179658392778</v>
      </c>
      <c r="M426" s="55">
        <f t="shared" si="77"/>
        <v>6.9051431849126987E-3</v>
      </c>
      <c r="N426" s="56"/>
      <c r="O426" s="55">
        <f>'EM ASIA CELLULAR'!$D$25/'EM ASIA CELLULAR'!$D$23</f>
        <v>0.18702424822957156</v>
      </c>
      <c r="P426" s="55">
        <f>'EM ASIA CELLULAR'!$E$25/'EM ASIA CELLULAR'!$E$23</f>
        <v>0.19453318737958408</v>
      </c>
      <c r="Q426" s="55">
        <f>'EM ASIA CELLULAR'!$F$25/'EM ASIA CELLULAR'!$F$23</f>
        <v>0.20562807856115078</v>
      </c>
      <c r="R426" s="55">
        <f>'EM ASIA CELLULAR'!$G$25/'EM ASIA CELLULAR'!$G$23</f>
        <v>0.21754753802306384</v>
      </c>
      <c r="S426" s="55">
        <f t="shared" si="78"/>
        <v>3.0523289793492281E-2</v>
      </c>
      <c r="T426" s="46"/>
      <c r="U426" s="57"/>
      <c r="V426" s="58" t="str">
        <f>V364</f>
        <v>Agg. Emerging Asia Cellular</v>
      </c>
    </row>
    <row r="427" spans="1:45" s="5" customFormat="1">
      <c r="B427" s="42"/>
      <c r="C427" s="43"/>
      <c r="D427" s="44"/>
      <c r="E427" s="44"/>
      <c r="F427" s="68"/>
      <c r="G427" s="44"/>
      <c r="H427" s="46"/>
      <c r="I427" s="61"/>
      <c r="J427" s="61"/>
      <c r="K427" s="61"/>
      <c r="L427" s="61"/>
      <c r="M427" s="61"/>
      <c r="N427" s="46"/>
      <c r="O427" s="61"/>
      <c r="P427" s="61"/>
      <c r="Q427" s="61"/>
      <c r="R427" s="61"/>
      <c r="S427" s="61"/>
      <c r="T427" s="46"/>
      <c r="U427" s="48"/>
      <c r="V427" s="50"/>
    </row>
    <row r="428" spans="1:45" s="5" customFormat="1">
      <c r="B428" s="42"/>
      <c r="C428" s="51" t="str">
        <f>C366</f>
        <v>Agg. Emerging  Cellular</v>
      </c>
      <c r="D428" s="52"/>
      <c r="E428" s="52"/>
      <c r="F428" s="53"/>
      <c r="G428" s="52"/>
      <c r="H428" s="46"/>
      <c r="I428" s="55">
        <f>'EM CELLULAR'!$D$24/'EM CELLULAR'!$D$23</f>
        <v>0.36934665006397233</v>
      </c>
      <c r="J428" s="55">
        <f>'EM CELLULAR'!$E$24/'EM CELLULAR'!$E$23</f>
        <v>0.36879630537573926</v>
      </c>
      <c r="K428" s="55">
        <f>'EM CELLULAR'!$F$24/'EM CELLULAR'!$F$23</f>
        <v>0.37229233530833228</v>
      </c>
      <c r="L428" s="55">
        <f>'EM CELLULAR'!$G$24/'EM CELLULAR'!$G$23</f>
        <v>0.37569048689819662</v>
      </c>
      <c r="M428" s="55">
        <f t="shared" ref="M428" si="80">L428-I428</f>
        <v>6.3438368342242923E-3</v>
      </c>
      <c r="N428" s="46"/>
      <c r="O428" s="55">
        <f>'EM CELLULAR'!$D$25/'EM CELLULAR'!$D$23</f>
        <v>0.1912902445935136</v>
      </c>
      <c r="P428" s="55">
        <f>'EM CELLULAR'!$E$25/'EM CELLULAR'!$E$23</f>
        <v>0.19983821298247134</v>
      </c>
      <c r="Q428" s="55">
        <f>'EM CELLULAR'!$F$25/'EM CELLULAR'!$F$23</f>
        <v>0.21162884870156251</v>
      </c>
      <c r="R428" s="55">
        <f>'EM CELLULAR'!$G$25/'EM CELLULAR'!$G$23</f>
        <v>0.22279376949518848</v>
      </c>
      <c r="S428" s="55">
        <f t="shared" ref="S428" si="81">R428-O428</f>
        <v>3.1503524901674879E-2</v>
      </c>
      <c r="T428" s="46"/>
      <c r="U428" s="57"/>
      <c r="V428" s="58" t="str">
        <f>V366</f>
        <v>Agg. Emerging  Cellular</v>
      </c>
    </row>
    <row r="429" spans="1:45" s="5" customFormat="1">
      <c r="A429" s="39"/>
      <c r="B429" s="42"/>
      <c r="C429" s="43"/>
      <c r="D429" s="44"/>
      <c r="E429" s="44"/>
      <c r="F429" s="45"/>
      <c r="G429" s="44"/>
      <c r="H429" s="46"/>
      <c r="I429" s="45"/>
      <c r="J429" s="45"/>
      <c r="K429" s="45"/>
      <c r="L429" s="45"/>
      <c r="M429" s="45"/>
      <c r="N429" s="46"/>
      <c r="O429" s="45"/>
      <c r="P429" s="45"/>
      <c r="Q429" s="45"/>
      <c r="R429" s="45"/>
      <c r="S429" s="45"/>
      <c r="T429" s="46"/>
      <c r="U429" s="48"/>
      <c r="V429" s="50"/>
    </row>
    <row r="430" spans="1:45">
      <c r="A430" s="41" t="s">
        <v>503</v>
      </c>
      <c r="B430" s="42" t="s">
        <v>577</v>
      </c>
      <c r="C430" s="48" t="s">
        <v>811</v>
      </c>
      <c r="D430" s="44" t="str">
        <f>'EM Multiples'!B430&amp;TEXT(Prices!C$135,"0.00")</f>
        <v>MXN42.67</v>
      </c>
      <c r="E430" s="44" t="str">
        <f>'EM Multiples'!B430&amp;TEXT(Prices!E$135,"0.00")</f>
        <v>MXN55.00</v>
      </c>
      <c r="F430" s="45">
        <f>Prices!F$135</f>
        <v>0.28896179985938586</v>
      </c>
      <c r="G430" s="44" t="str">
        <f>Prices!D$135</f>
        <v>Buy</v>
      </c>
      <c r="H430" s="46"/>
      <c r="I430" s="45">
        <f>MEGA!$D$24/MEGA!$D$23</f>
        <v>0.44453707063650888</v>
      </c>
      <c r="J430" s="45">
        <f>MEGA!$E$24/MEGA!$E$23</f>
        <v>0.43724424123280881</v>
      </c>
      <c r="K430" s="45">
        <f>MEGA!$F$24/MEGA!$F$23</f>
        <v>0.4442555939873738</v>
      </c>
      <c r="L430" s="45">
        <f>MEGA!$G$24/MEGA!$G$23</f>
        <v>0.44436380937410724</v>
      </c>
      <c r="M430" s="45">
        <f>L430-I430</f>
        <v>-1.7326126240163608E-4</v>
      </c>
      <c r="N430" s="46"/>
      <c r="O430" s="45">
        <f>MEGA!$D$25/MEGA!$D$23</f>
        <v>3.4537070636508911E-2</v>
      </c>
      <c r="P430" s="45">
        <f>MEGA!$E$25/MEGA!$E$23</f>
        <v>4.7244241232808779E-2</v>
      </c>
      <c r="Q430" s="45">
        <f>MEGA!$F$25/MEGA!$F$23</f>
        <v>0.13425559398737374</v>
      </c>
      <c r="R430" s="45">
        <f>MEGA!$G$25/MEGA!$G$23</f>
        <v>0.19436380937410722</v>
      </c>
      <c r="S430" s="45">
        <f>R430-O430</f>
        <v>0.15982673873759831</v>
      </c>
      <c r="T430" s="46"/>
      <c r="U430" s="48" t="str">
        <f>D430</f>
        <v>MXN42.67</v>
      </c>
      <c r="V430" s="44" t="str">
        <f>C430</f>
        <v>Megacable</v>
      </c>
      <c r="Z430" s="46"/>
      <c r="AE430" s="41"/>
    </row>
    <row r="431" spans="1:45">
      <c r="A431" s="5"/>
      <c r="B431" s="42" t="s">
        <v>406</v>
      </c>
      <c r="C431" s="48" t="s">
        <v>797</v>
      </c>
      <c r="D431" s="44" t="str">
        <f>'EM Multiples'!B431&amp;TEXT(Prices!C$138,"0.00")</f>
        <v>USD9.48</v>
      </c>
      <c r="E431" s="44" t="str">
        <f>'EM Multiples'!B431&amp;TEXT(Prices!E$138,"0.00")</f>
        <v>USD14.00</v>
      </c>
      <c r="F431" s="45">
        <f>Prices!F$138</f>
        <v>0.47679324894514763</v>
      </c>
      <c r="G431" s="44" t="str">
        <f>Prices!D$138</f>
        <v>Buy</v>
      </c>
      <c r="H431" s="46"/>
      <c r="I431" s="45">
        <f>LiLAC!$D$24/LiLAC!$D$23</f>
        <v>0.36333200233337232</v>
      </c>
      <c r="J431" s="45">
        <f>LiLAC!$E$24/LiLAC!$E$23</f>
        <v>0.38250722611191862</v>
      </c>
      <c r="K431" s="45">
        <f>LiLAC!$F$24/LiLAC!$F$23</f>
        <v>0.38842289523707785</v>
      </c>
      <c r="L431" s="45">
        <f>LiLAC!$G$24/LiLAC!$G$23</f>
        <v>0.39355968290733573</v>
      </c>
      <c r="M431" s="45">
        <f>L431-I431</f>
        <v>3.0227680573963411E-2</v>
      </c>
      <c r="N431" s="46"/>
      <c r="O431" s="45">
        <f>LiLAC!$D$25/LiLAC!$D$23</f>
        <v>0.19803003047525275</v>
      </c>
      <c r="P431" s="45">
        <f>LiLAC!$E$25/LiLAC!$E$23</f>
        <v>0.22382243714738409</v>
      </c>
      <c r="Q431" s="45">
        <f>LiLAC!$F$25/LiLAC!$F$23</f>
        <v>0.23473205271503092</v>
      </c>
      <c r="R431" s="45">
        <f>LiLAC!$G$25/LiLAC!$G$23</f>
        <v>0.22765311054859402</v>
      </c>
      <c r="S431" s="45">
        <f>R431-O431</f>
        <v>2.9623080073341274E-2</v>
      </c>
      <c r="T431" s="46"/>
      <c r="U431" s="48" t="str">
        <f>D431</f>
        <v>USD9.48</v>
      </c>
      <c r="V431" s="44" t="str">
        <f>C431</f>
        <v>LiLAC</v>
      </c>
      <c r="Z431" s="46"/>
      <c r="AE431" s="41"/>
    </row>
    <row r="432" spans="1:45">
      <c r="A432" s="5"/>
      <c r="C432" s="67" t="s">
        <v>814</v>
      </c>
      <c r="D432" s="52"/>
      <c r="E432" s="52"/>
      <c r="F432" s="53"/>
      <c r="G432" s="52"/>
      <c r="H432" s="46"/>
      <c r="I432" s="55">
        <f>'LATAM ALTNET &amp; CABLE'!$D$24/'LATAM ALTNET &amp; CABLE'!$D$23</f>
        <v>0.3832841023392819</v>
      </c>
      <c r="J432" s="55">
        <f>'LATAM ALTNET &amp; CABLE'!$E$24/'LATAM ALTNET &amp; CABLE'!$E$23</f>
        <v>0.3968177150051489</v>
      </c>
      <c r="K432" s="55">
        <f>'LATAM ALTNET &amp; CABLE'!$F$24/'LATAM ALTNET &amp; CABLE'!$F$23</f>
        <v>0.4036600392312541</v>
      </c>
      <c r="L432" s="55">
        <f>'LATAM ALTNET &amp; CABLE'!$G$24/'LATAM ALTNET &amp; CABLE'!$G$23</f>
        <v>0.40832274638857113</v>
      </c>
      <c r="M432" s="55">
        <f>L432-I432</f>
        <v>2.5038644049289238E-2</v>
      </c>
      <c r="N432" s="46"/>
      <c r="O432" s="55">
        <f>'LATAM ALTNET &amp; CABLE'!$D$25/'LATAM ALTNET &amp; CABLE'!$D$23</f>
        <v>0.15785978059888181</v>
      </c>
      <c r="P432" s="55">
        <f>'LATAM ALTNET &amp; CABLE'!$E$25/'LATAM ALTNET &amp; CABLE'!$E$23</f>
        <v>0.17765769276296139</v>
      </c>
      <c r="Q432" s="55">
        <f>'LATAM ALTNET &amp; CABLE'!$F$25/'LATAM ALTNET &amp; CABLE'!$F$23</f>
        <v>0.20731130637953146</v>
      </c>
      <c r="R432" s="55">
        <f>'LATAM ALTNET &amp; CABLE'!$G$25/'LATAM ALTNET &amp; CABLE'!$G$23</f>
        <v>0.21797964304381667</v>
      </c>
      <c r="S432" s="55">
        <f>R432-O432</f>
        <v>6.0119862444934863E-2</v>
      </c>
      <c r="T432" s="46"/>
      <c r="U432" s="57"/>
      <c r="V432" s="58" t="str">
        <f>C432</f>
        <v>Agg. Emerging LatAm Altnets &amp; Cable</v>
      </c>
      <c r="Z432" s="46"/>
      <c r="AE432" s="41"/>
    </row>
    <row r="433" spans="1:69" s="5" customFormat="1">
      <c r="A433" s="39"/>
      <c r="B433" s="42"/>
      <c r="C433" s="43"/>
      <c r="D433" s="44"/>
      <c r="E433" s="44"/>
      <c r="F433" s="45"/>
      <c r="G433" s="44"/>
      <c r="H433" s="46"/>
      <c r="I433" s="45"/>
      <c r="J433" s="45"/>
      <c r="K433" s="45"/>
      <c r="L433" s="45"/>
      <c r="M433" s="45"/>
      <c r="N433" s="46"/>
      <c r="O433" s="45"/>
      <c r="P433" s="45"/>
      <c r="Q433" s="45"/>
      <c r="R433" s="45"/>
      <c r="S433" s="45"/>
      <c r="T433" s="46"/>
      <c r="U433" s="48"/>
      <c r="V433" s="50"/>
    </row>
    <row r="434" spans="1:69" s="5" customFormat="1">
      <c r="A434" s="39"/>
      <c r="B434" s="42"/>
      <c r="C434" s="67" t="str">
        <f>C372</f>
        <v>Agg. EMEA sector</v>
      </c>
      <c r="D434" s="52"/>
      <c r="E434" s="52"/>
      <c r="F434" s="53"/>
      <c r="G434" s="52"/>
      <c r="H434" s="46"/>
      <c r="I434" s="55">
        <f>'EMEA AGG'!$D$24/'EMEA AGG'!$D$23</f>
        <v>0.40038777517875496</v>
      </c>
      <c r="J434" s="55">
        <f>'EMEA AGG'!$E$24/'EMEA AGG'!$E$23</f>
        <v>0.38952309870409513</v>
      </c>
      <c r="K434" s="55">
        <f>'EMEA AGG'!$F$24/'EMEA AGG'!$F$23</f>
        <v>0.39548996127166441</v>
      </c>
      <c r="L434" s="55">
        <f>'EMEA AGG'!$G$24/'EMEA AGG'!$G$23</f>
        <v>0.39953607777807076</v>
      </c>
      <c r="M434" s="55">
        <f>L434-I434</f>
        <v>-8.5169740068419264E-4</v>
      </c>
      <c r="N434" s="56"/>
      <c r="O434" s="55">
        <f>'EMEA AGG'!$D$25/'EMEA AGG'!$D$23</f>
        <v>0.19820472393096805</v>
      </c>
      <c r="P434" s="55">
        <f>'EMEA AGG'!$E$25/'EMEA AGG'!$E$23</f>
        <v>0.21070096836311569</v>
      </c>
      <c r="Q434" s="55">
        <f>'EMEA AGG'!$F$25/'EMEA AGG'!$F$23</f>
        <v>0.22452984689456171</v>
      </c>
      <c r="R434" s="55">
        <f>'EMEA AGG'!$G$25/'EMEA AGG'!$G$23</f>
        <v>0.23271613001192051</v>
      </c>
      <c r="S434" s="55">
        <f>R434-O434</f>
        <v>3.4511406080952461E-2</v>
      </c>
      <c r="T434" s="46"/>
      <c r="U434" s="57"/>
      <c r="V434" s="58" t="str">
        <f>V372</f>
        <v>Agg. EMEA sector</v>
      </c>
    </row>
    <row r="435" spans="1:69">
      <c r="C435" s="41" t="str">
        <f>C373</f>
        <v>Agg. LatAm sector</v>
      </c>
      <c r="D435" s="44"/>
      <c r="E435" s="44"/>
      <c r="F435" s="45"/>
      <c r="G435" s="44"/>
      <c r="H435" s="46"/>
      <c r="I435" s="59">
        <f>'LATAM AGG'!$D$24/'LATAM AGG'!$D$23</f>
        <v>0.38216516356103458</v>
      </c>
      <c r="J435" s="59">
        <f>'LATAM AGG'!$E$24/'LATAM AGG'!$E$23</f>
        <v>0.39109922672722724</v>
      </c>
      <c r="K435" s="59">
        <f>'LATAM AGG'!$F$24/'LATAM AGG'!$F$23</f>
        <v>0.39904197892580462</v>
      </c>
      <c r="L435" s="59">
        <f>'LATAM AGG'!$G$24/'LATAM AGG'!$G$23</f>
        <v>0.4045862931629568</v>
      </c>
      <c r="M435" s="59">
        <f>L435-I435</f>
        <v>2.2421129601922218E-2</v>
      </c>
      <c r="N435" s="56"/>
      <c r="O435" s="59">
        <f>'LATAM AGG'!$D$25/'LATAM AGG'!$D$23</f>
        <v>0.19566148998954067</v>
      </c>
      <c r="P435" s="59">
        <f>'LATAM AGG'!$E$25/'LATAM AGG'!$E$23</f>
        <v>0.2204559363161345</v>
      </c>
      <c r="Q435" s="59">
        <f>'LATAM AGG'!$F$25/'LATAM AGG'!$F$23</f>
        <v>0.2393734015156701</v>
      </c>
      <c r="R435" s="59">
        <f>'LATAM AGG'!$G$25/'LATAM AGG'!$G$23</f>
        <v>0.25342482574062075</v>
      </c>
      <c r="S435" s="59">
        <f>R435-O435</f>
        <v>5.7763335751080086E-2</v>
      </c>
      <c r="T435" s="46"/>
      <c r="U435" s="48"/>
      <c r="V435" s="50" t="str">
        <f>V373</f>
        <v>Agg. LatAm sector</v>
      </c>
    </row>
    <row r="436" spans="1:69" s="5" customFormat="1">
      <c r="A436" s="39"/>
      <c r="B436" s="42"/>
      <c r="C436" s="67" t="str">
        <f>C374</f>
        <v>Agg. Emerging Asia sector</v>
      </c>
      <c r="D436" s="52"/>
      <c r="E436" s="52"/>
      <c r="F436" s="53"/>
      <c r="G436" s="52"/>
      <c r="H436" s="46"/>
      <c r="I436" s="55">
        <f>'AGG EM ASIA'!$D$24/'AGG EM ASIA'!$D$23</f>
        <v>0.3267783376160891</v>
      </c>
      <c r="J436" s="55">
        <f>'AGG EM ASIA'!$E$24/'AGG EM ASIA'!$E$23</f>
        <v>0.3274791716999681</v>
      </c>
      <c r="K436" s="55">
        <f>'AGG EM ASIA'!$F$24/'AGG EM ASIA'!$F$23</f>
        <v>0.32834079055235538</v>
      </c>
      <c r="L436" s="55">
        <f>'AGG EM ASIA'!$G$24/'AGG EM ASIA'!$G$23</f>
        <v>0.33087986953182108</v>
      </c>
      <c r="M436" s="55">
        <f>L436-I436</f>
        <v>4.1015319157319818E-3</v>
      </c>
      <c r="N436" s="56"/>
      <c r="O436" s="55">
        <f>'AGG EM ASIA'!$D$25/'AGG EM ASIA'!$D$23</f>
        <v>0.14816746561032856</v>
      </c>
      <c r="P436" s="55">
        <f>'AGG EM ASIA'!$E$25/'AGG EM ASIA'!$E$23</f>
        <v>0.15880222316816056</v>
      </c>
      <c r="Q436" s="55">
        <f>'AGG EM ASIA'!$F$25/'AGG EM ASIA'!$F$23</f>
        <v>0.16735857241397681</v>
      </c>
      <c r="R436" s="55">
        <f>'AGG EM ASIA'!$G$25/'AGG EM ASIA'!$G$23</f>
        <v>0.17688795928108814</v>
      </c>
      <c r="S436" s="55">
        <f>R436-O436</f>
        <v>2.8720493670759573E-2</v>
      </c>
      <c r="T436" s="46"/>
      <c r="U436" s="57"/>
      <c r="V436" s="58" t="str">
        <f>V374</f>
        <v>Agg. Emerging Asia sector</v>
      </c>
    </row>
    <row r="437" spans="1:69">
      <c r="C437" s="41"/>
      <c r="D437" s="44"/>
      <c r="E437" s="44"/>
      <c r="F437" s="45"/>
      <c r="G437" s="44"/>
      <c r="H437" s="46"/>
      <c r="I437" s="59"/>
      <c r="J437" s="59"/>
      <c r="K437" s="59"/>
      <c r="L437" s="59"/>
      <c r="M437" s="59"/>
      <c r="N437" s="56"/>
      <c r="O437" s="59"/>
      <c r="P437" s="59"/>
      <c r="Q437" s="59"/>
      <c r="R437" s="59"/>
      <c r="S437" s="59"/>
      <c r="T437" s="46"/>
      <c r="U437" s="48"/>
      <c r="V437" s="50"/>
    </row>
    <row r="438" spans="1:69">
      <c r="C438" s="67" t="str">
        <f>C376</f>
        <v>Agg. Global EM sector (ex-consensus)</v>
      </c>
      <c r="D438" s="52"/>
      <c r="E438" s="52"/>
      <c r="F438" s="53"/>
      <c r="G438" s="52"/>
      <c r="H438" s="46"/>
      <c r="I438" s="55">
        <f>'AGG EM'!$D$24/'AGG EM'!$D$23</f>
        <v>0.34153181819739775</v>
      </c>
      <c r="J438" s="55">
        <f>'AGG EM'!$E$24/'AGG EM'!$E$23</f>
        <v>0.34242361658591058</v>
      </c>
      <c r="K438" s="55">
        <f>'AGG EM'!$F$24/'AGG EM'!$F$23</f>
        <v>0.34477973651185778</v>
      </c>
      <c r="L438" s="55">
        <f>'AGG EM'!$G$24/'AGG EM'!$G$23</f>
        <v>0.34790222945584032</v>
      </c>
      <c r="M438" s="55">
        <f>L438-I438</f>
        <v>6.3704112584425654E-3</v>
      </c>
      <c r="N438" s="56"/>
      <c r="O438" s="55">
        <f>'AGG EM'!$D$25/'AGG EM'!$D$23</f>
        <v>0.15977934119468687</v>
      </c>
      <c r="P438" s="55">
        <f>'AGG EM'!$E$25/'AGG EM'!$E$23</f>
        <v>0.17266710286943271</v>
      </c>
      <c r="Q438" s="55">
        <f>'AGG EM'!$F$25/'AGG EM'!$F$23</f>
        <v>0.18323339618386175</v>
      </c>
      <c r="R438" s="55">
        <f>'AGG EM'!$G$25/'AGG EM'!$G$23</f>
        <v>0.19332363294538676</v>
      </c>
      <c r="S438" s="55">
        <f>R438-O438</f>
        <v>3.3544291750699895E-2</v>
      </c>
      <c r="T438" s="46"/>
      <c r="U438" s="57"/>
      <c r="V438" s="58" t="str">
        <f>V376</f>
        <v>Agg. Global EM sector (ex-consensus)</v>
      </c>
    </row>
    <row r="439" spans="1:69" s="5" customFormat="1">
      <c r="A439" s="39"/>
      <c r="B439" s="42"/>
      <c r="C439" s="43"/>
      <c r="D439" s="44"/>
      <c r="E439" s="44"/>
      <c r="F439" s="45"/>
      <c r="G439" s="44"/>
      <c r="H439" s="134"/>
      <c r="I439" s="59"/>
      <c r="J439" s="59"/>
      <c r="K439" s="59"/>
      <c r="L439" s="59"/>
      <c r="M439" s="59"/>
      <c r="N439" s="56"/>
      <c r="O439" s="59"/>
      <c r="P439" s="59"/>
      <c r="Q439" s="59"/>
      <c r="R439" s="59"/>
      <c r="S439" s="59"/>
      <c r="T439" s="56"/>
      <c r="U439" s="48"/>
      <c r="V439" s="50"/>
    </row>
    <row r="440" spans="1:69" s="5" customFormat="1">
      <c r="A440" s="39"/>
      <c r="B440" s="42"/>
      <c r="C440" s="43"/>
      <c r="D440" s="44"/>
      <c r="E440" s="44"/>
      <c r="F440" s="45"/>
      <c r="G440" s="44"/>
      <c r="H440" s="134"/>
      <c r="I440" s="59"/>
      <c r="J440" s="59"/>
      <c r="K440" s="59"/>
      <c r="L440" s="59"/>
      <c r="M440" s="59"/>
      <c r="N440" s="56"/>
      <c r="O440" s="59"/>
      <c r="P440" s="59"/>
      <c r="Q440" s="59"/>
      <c r="R440" s="59"/>
      <c r="S440" s="59"/>
      <c r="T440" s="56"/>
      <c r="U440" s="48"/>
      <c r="V440" s="50"/>
    </row>
    <row r="441" spans="1:69" s="41" customFormat="1">
      <c r="B441" s="147"/>
      <c r="C441" s="164"/>
      <c r="D441" s="165" t="s">
        <v>459</v>
      </c>
      <c r="E441" s="165" t="s">
        <v>56</v>
      </c>
      <c r="F441" s="165" t="s">
        <v>58</v>
      </c>
      <c r="G441" s="165" t="s">
        <v>55</v>
      </c>
      <c r="H441" s="134"/>
      <c r="I441" s="166" t="s">
        <v>467</v>
      </c>
      <c r="J441" s="166"/>
      <c r="K441" s="166"/>
      <c r="L441" s="166"/>
      <c r="M441" s="166"/>
      <c r="N441" s="46"/>
      <c r="O441" s="166" t="s">
        <v>284</v>
      </c>
      <c r="P441" s="166"/>
      <c r="Q441" s="166"/>
      <c r="R441" s="166"/>
      <c r="S441" s="166"/>
      <c r="T441" s="46"/>
      <c r="U441" s="167" t="s">
        <v>459</v>
      </c>
      <c r="V441" s="165"/>
      <c r="Z441" s="49"/>
      <c r="AC441" s="135"/>
      <c r="AD441" s="136"/>
      <c r="AE441" s="136"/>
      <c r="AF441" s="136"/>
      <c r="AG441" s="136"/>
      <c r="AH441" s="136"/>
      <c r="AI441" s="136"/>
      <c r="AJ441" s="136"/>
      <c r="AK441" s="136"/>
      <c r="AL441" s="136"/>
      <c r="AM441" s="136"/>
      <c r="AN441" s="136"/>
      <c r="AO441" s="136"/>
      <c r="AP441" s="136"/>
      <c r="AQ441" s="136"/>
      <c r="AR441" s="136"/>
      <c r="AS441" s="136"/>
      <c r="AT441" s="136"/>
      <c r="AU441" s="136"/>
      <c r="AV441" s="136"/>
      <c r="AW441" s="136"/>
      <c r="BC441" s="137"/>
      <c r="BD441" s="137"/>
      <c r="BE441" s="137"/>
      <c r="BG441" s="137"/>
      <c r="BH441" s="137"/>
      <c r="BI441" s="137"/>
      <c r="BK441" s="137"/>
      <c r="BL441" s="137"/>
      <c r="BM441" s="137"/>
      <c r="BO441" s="137"/>
      <c r="BP441" s="137"/>
      <c r="BQ441" s="137"/>
    </row>
    <row r="442" spans="1:69" s="5" customFormat="1">
      <c r="A442" s="41" t="s">
        <v>501</v>
      </c>
      <c r="B442" s="42"/>
      <c r="C442" s="48" t="str">
        <f>C380</f>
        <v>Telkom SA</v>
      </c>
      <c r="D442" s="44" t="str">
        <f>D380</f>
        <v>ZAR 27.6</v>
      </c>
      <c r="E442" s="44" t="str">
        <f>E380</f>
        <v>ZAR 56.0</v>
      </c>
      <c r="F442" s="45">
        <f>F380</f>
        <v>1.0326678765880217</v>
      </c>
      <c r="G442" s="44" t="str">
        <f>G380</f>
        <v>Neutral</v>
      </c>
      <c r="H442" s="134"/>
      <c r="I442" s="45">
        <f>TKG!$D$30/TKG!$D$23</f>
        <v>7.60902045235054E-2</v>
      </c>
      <c r="J442" s="45">
        <f>TKG!$E$30/TKG!$E$23</f>
        <v>7.203373691914669E-2</v>
      </c>
      <c r="K442" s="45">
        <f>TKG!$F$30/TKG!$F$23</f>
        <v>7.1161194182806781E-2</v>
      </c>
      <c r="L442" s="45">
        <f>TKG!$G$30/TKG!$G$23</f>
        <v>7.1161194182806753E-2</v>
      </c>
      <c r="M442" s="45">
        <f t="shared" ref="M442" si="82">L442-I442</f>
        <v>-4.9290103406986474E-3</v>
      </c>
      <c r="N442" s="46"/>
      <c r="O442" s="47">
        <f>TKG!$D$12/TKG!$D$24</f>
        <v>0.92988875815275363</v>
      </c>
      <c r="P442" s="47">
        <f>TKG!$E$12/TKG!$E$24</f>
        <v>0.88024508746602526</v>
      </c>
      <c r="Q442" s="47">
        <f>TKG!$F$12/TKG!$F$24</f>
        <v>0.819163667876599</v>
      </c>
      <c r="R442" s="47">
        <f>TKG!$G$12/TKG!$G$24</f>
        <v>0.74786001019225234</v>
      </c>
      <c r="S442" s="45">
        <f t="shared" ref="S442" si="83">R442-O442</f>
        <v>-0.18202874796050128</v>
      </c>
      <c r="T442" s="46"/>
      <c r="U442" s="48" t="str">
        <f>U380</f>
        <v>ZAR 27.6</v>
      </c>
      <c r="V442" s="44" t="str">
        <f>V380</f>
        <v>Telkom SA</v>
      </c>
    </row>
    <row r="443" spans="1:69" s="5" customFormat="1">
      <c r="B443" s="42"/>
      <c r="C443" s="51" t="str">
        <f>C381</f>
        <v>Agg. EMEA Incumbent</v>
      </c>
      <c r="D443" s="58"/>
      <c r="E443" s="58"/>
      <c r="F443" s="55"/>
      <c r="G443" s="58"/>
      <c r="H443" s="134"/>
      <c r="I443" s="55"/>
      <c r="J443" s="55"/>
      <c r="K443" s="55"/>
      <c r="L443" s="55"/>
      <c r="M443" s="55"/>
      <c r="N443" s="56"/>
      <c r="O443" s="54"/>
      <c r="P443" s="54"/>
      <c r="Q443" s="54"/>
      <c r="R443" s="54"/>
      <c r="S443" s="55"/>
      <c r="T443" s="56"/>
      <c r="U443" s="51"/>
      <c r="V443" s="58" t="str">
        <f>V381</f>
        <v>Agg. EMEA Incumbent</v>
      </c>
      <c r="Z443" s="46"/>
      <c r="AE443" s="41"/>
      <c r="AF443" s="31"/>
      <c r="AG443" s="31"/>
      <c r="AI443" s="41"/>
      <c r="AJ443" s="64"/>
      <c r="AK443" s="64"/>
      <c r="AM443" s="41"/>
      <c r="AN443" s="64"/>
      <c r="AO443" s="64"/>
      <c r="AQ443" s="41"/>
      <c r="AR443" s="64"/>
      <c r="AS443" s="64"/>
    </row>
    <row r="444" spans="1:69" s="5" customFormat="1">
      <c r="B444" s="42"/>
      <c r="C444" s="48"/>
      <c r="D444" s="44"/>
      <c r="E444" s="44"/>
      <c r="F444" s="68"/>
      <c r="G444" s="44"/>
      <c r="H444" s="134"/>
      <c r="I444" s="61"/>
      <c r="J444" s="61"/>
      <c r="K444" s="61"/>
      <c r="L444" s="61"/>
      <c r="M444" s="61"/>
      <c r="N444" s="46"/>
      <c r="O444" s="62"/>
      <c r="P444" s="62"/>
      <c r="Q444" s="62"/>
      <c r="R444" s="62"/>
      <c r="S444" s="61"/>
      <c r="T444" s="46"/>
      <c r="U444" s="48"/>
      <c r="V444" s="44"/>
    </row>
    <row r="445" spans="1:69" s="5" customFormat="1">
      <c r="B445" s="42"/>
      <c r="C445" s="48" t="str">
        <f t="shared" ref="C445:G447" si="84">C383</f>
        <v>America Movil</v>
      </c>
      <c r="D445" s="44" t="str">
        <f t="shared" si="84"/>
        <v>USD 16.3</v>
      </c>
      <c r="E445" s="44" t="str">
        <f t="shared" si="84"/>
        <v>USD 24.0</v>
      </c>
      <c r="F445" s="45">
        <f t="shared" si="84"/>
        <v>0.4714898835070509</v>
      </c>
      <c r="G445" s="44" t="str">
        <f t="shared" si="84"/>
        <v>Buy</v>
      </c>
      <c r="H445" s="46"/>
      <c r="I445" s="45">
        <f>AMX!$D$30/AMX!$D$23</f>
        <v>8.9427125467583385E-2</v>
      </c>
      <c r="J445" s="45">
        <f>AMX!$E$30/AMX!$E$23</f>
        <v>0.10746560501936354</v>
      </c>
      <c r="K445" s="45">
        <f>AMX!$F$30/AMX!$F$23</f>
        <v>0.12909474699240431</v>
      </c>
      <c r="L445" s="45">
        <f>AMX!$G$30/AMX!$G$23</f>
        <v>0.1501867279009442</v>
      </c>
      <c r="M445" s="45">
        <f t="shared" ref="M445:M449" si="85">L445-I445</f>
        <v>6.0759602433360815E-2</v>
      </c>
      <c r="N445" s="46"/>
      <c r="O445" s="47">
        <f>AMX!$D$12/AMX!$D$24</f>
        <v>1.5477325424162764</v>
      </c>
      <c r="P445" s="47">
        <f>AMX!$E$12/AMX!$E$24</f>
        <v>1.4196487476077333</v>
      </c>
      <c r="Q445" s="47">
        <f>AMX!$F$12/AMX!$F$24</f>
        <v>1.2709376884124557</v>
      </c>
      <c r="R445" s="47">
        <f>AMX!$G$12/AMX!$G$24</f>
        <v>1.1663693132052295</v>
      </c>
      <c r="S445" s="45">
        <f t="shared" ref="S445:S449" si="86">R445-O445</f>
        <v>-0.38136322921104693</v>
      </c>
      <c r="T445" s="46"/>
      <c r="U445" s="48" t="str">
        <f t="shared" ref="U445:V447" si="87">U383</f>
        <v>USD 16.3</v>
      </c>
      <c r="V445" s="44" t="str">
        <f t="shared" si="87"/>
        <v>America Movil</v>
      </c>
    </row>
    <row r="446" spans="1:69" s="5" customFormat="1">
      <c r="B446" s="42"/>
      <c r="C446" s="48" t="str">
        <f t="shared" si="84"/>
        <v>Oi</v>
      </c>
      <c r="D446" s="44" t="str">
        <f t="shared" si="84"/>
        <v>BRL 12.10</v>
      </c>
      <c r="E446" s="44" t="str">
        <f t="shared" si="84"/>
        <v>BRL 0.90</v>
      </c>
      <c r="F446" s="45">
        <f t="shared" si="84"/>
        <v>-0.92561983471074383</v>
      </c>
      <c r="G446" s="44" t="str">
        <f t="shared" si="84"/>
        <v>Neutral</v>
      </c>
      <c r="H446" s="46"/>
      <c r="I446" s="45">
        <f>OIBR!$D$30/OIBR!$D$23</f>
        <v>-0.18674143214298422</v>
      </c>
      <c r="J446" s="45">
        <f>OIBR!$E$30/OIBR!$E$23</f>
        <v>-0.15314961570787686</v>
      </c>
      <c r="K446" s="45">
        <f>OIBR!$F$30/OIBR!$F$23</f>
        <v>-0.10741956290213873</v>
      </c>
      <c r="L446" s="45">
        <f>OIBR!$G$30/OIBR!$G$23</f>
        <v>-7.6223349985381633E-2</v>
      </c>
      <c r="M446" s="45">
        <f>L446-I446</f>
        <v>0.11051808215760259</v>
      </c>
      <c r="N446" s="46"/>
      <c r="O446" s="47">
        <f>OIBR!$D$12/OIBR!$D$24</f>
        <v>4.7768984222995616</v>
      </c>
      <c r="P446" s="47">
        <f>OIBR!$E$12/OIBR!$E$24</f>
        <v>5.2676230958388892</v>
      </c>
      <c r="Q446" s="47">
        <f>OIBR!$F$12/OIBR!$F$24</f>
        <v>5.216952602510708</v>
      </c>
      <c r="R446" s="47">
        <f>OIBR!$G$12/OIBR!$G$24</f>
        <v>5.3661145658634313</v>
      </c>
      <c r="S446" s="45">
        <f>R446-O446</f>
        <v>0.58921614356386964</v>
      </c>
      <c r="T446" s="46"/>
      <c r="U446" s="48" t="str">
        <f t="shared" si="87"/>
        <v>BRL 12.10</v>
      </c>
      <c r="V446" s="44" t="str">
        <f t="shared" si="87"/>
        <v>Oi</v>
      </c>
    </row>
    <row r="447" spans="1:69">
      <c r="A447" s="5"/>
      <c r="C447" s="48" t="str">
        <f t="shared" si="84"/>
        <v>Telefonica Brasil</v>
      </c>
      <c r="D447" s="44" t="str">
        <f t="shared" si="84"/>
        <v>BRL 55.12</v>
      </c>
      <c r="E447" s="44" t="str">
        <f t="shared" si="84"/>
        <v>BRL 61.00</v>
      </c>
      <c r="F447" s="45">
        <f t="shared" si="84"/>
        <v>0.10667634252539915</v>
      </c>
      <c r="G447" s="44" t="str">
        <f t="shared" si="84"/>
        <v>Buy</v>
      </c>
      <c r="H447" s="46"/>
      <c r="I447" s="45">
        <f>VIVO!$D$30/VIVO!$D$23</f>
        <v>0.10310362033399606</v>
      </c>
      <c r="J447" s="45">
        <f>VIVO!$E$30/VIVO!$E$23</f>
        <v>0.11970354765694938</v>
      </c>
      <c r="K447" s="45">
        <f>VIVO!$F$30/VIVO!$F$23</f>
        <v>0.14014860885610056</v>
      </c>
      <c r="L447" s="45">
        <f>VIVO!$G$30/VIVO!$G$23</f>
        <v>0.15133868748375126</v>
      </c>
      <c r="M447" s="45">
        <f t="shared" si="85"/>
        <v>4.8235067149755201E-2</v>
      </c>
      <c r="N447" s="46"/>
      <c r="O447" s="47">
        <f>VIVO!$D$12/VIVO!$D$24</f>
        <v>0.70957378789009129</v>
      </c>
      <c r="P447" s="47">
        <f>VIVO!$E$12/VIVO!$E$24</f>
        <v>0.65251297831513444</v>
      </c>
      <c r="Q447" s="47">
        <f>VIVO!$F$12/VIVO!$F$24</f>
        <v>0.62492280798238664</v>
      </c>
      <c r="R447" s="47">
        <f>VIVO!$G$12/VIVO!$G$24</f>
        <v>0.6567727025950465</v>
      </c>
      <c r="S447" s="45">
        <f t="shared" si="86"/>
        <v>-5.2801085295044792E-2</v>
      </c>
      <c r="T447" s="46"/>
      <c r="U447" s="48" t="str">
        <f t="shared" si="87"/>
        <v>BRL 55.12</v>
      </c>
      <c r="V447" s="44" t="str">
        <f t="shared" si="87"/>
        <v>Telefonica Brasil</v>
      </c>
    </row>
    <row r="448" spans="1:69" s="5" customFormat="1">
      <c r="B448" s="42"/>
      <c r="C448" s="48" t="s">
        <v>667</v>
      </c>
      <c r="D448" s="44" t="str">
        <f>D386</f>
        <v>USD 1.8</v>
      </c>
      <c r="E448" s="44" t="str">
        <f>E386</f>
        <v>USD 3.7</v>
      </c>
      <c r="F448" s="45">
        <f>F386</f>
        <v>1.0903954802259888</v>
      </c>
      <c r="G448" s="44" t="str">
        <f>G386</f>
        <v>Neutral</v>
      </c>
      <c r="H448" s="46"/>
      <c r="I448" s="45">
        <f>TVIS!$D$30/TVIS!$D$23</f>
        <v>-1.7697144284019944E-2</v>
      </c>
      <c r="J448" s="45">
        <f>TVIS!$E$30/TVIS!$E$23</f>
        <v>7.6019923074712803E-3</v>
      </c>
      <c r="K448" s="45">
        <f>TVIS!$F$30/TVIS!$F$23</f>
        <v>2.5445274778343473E-2</v>
      </c>
      <c r="L448" s="45">
        <f>TVIS!$G$30/TVIS!$G$23</f>
        <v>4.6660300682879831E-2</v>
      </c>
      <c r="M448" s="45">
        <f>L448-I448</f>
        <v>6.4357444966899768E-2</v>
      </c>
      <c r="N448" s="46"/>
      <c r="O448" s="47">
        <f>TVIS!$D$12/TVIS!$D$24</f>
        <v>2.6801166481462424</v>
      </c>
      <c r="P448" s="47">
        <f>TVIS!$E$12/TVIS!$E$24</f>
        <v>2.4764995214533054</v>
      </c>
      <c r="Q448" s="47">
        <f>TVIS!$F$12/TVIS!$F$24</f>
        <v>2.4022040330310137</v>
      </c>
      <c r="R448" s="47">
        <f>TVIS!$G$12/TVIS!$G$24</f>
        <v>2.278287110933511</v>
      </c>
      <c r="S448" s="45">
        <f>R448-O448</f>
        <v>-0.4018295372127314</v>
      </c>
      <c r="T448" s="46"/>
      <c r="U448" s="48" t="str">
        <f>U386</f>
        <v>USD 1.8</v>
      </c>
      <c r="V448" s="44" t="s">
        <v>667</v>
      </c>
    </row>
    <row r="449" spans="1:22" s="5" customFormat="1">
      <c r="B449" s="42"/>
      <c r="C449" s="51" t="str">
        <f>C387</f>
        <v>Agg. LatAm Incumbent</v>
      </c>
      <c r="D449" s="52"/>
      <c r="E449" s="52"/>
      <c r="F449" s="53"/>
      <c r="G449" s="52"/>
      <c r="H449" s="46"/>
      <c r="I449" s="55">
        <f>'LATAM INCUMB'!D33/'LATAM INCUMB'!D25</f>
        <v>-7.5737109452730031E-2</v>
      </c>
      <c r="J449" s="55">
        <f>'LATAM INCUMB'!E33/'LATAM INCUMB'!E25</f>
        <v>-5.9353877943701491E-2</v>
      </c>
      <c r="K449" s="55">
        <f>'LATAM INCUMB'!F33/'LATAM INCUMB'!F25</f>
        <v>-3.2228918170049602E-2</v>
      </c>
      <c r="L449" s="55">
        <f>'LATAM INCUMB'!G33/'LATAM INCUMB'!G25</f>
        <v>-1.0122761998912714E-2</v>
      </c>
      <c r="M449" s="55">
        <f t="shared" si="85"/>
        <v>6.561434745381732E-2</v>
      </c>
      <c r="N449" s="56"/>
      <c r="O449" s="54">
        <f>'LATAM INCUMB'!$D$12/'LATAM INCUMB'!$D$24</f>
        <v>1.5796774088078753</v>
      </c>
      <c r="P449" s="54">
        <f>'LATAM INCUMB'!$E$12/'LATAM INCUMB'!$E$24</f>
        <v>1.4791903762994432</v>
      </c>
      <c r="Q449" s="54">
        <f>'LATAM INCUMB'!$F$12/'LATAM INCUMB'!$F$24</f>
        <v>1.3560276805494365</v>
      </c>
      <c r="R449" s="54">
        <f>'LATAM INCUMB'!$G$12/'LATAM INCUMB'!$G$24</f>
        <v>1.2812957460930869</v>
      </c>
      <c r="S449" s="55">
        <f t="shared" si="86"/>
        <v>-0.29838166271478839</v>
      </c>
      <c r="T449" s="46"/>
      <c r="U449" s="57"/>
      <c r="V449" s="58" t="str">
        <f>V387</f>
        <v>Agg. LatAm Incumbent</v>
      </c>
    </row>
    <row r="450" spans="1:22" s="5" customFormat="1">
      <c r="A450" s="39"/>
      <c r="B450" s="42"/>
      <c r="C450" s="48"/>
      <c r="D450" s="44"/>
      <c r="E450" s="44"/>
      <c r="F450" s="45"/>
      <c r="G450" s="44"/>
      <c r="H450" s="46"/>
      <c r="I450" s="45"/>
      <c r="J450" s="45"/>
      <c r="K450" s="45"/>
      <c r="L450" s="45"/>
      <c r="M450" s="45"/>
      <c r="N450" s="56"/>
      <c r="O450" s="47"/>
      <c r="P450" s="47"/>
      <c r="Q450" s="47"/>
      <c r="R450" s="47"/>
      <c r="S450" s="45"/>
      <c r="T450" s="46"/>
      <c r="U450" s="48"/>
      <c r="V450" s="50"/>
    </row>
    <row r="451" spans="1:22" s="5" customFormat="1">
      <c r="B451" s="42"/>
      <c r="C451" s="48" t="str">
        <f t="shared" ref="C451:G455" si="88">C389</f>
        <v>China Telecom</v>
      </c>
      <c r="D451" s="44" t="str">
        <f t="shared" si="88"/>
        <v>HKD 4.48</v>
      </c>
      <c r="E451" s="44" t="str">
        <f t="shared" si="88"/>
        <v>HKD 8.75</v>
      </c>
      <c r="F451" s="45">
        <f t="shared" si="88"/>
        <v>0.95312499999999978</v>
      </c>
      <c r="G451" s="44" t="str">
        <f t="shared" si="88"/>
        <v>Buy</v>
      </c>
      <c r="H451" s="46"/>
      <c r="I451" s="45">
        <f>_CT!$D$30/_CT!$D$23</f>
        <v>5.9320301196959989E-2</v>
      </c>
      <c r="J451" s="45">
        <f>_CT!$E$30/_CT!$E$23</f>
        <v>6.1864064916061931E-2</v>
      </c>
      <c r="K451" s="45">
        <f>_CT!$F$30/_CT!$F$23</f>
        <v>6.5175866293461254E-2</v>
      </c>
      <c r="L451" s="45">
        <f>_CT!$G$30/_CT!$G$23</f>
        <v>7.0742974405853171E-2</v>
      </c>
      <c r="M451" s="45">
        <f t="shared" ref="M451:M456" si="89">L451-I451</f>
        <v>1.1422673208893182E-2</v>
      </c>
      <c r="N451" s="56"/>
      <c r="O451" s="47">
        <f>_CT!$D$12/_CT!$D$24</f>
        <v>-0.29276474457355844</v>
      </c>
      <c r="P451" s="47">
        <f>_CT!$E$12/_CT!$E$24</f>
        <v>-0.37412972533335553</v>
      </c>
      <c r="Q451" s="47">
        <f>_CT!$F$12/_CT!$F$24</f>
        <v>-0.46792440648248718</v>
      </c>
      <c r="R451" s="47">
        <f>_CT!$G$12/_CT!$G$24</f>
        <v>-0.56264325748989963</v>
      </c>
      <c r="S451" s="169">
        <f t="shared" ref="S451:S456" si="90">R451-O451</f>
        <v>-0.26987851291634118</v>
      </c>
      <c r="T451" s="46"/>
      <c r="U451" s="48" t="str">
        <f t="shared" ref="U451:V455" si="91">U389</f>
        <v>HKD 4.48</v>
      </c>
      <c r="V451" s="44" t="str">
        <f t="shared" si="91"/>
        <v>China Telecom</v>
      </c>
    </row>
    <row r="452" spans="1:22" s="5" customFormat="1">
      <c r="B452" s="42"/>
      <c r="C452" s="48" t="str">
        <f t="shared" si="88"/>
        <v>China Unicom</v>
      </c>
      <c r="D452" s="44" t="str">
        <f t="shared" si="88"/>
        <v>HKD 6.32</v>
      </c>
      <c r="E452" s="44" t="str">
        <f t="shared" si="88"/>
        <v>HKD 13.20</v>
      </c>
      <c r="F452" s="45">
        <f t="shared" si="88"/>
        <v>1.0886075949367084</v>
      </c>
      <c r="G452" s="44" t="str">
        <f t="shared" si="88"/>
        <v>Buy</v>
      </c>
      <c r="H452" s="46"/>
      <c r="I452" s="45">
        <f>_CU!$D$30/_CU!$D$23</f>
        <v>4.6267479787773569E-2</v>
      </c>
      <c r="J452" s="45">
        <f>_CU!$E$30/_CU!$E$23</f>
        <v>5.2331693807487582E-2</v>
      </c>
      <c r="K452" s="45">
        <f>_CU!$F$30/_CU!$F$23</f>
        <v>4.7916353743121642E-2</v>
      </c>
      <c r="L452" s="45">
        <f>_CU!$G$30/_CU!$G$23</f>
        <v>5.6181426322114543E-2</v>
      </c>
      <c r="M452" s="45">
        <f t="shared" si="89"/>
        <v>9.9139465343409741E-3</v>
      </c>
      <c r="N452" s="56"/>
      <c r="O452" s="47">
        <f>_CU!$D$12/_CU!$D$24</f>
        <v>-2.1931230713741836E-2</v>
      </c>
      <c r="P452" s="47">
        <f>_CU!$E$12/_CU!$E$24</f>
        <v>-0.17110748622084021</v>
      </c>
      <c r="Q452" s="47">
        <f>_CU!$F$12/_CU!$F$24</f>
        <v>-0.30972986923370555</v>
      </c>
      <c r="R452" s="47">
        <f>_CU!$G$12/_CU!$G$24</f>
        <v>-0.41597373161219653</v>
      </c>
      <c r="S452" s="169">
        <f t="shared" si="90"/>
        <v>-0.39404250089845472</v>
      </c>
      <c r="T452" s="46"/>
      <c r="U452" s="48" t="str">
        <f t="shared" si="91"/>
        <v>HKD 6.32</v>
      </c>
      <c r="V452" s="44" t="str">
        <f t="shared" si="91"/>
        <v>China Unicom</v>
      </c>
    </row>
    <row r="453" spans="1:22" s="5" customFormat="1">
      <c r="A453" s="39"/>
      <c r="B453" s="42"/>
      <c r="C453" s="48" t="str">
        <f t="shared" si="88"/>
        <v>Chunghwa Telecom</v>
      </c>
      <c r="D453" s="44" t="str">
        <f t="shared" si="88"/>
        <v>TWD 124.00</v>
      </c>
      <c r="E453" s="44" t="str">
        <f t="shared" si="88"/>
        <v>TWD n/r</v>
      </c>
      <c r="F453" s="45" t="str">
        <f t="shared" si="88"/>
        <v>-</v>
      </c>
      <c r="G453" s="44" t="str">
        <f t="shared" si="88"/>
        <v>n/r</v>
      </c>
      <c r="H453" s="46"/>
      <c r="I453" s="45">
        <f>CHUNG!$D$30/CHUNG!$D$23</f>
        <v>0.16446776861195203</v>
      </c>
      <c r="J453" s="45">
        <f>CHUNG!$E$30/CHUNG!$E$23</f>
        <v>0.17044260368017572</v>
      </c>
      <c r="K453" s="45">
        <f>CHUNG!$F$30/CHUNG!$F$23</f>
        <v>0.1777431864076772</v>
      </c>
      <c r="L453" s="45">
        <f>CHUNG!$G$30/CHUNG!$G$23</f>
        <v>0.18535366359280223</v>
      </c>
      <c r="M453" s="45">
        <f t="shared" si="89"/>
        <v>2.0885894980850195E-2</v>
      </c>
      <c r="N453" s="56"/>
      <c r="O453" s="47">
        <f>CHUNG!$D$12/CHUNG!$D$24</f>
        <v>-0.15334046934878751</v>
      </c>
      <c r="P453" s="47">
        <f>CHUNG!$E$12/CHUNG!$E$24</f>
        <v>-0.31585454699191379</v>
      </c>
      <c r="Q453" s="47">
        <f>CHUNG!$F$12/CHUNG!$F$24</f>
        <v>-0.48526997894835006</v>
      </c>
      <c r="R453" s="47">
        <f>CHUNG!$G$12/CHUNG!$G$24</f>
        <v>-0.63154446410975373</v>
      </c>
      <c r="S453" s="45">
        <f t="shared" si="90"/>
        <v>-0.4782039947609662</v>
      </c>
      <c r="T453" s="46"/>
      <c r="U453" s="48" t="str">
        <f t="shared" si="91"/>
        <v>TWD 124.00</v>
      </c>
      <c r="V453" s="44" t="str">
        <f t="shared" si="91"/>
        <v>Chunghwa Telecom</v>
      </c>
    </row>
    <row r="454" spans="1:22" s="5" customFormat="1">
      <c r="A454" s="39"/>
      <c r="B454" s="42"/>
      <c r="C454" s="48" t="str">
        <f t="shared" si="88"/>
        <v>KT Corp</v>
      </c>
      <c r="D454" s="44" t="str">
        <f t="shared" si="88"/>
        <v>KRW 41,200</v>
      </c>
      <c r="E454" s="44" t="str">
        <f t="shared" si="88"/>
        <v>KRW 70,000</v>
      </c>
      <c r="F454" s="45">
        <f t="shared" si="88"/>
        <v>0.69902912621359214</v>
      </c>
      <c r="G454" s="44" t="str">
        <f t="shared" si="88"/>
        <v>Buy</v>
      </c>
      <c r="H454" s="46"/>
      <c r="I454" s="45">
        <f>_KT!$D$30/_KT!$D$23</f>
        <v>3.8272634251714857E-2</v>
      </c>
      <c r="J454" s="45">
        <f>_KT!$E$30/_KT!$E$23</f>
        <v>4.4134012858245524E-2</v>
      </c>
      <c r="K454" s="45">
        <f>_KT!$F$30/_KT!$F$23</f>
        <v>5.3685149164409508E-2</v>
      </c>
      <c r="L454" s="45">
        <f>_KT!$G$30/_KT!$G$23</f>
        <v>5.9332649538614196E-2</v>
      </c>
      <c r="M454" s="45">
        <f t="shared" si="89"/>
        <v>2.1060015286899339E-2</v>
      </c>
      <c r="N454" s="56"/>
      <c r="O454" s="47">
        <f>_KT!$D$12/_KT!$D$24</f>
        <v>1.3440905511089947</v>
      </c>
      <c r="P454" s="47">
        <f>_KT!$E$12/_KT!$E$24</f>
        <v>1.198722220012068</v>
      </c>
      <c r="Q454" s="47">
        <f>_KT!$F$12/_KT!$F$24</f>
        <v>0.94146282434191142</v>
      </c>
      <c r="R454" s="47">
        <f>_KT!$G$12/_KT!$G$24</f>
        <v>0.74516627850404216</v>
      </c>
      <c r="S454" s="45">
        <f t="shared" si="90"/>
        <v>-0.59892427260495251</v>
      </c>
      <c r="T454" s="46"/>
      <c r="U454" s="48" t="str">
        <f t="shared" si="91"/>
        <v>KRW 41,200</v>
      </c>
      <c r="V454" s="44" t="str">
        <f t="shared" si="91"/>
        <v>KT Corp</v>
      </c>
    </row>
    <row r="455" spans="1:22" s="5" customFormat="1">
      <c r="A455" s="39"/>
      <c r="B455" s="42"/>
      <c r="C455" s="48" t="str">
        <f t="shared" si="88"/>
        <v>PT Telkom</v>
      </c>
      <c r="D455" s="44" t="str">
        <f t="shared" si="88"/>
        <v>IDR 3,040</v>
      </c>
      <c r="E455" s="44" t="str">
        <f t="shared" si="88"/>
        <v>IDR 4,500</v>
      </c>
      <c r="F455" s="45">
        <f t="shared" si="88"/>
        <v>0.48026315789473695</v>
      </c>
      <c r="G455" s="44" t="str">
        <f t="shared" si="88"/>
        <v>Buy</v>
      </c>
      <c r="H455" s="46"/>
      <c r="I455" s="45">
        <f>PTT!$D$30/PTT!$D$23</f>
        <v>0.16815891057259275</v>
      </c>
      <c r="J455" s="45">
        <f>PTT!$E$30/PTT!$E$23</f>
        <v>0.15477168440496014</v>
      </c>
      <c r="K455" s="45">
        <f>PTT!$F$30/PTT!$F$23</f>
        <v>0.1665158681718715</v>
      </c>
      <c r="L455" s="45">
        <f>PTT!$G$30/PTT!$G$23</f>
        <v>0.17614688170945172</v>
      </c>
      <c r="M455" s="45">
        <f t="shared" si="89"/>
        <v>7.987971136858979E-3</v>
      </c>
      <c r="N455" s="56"/>
      <c r="O455" s="47">
        <f>PTT!$D$12/PTT!$D$24</f>
        <v>0.50422150324185666</v>
      </c>
      <c r="P455" s="47">
        <f>PTT!$E$12/PTT!$E$24</f>
        <v>0.36328671316278432</v>
      </c>
      <c r="Q455" s="47">
        <f>PTT!$F$12/PTT!$F$24</f>
        <v>0.21428127715501152</v>
      </c>
      <c r="R455" s="47">
        <f>PTT!$G$12/PTT!$G$24</f>
        <v>8.3229350706015615E-2</v>
      </c>
      <c r="S455" s="169">
        <f t="shared" si="90"/>
        <v>-0.42099215253584105</v>
      </c>
      <c r="T455" s="46"/>
      <c r="U455" s="48" t="str">
        <f t="shared" si="91"/>
        <v>IDR 3,040</v>
      </c>
      <c r="V455" s="44" t="str">
        <f t="shared" si="91"/>
        <v>PT Telkom</v>
      </c>
    </row>
    <row r="456" spans="1:22" s="5" customFormat="1">
      <c r="A456" s="39"/>
      <c r="B456" s="42"/>
      <c r="C456" s="51" t="str">
        <f>C394</f>
        <v>Agg. Emerging Asia Incumbent</v>
      </c>
      <c r="D456" s="52"/>
      <c r="E456" s="52"/>
      <c r="F456" s="53"/>
      <c r="G456" s="52"/>
      <c r="H456" s="46"/>
      <c r="I456" s="55">
        <f>'EM ASIA INCUMB'!$D$30/'EM ASIA INCUMB'!$D$23</f>
        <v>6.3291220107092247E-2</v>
      </c>
      <c r="J456" s="55">
        <f>'EM ASIA INCUMB'!$E$30/'EM ASIA INCUMB'!$E$23</f>
        <v>6.6500101763226779E-2</v>
      </c>
      <c r="K456" s="55">
        <f>'EM ASIA INCUMB'!$F$30/'EM ASIA INCUMB'!$F$23</f>
        <v>6.8579291378741469E-2</v>
      </c>
      <c r="L456" s="55">
        <f>'EM ASIA INCUMB'!$G$30/'EM ASIA INCUMB'!$G$23</f>
        <v>7.5340341490490889E-2</v>
      </c>
      <c r="M456" s="55">
        <f t="shared" si="89"/>
        <v>1.2049121383398642E-2</v>
      </c>
      <c r="N456" s="56"/>
      <c r="O456" s="54">
        <f>'EM ASIA INCUMB'!$D$12/'EM ASIA INCUMB'!$D$24</f>
        <v>3.8595393804054731E-2</v>
      </c>
      <c r="P456" s="54">
        <f>'EM ASIA INCUMB'!$E$12/'EM ASIA INCUMB'!$E$24</f>
        <v>-8.0562564091259531E-2</v>
      </c>
      <c r="Q456" s="54">
        <f>'EM ASIA INCUMB'!$F$12/'EM ASIA INCUMB'!$F$24</f>
        <v>-0.2097750267987776</v>
      </c>
      <c r="R456" s="54">
        <f>'EM ASIA INCUMB'!$G$12/'EM ASIA INCUMB'!$G$24</f>
        <v>-0.32673705222722299</v>
      </c>
      <c r="S456" s="55">
        <f t="shared" si="90"/>
        <v>-0.36533244603127774</v>
      </c>
      <c r="T456" s="46"/>
      <c r="U456" s="57"/>
      <c r="V456" s="58" t="str">
        <f>V394</f>
        <v>Agg. Emerging Asia Incumbent</v>
      </c>
    </row>
    <row r="457" spans="1:22" s="5" customFormat="1">
      <c r="A457" s="39"/>
      <c r="B457" s="42"/>
      <c r="C457" s="43"/>
      <c r="D457" s="44"/>
      <c r="E457" s="44"/>
      <c r="F457" s="68"/>
      <c r="G457" s="44"/>
      <c r="H457" s="46"/>
      <c r="I457" s="61"/>
      <c r="J457" s="61"/>
      <c r="K457" s="61"/>
      <c r="L457" s="61"/>
      <c r="M457" s="61"/>
      <c r="N457" s="56"/>
      <c r="O457" s="62"/>
      <c r="P457" s="62"/>
      <c r="Q457" s="62"/>
      <c r="R457" s="62"/>
      <c r="S457" s="61"/>
      <c r="T457" s="46"/>
      <c r="U457" s="48"/>
      <c r="V457" s="50"/>
    </row>
    <row r="458" spans="1:22" s="5" customFormat="1">
      <c r="A458" s="39"/>
      <c r="B458" s="42"/>
      <c r="C458" s="51" t="str">
        <f>C396</f>
        <v>Agg. Emerging Incumbent</v>
      </c>
      <c r="D458" s="52"/>
      <c r="E458" s="52"/>
      <c r="F458" s="53"/>
      <c r="G458" s="52"/>
      <c r="H458" s="46"/>
      <c r="I458" s="55">
        <f>'EM INCUMB'!$D$30/'EM INCUMB'!$D$23</f>
        <v>6.5336126536072653E-2</v>
      </c>
      <c r="J458" s="55">
        <f>'EM INCUMB'!$E$30/'EM INCUMB'!$E$23</f>
        <v>7.3087942381230439E-2</v>
      </c>
      <c r="K458" s="55">
        <f>'EM INCUMB'!$F$30/'EM INCUMB'!$F$23</f>
        <v>8.0705450257171157E-2</v>
      </c>
      <c r="L458" s="55">
        <f>'EM INCUMB'!$G$30/'EM INCUMB'!$G$23</f>
        <v>9.093840592278378E-2</v>
      </c>
      <c r="M458" s="55">
        <f t="shared" ref="M458" si="92">L458-I458</f>
        <v>2.5602279386711127E-2</v>
      </c>
      <c r="N458" s="56"/>
      <c r="O458" s="54">
        <f>'EM INCUMB'!$D$12/'EM INCUMB'!$D$24</f>
        <v>0.57704217699923666</v>
      </c>
      <c r="P458" s="54">
        <f>'EM INCUMB'!$E$12/'EM INCUMB'!$E$24</f>
        <v>0.47531280469560427</v>
      </c>
      <c r="Q458" s="54">
        <f>'EM INCUMB'!$F$12/'EM INCUMB'!$F$24</f>
        <v>0.35184494336187577</v>
      </c>
      <c r="R458" s="54">
        <f>'EM INCUMB'!$G$12/'EM INCUMB'!$G$24</f>
        <v>0.25035916526961649</v>
      </c>
      <c r="S458" s="55">
        <f t="shared" ref="S458" si="93">R458-O458</f>
        <v>-0.32668301172962017</v>
      </c>
      <c r="T458" s="46"/>
      <c r="U458" s="57"/>
      <c r="V458" s="58" t="str">
        <f>V396</f>
        <v>Agg. Emerging Incumbent</v>
      </c>
    </row>
    <row r="459" spans="1:22" s="5" customFormat="1">
      <c r="A459" s="39"/>
      <c r="B459" s="42"/>
      <c r="C459" s="43"/>
      <c r="D459" s="44"/>
      <c r="E459" s="44"/>
      <c r="F459" s="45"/>
      <c r="G459" s="44"/>
      <c r="H459" s="46"/>
      <c r="I459" s="45"/>
      <c r="J459" s="45"/>
      <c r="K459" s="45"/>
      <c r="L459" s="45"/>
      <c r="M459" s="45"/>
      <c r="N459" s="56"/>
      <c r="O459" s="47"/>
      <c r="P459" s="47"/>
      <c r="Q459" s="47"/>
      <c r="R459" s="47"/>
      <c r="S459" s="45"/>
      <c r="T459" s="46"/>
      <c r="U459" s="48"/>
      <c r="V459" s="50"/>
    </row>
    <row r="460" spans="1:22" s="5" customFormat="1">
      <c r="A460" s="41" t="s">
        <v>502</v>
      </c>
      <c r="B460" s="42"/>
      <c r="C460" s="48" t="str">
        <f t="shared" ref="C460:G466" si="94">C398</f>
        <v>Airtel Africa</v>
      </c>
      <c r="D460" s="44" t="str">
        <f t="shared" si="94"/>
        <v>USD 1.13</v>
      </c>
      <c r="E460" s="44" t="str">
        <f t="shared" si="94"/>
        <v>USD 2.00</v>
      </c>
      <c r="F460" s="45">
        <f t="shared" si="94"/>
        <v>0.77619893428063969</v>
      </c>
      <c r="G460" s="44" t="str">
        <f t="shared" si="94"/>
        <v>Buy</v>
      </c>
      <c r="H460" s="46"/>
      <c r="I460" s="45">
        <f>AAF!$D$30/AAF!$D$23</f>
        <v>-9.3392247439244833E-2</v>
      </c>
      <c r="J460" s="45">
        <f>AAF!$E$30/AAF!$E$23</f>
        <v>3.1676032184154615E-2</v>
      </c>
      <c r="K460" s="45">
        <f>AAF!$F$30/AAF!$F$23</f>
        <v>0.16196895315015791</v>
      </c>
      <c r="L460" s="45">
        <f>AAF!$G$30/AAF!$G$23</f>
        <v>0.18574027322545553</v>
      </c>
      <c r="M460" s="45">
        <f t="shared" ref="M460" si="95">L460-I460</f>
        <v>0.27913252066470035</v>
      </c>
      <c r="N460" s="56"/>
      <c r="O460" s="47">
        <f>AAF!$D$12/AAF!$D$24</f>
        <v>1.665874524714829</v>
      </c>
      <c r="P460" s="47">
        <f>AAF!$E$12/AAF!$E$24</f>
        <v>1.6598988228256768</v>
      </c>
      <c r="Q460" s="47">
        <f>AAF!$F$12/AAF!$F$24</f>
        <v>1.2905611043585887</v>
      </c>
      <c r="R460" s="47">
        <f>AAF!$G$12/AAF!$G$24</f>
        <v>0.99757562122072641</v>
      </c>
      <c r="S460" s="169">
        <f t="shared" ref="S460" si="96">R460-O460</f>
        <v>-0.66829890349410259</v>
      </c>
      <c r="T460" s="46"/>
      <c r="U460" s="48" t="str">
        <f t="shared" ref="U460:V466" si="97">U398</f>
        <v>USD 1.13</v>
      </c>
      <c r="V460" s="44" t="str">
        <f t="shared" si="97"/>
        <v>Airtel Africa</v>
      </c>
    </row>
    <row r="461" spans="1:22" s="5" customFormat="1">
      <c r="A461" s="41"/>
      <c r="B461" s="42"/>
      <c r="C461" s="48" t="str">
        <f t="shared" si="94"/>
        <v>MobileTeleSystems</v>
      </c>
      <c r="D461" s="44" t="str">
        <f t="shared" si="94"/>
        <v>USD 10.00</v>
      </c>
      <c r="E461" s="44" t="str">
        <f t="shared" si="94"/>
        <v>USD 10.10</v>
      </c>
      <c r="F461" s="45">
        <f t="shared" si="94"/>
        <v>1.0000000000000009E-2</v>
      </c>
      <c r="G461" s="44" t="str">
        <f t="shared" si="94"/>
        <v>Buy</v>
      </c>
      <c r="H461" s="46"/>
      <c r="I461" s="45">
        <f>MTS!$D$30/MTS!$D$23</f>
        <v>0.11554255018676778</v>
      </c>
      <c r="J461" s="45">
        <f>MTS!$E$30/MTS!$E$23</f>
        <v>0.11244439417575668</v>
      </c>
      <c r="K461" s="45">
        <f>MTS!$F$30/MTS!$F$23</f>
        <v>0.11319490036960685</v>
      </c>
      <c r="L461" s="45">
        <f>MTS!$G$30/MTS!$G$23</f>
        <v>0.11260724902870176</v>
      </c>
      <c r="M461" s="45">
        <f t="shared" ref="M461:M467" si="98">L461-I461</f>
        <v>-2.9353011580660199E-3</v>
      </c>
      <c r="N461" s="56"/>
      <c r="O461" s="47">
        <f>MTS!$D$12/MTS!$D$24</f>
        <v>2.7174579407502271</v>
      </c>
      <c r="P461" s="47">
        <f>MTS!$E$12/MTS!$E$24</f>
        <v>2.740444338781638</v>
      </c>
      <c r="Q461" s="47">
        <f>MTS!$F$12/MTS!$F$24</f>
        <v>2.7703568386599748</v>
      </c>
      <c r="R461" s="47">
        <f>MTS!$G$12/MTS!$G$24</f>
        <v>2.8169117267061825</v>
      </c>
      <c r="S461" s="169">
        <f t="shared" ref="S461:S467" si="99">R461-O461</f>
        <v>9.9453785955955443E-2</v>
      </c>
      <c r="T461" s="46"/>
      <c r="U461" s="48" t="str">
        <f t="shared" si="97"/>
        <v>USD 10.00</v>
      </c>
      <c r="V461" s="44" t="str">
        <f t="shared" si="97"/>
        <v>MobileTeleSystems</v>
      </c>
    </row>
    <row r="462" spans="1:22" s="5" customFormat="1">
      <c r="A462" s="39"/>
      <c r="B462" s="42"/>
      <c r="C462" s="48" t="str">
        <f t="shared" si="94"/>
        <v>MTN</v>
      </c>
      <c r="D462" s="44" t="str">
        <f t="shared" si="94"/>
        <v>ZAR 92.00</v>
      </c>
      <c r="E462" s="44" t="str">
        <f t="shared" si="94"/>
        <v>ZAR 130.00</v>
      </c>
      <c r="F462" s="45">
        <f t="shared" si="94"/>
        <v>0.41304347826086962</v>
      </c>
      <c r="G462" s="44" t="str">
        <f t="shared" si="94"/>
        <v>Buy</v>
      </c>
      <c r="H462" s="46"/>
      <c r="I462" s="45">
        <f>MTN!$D$30/MTN!$D$23</f>
        <v>0.10088439128546611</v>
      </c>
      <c r="J462" s="45">
        <f>MTN!$E$30/MTN!$E$23</f>
        <v>5.2862843502016102E-2</v>
      </c>
      <c r="K462" s="45">
        <f>MTN!$F$30/MTN!$F$23</f>
        <v>6.5901088237160912E-2</v>
      </c>
      <c r="L462" s="45">
        <f>MTN!$G$30/MTN!$G$23</f>
        <v>8.7544151060363659E-2</v>
      </c>
      <c r="M462" s="45">
        <f t="shared" si="98"/>
        <v>-1.3340240225102454E-2</v>
      </c>
      <c r="N462" s="56"/>
      <c r="O462" s="47">
        <f>MTN!$D$12/MTN!$D$24</f>
        <v>1.1141022752872269</v>
      </c>
      <c r="P462" s="47">
        <f>MTN!$E$12/MTN!$E$24</f>
        <v>1.5160545832468928</v>
      </c>
      <c r="Q462" s="47">
        <f>MTN!$F$12/MTN!$F$24</f>
        <v>1.4336603262237091</v>
      </c>
      <c r="R462" s="47">
        <f>MTN!$G$12/MTN!$G$24</f>
        <v>1.3226602856201508</v>
      </c>
      <c r="S462" s="169">
        <f t="shared" si="99"/>
        <v>0.20855801033292387</v>
      </c>
      <c r="T462" s="46"/>
      <c r="U462" s="48" t="str">
        <f t="shared" si="97"/>
        <v>ZAR 92.00</v>
      </c>
      <c r="V462" s="44" t="str">
        <f t="shared" si="97"/>
        <v>MTN</v>
      </c>
    </row>
    <row r="463" spans="1:22" s="5" customFormat="1">
      <c r="A463" s="39"/>
      <c r="B463" s="42"/>
      <c r="C463" s="48" t="str">
        <f t="shared" si="94"/>
        <v>Safaricom</v>
      </c>
      <c r="D463" s="44" t="str">
        <f t="shared" si="94"/>
        <v>KES 14.80</v>
      </c>
      <c r="E463" s="44" t="str">
        <f t="shared" si="94"/>
        <v>KES 17.0</v>
      </c>
      <c r="F463" s="45">
        <f t="shared" si="94"/>
        <v>0.14864864864864868</v>
      </c>
      <c r="G463" s="44" t="str">
        <f t="shared" si="94"/>
        <v>Neutral</v>
      </c>
      <c r="H463" s="46"/>
      <c r="I463" s="45">
        <f>SAF!$D$30/SAF!$D$23</f>
        <v>0.1989925374446268</v>
      </c>
      <c r="J463" s="45">
        <f>SAF!$E$30/SAF!$E$23</f>
        <v>0.18265807293878186</v>
      </c>
      <c r="K463" s="45">
        <f>SAF!$F$30/SAF!$F$23</f>
        <v>0.18381355220579643</v>
      </c>
      <c r="L463" s="45">
        <f>SAF!$G$30/SAF!$G$23</f>
        <v>0.18587031568439485</v>
      </c>
      <c r="M463" s="45">
        <f>L463-I463</f>
        <v>-1.312222176023195E-2</v>
      </c>
      <c r="N463" s="56"/>
      <c r="O463" s="47">
        <f>SAF!$D$12/SAF!$D$24</f>
        <v>0.69498731236534128</v>
      </c>
      <c r="P463" s="47">
        <f>SAF!$E$12/SAF!$E$24</f>
        <v>0.74369077095069602</v>
      </c>
      <c r="Q463" s="47">
        <f>SAF!$F$12/SAF!$F$24</f>
        <v>0.68495370031086522</v>
      </c>
      <c r="R463" s="47">
        <f>SAF!$G$12/SAF!$G$24</f>
        <v>0.58155274349101183</v>
      </c>
      <c r="S463" s="169">
        <f>R463-O463</f>
        <v>-0.11343456887432946</v>
      </c>
      <c r="T463" s="46"/>
      <c r="U463" s="48" t="str">
        <f t="shared" si="97"/>
        <v>KES 14.80</v>
      </c>
      <c r="V463" s="44" t="str">
        <f t="shared" si="97"/>
        <v>Safaricom</v>
      </c>
    </row>
    <row r="464" spans="1:22" s="5" customFormat="1">
      <c r="A464" s="39"/>
      <c r="B464" s="42"/>
      <c r="C464" s="48" t="str">
        <f t="shared" si="94"/>
        <v>Turkcell</v>
      </c>
      <c r="D464" s="44" t="str">
        <f t="shared" si="94"/>
        <v>USD 99.65</v>
      </c>
      <c r="E464" s="44" t="str">
        <f t="shared" si="94"/>
        <v>USD 16.90</v>
      </c>
      <c r="F464" s="45">
        <f t="shared" si="94"/>
        <v>-0.83040642247867535</v>
      </c>
      <c r="G464" s="44" t="str">
        <f t="shared" si="94"/>
        <v>Buy</v>
      </c>
      <c r="H464" s="46"/>
      <c r="I464" s="45">
        <f>TKC!$D$30/TKC!$D$23</f>
        <v>0.17368203940307111</v>
      </c>
      <c r="J464" s="45">
        <f>TKC!$E$30/TKC!$E$23</f>
        <v>0.17261686720159344</v>
      </c>
      <c r="K464" s="45">
        <f>TKC!$F$30/TKC!$F$23</f>
        <v>0.17362041164715591</v>
      </c>
      <c r="L464" s="45">
        <f>TKC!$G$30/TKC!$G$23</f>
        <v>0.17595119436749371</v>
      </c>
      <c r="M464" s="45">
        <f t="shared" si="98"/>
        <v>2.2691549644225928E-3</v>
      </c>
      <c r="N464" s="56"/>
      <c r="O464" s="47">
        <f>TKC!$D$12/TKC!$D$24</f>
        <v>0.97656557047645109</v>
      </c>
      <c r="P464" s="47">
        <f>TKC!$E$12/TKC!$E$24</f>
        <v>0.88291648951215163</v>
      </c>
      <c r="Q464" s="47">
        <f>TKC!$F$12/TKC!$F$24</f>
        <v>0.7764066348148837</v>
      </c>
      <c r="R464" s="47">
        <f>TKC!$G$12/TKC!$G$24</f>
        <v>0.68611487916877711</v>
      </c>
      <c r="S464" s="169">
        <f t="shared" si="99"/>
        <v>-0.29045069130767398</v>
      </c>
      <c r="T464" s="46"/>
      <c r="U464" s="48" t="str">
        <f t="shared" si="97"/>
        <v>USD 99.65</v>
      </c>
      <c r="V464" s="44" t="str">
        <f t="shared" si="97"/>
        <v>Turkcell</v>
      </c>
    </row>
    <row r="465" spans="1:22" s="5" customFormat="1">
      <c r="A465" s="39"/>
      <c r="B465" s="42"/>
      <c r="C465" s="48" t="str">
        <f t="shared" si="94"/>
        <v>VEON</v>
      </c>
      <c r="D465" s="44" t="str">
        <f t="shared" si="94"/>
        <v>USD 27.2</v>
      </c>
      <c r="E465" s="44" t="str">
        <f t="shared" si="94"/>
        <v>USD 40.0</v>
      </c>
      <c r="F465" s="45">
        <f t="shared" si="94"/>
        <v>0.47058823529411775</v>
      </c>
      <c r="G465" s="44" t="str">
        <f t="shared" si="94"/>
        <v>Buy</v>
      </c>
      <c r="H465" s="46"/>
      <c r="I465" s="45">
        <f>VIMP!$D$30/VIMP!$D$23</f>
        <v>9.3116665377374785E-2</v>
      </c>
      <c r="J465" s="45">
        <f>VIMP!$E$30/VIMP!$E$23</f>
        <v>0.16144207914158185</v>
      </c>
      <c r="K465" s="45">
        <f>VIMP!$F$30/VIMP!$F$23</f>
        <v>0.1767865568805814</v>
      </c>
      <c r="L465" s="45">
        <f>VIMP!$G$30/VIMP!$G$23</f>
        <v>0.18491272263357952</v>
      </c>
      <c r="M465" s="45">
        <f t="shared" si="98"/>
        <v>9.1796057256204738E-2</v>
      </c>
      <c r="N465" s="56"/>
      <c r="O465" s="47">
        <f>VIMP!$D$12/VIMP!$D$24</f>
        <v>2.0226630651690187</v>
      </c>
      <c r="P465" s="47">
        <f>VIMP!$E$12/VIMP!$E$24</f>
        <v>1.3050100897511689</v>
      </c>
      <c r="Q465" s="47">
        <f>VIMP!$F$12/VIMP!$F$24</f>
        <v>0.98230447636038543</v>
      </c>
      <c r="R465" s="47">
        <f>VIMP!$G$12/VIMP!$G$24</f>
        <v>0.76376201265878685</v>
      </c>
      <c r="S465" s="45">
        <f t="shared" si="99"/>
        <v>-1.258901052510232</v>
      </c>
      <c r="T465" s="46"/>
      <c r="U465" s="48" t="str">
        <f t="shared" si="97"/>
        <v>USD 27.2</v>
      </c>
      <c r="V465" s="44" t="str">
        <f t="shared" si="97"/>
        <v>Vimpel Com</v>
      </c>
    </row>
    <row r="466" spans="1:22">
      <c r="C466" s="48" t="str">
        <f t="shared" si="94"/>
        <v>Vodacom</v>
      </c>
      <c r="D466" s="44" t="str">
        <f t="shared" si="94"/>
        <v>ZAR 111.1</v>
      </c>
      <c r="E466" s="44" t="str">
        <f t="shared" si="94"/>
        <v>ZAR 150.0</v>
      </c>
      <c r="F466" s="45">
        <f t="shared" si="94"/>
        <v>0.34989200863930892</v>
      </c>
      <c r="G466" s="44" t="str">
        <f t="shared" si="94"/>
        <v>Buy</v>
      </c>
      <c r="H466" s="46"/>
      <c r="I466" s="45">
        <f>VODA!$D$30/VODA!$D$23</f>
        <v>0.10953291631804719</v>
      </c>
      <c r="J466" s="45">
        <f>VODA!$E$30/VODA!$E$23</f>
        <v>0.11621464527396479</v>
      </c>
      <c r="K466" s="45">
        <f>VODA!$F$30/VODA!$F$23</f>
        <v>0.13296825549831959</v>
      </c>
      <c r="L466" s="45">
        <f>VODA!$G$30/VODA!$G$23</f>
        <v>0.14356130499908293</v>
      </c>
      <c r="M466" s="45">
        <f t="shared" si="98"/>
        <v>3.4028388681035734E-2</v>
      </c>
      <c r="N466" s="56"/>
      <c r="O466" s="47">
        <f>VODA!$D$12/VODA!$D$24</f>
        <v>0.8868771829781168</v>
      </c>
      <c r="P466" s="47">
        <f>VODA!$E$12/VODA!$E$24</f>
        <v>1.01315373904504</v>
      </c>
      <c r="Q466" s="47">
        <f>VODA!$F$12/VODA!$F$24</f>
        <v>0.83380885916452163</v>
      </c>
      <c r="R466" s="47">
        <f>VODA!$G$12/VODA!$G$24</f>
        <v>0.71425818475685721</v>
      </c>
      <c r="S466" s="45">
        <f t="shared" si="99"/>
        <v>-0.17261899822125959</v>
      </c>
      <c r="T466" s="46"/>
      <c r="U466" s="48" t="str">
        <f t="shared" si="97"/>
        <v>ZAR 111.1</v>
      </c>
      <c r="V466" s="44" t="str">
        <f t="shared" si="97"/>
        <v>Vodacom</v>
      </c>
    </row>
    <row r="467" spans="1:22" s="5" customFormat="1">
      <c r="A467" s="39"/>
      <c r="B467" s="42"/>
      <c r="C467" s="51" t="str">
        <f>C405</f>
        <v>Agg. EMEA Cellular</v>
      </c>
      <c r="D467" s="52"/>
      <c r="E467" s="52"/>
      <c r="F467" s="53"/>
      <c r="G467" s="52"/>
      <c r="H467" s="46"/>
      <c r="I467" s="55">
        <f>'EMEA CELLULAR'!$D$30/'EMEA CELLULAR'!$D$23</f>
        <v>8.6666507679773269E-2</v>
      </c>
      <c r="J467" s="55">
        <f>'EMEA CELLULAR'!$E$30/'EMEA CELLULAR'!$E$23</f>
        <v>9.7158830386700576E-2</v>
      </c>
      <c r="K467" s="55">
        <f>'EMEA CELLULAR'!$F$30/'EMEA CELLULAR'!$F$23</f>
        <v>0.12419488541686903</v>
      </c>
      <c r="L467" s="55">
        <f>'EMEA CELLULAR'!$G$30/'EMEA CELLULAR'!$G$23</f>
        <v>0.1371493939466257</v>
      </c>
      <c r="M467" s="55">
        <f t="shared" si="98"/>
        <v>5.0482886266852434E-2</v>
      </c>
      <c r="N467" s="56"/>
      <c r="O467" s="54">
        <f>'EMEA CELLULAR'!$D$12/'EMEA CELLULAR'!$D$24</f>
        <v>1.3906420643149784</v>
      </c>
      <c r="P467" s="54">
        <f>'EMEA CELLULAR'!$E$12/'EMEA CELLULAR'!$E$24</f>
        <v>1.4643948462111147</v>
      </c>
      <c r="Q467" s="54">
        <f>'EMEA CELLULAR'!$F$12/'EMEA CELLULAR'!$F$24</f>
        <v>1.2934468613577255</v>
      </c>
      <c r="R467" s="54">
        <f>'EMEA CELLULAR'!$G$12/'EMEA CELLULAR'!$G$24</f>
        <v>1.1505280852337616</v>
      </c>
      <c r="S467" s="55">
        <f t="shared" si="99"/>
        <v>-0.24011397908121679</v>
      </c>
      <c r="T467" s="46"/>
      <c r="U467" s="57"/>
      <c r="V467" s="58" t="str">
        <f>V405</f>
        <v>Agg. EMEA Cellular</v>
      </c>
    </row>
    <row r="468" spans="1:22">
      <c r="A468" s="5"/>
      <c r="C468" s="43"/>
      <c r="D468" s="44"/>
      <c r="E468" s="44"/>
      <c r="F468" s="45"/>
      <c r="G468" s="44"/>
      <c r="H468" s="46"/>
      <c r="I468" s="45"/>
      <c r="J468" s="45"/>
      <c r="K468" s="45"/>
      <c r="L468" s="45"/>
      <c r="M468" s="45"/>
      <c r="N468" s="56"/>
      <c r="O468" s="47"/>
      <c r="P468" s="47"/>
      <c r="Q468" s="47"/>
      <c r="R468" s="47"/>
      <c r="S468" s="45"/>
      <c r="T468" s="46"/>
      <c r="U468" s="48"/>
      <c r="V468" s="50"/>
    </row>
    <row r="469" spans="1:22">
      <c r="A469" s="5"/>
      <c r="C469" s="48" t="str">
        <f t="shared" ref="C469:G471" si="100">C407</f>
        <v>Entel</v>
      </c>
      <c r="D469" s="44" t="str">
        <f t="shared" si="100"/>
        <v>CLP 2,900</v>
      </c>
      <c r="E469" s="44" t="str">
        <f t="shared" si="100"/>
        <v>CLP 3,150</v>
      </c>
      <c r="F469" s="45">
        <f t="shared" si="100"/>
        <v>8.6206896551724199E-2</v>
      </c>
      <c r="G469" s="44" t="str">
        <f t="shared" si="100"/>
        <v>Neutral</v>
      </c>
      <c r="H469" s="46"/>
      <c r="I469" s="45">
        <f>ENTEL!$D$30/ENTEL!$D$23</f>
        <v>7.2407337727766016E-2</v>
      </c>
      <c r="J469" s="45">
        <f>ENTEL!$E$30/ENTEL!$E$23</f>
        <v>8.3385390267677939E-2</v>
      </c>
      <c r="K469" s="45">
        <f>ENTEL!$F$30/ENTEL!$F$23</f>
        <v>9.466864421597862E-2</v>
      </c>
      <c r="L469" s="45">
        <f>ENTEL!$G$30/ENTEL!$G$23</f>
        <v>0.10411976885043818</v>
      </c>
      <c r="M469" s="45">
        <f>L469-I469</f>
        <v>3.1712431122672163E-2</v>
      </c>
      <c r="N469" s="56"/>
      <c r="O469" s="47">
        <f>ENTEL!$D$12/ENTEL!$D$24</f>
        <v>2.2867544773958897</v>
      </c>
      <c r="P469" s="47">
        <f>ENTEL!$E$12/ENTEL!$E$24</f>
        <v>1.9724968987961247</v>
      </c>
      <c r="Q469" s="47">
        <f>ENTEL!$F$12/ENTEL!$F$24</f>
        <v>1.6316507758844492</v>
      </c>
      <c r="R469" s="47">
        <f>ENTEL!$G$12/ENTEL!$G$24</f>
        <v>1.2867556166924876</v>
      </c>
      <c r="S469" s="169">
        <f>R469-O469</f>
        <v>-0.99999886070340205</v>
      </c>
      <c r="T469" s="46"/>
      <c r="U469" s="48" t="str">
        <f t="shared" ref="U469:V471" si="101">U407</f>
        <v>CLP 2,900</v>
      </c>
      <c r="V469" s="44" t="str">
        <f t="shared" si="101"/>
        <v>Entel</v>
      </c>
    </row>
    <row r="470" spans="1:22">
      <c r="A470" s="5"/>
      <c r="C470" s="48" t="str">
        <f t="shared" si="100"/>
        <v>Millicom</v>
      </c>
      <c r="D470" s="44" t="str">
        <f t="shared" si="100"/>
        <v>USD  26.6</v>
      </c>
      <c r="E470" s="44" t="str">
        <f t="shared" si="100"/>
        <v>USD 18.0</v>
      </c>
      <c r="F470" s="45">
        <f t="shared" si="100"/>
        <v>-0.32407059707097252</v>
      </c>
      <c r="G470" s="44" t="str">
        <f t="shared" si="100"/>
        <v>Neutral</v>
      </c>
      <c r="H470" s="46"/>
      <c r="I470" s="45">
        <f>MILLI!$D$30/MILLI!$D$23</f>
        <v>5.3593836824894485E-2</v>
      </c>
      <c r="J470" s="45">
        <f>MILLI!$E$30/MILLI!$E$23</f>
        <v>5.9611376560440875E-2</v>
      </c>
      <c r="K470" s="45">
        <f>MILLI!$F$30/MILLI!$F$23</f>
        <v>7.7223002931476326E-2</v>
      </c>
      <c r="L470" s="45">
        <f>MILLI!$G$30/MILLI!$G$23</f>
        <v>8.2804316555040253E-2</v>
      </c>
      <c r="M470" s="45">
        <f>L470-I470</f>
        <v>2.9210479730145768E-2</v>
      </c>
      <c r="N470" s="56"/>
      <c r="O470" s="47">
        <f>MILLI!$D$12/MILLI!$D$24</f>
        <v>3.2493964223831027</v>
      </c>
      <c r="P470" s="47">
        <f>MILLI!$E$12/MILLI!$E$24</f>
        <v>3.1687144750442879</v>
      </c>
      <c r="Q470" s="47">
        <f>MILLI!$F$12/MILLI!$F$24</f>
        <v>3.0189803149835561</v>
      </c>
      <c r="R470" s="47">
        <f>MILLI!$G$12/MILLI!$G$24</f>
        <v>2.809441142962223</v>
      </c>
      <c r="S470" s="169">
        <f>R470-O470</f>
        <v>-0.43995527942087964</v>
      </c>
      <c r="T470" s="46"/>
      <c r="U470" s="48" t="str">
        <f t="shared" si="101"/>
        <v>USD  26.6</v>
      </c>
      <c r="V470" s="44" t="str">
        <f t="shared" si="101"/>
        <v>Millicom</v>
      </c>
    </row>
    <row r="471" spans="1:22" s="5" customFormat="1">
      <c r="B471" s="42"/>
      <c r="C471" s="48" t="str">
        <f t="shared" si="100"/>
        <v>TIM Participacoes</v>
      </c>
      <c r="D471" s="44" t="str">
        <f t="shared" si="100"/>
        <v>BRL 18.63</v>
      </c>
      <c r="E471" s="44" t="str">
        <f t="shared" si="100"/>
        <v>BRL 23.00</v>
      </c>
      <c r="F471" s="45">
        <f t="shared" si="100"/>
        <v>0.23456790123456805</v>
      </c>
      <c r="G471" s="44" t="str">
        <f t="shared" si="100"/>
        <v>Buy</v>
      </c>
      <c r="H471" s="46"/>
      <c r="I471" s="45">
        <f>TIMP!$D$30/TIMP!$D$23</f>
        <v>0.10560503889278637</v>
      </c>
      <c r="J471" s="45">
        <f>TIMP!$E$30/TIMP!$E$23</f>
        <v>0.14744295788703612</v>
      </c>
      <c r="K471" s="45">
        <f>TIMP!$F$30/TIMP!$F$23</f>
        <v>0.18688780924074858</v>
      </c>
      <c r="L471" s="45">
        <f>TIMP!$G$30/TIMP!$G$23</f>
        <v>0.21333580941161076</v>
      </c>
      <c r="M471" s="45">
        <f>L471-I471</f>
        <v>0.10773077051882439</v>
      </c>
      <c r="N471" s="56"/>
      <c r="O471" s="47">
        <f>TIMP!$D$12/TIMP!$D$24</f>
        <v>1.2548976374731609</v>
      </c>
      <c r="P471" s="47">
        <f>TIMP!$E$12/TIMP!$E$24</f>
        <v>1.0279335424124951</v>
      </c>
      <c r="Q471" s="47">
        <f>TIMP!$F$12/TIMP!$F$24</f>
        <v>0.78175553079969884</v>
      </c>
      <c r="R471" s="47">
        <f>TIMP!$G$12/TIMP!$G$24</f>
        <v>0.51148363316509893</v>
      </c>
      <c r="S471" s="45">
        <f>R471-O471</f>
        <v>-0.74341400430806193</v>
      </c>
      <c r="T471" s="46"/>
      <c r="U471" s="48" t="str">
        <f t="shared" si="101"/>
        <v>BRL 18.63</v>
      </c>
      <c r="V471" s="44" t="str">
        <f t="shared" si="101"/>
        <v>TIM Participacoes</v>
      </c>
    </row>
    <row r="472" spans="1:22" s="5" customFormat="1">
      <c r="B472" s="42"/>
      <c r="C472" s="51" t="str">
        <f>C410</f>
        <v>Agg. LatAm Cellular</v>
      </c>
      <c r="D472" s="52"/>
      <c r="E472" s="52"/>
      <c r="F472" s="53"/>
      <c r="G472" s="52"/>
      <c r="H472" s="46"/>
      <c r="I472" s="55">
        <f>'LATAM CELLULAR'!$D$30/'LATAM CELLULAR'!$D$23</f>
        <v>7.5176056406290812E-2</v>
      </c>
      <c r="J472" s="55">
        <f>'LATAM CELLULAR'!$E$30/'LATAM CELLULAR'!$E$23</f>
        <v>9.5590500804035305E-2</v>
      </c>
      <c r="K472" s="55">
        <f>'LATAM CELLULAR'!$F$30/'LATAM CELLULAR'!$F$23</f>
        <v>0.12074637081575434</v>
      </c>
      <c r="L472" s="55">
        <f>'LATAM CELLULAR'!$G$30/'LATAM CELLULAR'!$G$23</f>
        <v>0.13524969767932329</v>
      </c>
      <c r="M472" s="55">
        <f>L472-I472</f>
        <v>6.0073641273032483E-2</v>
      </c>
      <c r="N472" s="56"/>
      <c r="O472" s="54">
        <f>'LATAM CELLULAR'!$D$12/'LATAM CELLULAR'!$D$24</f>
        <v>2.2659032227373066</v>
      </c>
      <c r="P472" s="54">
        <f>'LATAM CELLULAR'!$E$12/'LATAM CELLULAR'!$E$24</f>
        <v>2.0523868850006828</v>
      </c>
      <c r="Q472" s="54">
        <f>'LATAM CELLULAR'!$F$12/'LATAM CELLULAR'!$F$24</f>
        <v>1.8107343585399478</v>
      </c>
      <c r="R472" s="54">
        <f>'LATAM CELLULAR'!$G$12/'LATAM CELLULAR'!$G$24</f>
        <v>1.5508188474480105</v>
      </c>
      <c r="S472" s="55">
        <f>R472-O472</f>
        <v>-0.71508437528929614</v>
      </c>
      <c r="T472" s="46"/>
      <c r="U472" s="57"/>
      <c r="V472" s="58" t="str">
        <f>V410</f>
        <v>Agg. LatAm Cellular</v>
      </c>
    </row>
    <row r="473" spans="1:22" s="5" customFormat="1">
      <c r="A473" s="39"/>
      <c r="B473" s="42"/>
      <c r="C473" s="43"/>
      <c r="D473" s="44"/>
      <c r="E473" s="44"/>
      <c r="F473" s="45"/>
      <c r="G473" s="44"/>
      <c r="H473" s="46"/>
      <c r="I473" s="45"/>
      <c r="J473" s="45"/>
      <c r="K473" s="45"/>
      <c r="L473" s="45"/>
      <c r="M473" s="45"/>
      <c r="N473" s="46"/>
      <c r="O473" s="47"/>
      <c r="P473" s="47"/>
      <c r="Q473" s="47"/>
      <c r="R473" s="47"/>
      <c r="S473" s="45"/>
      <c r="T473" s="46"/>
      <c r="U473" s="48"/>
      <c r="V473" s="50"/>
    </row>
    <row r="474" spans="1:22" s="5" customFormat="1">
      <c r="B474" s="42"/>
      <c r="C474" s="48" t="str">
        <f t="shared" ref="C474:G487" si="102">C412</f>
        <v>AIS</v>
      </c>
      <c r="D474" s="44" t="str">
        <f t="shared" si="102"/>
        <v>THB 269.0</v>
      </c>
      <c r="E474" s="44" t="str">
        <f t="shared" si="102"/>
        <v>THB 300.0</v>
      </c>
      <c r="F474" s="45">
        <f t="shared" si="102"/>
        <v>0.11524163568773238</v>
      </c>
      <c r="G474" s="44" t="str">
        <f t="shared" si="102"/>
        <v>Buy</v>
      </c>
      <c r="H474" s="46"/>
      <c r="I474" s="45">
        <f>ADVANCED!$D$30/ADVANCED!$D$23</f>
        <v>0.15308614783478847</v>
      </c>
      <c r="J474" s="45">
        <f>ADVANCED!$E$30/ADVANCED!$E$23</f>
        <v>0.15719725375010835</v>
      </c>
      <c r="K474" s="45">
        <f>ADVANCED!$F$30/ADVANCED!$F$23</f>
        <v>0.20674927388191139</v>
      </c>
      <c r="L474" s="45">
        <f>ADVANCED!$G$30/ADVANCED!$G$23</f>
        <v>0.23679573263230261</v>
      </c>
      <c r="M474" s="45">
        <f t="shared" ref="M474:M488" si="103">L474-I474</f>
        <v>8.3709584797514142E-2</v>
      </c>
      <c r="N474" s="46"/>
      <c r="O474" s="47">
        <f>ADVANCED!$D$12/ADVANCED!$D$24</f>
        <v>1.9824865379293355</v>
      </c>
      <c r="P474" s="47">
        <f>ADVANCED!$E$12/ADVANCED!$E$24</f>
        <v>1.3242074573088174</v>
      </c>
      <c r="Q474" s="47">
        <f>ADVANCED!$F$12/ADVANCED!$F$24</f>
        <v>0.94845360014565172</v>
      </c>
      <c r="R474" s="47">
        <f>ADVANCED!$G$12/ADVANCED!$G$24</f>
        <v>0.70659815019748062</v>
      </c>
      <c r="S474" s="45">
        <f t="shared" ref="S474:S488" si="104">R474-O474</f>
        <v>-1.2758883877318548</v>
      </c>
      <c r="T474" s="46"/>
      <c r="U474" s="48" t="str">
        <f t="shared" ref="U474:V487" si="105">U412</f>
        <v>THB 269.0</v>
      </c>
      <c r="V474" s="44" t="str">
        <f t="shared" si="105"/>
        <v>AIS</v>
      </c>
    </row>
    <row r="475" spans="1:22" s="5" customFormat="1">
      <c r="A475" s="39"/>
      <c r="B475" s="42"/>
      <c r="C475" s="48" t="str">
        <f t="shared" si="102"/>
        <v>Axiata</v>
      </c>
      <c r="D475" s="44" t="str">
        <f t="shared" si="102"/>
        <v>MYR 2.44</v>
      </c>
      <c r="E475" s="44" t="str">
        <f t="shared" si="102"/>
        <v>MYR 4.50</v>
      </c>
      <c r="F475" s="45">
        <f t="shared" si="102"/>
        <v>0.84426229508196715</v>
      </c>
      <c r="G475" s="44" t="str">
        <f t="shared" si="102"/>
        <v>Buy</v>
      </c>
      <c r="H475" s="46"/>
      <c r="I475" s="45">
        <f>AXI!$D$30/AXI!$D$23</f>
        <v>8.8629258928939234E-2</v>
      </c>
      <c r="J475" s="45">
        <f>AXI!$E$30/AXI!$E$23</f>
        <v>0.14538140076720393</v>
      </c>
      <c r="K475" s="45">
        <f>AXI!$F$30/AXI!$F$23</f>
        <v>0.15735950661350162</v>
      </c>
      <c r="L475" s="45">
        <f>AXI!$G$30/AXI!$G$23</f>
        <v>0.16603180152031324</v>
      </c>
      <c r="M475" s="45">
        <f t="shared" si="103"/>
        <v>7.740254259137401E-2</v>
      </c>
      <c r="N475" s="46"/>
      <c r="O475" s="47">
        <f>AXI!$D$12/AXI!$D$24</f>
        <v>2.2153727567317469</v>
      </c>
      <c r="P475" s="47">
        <f>AXI!$E$12/AXI!$E$24</f>
        <v>2.0645295314543404</v>
      </c>
      <c r="Q475" s="47">
        <f>AXI!$F$12/AXI!$F$24</f>
        <v>1.8960742474974928</v>
      </c>
      <c r="R475" s="47">
        <f>AXI!$G$12/AXI!$G$24</f>
        <v>1.7554427359338423</v>
      </c>
      <c r="S475" s="45">
        <f t="shared" si="104"/>
        <v>-0.45993002079790468</v>
      </c>
      <c r="T475" s="46"/>
      <c r="U475" s="48" t="str">
        <f t="shared" si="105"/>
        <v>MYR 2.44</v>
      </c>
      <c r="V475" s="44" t="str">
        <f t="shared" si="105"/>
        <v>Axiata</v>
      </c>
    </row>
    <row r="476" spans="1:22" s="5" customFormat="1">
      <c r="A476" s="39"/>
      <c r="B476" s="42"/>
      <c r="C476" s="48" t="str">
        <f t="shared" si="102"/>
        <v>Bharti Airtel</v>
      </c>
      <c r="D476" s="44" t="str">
        <f t="shared" si="102"/>
        <v>INR 1539</v>
      </c>
      <c r="E476" s="44" t="str">
        <f t="shared" si="102"/>
        <v>INR 1500</v>
      </c>
      <c r="F476" s="45">
        <f t="shared" si="102"/>
        <v>-2.5404457150282611E-2</v>
      </c>
      <c r="G476" s="44" t="str">
        <f t="shared" si="102"/>
        <v>Neutral</v>
      </c>
      <c r="H476" s="46"/>
      <c r="I476" s="45">
        <f>BHART!$D$30/BHART!$D$23</f>
        <v>9.932319714062679E-2</v>
      </c>
      <c r="J476" s="45">
        <f>BHART!$E$30/BHART!$E$23</f>
        <v>0.11754139493918718</v>
      </c>
      <c r="K476" s="45">
        <f>BHART!$F$30/BHART!$F$23</f>
        <v>0.15544330213979671</v>
      </c>
      <c r="L476" s="45">
        <f>BHART!$G$30/BHART!$G$23</f>
        <v>0.18552026014578635</v>
      </c>
      <c r="M476" s="45">
        <f t="shared" si="103"/>
        <v>8.6197063005159558E-2</v>
      </c>
      <c r="N476" s="46"/>
      <c r="O476" s="47">
        <f>BHART!$D$12/BHART!$D$24</f>
        <v>2.5889554711176812</v>
      </c>
      <c r="P476" s="47">
        <f>BHART!$E$12/BHART!$E$24</f>
        <v>1.9877166026996964</v>
      </c>
      <c r="Q476" s="47">
        <f>BHART!$F$12/BHART!$F$24</f>
        <v>1.4095579749948099</v>
      </c>
      <c r="R476" s="47">
        <f>BHART!$G$12/BHART!$G$24</f>
        <v>0.91182506470190305</v>
      </c>
      <c r="S476" s="45">
        <f t="shared" si="104"/>
        <v>-1.6771304064157782</v>
      </c>
      <c r="T476" s="46"/>
      <c r="U476" s="48" t="str">
        <f t="shared" si="105"/>
        <v>INR 1539</v>
      </c>
      <c r="V476" s="44" t="str">
        <f t="shared" si="105"/>
        <v>Bharti Airtel</v>
      </c>
    </row>
    <row r="477" spans="1:22" s="5" customFormat="1">
      <c r="B477" s="42"/>
      <c r="C477" s="48" t="str">
        <f t="shared" si="102"/>
        <v>China Mobile</v>
      </c>
      <c r="D477" s="44" t="str">
        <f t="shared" si="102"/>
        <v>HKD 72.0</v>
      </c>
      <c r="E477" s="44" t="str">
        <f t="shared" si="102"/>
        <v>HKD 115.0</v>
      </c>
      <c r="F477" s="45">
        <f t="shared" si="102"/>
        <v>0.59722222222222232</v>
      </c>
      <c r="G477" s="44" t="str">
        <f t="shared" si="102"/>
        <v>Buy</v>
      </c>
      <c r="H477" s="46"/>
      <c r="I477" s="45">
        <f>_CM!$D$30/_CM!$D$23</f>
        <v>0.13055070350110817</v>
      </c>
      <c r="J477" s="45">
        <f>_CM!$E$30/_CM!$E$23</f>
        <v>0.13316354520082777</v>
      </c>
      <c r="K477" s="45">
        <f>_CM!$F$30/_CM!$F$23</f>
        <v>0.13519763162831519</v>
      </c>
      <c r="L477" s="45">
        <f>_CM!$G$30/_CM!$G$23</f>
        <v>0.1402763062139766</v>
      </c>
      <c r="M477" s="45">
        <f t="shared" si="103"/>
        <v>9.7256027128684308E-3</v>
      </c>
      <c r="N477" s="46"/>
      <c r="O477" s="47">
        <f>_CM!$D$12/_CM!$D$24</f>
        <v>-0.22208751369048663</v>
      </c>
      <c r="P477" s="47">
        <f>_CM!$E$12/_CM!$E$24</f>
        <v>-0.32357920518708944</v>
      </c>
      <c r="Q477" s="47">
        <f>_CM!$F$12/_CM!$F$24</f>
        <v>-0.42865986980297294</v>
      </c>
      <c r="R477" s="47">
        <f>_CM!$G$12/_CM!$G$24</f>
        <v>-0.52779878653907419</v>
      </c>
      <c r="S477" s="45">
        <f t="shared" si="104"/>
        <v>-0.30571127284858757</v>
      </c>
      <c r="T477" s="46"/>
      <c r="U477" s="48" t="str">
        <f t="shared" si="105"/>
        <v>HKD 72.0</v>
      </c>
      <c r="V477" s="44" t="str">
        <f t="shared" si="105"/>
        <v>China Mobile</v>
      </c>
    </row>
    <row r="478" spans="1:22" s="5" customFormat="1">
      <c r="B478" s="42"/>
      <c r="C478" s="48" t="str">
        <f t="shared" si="102"/>
        <v>CelcomDigi</v>
      </c>
      <c r="D478" s="44" t="str">
        <f t="shared" si="102"/>
        <v>MYR 3.7</v>
      </c>
      <c r="E478" s="44" t="str">
        <f t="shared" si="102"/>
        <v>MYR 6.0</v>
      </c>
      <c r="F478" s="45">
        <f t="shared" si="102"/>
        <v>0.63934426229508201</v>
      </c>
      <c r="G478" s="44" t="str">
        <f t="shared" si="102"/>
        <v>Buy</v>
      </c>
      <c r="H478" s="46"/>
      <c r="I478" s="45">
        <f>DIGI!$D$30/DIGI!$D$23</f>
        <v>0.1695182527793109</v>
      </c>
      <c r="J478" s="45">
        <f>DIGI!$E$30/DIGI!$E$23</f>
        <v>0.14874742677025457</v>
      </c>
      <c r="K478" s="45">
        <f>DIGI!$F$30/DIGI!$F$23</f>
        <v>0.17555341930821647</v>
      </c>
      <c r="L478" s="45">
        <f>DIGI!$G$30/DIGI!$G$23</f>
        <v>0.20050395370319193</v>
      </c>
      <c r="M478" s="45">
        <f t="shared" si="103"/>
        <v>3.0985700923881032E-2</v>
      </c>
      <c r="N478" s="46"/>
      <c r="O478" s="47">
        <f>DIGI!$D$12/DIGI!$D$24</f>
        <v>2.4663349322034893</v>
      </c>
      <c r="P478" s="47">
        <f>DIGI!$E$12/DIGI!$E$24</f>
        <v>2.1295409586157827</v>
      </c>
      <c r="Q478" s="47">
        <f>DIGI!$F$12/DIGI!$F$24</f>
        <v>1.8569008082766745</v>
      </c>
      <c r="R478" s="47">
        <f>DIGI!$G$12/DIGI!$G$24</f>
        <v>1.6159281825597414</v>
      </c>
      <c r="S478" s="45">
        <f t="shared" si="104"/>
        <v>-0.85040674964374796</v>
      </c>
      <c r="T478" s="46"/>
      <c r="U478" s="48" t="str">
        <f t="shared" si="105"/>
        <v>MYR 3.7</v>
      </c>
      <c r="V478" s="44" t="str">
        <f t="shared" si="105"/>
        <v>CelcomDigi</v>
      </c>
    </row>
    <row r="479" spans="1:22" s="5" customFormat="1">
      <c r="B479" s="42"/>
      <c r="C479" s="48" t="str">
        <f t="shared" si="102"/>
        <v>Far EasTone</v>
      </c>
      <c r="D479" s="44" t="str">
        <f t="shared" si="102"/>
        <v>TWD 91.9</v>
      </c>
      <c r="E479" s="44" t="str">
        <f t="shared" si="102"/>
        <v>TWD n/r</v>
      </c>
      <c r="F479" s="45" t="str">
        <f t="shared" si="102"/>
        <v>-</v>
      </c>
      <c r="G479" s="44" t="str">
        <f t="shared" si="102"/>
        <v>n/r</v>
      </c>
      <c r="H479" s="46"/>
      <c r="I479" s="45">
        <f>FAR!$D$30/FAR!$D$23</f>
        <v>0.14739074133422625</v>
      </c>
      <c r="J479" s="45">
        <f>FAR!$E$30/FAR!$E$23</f>
        <v>0.15055946980701124</v>
      </c>
      <c r="K479" s="45">
        <f>FAR!$F$30/FAR!$F$23</f>
        <v>0.15375974140415863</v>
      </c>
      <c r="L479" s="45">
        <f>FAR!$G$30/FAR!$G$23</f>
        <v>0.15588743311261352</v>
      </c>
      <c r="M479" s="45">
        <f t="shared" si="103"/>
        <v>8.496691778387272E-3</v>
      </c>
      <c r="N479" s="46"/>
      <c r="O479" s="47">
        <f>FAR!$D$12/FAR!$D$24</f>
        <v>2.4848812340403725</v>
      </c>
      <c r="P479" s="47">
        <f>FAR!$E$12/FAR!$E$24</f>
        <v>2.3581732580369565</v>
      </c>
      <c r="Q479" s="47">
        <f>FAR!$F$12/FAR!$F$24</f>
        <v>2.2367805551597004</v>
      </c>
      <c r="R479" s="47">
        <f>FAR!$G$12/FAR!$G$24</f>
        <v>2.1200966394646326</v>
      </c>
      <c r="S479" s="45">
        <f t="shared" si="104"/>
        <v>-0.36478459457573997</v>
      </c>
      <c r="T479" s="46"/>
      <c r="U479" s="48" t="str">
        <f t="shared" si="105"/>
        <v>TWD 91.9</v>
      </c>
      <c r="V479" s="44" t="str">
        <f t="shared" si="105"/>
        <v>Far EasTone</v>
      </c>
    </row>
    <row r="480" spans="1:22" s="5" customFormat="1">
      <c r="B480" s="42"/>
      <c r="C480" s="48" t="str">
        <f t="shared" si="102"/>
        <v>Vodafone IDEA</v>
      </c>
      <c r="D480" s="44" t="str">
        <f t="shared" si="102"/>
        <v>INR 13.4</v>
      </c>
      <c r="E480" s="44" t="str">
        <f t="shared" si="102"/>
        <v>INR 5.0</v>
      </c>
      <c r="F480" s="45">
        <f t="shared" si="102"/>
        <v>-0.62574850299401197</v>
      </c>
      <c r="G480" s="44" t="str">
        <f t="shared" si="102"/>
        <v>Reduce</v>
      </c>
      <c r="H480" s="46"/>
      <c r="I480" s="45">
        <f>IDEA!$D$30/IDEA!$D$23</f>
        <v>-0.73222872710818088</v>
      </c>
      <c r="J480" s="45">
        <f>IDEA!$E$30/IDEA!$E$23</f>
        <v>-0.55879099542093602</v>
      </c>
      <c r="K480" s="45">
        <f>IDEA!$F$30/IDEA!$F$23</f>
        <v>-0.46088278980486241</v>
      </c>
      <c r="L480" s="45">
        <f>IDEA!$G$30/IDEA!$G$23</f>
        <v>-0.44205421595801414</v>
      </c>
      <c r="M480" s="45">
        <f t="shared" si="103"/>
        <v>0.29017451115016674</v>
      </c>
      <c r="N480" s="46"/>
      <c r="O480" s="47">
        <f>IDEA!$D$12/IDEA!$D$24</f>
        <v>12.113873642415042</v>
      </c>
      <c r="P480" s="47">
        <f>IDEA!$E$12/IDEA!$E$24</f>
        <v>11.248487588864819</v>
      </c>
      <c r="Q480" s="47">
        <f>IDEA!$F$12/IDEA!$F$24</f>
        <v>10.592900375831983</v>
      </c>
      <c r="R480" s="47">
        <f>IDEA!$G$12/IDEA!$G$24</f>
        <v>10.054788395245232</v>
      </c>
      <c r="S480" s="45">
        <f t="shared" si="104"/>
        <v>-2.0590852471698096</v>
      </c>
      <c r="T480" s="46"/>
      <c r="U480" s="48" t="str">
        <f t="shared" si="105"/>
        <v>INR 13.4</v>
      </c>
      <c r="V480" s="44" t="str">
        <f t="shared" si="105"/>
        <v>Vodafone IDEA</v>
      </c>
    </row>
    <row r="481" spans="1:31" s="5" customFormat="1">
      <c r="B481" s="42"/>
      <c r="C481" s="48" t="str">
        <f t="shared" si="102"/>
        <v>Indosat</v>
      </c>
      <c r="D481" s="44" t="str">
        <f t="shared" si="102"/>
        <v>IDR 10,900</v>
      </c>
      <c r="E481" s="44" t="str">
        <f t="shared" si="102"/>
        <v>IDR 12,500</v>
      </c>
      <c r="F481" s="45">
        <f t="shared" si="102"/>
        <v>0.14678899082568808</v>
      </c>
      <c r="G481" s="44" t="str">
        <f t="shared" si="102"/>
        <v>Buy</v>
      </c>
      <c r="H481" s="46"/>
      <c r="I481" s="45">
        <f>INDO!$D$30/INDO!$D$23</f>
        <v>8.7965792679117971E-2</v>
      </c>
      <c r="J481" s="45">
        <f>INDO!$E$30/INDO!$E$23</f>
        <v>0.10522354761888603</v>
      </c>
      <c r="K481" s="45">
        <f>INDO!$F$30/INDO!$F$23</f>
        <v>0.11882114460287678</v>
      </c>
      <c r="L481" s="45">
        <f>INDO!$G$30/INDO!$G$23</f>
        <v>0.13145978475189657</v>
      </c>
      <c r="M481" s="45">
        <f t="shared" si="103"/>
        <v>4.3493992072778598E-2</v>
      </c>
      <c r="N481" s="46"/>
      <c r="O481" s="47">
        <f>INDO!$D$12/INDO!$D$24</f>
        <v>2.0329320575142882</v>
      </c>
      <c r="P481" s="47">
        <f>INDO!$E$12/INDO!$E$24</f>
        <v>1.469071789666879</v>
      </c>
      <c r="Q481" s="47">
        <f>INDO!$F$12/INDO!$F$24</f>
        <v>0.97763890121103525</v>
      </c>
      <c r="R481" s="47">
        <f>INDO!$G$12/INDO!$G$24</f>
        <v>0.53306856807466474</v>
      </c>
      <c r="S481" s="45">
        <f t="shared" si="104"/>
        <v>-1.4998634894396234</v>
      </c>
      <c r="T481" s="46"/>
      <c r="U481" s="48" t="str">
        <f t="shared" si="105"/>
        <v>IDR 10,900</v>
      </c>
      <c r="V481" s="44" t="str">
        <f t="shared" si="105"/>
        <v>Indosat</v>
      </c>
    </row>
    <row r="482" spans="1:31" s="5" customFormat="1">
      <c r="B482" s="42"/>
      <c r="C482" s="48" t="str">
        <f t="shared" si="102"/>
        <v>LG Uplus</v>
      </c>
      <c r="D482" s="44" t="str">
        <f t="shared" si="102"/>
        <v>KRW 9,890</v>
      </c>
      <c r="E482" s="44" t="str">
        <f t="shared" si="102"/>
        <v>KRW 21,000</v>
      </c>
      <c r="F482" s="45">
        <f t="shared" si="102"/>
        <v>1.1233569261880687</v>
      </c>
      <c r="G482" s="44" t="str">
        <f t="shared" si="102"/>
        <v>Buy</v>
      </c>
      <c r="H482" s="46"/>
      <c r="I482" s="45">
        <f>_LG!$D$30/_LG!$D$23</f>
        <v>5.1185002368976655E-2</v>
      </c>
      <c r="J482" s="45">
        <f>_LG!$E$30/_LG!$E$23</f>
        <v>4.8354240000075856E-2</v>
      </c>
      <c r="K482" s="45">
        <f>_LG!$F$30/_LG!$F$23</f>
        <v>5.2152938027383723E-2</v>
      </c>
      <c r="L482" s="45">
        <f>_LG!$G$30/_LG!$G$23</f>
        <v>5.6461415761082795E-2</v>
      </c>
      <c r="M482" s="45">
        <f t="shared" si="103"/>
        <v>5.2764133921061399E-3</v>
      </c>
      <c r="N482" s="46"/>
      <c r="O482" s="47">
        <f>_LG!$D$12/_LG!$D$24</f>
        <v>1.6030874401143083</v>
      </c>
      <c r="P482" s="47">
        <f>_LG!$E$12/_LG!$E$24</f>
        <v>1.5822033066810894</v>
      </c>
      <c r="Q482" s="47">
        <f>_LG!$F$12/_LG!$F$24</f>
        <v>1.5404659717607609</v>
      </c>
      <c r="R482" s="47">
        <f>_LG!$G$12/_LG!$G$24</f>
        <v>1.4917825461475229</v>
      </c>
      <c r="S482" s="45">
        <f t="shared" si="104"/>
        <v>-0.11130489396678533</v>
      </c>
      <c r="T482" s="46"/>
      <c r="U482" s="48" t="str">
        <f t="shared" si="105"/>
        <v>KRW 9,890</v>
      </c>
      <c r="V482" s="44" t="str">
        <f t="shared" si="105"/>
        <v>LG Uplus</v>
      </c>
    </row>
    <row r="483" spans="1:31" s="5" customFormat="1">
      <c r="A483" s="39"/>
      <c r="B483" s="42"/>
      <c r="C483" s="48" t="str">
        <f t="shared" si="102"/>
        <v>Maxis</v>
      </c>
      <c r="D483" s="44" t="str">
        <f t="shared" si="102"/>
        <v>MYR 3.82</v>
      </c>
      <c r="E483" s="44" t="str">
        <f t="shared" si="102"/>
        <v>MYR 5.60</v>
      </c>
      <c r="F483" s="45">
        <f t="shared" si="102"/>
        <v>0.46596858638743455</v>
      </c>
      <c r="G483" s="44" t="str">
        <f t="shared" si="102"/>
        <v>Buy</v>
      </c>
      <c r="H483" s="46"/>
      <c r="I483" s="45">
        <f>MAXI!$D$30/MAXI!$D$23</f>
        <v>9.7545661469507924E-2</v>
      </c>
      <c r="J483" s="45">
        <f>MAXI!$E$30/MAXI!$E$23</f>
        <v>0.13371527877928069</v>
      </c>
      <c r="K483" s="45">
        <f>MAXI!$F$30/MAXI!$F$23</f>
        <v>0.14736092028910447</v>
      </c>
      <c r="L483" s="45">
        <f>MAXI!$G$30/MAXI!$G$23</f>
        <v>0.15805419140655091</v>
      </c>
      <c r="M483" s="45">
        <f t="shared" si="103"/>
        <v>6.050852993704299E-2</v>
      </c>
      <c r="N483" s="46"/>
      <c r="O483" s="47">
        <f>MAXI!$D$12/MAXI!$D$24</f>
        <v>2.3239898989898991</v>
      </c>
      <c r="P483" s="47">
        <f>MAXI!$E$12/MAXI!$E$24</f>
        <v>2.0674539516845081</v>
      </c>
      <c r="Q483" s="47">
        <f>MAXI!$F$12/MAXI!$F$24</f>
        <v>1.8971068541933029</v>
      </c>
      <c r="R483" s="47">
        <f>MAXI!$G$12/MAXI!$G$24</f>
        <v>1.7542599893433837</v>
      </c>
      <c r="S483" s="45">
        <f t="shared" si="104"/>
        <v>-0.56972990964651538</v>
      </c>
      <c r="T483" s="46"/>
      <c r="U483" s="48" t="str">
        <f t="shared" si="105"/>
        <v>MYR 3.82</v>
      </c>
      <c r="V483" s="44" t="str">
        <f t="shared" si="105"/>
        <v>Maxis</v>
      </c>
    </row>
    <row r="484" spans="1:31" s="5" customFormat="1">
      <c r="B484" s="42"/>
      <c r="C484" s="48" t="str">
        <f t="shared" si="102"/>
        <v>SK Telecom</v>
      </c>
      <c r="D484" s="44" t="str">
        <f t="shared" si="102"/>
        <v>KRW 57,800</v>
      </c>
      <c r="E484" s="44" t="str">
        <f t="shared" si="102"/>
        <v>KRW 116,000</v>
      </c>
      <c r="F484" s="45">
        <f t="shared" si="102"/>
        <v>1.0069204152249136</v>
      </c>
      <c r="G484" s="44" t="str">
        <f t="shared" si="102"/>
        <v>Buy</v>
      </c>
      <c r="H484" s="46"/>
      <c r="I484" s="45">
        <f>SKT!$D$30/SKT!$D$23</f>
        <v>5.3157837869836543E-2</v>
      </c>
      <c r="J484" s="45">
        <f>SKT!$E$30/SKT!$E$23</f>
        <v>7.0861271719223629E-2</v>
      </c>
      <c r="K484" s="45">
        <f>SKT!$F$30/SKT!$F$23</f>
        <v>7.4350144314632688E-2</v>
      </c>
      <c r="L484" s="45">
        <f>SKT!$G$30/SKT!$G$23</f>
        <v>7.9286105333891535E-2</v>
      </c>
      <c r="M484" s="45">
        <f t="shared" si="103"/>
        <v>2.6128267464054993E-2</v>
      </c>
      <c r="N484" s="46"/>
      <c r="O484" s="47">
        <f>SKT!$D$12/SKT!$D$24</f>
        <v>1.6756462379542969</v>
      </c>
      <c r="P484" s="47">
        <f>SKT!$E$12/SKT!$E$24</f>
        <v>1.5279696202344906</v>
      </c>
      <c r="Q484" s="47">
        <f>SKT!$F$12/SKT!$F$24</f>
        <v>1.3915092151749013</v>
      </c>
      <c r="R484" s="47">
        <f>SKT!$G$12/SKT!$G$24</f>
        <v>1.2082455666356968</v>
      </c>
      <c r="S484" s="45">
        <f t="shared" si="104"/>
        <v>-0.46740067131860008</v>
      </c>
      <c r="T484" s="46"/>
      <c r="U484" s="48" t="str">
        <f t="shared" si="105"/>
        <v>KRW 57,800</v>
      </c>
      <c r="V484" s="44" t="str">
        <f t="shared" si="105"/>
        <v>SK Telecom</v>
      </c>
    </row>
    <row r="485" spans="1:31" s="5" customFormat="1">
      <c r="B485" s="42"/>
      <c r="C485" s="48" t="str">
        <f t="shared" si="102"/>
        <v>Taiwan Mobile</v>
      </c>
      <c r="D485" s="44" t="str">
        <f t="shared" si="102"/>
        <v>TWD 115.0</v>
      </c>
      <c r="E485" s="44" t="str">
        <f t="shared" si="102"/>
        <v>TWD n/r</v>
      </c>
      <c r="F485" s="45" t="str">
        <f t="shared" si="102"/>
        <v>-</v>
      </c>
      <c r="G485" s="44" t="str">
        <f t="shared" si="102"/>
        <v>n/r</v>
      </c>
      <c r="H485" s="46"/>
      <c r="I485" s="45">
        <f>TAIWAN!$D$30/TAIWAN!$D$23</f>
        <v>8.0016178796081222E-2</v>
      </c>
      <c r="J485" s="45">
        <f>TAIWAN!$E$30/TAIWAN!$E$23</f>
        <v>9.1356068632886797E-2</v>
      </c>
      <c r="K485" s="45">
        <f>TAIWAN!$F$30/TAIWAN!$F$23</f>
        <v>0.100085938272681</v>
      </c>
      <c r="L485" s="45">
        <f>TAIWAN!$G$30/TAIWAN!$G$23</f>
        <v>0.10965430707131604</v>
      </c>
      <c r="M485" s="45">
        <f t="shared" si="103"/>
        <v>2.9638128275234821E-2</v>
      </c>
      <c r="N485" s="46"/>
      <c r="O485" s="47">
        <f>TAIWAN!$D$12/TAIWAN!$D$24</f>
        <v>2.089398889248729</v>
      </c>
      <c r="P485" s="47">
        <f>TAIWAN!$E$12/TAIWAN!$E$24</f>
        <v>1.876022607772478</v>
      </c>
      <c r="Q485" s="47">
        <f>TAIWAN!$F$12/TAIWAN!$F$24</f>
        <v>1.6559265730535735</v>
      </c>
      <c r="R485" s="47">
        <f>TAIWAN!$G$12/TAIWAN!$G$24</f>
        <v>1.3648068546669339</v>
      </c>
      <c r="S485" s="45">
        <f t="shared" si="104"/>
        <v>-0.72459203458179511</v>
      </c>
      <c r="T485" s="46"/>
      <c r="U485" s="48" t="str">
        <f t="shared" si="105"/>
        <v>TWD 115.0</v>
      </c>
      <c r="V485" s="44" t="str">
        <f t="shared" si="105"/>
        <v>Taiwan Mobile</v>
      </c>
    </row>
    <row r="486" spans="1:31" s="5" customFormat="1">
      <c r="B486" s="42"/>
      <c r="C486" s="48" t="str">
        <f t="shared" si="102"/>
        <v>True Corp</v>
      </c>
      <c r="D486" s="44" t="str">
        <f t="shared" si="102"/>
        <v>THB 10.7</v>
      </c>
      <c r="E486" s="44" t="str">
        <f t="shared" si="102"/>
        <v>THB 15.0</v>
      </c>
      <c r="F486" s="45">
        <f t="shared" si="102"/>
        <v>0.40186915887850483</v>
      </c>
      <c r="G486" s="44" t="str">
        <f t="shared" si="102"/>
        <v>Buy</v>
      </c>
      <c r="H486" s="46"/>
      <c r="I486" s="45">
        <f>TRUECORP!$D$30/TRUECORP!$D$23</f>
        <v>-7.7340576566628544E-2</v>
      </c>
      <c r="J486" s="45">
        <f>TRUECORP!$E$30/TRUECORP!$E$23</f>
        <v>1.6099624592370954E-2</v>
      </c>
      <c r="K486" s="45">
        <f>TRUECORP!$F$30/TRUECORP!$F$23</f>
        <v>9.1387039333422557E-2</v>
      </c>
      <c r="L486" s="45">
        <f>TRUECORP!$G$30/TRUECORP!$G$23</f>
        <v>0.14871647199835791</v>
      </c>
      <c r="M486" s="45">
        <f>L486-I486</f>
        <v>0.22605704856498646</v>
      </c>
      <c r="N486" s="46"/>
      <c r="O486" s="47">
        <f>TRUECORP!$D$12/TRUECORP!$D$24</f>
        <v>5.7690908030559278</v>
      </c>
      <c r="P486" s="47">
        <f>TRUECORP!$E$12/TRUECORP!$E$24</f>
        <v>4.7419725992484647</v>
      </c>
      <c r="Q486" s="47">
        <f>TRUECORP!$F$12/TRUECORP!$F$24</f>
        <v>3.9891573173106525</v>
      </c>
      <c r="R486" s="47">
        <f>TRUECORP!$G$12/TRUECORP!$G$24</f>
        <v>3.3356227622478096</v>
      </c>
      <c r="S486" s="45">
        <f>R486-O486</f>
        <v>-2.4334680408081182</v>
      </c>
      <c r="T486" s="46"/>
      <c r="U486" s="48" t="str">
        <f t="shared" si="105"/>
        <v>THB 10.7</v>
      </c>
      <c r="V486" s="44" t="str">
        <f t="shared" si="105"/>
        <v>True Corp</v>
      </c>
    </row>
    <row r="487" spans="1:31" s="5" customFormat="1">
      <c r="B487" s="42"/>
      <c r="C487" s="48" t="str">
        <f t="shared" si="102"/>
        <v>XL Axiata</v>
      </c>
      <c r="D487" s="44" t="str">
        <f t="shared" si="102"/>
        <v>IDR 2,330</v>
      </c>
      <c r="E487" s="44" t="str">
        <f t="shared" si="102"/>
        <v>IDR 5,000</v>
      </c>
      <c r="F487" s="45">
        <f t="shared" si="102"/>
        <v>1.1459227467811157</v>
      </c>
      <c r="G487" s="44" t="str">
        <f t="shared" si="102"/>
        <v>Buy</v>
      </c>
      <c r="H487" s="46"/>
      <c r="I487" s="45">
        <f>XLAX!$D$30/XLAX!$D$23</f>
        <v>3.9738324681351161E-2</v>
      </c>
      <c r="J487" s="45">
        <f>XLAX!$E$30/XLAX!$E$23</f>
        <v>4.7340607582412049E-2</v>
      </c>
      <c r="K487" s="45">
        <f>XLAX!$F$30/XLAX!$F$23</f>
        <v>5.8020179819500181E-2</v>
      </c>
      <c r="L487" s="45">
        <f>XLAX!$G$30/XLAX!$G$23</f>
        <v>6.914136041770684E-2</v>
      </c>
      <c r="M487" s="45">
        <f t="shared" si="103"/>
        <v>2.9403035736355679E-2</v>
      </c>
      <c r="N487" s="56"/>
      <c r="O487" s="47">
        <f>XLAX!$D$12/XLAX!$D$24</f>
        <v>2.8298399118665407</v>
      </c>
      <c r="P487" s="47">
        <f>XLAX!$E$12/XLAX!$E$24</f>
        <v>2.2351911284784558</v>
      </c>
      <c r="Q487" s="47">
        <f>XLAX!$F$12/XLAX!$F$24</f>
        <v>1.7986107888766749</v>
      </c>
      <c r="R487" s="47">
        <f>XLAX!$G$12/XLAX!$G$24</f>
        <v>1.3773911218517743</v>
      </c>
      <c r="S487" s="45">
        <f t="shared" si="104"/>
        <v>-1.4524487900147665</v>
      </c>
      <c r="T487" s="46"/>
      <c r="U487" s="48" t="str">
        <f t="shared" si="105"/>
        <v>IDR 2,330</v>
      </c>
      <c r="V487" s="44" t="str">
        <f t="shared" si="105"/>
        <v>XL Axiata</v>
      </c>
    </row>
    <row r="488" spans="1:31" s="5" customFormat="1">
      <c r="B488" s="42"/>
      <c r="C488" s="51" t="str">
        <f>C426</f>
        <v>Agg. Emerging Asia Cellular</v>
      </c>
      <c r="D488" s="52"/>
      <c r="E488" s="52"/>
      <c r="F488" s="53"/>
      <c r="G488" s="52"/>
      <c r="H488" s="46"/>
      <c r="I488" s="55">
        <f>'EM ASIA CELLULAR'!$D$30/'EM ASIA CELLULAR'!$D$23</f>
        <v>9.1944855485691701E-2</v>
      </c>
      <c r="J488" s="55">
        <f>'EM ASIA CELLULAR'!$E$30/'EM ASIA CELLULAR'!$E$23</f>
        <v>0.10403190736647083</v>
      </c>
      <c r="K488" s="55">
        <f>'EM ASIA CELLULAR'!$F$30/'EM ASIA CELLULAR'!$F$23</f>
        <v>0.11506529074232449</v>
      </c>
      <c r="L488" s="55">
        <f>'EM ASIA CELLULAR'!$G$30/'EM ASIA CELLULAR'!$G$23</f>
        <v>0.12532810168660596</v>
      </c>
      <c r="M488" s="55">
        <f t="shared" si="103"/>
        <v>3.3383246200914263E-2</v>
      </c>
      <c r="N488" s="56"/>
      <c r="O488" s="54">
        <f>'EM ASIA CELLULAR'!$D$12/'EM ASIA CELLULAR'!$D$24</f>
        <v>1.1278193041185602</v>
      </c>
      <c r="P488" s="54">
        <f>'EM ASIA CELLULAR'!$E$12/'EM ASIA CELLULAR'!$E$24</f>
        <v>0.93695423790481924</v>
      </c>
      <c r="Q488" s="54">
        <f>'EM ASIA CELLULAR'!$F$12/'EM ASIA CELLULAR'!$F$24</f>
        <v>0.76391277841469452</v>
      </c>
      <c r="R488" s="54">
        <f>'EM ASIA CELLULAR'!$G$12/'EM ASIA CELLULAR'!$G$24</f>
        <v>0.58148401698132135</v>
      </c>
      <c r="S488" s="55">
        <f t="shared" si="104"/>
        <v>-0.54633528713723889</v>
      </c>
      <c r="T488" s="46"/>
      <c r="U488" s="57"/>
      <c r="V488" s="58" t="str">
        <f>V426</f>
        <v>Agg. Emerging Asia Cellular</v>
      </c>
    </row>
    <row r="489" spans="1:31" s="5" customFormat="1">
      <c r="B489" s="42"/>
      <c r="C489" s="43"/>
      <c r="D489" s="44"/>
      <c r="E489" s="44"/>
      <c r="F489" s="68"/>
      <c r="G489" s="44"/>
      <c r="H489" s="46"/>
      <c r="I489" s="61"/>
      <c r="J489" s="61"/>
      <c r="K489" s="61"/>
      <c r="L489" s="61"/>
      <c r="M489" s="61"/>
      <c r="N489" s="46"/>
      <c r="O489" s="62"/>
      <c r="P489" s="62"/>
      <c r="Q489" s="62"/>
      <c r="R489" s="62"/>
      <c r="S489" s="61"/>
      <c r="T489" s="46"/>
      <c r="U489" s="48"/>
      <c r="V489" s="50"/>
    </row>
    <row r="490" spans="1:31" s="5" customFormat="1">
      <c r="B490" s="42"/>
      <c r="C490" s="51" t="str">
        <f>C428</f>
        <v>Agg. Emerging  Cellular</v>
      </c>
      <c r="D490" s="52"/>
      <c r="E490" s="52"/>
      <c r="F490" s="53"/>
      <c r="G490" s="52"/>
      <c r="H490" s="46"/>
      <c r="I490" s="55">
        <f>'EM CELLULAR'!$D$30/'EM CELLULAR'!$D$23</f>
        <v>9.0464166369401897E-2</v>
      </c>
      <c r="J490" s="55">
        <f>'EM CELLULAR'!$E$30/'EM CELLULAR'!$E$23</f>
        <v>0.10276210987280367</v>
      </c>
      <c r="K490" s="55">
        <f>'EM CELLULAR'!$F$30/'EM CELLULAR'!$F$23</f>
        <v>0.11653302249850131</v>
      </c>
      <c r="L490" s="55">
        <f>'EM CELLULAR'!$G$30/'EM CELLULAR'!$G$23</f>
        <v>0.1273831860160349</v>
      </c>
      <c r="M490" s="55">
        <f t="shared" ref="M490" si="106">L490-I490</f>
        <v>3.6919019646633008E-2</v>
      </c>
      <c r="N490" s="46"/>
      <c r="O490" s="54">
        <f>'EM CELLULAR'!$D$12/'EM CELLULAR'!$D$24</f>
        <v>1.2235726747392639</v>
      </c>
      <c r="P490" s="54">
        <f>'EM CELLULAR'!$E$12/'EM CELLULAR'!$E$24</f>
        <v>1.0666860879762046</v>
      </c>
      <c r="Q490" s="54">
        <f>'EM CELLULAR'!$F$12/'EM CELLULAR'!$F$24</f>
        <v>0.89285649407544865</v>
      </c>
      <c r="R490" s="54">
        <f>'EM CELLULAR'!$G$12/'EM CELLULAR'!$G$24</f>
        <v>0.71388372341877815</v>
      </c>
      <c r="S490" s="55">
        <f t="shared" ref="S490" si="107">R490-O490</f>
        <v>-0.50968895132048575</v>
      </c>
      <c r="T490" s="46"/>
      <c r="U490" s="57"/>
      <c r="V490" s="58" t="str">
        <f>V428</f>
        <v>Agg. Emerging  Cellular</v>
      </c>
    </row>
    <row r="491" spans="1:31" s="5" customFormat="1">
      <c r="A491" s="39"/>
      <c r="B491" s="42"/>
      <c r="C491" s="43"/>
      <c r="D491" s="44"/>
      <c r="E491" s="44"/>
      <c r="F491" s="45"/>
      <c r="G491" s="44"/>
      <c r="H491" s="46"/>
      <c r="I491" s="45"/>
      <c r="J491" s="45"/>
      <c r="K491" s="45"/>
      <c r="L491" s="45"/>
      <c r="M491" s="45"/>
      <c r="N491" s="46"/>
      <c r="O491" s="47"/>
      <c r="P491" s="47"/>
      <c r="Q491" s="47"/>
      <c r="R491" s="47"/>
      <c r="S491" s="45"/>
      <c r="T491" s="46"/>
      <c r="U491" s="48"/>
      <c r="V491" s="50"/>
    </row>
    <row r="492" spans="1:31">
      <c r="A492" s="41" t="s">
        <v>503</v>
      </c>
      <c r="B492" s="42" t="s">
        <v>577</v>
      </c>
      <c r="C492" s="48" t="s">
        <v>811</v>
      </c>
      <c r="D492" s="44" t="str">
        <f>'EM Multiples'!B492&amp;TEXT(Prices!C$135,"0.00")</f>
        <v>MXN42.67</v>
      </c>
      <c r="E492" s="44" t="str">
        <f>'EM Multiples'!B492&amp;TEXT(Prices!E$135,"0.00")</f>
        <v>MXN55.00</v>
      </c>
      <c r="F492" s="45">
        <f>Prices!F$135</f>
        <v>0.28896179985938586</v>
      </c>
      <c r="G492" s="44" t="str">
        <f>Prices!D$135</f>
        <v>Buy</v>
      </c>
      <c r="H492" s="46"/>
      <c r="I492" s="45">
        <f>MEGA!$D$30/MEGA!$D$23</f>
        <v>0.22258694419401259</v>
      </c>
      <c r="J492" s="45">
        <f>MEGA!$E$30/MEGA!$E$23</f>
        <v>0.21688937298041919</v>
      </c>
      <c r="K492" s="45">
        <f>MEGA!$F$30/MEGA!$F$23</f>
        <v>0.21159861579898517</v>
      </c>
      <c r="L492" s="45">
        <f>MEGA!$G$30/MEGA!$G$23</f>
        <v>0.20368062031039469</v>
      </c>
      <c r="M492" s="45">
        <f>L492-I492</f>
        <v>-1.8906323883617904E-2</v>
      </c>
      <c r="N492" s="46"/>
      <c r="O492" s="47">
        <f>MEGA!$D$12/MEGA!$D$24</f>
        <v>1.4453674943563573</v>
      </c>
      <c r="P492" s="47">
        <f>MEGA!$E$12/MEGA!$E$24</f>
        <v>1.6461146582071524</v>
      </c>
      <c r="Q492" s="47">
        <f>MEGA!$F$12/MEGA!$F$24</f>
        <v>1.5948015481225482</v>
      </c>
      <c r="R492" s="47">
        <f>MEGA!$G$12/MEGA!$G$24</f>
        <v>1.4200533317606507</v>
      </c>
      <c r="S492" s="45">
        <f>R492-O492</f>
        <v>-2.5314162595706513E-2</v>
      </c>
      <c r="T492" s="46"/>
      <c r="U492" s="48" t="str">
        <f>D492</f>
        <v>MXN42.67</v>
      </c>
      <c r="V492" s="44" t="str">
        <f>C492</f>
        <v>Megacable</v>
      </c>
      <c r="Z492" s="46"/>
      <c r="AE492" s="41"/>
    </row>
    <row r="493" spans="1:31">
      <c r="A493" s="5"/>
      <c r="B493" s="42" t="s">
        <v>406</v>
      </c>
      <c r="C493" s="48" t="s">
        <v>797</v>
      </c>
      <c r="D493" s="44" t="str">
        <f>'EM Multiples'!B493&amp;TEXT(Prices!C$138,"0.00")</f>
        <v>USD9.48</v>
      </c>
      <c r="E493" s="44" t="str">
        <f>'EM Multiples'!B493&amp;TEXT(Prices!E$138,"0.00")</f>
        <v>USD14.00</v>
      </c>
      <c r="F493" s="45">
        <f>Prices!F$138</f>
        <v>0.47679324894514763</v>
      </c>
      <c r="G493" s="44" t="str">
        <f>Prices!D$138</f>
        <v>Buy</v>
      </c>
      <c r="H493" s="46"/>
      <c r="I493" s="45">
        <f>LiLAC!$D$30/LiLAC!$D$23</f>
        <v>2.9376013931927736E-2</v>
      </c>
      <c r="J493" s="45">
        <f>LiLAC!$E$30/LiLAC!$E$23</f>
        <v>9.969929622613144E-2</v>
      </c>
      <c r="K493" s="45">
        <f>LiLAC!$F$30/LiLAC!$F$23</f>
        <v>0.10497830475613189</v>
      </c>
      <c r="L493" s="45">
        <f>LiLAC!$G$30/LiLAC!$G$23</f>
        <v>0.10926341784287463</v>
      </c>
      <c r="M493" s="45">
        <f>L493-I493</f>
        <v>7.9887403910946897E-2</v>
      </c>
      <c r="N493" s="46"/>
      <c r="O493" s="47">
        <f>LiLAC!$D$12/LiLAC!$D$24</f>
        <v>4.2596823952139182</v>
      </c>
      <c r="P493" s="47">
        <f>LiLAC!$E$12/LiLAC!$E$24</f>
        <v>3.8138784062694953</v>
      </c>
      <c r="Q493" s="47">
        <f>LiLAC!$F$12/LiLAC!$F$24</f>
        <v>3.5410764393076017</v>
      </c>
      <c r="R493" s="47">
        <f>LiLAC!$G$12/LiLAC!$G$24</f>
        <v>3.4045349888919798</v>
      </c>
      <c r="S493" s="45">
        <f>R493-O493</f>
        <v>-0.85514740632193842</v>
      </c>
      <c r="T493" s="46"/>
      <c r="U493" s="48" t="str">
        <f>D493</f>
        <v>USD9.48</v>
      </c>
      <c r="V493" s="44" t="str">
        <f>C493</f>
        <v>LiLAC</v>
      </c>
      <c r="Z493" s="46"/>
      <c r="AE493" s="41"/>
    </row>
    <row r="494" spans="1:31">
      <c r="A494" s="5"/>
      <c r="C494" s="67" t="s">
        <v>814</v>
      </c>
      <c r="D494" s="52"/>
      <c r="E494" s="52"/>
      <c r="F494" s="53"/>
      <c r="G494" s="52"/>
      <c r="H494" s="46"/>
      <c r="I494" s="55">
        <f>'LATAM ALTNET &amp; CABLE'!$D$30/'LATAM ALTNET &amp; CABLE'!$D$23</f>
        <v>7.6847974529675664E-2</v>
      </c>
      <c r="J494" s="55">
        <f>'LATAM ALTNET &amp; CABLE'!$E$30/'LATAM ALTNET &amp; CABLE'!$E$23</f>
        <v>0.1303375633673918</v>
      </c>
      <c r="K494" s="55">
        <f>'LATAM ALTNET &amp; CABLE'!$F$30/'LATAM ALTNET &amp; CABLE'!$F$23</f>
        <v>0.13407575246020167</v>
      </c>
      <c r="L494" s="55">
        <f>'LATAM ALTNET &amp; CABLE'!$G$30/'LATAM ALTNET &amp; CABLE'!$G$23</f>
        <v>0.13669991268469286</v>
      </c>
      <c r="M494" s="55">
        <f>L494-I494</f>
        <v>5.9851938155017201E-2</v>
      </c>
      <c r="N494" s="46"/>
      <c r="O494" s="54">
        <f>'LATAM ALTNET &amp; CABLE'!$D$12/'LATAM ALTNET &amp; CABLE'!$D$24</f>
        <v>3.4576990595259964</v>
      </c>
      <c r="P494" s="54">
        <f>'LATAM ALTNET &amp; CABLE'!$E$12/'LATAM ALTNET &amp; CABLE'!$E$24</f>
        <v>3.1893986630534554</v>
      </c>
      <c r="Q494" s="54">
        <f>'LATAM ALTNET &amp; CABLE'!$F$12/'LATAM ALTNET &amp; CABLE'!$F$24</f>
        <v>2.9565067699988408</v>
      </c>
      <c r="R494" s="54">
        <f>'LATAM ALTNET &amp; CABLE'!$G$12/'LATAM ALTNET &amp; CABLE'!$G$24</f>
        <v>2.7769685718065107</v>
      </c>
      <c r="S494" s="55">
        <f>R494-O494</f>
        <v>-0.68073048771948574</v>
      </c>
      <c r="T494" s="46"/>
      <c r="U494" s="57"/>
      <c r="V494" s="58" t="str">
        <f>C494</f>
        <v>Agg. Emerging LatAm Altnets &amp; Cable</v>
      </c>
      <c r="Z494" s="46"/>
      <c r="AE494" s="41"/>
    </row>
    <row r="495" spans="1:31" s="5" customFormat="1">
      <c r="A495" s="39"/>
      <c r="B495" s="42"/>
      <c r="C495" s="43"/>
      <c r="D495" s="44"/>
      <c r="E495" s="44"/>
      <c r="F495" s="45"/>
      <c r="G495" s="44"/>
      <c r="H495" s="46"/>
      <c r="I495" s="45"/>
      <c r="J495" s="45"/>
      <c r="K495" s="45"/>
      <c r="L495" s="45"/>
      <c r="M495" s="45"/>
      <c r="N495" s="46"/>
      <c r="O495" s="47"/>
      <c r="P495" s="47"/>
      <c r="Q495" s="47"/>
      <c r="R495" s="47"/>
      <c r="S495" s="45"/>
      <c r="T495" s="46"/>
      <c r="U495" s="48"/>
      <c r="V495" s="50"/>
    </row>
    <row r="496" spans="1:31" s="5" customFormat="1">
      <c r="A496" s="39"/>
      <c r="B496" s="42"/>
      <c r="C496" s="67" t="str">
        <f>C434</f>
        <v>Agg. EMEA sector</v>
      </c>
      <c r="D496" s="52"/>
      <c r="E496" s="52"/>
      <c r="F496" s="53"/>
      <c r="G496" s="52"/>
      <c r="H496" s="46"/>
      <c r="I496" s="55">
        <f>'EMEA AGG'!$D$30/'EMEA AGG'!$D$23</f>
        <v>8.5939480666679988E-2</v>
      </c>
      <c r="J496" s="55">
        <f>'EMEA AGG'!$E$30/'EMEA AGG'!$E$23</f>
        <v>9.536372641578765E-2</v>
      </c>
      <c r="K496" s="55">
        <f>'EMEA AGG'!$F$30/'EMEA AGG'!$F$23</f>
        <v>0.12061807955229842</v>
      </c>
      <c r="L496" s="55">
        <f>'EMEA AGG'!$G$30/'EMEA AGG'!$G$23</f>
        <v>0.13294506160593045</v>
      </c>
      <c r="M496" s="55">
        <f>L496-I496</f>
        <v>4.700558093925046E-2</v>
      </c>
      <c r="N496" s="56"/>
      <c r="O496" s="54">
        <f>'EMEA AGG'!$D$12/'EMEA AGG'!$D$24</f>
        <v>1.3693495127685544</v>
      </c>
      <c r="P496" s="54">
        <f>'EMEA AGG'!$E$12/'EMEA AGG'!$E$24</f>
        <v>1.4362544164405602</v>
      </c>
      <c r="Q496" s="54">
        <f>'EMEA AGG'!$F$12/'EMEA AGG'!$F$24</f>
        <v>1.2724834760047221</v>
      </c>
      <c r="R496" s="54">
        <f>'EMEA AGG'!$G$12/'EMEA AGG'!$G$24</f>
        <v>1.1338848562611339</v>
      </c>
      <c r="S496" s="55">
        <f>R496-O496</f>
        <v>-0.23546465650742054</v>
      </c>
      <c r="T496" s="46"/>
      <c r="U496" s="57"/>
      <c r="V496" s="58" t="str">
        <f>V434</f>
        <v>Agg. EMEA sector</v>
      </c>
    </row>
    <row r="497" spans="1:69" s="5" customFormat="1">
      <c r="A497" s="39"/>
      <c r="B497" s="42"/>
      <c r="C497" s="41" t="str">
        <f>C435</f>
        <v>Agg. LatAm sector</v>
      </c>
      <c r="D497" s="44"/>
      <c r="E497" s="44"/>
      <c r="F497" s="45"/>
      <c r="G497" s="44"/>
      <c r="H497" s="46"/>
      <c r="I497" s="59">
        <f>'LATAM AGG'!$D$30/'LATAM AGG'!$D$23</f>
        <v>7.1360774146064898E-2</v>
      </c>
      <c r="J497" s="59">
        <f>'LATAM AGG'!$E$30/'LATAM AGG'!$E$23</f>
        <v>9.3717828480738383E-2</v>
      </c>
      <c r="K497" s="59">
        <f>'LATAM AGG'!$F$30/'LATAM AGG'!$F$23</f>
        <v>0.11529605886211372</v>
      </c>
      <c r="L497" s="59">
        <f>'LATAM AGG'!$G$30/'LATAM AGG'!$G$23</f>
        <v>0.1331936495447103</v>
      </c>
      <c r="M497" s="59">
        <f>L497-I497</f>
        <v>6.1832875398645404E-2</v>
      </c>
      <c r="N497" s="56"/>
      <c r="O497" s="60">
        <f>'LATAM AGG'!$D$12/'LATAM AGG'!$D$24</f>
        <v>1.8295480328041678</v>
      </c>
      <c r="P497" s="60">
        <f>'LATAM AGG'!$E$12/'LATAM AGG'!$E$24</f>
        <v>1.6991307689880053</v>
      </c>
      <c r="Q497" s="60">
        <f>'LATAM AGG'!$F$12/'LATAM AGG'!$F$24</f>
        <v>1.5495079822888345</v>
      </c>
      <c r="R497" s="60">
        <f>'LATAM AGG'!$G$12/'LATAM AGG'!$G$24</f>
        <v>1.4353105198964629</v>
      </c>
      <c r="S497" s="59">
        <f>R497-O497</f>
        <v>-0.39423751290770492</v>
      </c>
      <c r="T497" s="46"/>
      <c r="U497" s="48"/>
      <c r="V497" s="50" t="str">
        <f>V435</f>
        <v>Agg. LatAm sector</v>
      </c>
    </row>
    <row r="498" spans="1:69" s="5" customFormat="1">
      <c r="A498" s="39"/>
      <c r="B498" s="42"/>
      <c r="C498" s="67" t="str">
        <f>C436</f>
        <v>Agg. Emerging Asia sector</v>
      </c>
      <c r="D498" s="52"/>
      <c r="E498" s="52"/>
      <c r="F498" s="53"/>
      <c r="G498" s="52"/>
      <c r="H498" s="46"/>
      <c r="I498" s="55">
        <f>'AGG EM ASIA'!$D$30/'AGG EM ASIA'!$D$23</f>
        <v>7.9982961414107004E-2</v>
      </c>
      <c r="J498" s="55">
        <f>'AGG EM ASIA'!$E$30/'AGG EM ASIA'!$E$23</f>
        <v>8.8437790582420614E-2</v>
      </c>
      <c r="K498" s="55">
        <f>'AGG EM ASIA'!$F$30/'AGG EM ASIA'!$F$23</f>
        <v>9.5769712715013E-2</v>
      </c>
      <c r="L498" s="55">
        <f>'AGG EM ASIA'!$G$30/'AGG EM ASIA'!$G$23</f>
        <v>0.10470764263846571</v>
      </c>
      <c r="M498" s="55">
        <f>L498-I498</f>
        <v>2.4724681224358711E-2</v>
      </c>
      <c r="N498" s="56"/>
      <c r="O498" s="54">
        <f>'AGG EM ASIA'!$D$12/'AGG EM ASIA'!$D$24</f>
        <v>0.73919904514170065</v>
      </c>
      <c r="P498" s="54">
        <f>'AGG EM ASIA'!$E$12/'AGG EM ASIA'!$E$24</f>
        <v>0.57661566950341014</v>
      </c>
      <c r="Q498" s="54">
        <f>'AGG EM ASIA'!$F$12/'AGG EM ASIA'!$F$24</f>
        <v>0.42254046646097487</v>
      </c>
      <c r="R498" s="54">
        <f>'AGG EM ASIA'!$G$12/'AGG EM ASIA'!$G$24</f>
        <v>0.26624419477705347</v>
      </c>
      <c r="S498" s="55">
        <f>R498-O498</f>
        <v>-0.47295485036464718</v>
      </c>
      <c r="T498" s="46"/>
      <c r="U498" s="57"/>
      <c r="V498" s="58" t="str">
        <f>V436</f>
        <v>Agg. Emerging Asia sector</v>
      </c>
    </row>
    <row r="499" spans="1:69" s="5" customFormat="1">
      <c r="A499" s="39"/>
      <c r="B499" s="42"/>
      <c r="C499" s="41"/>
      <c r="D499" s="44"/>
      <c r="E499" s="44"/>
      <c r="F499" s="45"/>
      <c r="G499" s="44"/>
      <c r="H499" s="46"/>
      <c r="I499" s="59"/>
      <c r="J499" s="59"/>
      <c r="K499" s="59"/>
      <c r="L499" s="59"/>
      <c r="M499" s="59"/>
      <c r="N499" s="56"/>
      <c r="O499" s="60"/>
      <c r="P499" s="60"/>
      <c r="Q499" s="60"/>
      <c r="R499" s="60"/>
      <c r="S499" s="59"/>
      <c r="T499" s="46"/>
      <c r="U499" s="48"/>
      <c r="V499" s="50"/>
    </row>
    <row r="500" spans="1:69" s="5" customFormat="1">
      <c r="A500" s="39"/>
      <c r="B500" s="42"/>
      <c r="C500" s="67" t="str">
        <f>C438</f>
        <v>Agg. Global EM sector (ex-consensus)</v>
      </c>
      <c r="D500" s="52"/>
      <c r="E500" s="52"/>
      <c r="F500" s="53"/>
      <c r="G500" s="52"/>
      <c r="H500" s="46"/>
      <c r="I500" s="55">
        <f>'AGG EM'!$D$30/'AGG EM'!$D$23</f>
        <v>7.9069612637294465E-2</v>
      </c>
      <c r="J500" s="55">
        <f>'AGG EM'!$E$30/'AGG EM'!$E$23</f>
        <v>8.9811462232725806E-2</v>
      </c>
      <c r="K500" s="55">
        <f>'AGG EM'!$F$30/'AGG EM'!$F$23</f>
        <v>0.10079809132293648</v>
      </c>
      <c r="L500" s="55">
        <f>'AGG EM'!$G$30/'AGG EM'!$G$23</f>
        <v>0.11142304296167585</v>
      </c>
      <c r="M500" s="55">
        <f>L500-I500</f>
        <v>3.2353430324381385E-2</v>
      </c>
      <c r="N500" s="56"/>
      <c r="O500" s="54">
        <f>'AGG EM'!$D$12/'AGG EM'!$D$24</f>
        <v>0.99407323880728327</v>
      </c>
      <c r="P500" s="54">
        <f>'AGG EM'!$E$12/'AGG EM'!$E$24</f>
        <v>0.8573255338997503</v>
      </c>
      <c r="Q500" s="54">
        <f>'AGG EM'!$F$12/'AGG EM'!$F$24</f>
        <v>0.70537614512249647</v>
      </c>
      <c r="R500" s="54">
        <f>'AGG EM'!$G$12/'AGG EM'!$G$24</f>
        <v>0.5585738854446044</v>
      </c>
      <c r="S500" s="55">
        <f>R500-O500</f>
        <v>-0.43549935336267886</v>
      </c>
      <c r="T500" s="46"/>
      <c r="U500" s="57"/>
      <c r="V500" s="58" t="str">
        <f>V438</f>
        <v>Agg. Global EM sector (ex-consensus)</v>
      </c>
    </row>
    <row r="501" spans="1:69" s="5" customFormat="1">
      <c r="A501" s="39"/>
      <c r="B501" s="42"/>
      <c r="C501" s="43"/>
      <c r="D501" s="44"/>
      <c r="E501" s="44"/>
      <c r="F501" s="45"/>
      <c r="G501" s="44"/>
      <c r="H501" s="134"/>
      <c r="I501" s="45"/>
      <c r="J501" s="45"/>
      <c r="K501" s="45"/>
      <c r="L501" s="45"/>
      <c r="M501" s="45"/>
      <c r="N501" s="46"/>
      <c r="O501" s="45"/>
      <c r="P501" s="45"/>
      <c r="Q501" s="45"/>
      <c r="R501" s="45"/>
      <c r="S501" s="45"/>
      <c r="T501" s="46"/>
      <c r="U501" s="48"/>
      <c r="V501" s="50"/>
    </row>
    <row r="502" spans="1:69" s="5" customFormat="1">
      <c r="A502" s="39"/>
      <c r="B502" s="42"/>
      <c r="C502" s="43"/>
      <c r="D502" s="44"/>
      <c r="E502" s="44"/>
      <c r="F502" s="45"/>
      <c r="G502" s="44"/>
      <c r="H502" s="134"/>
      <c r="I502" s="45"/>
      <c r="J502" s="45"/>
      <c r="K502" s="45"/>
      <c r="L502" s="45"/>
      <c r="M502" s="45"/>
      <c r="N502" s="46"/>
      <c r="O502" s="45"/>
      <c r="P502" s="45"/>
      <c r="Q502" s="45"/>
      <c r="R502" s="45"/>
      <c r="S502" s="45"/>
      <c r="T502" s="46"/>
      <c r="U502" s="48"/>
      <c r="V502" s="50"/>
    </row>
    <row r="503" spans="1:69" s="41" customFormat="1">
      <c r="B503" s="147"/>
      <c r="C503" s="164"/>
      <c r="D503" s="165" t="s">
        <v>459</v>
      </c>
      <c r="E503" s="165" t="s">
        <v>56</v>
      </c>
      <c r="F503" s="165" t="s">
        <v>58</v>
      </c>
      <c r="G503" s="165" t="s">
        <v>55</v>
      </c>
      <c r="H503" s="134"/>
      <c r="I503" s="166" t="s">
        <v>285</v>
      </c>
      <c r="J503" s="166"/>
      <c r="K503" s="166"/>
      <c r="L503" s="166"/>
      <c r="M503" s="166"/>
      <c r="N503" s="46"/>
      <c r="O503" s="166" t="s">
        <v>469</v>
      </c>
      <c r="P503" s="166"/>
      <c r="Q503" s="166"/>
      <c r="R503" s="166"/>
      <c r="S503" s="166"/>
      <c r="T503" s="46"/>
      <c r="U503" s="167" t="s">
        <v>459</v>
      </c>
      <c r="V503" s="165"/>
      <c r="Z503" s="49"/>
      <c r="AC503" s="135"/>
      <c r="AD503" s="136"/>
      <c r="AE503" s="136"/>
      <c r="AF503" s="136"/>
      <c r="AG503" s="136"/>
      <c r="AH503" s="136"/>
      <c r="AI503" s="136"/>
      <c r="AJ503" s="136"/>
      <c r="AK503" s="136"/>
      <c r="AL503" s="136"/>
      <c r="AM503" s="136"/>
      <c r="AN503" s="136"/>
      <c r="AO503" s="136"/>
      <c r="AP503" s="136"/>
      <c r="AQ503" s="136"/>
      <c r="AR503" s="136"/>
      <c r="AS503" s="136"/>
      <c r="AT503" s="136"/>
      <c r="AU503" s="136"/>
      <c r="AV503" s="136"/>
      <c r="AW503" s="136"/>
      <c r="BC503" s="137"/>
      <c r="BD503" s="137"/>
      <c r="BE503" s="137"/>
      <c r="BG503" s="137"/>
      <c r="BH503" s="137"/>
      <c r="BI503" s="137"/>
      <c r="BK503" s="137"/>
      <c r="BL503" s="137"/>
      <c r="BM503" s="137"/>
      <c r="BO503" s="137"/>
      <c r="BP503" s="137"/>
      <c r="BQ503" s="137"/>
    </row>
    <row r="504" spans="1:69" s="5" customFormat="1">
      <c r="A504" s="41" t="s">
        <v>501</v>
      </c>
      <c r="B504" s="42"/>
      <c r="C504" s="48" t="str">
        <f>C442</f>
        <v>Telkom SA</v>
      </c>
      <c r="D504" s="44" t="str">
        <f>D442</f>
        <v>ZAR 27.6</v>
      </c>
      <c r="E504" s="44" t="str">
        <f>E442</f>
        <v>ZAR 56.0</v>
      </c>
      <c r="F504" s="45">
        <f>F442</f>
        <v>1.0326678765880217</v>
      </c>
      <c r="G504" s="44" t="str">
        <f>G442</f>
        <v>Neutral</v>
      </c>
      <c r="H504" s="134"/>
      <c r="I504" s="47">
        <f>TKG!$D$25/TKG!$D$33</f>
        <v>6.3923089013786525</v>
      </c>
      <c r="J504" s="47">
        <f>TKG!$E$25/TKG!$E$33</f>
        <v>6.8132411152002401</v>
      </c>
      <c r="K504" s="47">
        <f>TKG!$F$25/TKG!$F$33</f>
        <v>7.1270762693961176</v>
      </c>
      <c r="L504" s="47">
        <f>TKG!$G$25/TKG!$G$33</f>
        <v>7.1270762693961203</v>
      </c>
      <c r="M504" s="45">
        <f t="shared" ref="M504" si="108">L504-I504</f>
        <v>0.73476736801746778</v>
      </c>
      <c r="N504" s="46"/>
      <c r="O504" s="45">
        <f>(TKG!$D$24-TKG!$D$25)/TKG!$D$23</f>
        <v>0.14739449293625817</v>
      </c>
      <c r="P504" s="45">
        <f>(TKG!$E$24-TKG!$E$25)/TKG!$E$23</f>
        <v>0.14172534916027368</v>
      </c>
      <c r="Q504" s="45">
        <f>(TKG!$F$24-TKG!$F$25)/TKG!$F$23</f>
        <v>0.14210859636404699</v>
      </c>
      <c r="R504" s="45">
        <f>(TKG!$G$24-TKG!$G$25)/TKG!$G$23</f>
        <v>0.14210859636404699</v>
      </c>
      <c r="S504" s="45">
        <f t="shared" ref="S504" si="109">R504-O504</f>
        <v>-5.2858965722111795E-3</v>
      </c>
      <c r="T504" s="46"/>
      <c r="U504" s="48" t="str">
        <f>U442</f>
        <v>ZAR 27.6</v>
      </c>
      <c r="V504" s="44" t="str">
        <f>V442</f>
        <v>Telkom SA</v>
      </c>
    </row>
    <row r="505" spans="1:69" s="5" customFormat="1">
      <c r="A505" s="41"/>
      <c r="B505" s="42"/>
      <c r="C505" s="51" t="str">
        <f>C443</f>
        <v>Agg. EMEA Incumbent</v>
      </c>
      <c r="D505" s="58"/>
      <c r="E505" s="58"/>
      <c r="F505" s="55"/>
      <c r="G505" s="58"/>
      <c r="H505" s="134"/>
      <c r="I505" s="54"/>
      <c r="J505" s="54"/>
      <c r="K505" s="54"/>
      <c r="L505" s="54"/>
      <c r="M505" s="55"/>
      <c r="N505" s="56"/>
      <c r="O505" s="55"/>
      <c r="P505" s="55"/>
      <c r="Q505" s="55"/>
      <c r="R505" s="55"/>
      <c r="S505" s="55"/>
      <c r="T505" s="56"/>
      <c r="U505" s="51"/>
      <c r="V505" s="58" t="str">
        <f>V443</f>
        <v>Agg. EMEA Incumbent</v>
      </c>
    </row>
    <row r="506" spans="1:69">
      <c r="A506" s="5"/>
      <c r="C506" s="48"/>
      <c r="D506" s="44"/>
      <c r="E506" s="44"/>
      <c r="F506" s="68"/>
      <c r="G506" s="44"/>
      <c r="H506" s="134"/>
      <c r="I506" s="62"/>
      <c r="J506" s="62"/>
      <c r="K506" s="62"/>
      <c r="L506" s="62"/>
      <c r="M506" s="61"/>
      <c r="N506" s="46"/>
      <c r="O506" s="61"/>
      <c r="P506" s="61"/>
      <c r="Q506" s="61"/>
      <c r="R506" s="61"/>
      <c r="S506" s="61"/>
      <c r="T506" s="46"/>
      <c r="U506" s="48"/>
      <c r="V506" s="44"/>
    </row>
    <row r="507" spans="1:69">
      <c r="A507" s="5"/>
      <c r="C507" s="48" t="str">
        <f t="shared" ref="C507:G510" si="110">C445</f>
        <v>America Movil</v>
      </c>
      <c r="D507" s="44" t="str">
        <f t="shared" si="110"/>
        <v>USD 16.3</v>
      </c>
      <c r="E507" s="44" t="str">
        <f t="shared" si="110"/>
        <v>USD 24.0</v>
      </c>
      <c r="F507" s="45">
        <f t="shared" si="110"/>
        <v>0.4714898835070509</v>
      </c>
      <c r="G507" s="44" t="str">
        <f t="shared" si="110"/>
        <v>Buy</v>
      </c>
      <c r="H507" s="46"/>
      <c r="I507" s="47">
        <f>AMX!$D$25/AMX!$D$33</f>
        <v>-4.8673836832508472</v>
      </c>
      <c r="J507" s="47">
        <f>AMX!$E$25/AMX!$E$33</f>
        <v>-5.9086447398282846</v>
      </c>
      <c r="K507" s="47">
        <f>AMX!$F$25/AMX!$F$33</f>
        <v>-7.7800099427844414</v>
      </c>
      <c r="L507" s="47">
        <f>AMX!$G$25/AMX!$G$33</f>
        <v>-10.628859314961487</v>
      </c>
      <c r="M507" s="45">
        <f t="shared" ref="M507:M511" si="111">L507-I507</f>
        <v>-5.7614756317106393</v>
      </c>
      <c r="N507" s="46"/>
      <c r="O507" s="45">
        <f>(AMX!$D$24-AMX!$D$25)/AMX!$D$23</f>
        <v>0.17435929484417489</v>
      </c>
      <c r="P507" s="45">
        <f>(AMX!$E$24-AMX!$E$25)/AMX!$E$23</f>
        <v>0.15412557036494759</v>
      </c>
      <c r="Q507" s="45">
        <f>(AMX!$F$24-AMX!$F$25)/AMX!$F$23</f>
        <v>0.14651521584355173</v>
      </c>
      <c r="R507" s="45">
        <f>(AMX!$G$24-AMX!$G$25)/AMX!$G$23</f>
        <v>0.1372004065263755</v>
      </c>
      <c r="S507" s="45">
        <f t="shared" ref="S507:S511" si="112">R507-O507</f>
        <v>-3.7158888317799399E-2</v>
      </c>
      <c r="T507" s="46"/>
      <c r="U507" s="48" t="str">
        <f t="shared" ref="U507:V509" si="113">U445</f>
        <v>USD 16.3</v>
      </c>
      <c r="V507" s="44" t="str">
        <f t="shared" si="113"/>
        <v>America Movil</v>
      </c>
    </row>
    <row r="508" spans="1:69">
      <c r="A508" s="5"/>
      <c r="C508" s="48" t="str">
        <f t="shared" si="110"/>
        <v>Oi</v>
      </c>
      <c r="D508" s="44" t="str">
        <f t="shared" si="110"/>
        <v>BRL 12.10</v>
      </c>
      <c r="E508" s="44" t="str">
        <f t="shared" si="110"/>
        <v>BRL 0.90</v>
      </c>
      <c r="F508" s="45">
        <f t="shared" si="110"/>
        <v>-0.92561983471074383</v>
      </c>
      <c r="G508" s="44" t="str">
        <f t="shared" si="110"/>
        <v>Neutral</v>
      </c>
      <c r="H508" s="46"/>
      <c r="I508" s="47">
        <f>OIBR!$D$25/OIBR!$D$33</f>
        <v>-1.0426695938658281</v>
      </c>
      <c r="J508" s="47">
        <f>OIBR!$E$25/OIBR!$E$33</f>
        <v>-0.69318666319297606</v>
      </c>
      <c r="K508" s="47">
        <f>OIBR!$F$25/OIBR!$F$33</f>
        <v>-2.1610423502982194E-2</v>
      </c>
      <c r="L508" s="47">
        <f>OIBR!$G$25/OIBR!$G$33</f>
        <v>0.35673710810750831</v>
      </c>
      <c r="M508" s="45">
        <f>L508-I508</f>
        <v>1.3994067019733365</v>
      </c>
      <c r="N508" s="46"/>
      <c r="O508" s="45">
        <f>(OIBR!$D$24-OIBR!$D$25)/OIBR!$D$23</f>
        <v>0.37775790391201464</v>
      </c>
      <c r="P508" s="45">
        <f>(OIBR!$E$24-OIBR!$E$25)/OIBR!$E$23</f>
        <v>0.35797805500915375</v>
      </c>
      <c r="Q508" s="45">
        <f>(OIBR!$F$24-OIBR!$F$25)/OIBR!$F$23</f>
        <v>0.26890109414539604</v>
      </c>
      <c r="R508" s="45">
        <f>(OIBR!$G$24-OIBR!$G$25)/OIBR!$G$23</f>
        <v>0.21940063588980549</v>
      </c>
      <c r="S508" s="45">
        <f>R508-O508</f>
        <v>-0.15835726802220915</v>
      </c>
      <c r="T508" s="46"/>
      <c r="U508" s="48" t="str">
        <f t="shared" si="113"/>
        <v>BRL 12.10</v>
      </c>
      <c r="V508" s="44" t="str">
        <f t="shared" si="113"/>
        <v>Oi</v>
      </c>
      <c r="Z508" s="49"/>
    </row>
    <row r="509" spans="1:69">
      <c r="A509" s="5"/>
      <c r="C509" s="48" t="str">
        <f t="shared" si="110"/>
        <v>Telefonica Brasil</v>
      </c>
      <c r="D509" s="44" t="str">
        <f t="shared" si="110"/>
        <v>BRL 55.12</v>
      </c>
      <c r="E509" s="44" t="str">
        <f t="shared" si="110"/>
        <v>BRL 61.00</v>
      </c>
      <c r="F509" s="45">
        <f t="shared" si="110"/>
        <v>0.10667634252539915</v>
      </c>
      <c r="G509" s="44" t="str">
        <f t="shared" si="110"/>
        <v>Buy</v>
      </c>
      <c r="H509" s="46"/>
      <c r="I509" s="47">
        <f>VIVO!$D$25/VIVO!$D$33</f>
        <v>5.2705526873741251</v>
      </c>
      <c r="J509" s="47">
        <f>VIVO!$E$25/VIVO!$E$33</f>
        <v>6.8138410510142071</v>
      </c>
      <c r="K509" s="47">
        <f>VIVO!$F$25/VIVO!$F$33</f>
        <v>7.8741009872534367</v>
      </c>
      <c r="L509" s="47">
        <f>VIVO!$G$25/VIVO!$G$33</f>
        <v>8.3571155429616564</v>
      </c>
      <c r="M509" s="45">
        <f t="shared" si="111"/>
        <v>3.0865628555875313</v>
      </c>
      <c r="N509" s="46"/>
      <c r="O509" s="45">
        <f>(VIVO!$D$24-VIVO!$D$25)/VIVO!$D$23</f>
        <v>0.17047414360292493</v>
      </c>
      <c r="P509" s="45">
        <f>(VIVO!$E$24-VIVO!$E$25)/VIVO!$E$23</f>
        <v>0.15767858242841865</v>
      </c>
      <c r="Q509" s="45">
        <f>(VIVO!$F$24-VIVO!$F$25)/VIVO!$F$23</f>
        <v>0.15485352188820947</v>
      </c>
      <c r="R509" s="45">
        <f>(VIVO!$G$24-VIVO!$G$25)/VIVO!$G$23</f>
        <v>0.15091103826787494</v>
      </c>
      <c r="S509" s="45">
        <f t="shared" si="112"/>
        <v>-1.9563105335049985E-2</v>
      </c>
      <c r="T509" s="46"/>
      <c r="U509" s="48" t="str">
        <f t="shared" si="113"/>
        <v>BRL 55.12</v>
      </c>
      <c r="V509" s="44" t="str">
        <f t="shared" si="113"/>
        <v>Telefonica Brasil</v>
      </c>
    </row>
    <row r="510" spans="1:69">
      <c r="A510" s="5"/>
      <c r="C510" s="48" t="str">
        <f t="shared" si="110"/>
        <v>Televisa</v>
      </c>
      <c r="D510" s="44" t="str">
        <f t="shared" si="110"/>
        <v>USD 1.8</v>
      </c>
      <c r="E510" s="44" t="str">
        <f t="shared" si="110"/>
        <v>USD 3.7</v>
      </c>
      <c r="F510" s="45">
        <f t="shared" si="110"/>
        <v>1.0903954802259888</v>
      </c>
      <c r="G510" s="44" t="str">
        <f t="shared" si="110"/>
        <v>Neutral</v>
      </c>
      <c r="H510" s="46"/>
      <c r="I510" s="47">
        <f>TVIS!$D$25/TVIS!$D$33</f>
        <v>1.8915647068735617</v>
      </c>
      <c r="J510" s="47">
        <f>TVIS!$E$25/TVIS!$E$33</f>
        <v>2.1461101877468001</v>
      </c>
      <c r="K510" s="47">
        <f>TVIS!$F$25/TVIS!$F$33</f>
        <v>2.2094289553981374</v>
      </c>
      <c r="L510" s="47">
        <f>TVIS!$G$25/TVIS!$G$33</f>
        <v>2.3010233861349274</v>
      </c>
      <c r="M510" s="45">
        <f>L510-I510</f>
        <v>0.4094586792613657</v>
      </c>
      <c r="N510" s="46"/>
      <c r="O510" s="45">
        <f>(TVIS!$D$24-TVIS!$D$25)/TVIS!$D$23</f>
        <v>0.19652561910209007</v>
      </c>
      <c r="P510" s="45">
        <f>(TVIS!$E$24-TVIS!$E$25)/TVIS!$E$23</f>
        <v>0.1935094897960743</v>
      </c>
      <c r="Q510" s="45">
        <f>(TVIS!$F$24-TVIS!$F$25)/TVIS!$F$23</f>
        <v>0.19197974321521244</v>
      </c>
      <c r="R510" s="45">
        <f>(TVIS!$G$24-TVIS!$G$25)/TVIS!$G$23</f>
        <v>0.18869852956927685</v>
      </c>
      <c r="S510" s="45">
        <f>R510-O510</f>
        <v>-7.8270895328132195E-3</v>
      </c>
      <c r="T510" s="46"/>
      <c r="U510" s="48" t="str">
        <f>U448</f>
        <v>USD 1.8</v>
      </c>
      <c r="V510" s="44" t="s">
        <v>667</v>
      </c>
    </row>
    <row r="511" spans="1:69">
      <c r="A511" s="5"/>
      <c r="C511" s="51" t="str">
        <f>C449</f>
        <v>Agg. LatAm Incumbent</v>
      </c>
      <c r="D511" s="52"/>
      <c r="E511" s="52"/>
      <c r="F511" s="53"/>
      <c r="G511" s="52"/>
      <c r="H511" s="46"/>
      <c r="I511" s="54">
        <f>'LATAM INCUMB'!$D$25/'LATAM INCUMB'!$D$33</f>
        <v>-13.203567012603408</v>
      </c>
      <c r="J511" s="54">
        <f>'LATAM INCUMB'!$E$25/'LATAM INCUMB'!$E$33</f>
        <v>-16.848098804066733</v>
      </c>
      <c r="K511" s="54">
        <f>'LATAM INCUMB'!$F$25/'LATAM INCUMB'!$F$33</f>
        <v>-31.02803496920669</v>
      </c>
      <c r="L511" s="54">
        <f>'LATAM INCUMB'!$G$25/'LATAM INCUMB'!$G$33</f>
        <v>-98.787267754335232</v>
      </c>
      <c r="M511" s="55">
        <f t="shared" si="111"/>
        <v>-85.583700741731832</v>
      </c>
      <c r="N511" s="56"/>
      <c r="O511" s="55">
        <f>('LATAM INCUMB'!$D$24-'LATAM INCUMB'!$D$25)/'LATAM INCUMB'!$D$23</f>
        <v>0.18599852114409965</v>
      </c>
      <c r="P511" s="55">
        <f>('LATAM INCUMB'!$E$24-'LATAM INCUMB'!$E$25)/'LATAM INCUMB'!$E$23</f>
        <v>0.16755694311916508</v>
      </c>
      <c r="Q511" s="55">
        <f>('LATAM INCUMB'!$F$24-'LATAM INCUMB'!$F$25)/'LATAM INCUMB'!$F$23</f>
        <v>0.1568350452484554</v>
      </c>
      <c r="R511" s="55">
        <f>('LATAM INCUMB'!$G$24-'LATAM INCUMB'!$G$25)/'LATAM INCUMB'!$G$23</f>
        <v>0.14667851669233467</v>
      </c>
      <c r="S511" s="55">
        <f t="shared" si="112"/>
        <v>-3.9320004451764978E-2</v>
      </c>
      <c r="T511" s="46"/>
      <c r="U511" s="57"/>
      <c r="V511" s="58" t="str">
        <f>V449</f>
        <v>Agg. LatAm Incumbent</v>
      </c>
    </row>
    <row r="512" spans="1:69">
      <c r="C512" s="48"/>
      <c r="D512" s="44"/>
      <c r="E512" s="44"/>
      <c r="F512" s="45"/>
      <c r="G512" s="44"/>
      <c r="H512" s="46"/>
      <c r="I512" s="47"/>
      <c r="J512" s="47"/>
      <c r="K512" s="47"/>
      <c r="L512" s="47"/>
      <c r="M512" s="45"/>
      <c r="N512" s="56"/>
      <c r="O512" s="45"/>
      <c r="P512" s="45"/>
      <c r="Q512" s="45"/>
      <c r="R512" s="45"/>
      <c r="S512" s="45"/>
      <c r="T512" s="46"/>
      <c r="U512" s="48"/>
      <c r="V512" s="50"/>
    </row>
    <row r="513" spans="1:29">
      <c r="A513" s="5"/>
      <c r="C513" s="48" t="str">
        <f t="shared" ref="C513:G517" si="114">C451</f>
        <v>China Telecom</v>
      </c>
      <c r="D513" s="44" t="str">
        <f t="shared" si="114"/>
        <v>HKD 4.48</v>
      </c>
      <c r="E513" s="44" t="str">
        <f t="shared" si="114"/>
        <v>HKD 8.75</v>
      </c>
      <c r="F513" s="45">
        <f t="shared" si="114"/>
        <v>0.95312499999999978</v>
      </c>
      <c r="G513" s="44" t="str">
        <f t="shared" si="114"/>
        <v>Buy</v>
      </c>
      <c r="H513" s="46"/>
      <c r="I513" s="47">
        <f>_CT!$D$25/_CT!$D$33</f>
        <v>-114.43373493975903</v>
      </c>
      <c r="J513" s="47">
        <f>_CT!$E$25/_CT!$E$33</f>
        <v>-134.2977710490226</v>
      </c>
      <c r="K513" s="47">
        <f>_CT!$F$25/_CT!$F$33</f>
        <v>708.50340384814922</v>
      </c>
      <c r="L513" s="47">
        <f>_CT!$G$25/_CT!$G$33</f>
        <v>136.42277581764387</v>
      </c>
      <c r="M513" s="45">
        <f t="shared" ref="M513:M518" si="115">L513-I513</f>
        <v>250.8565107574029</v>
      </c>
      <c r="N513" s="56"/>
      <c r="O513" s="169">
        <f>(_CT!$D$24-_CT!$D$25)/_CT!$D$23</f>
        <v>0.19245995042361908</v>
      </c>
      <c r="P513" s="169">
        <f>(_CT!$E$24-_CT!$E$25)/_CT!$E$23</f>
        <v>0.18079993408458067</v>
      </c>
      <c r="Q513" s="169">
        <f>(_CT!$F$24-_CT!$F$25)/_CT!$F$23</f>
        <v>0.17574510108817246</v>
      </c>
      <c r="R513" s="169">
        <f>(_CT!$G$24-_CT!$G$25)/_CT!$G$23</f>
        <v>0.16975323404636256</v>
      </c>
      <c r="S513" s="169">
        <f t="shared" ref="S513:S518" si="116">R513-O513</f>
        <v>-2.2706716377256519E-2</v>
      </c>
      <c r="T513" s="46"/>
      <c r="U513" s="48" t="str">
        <f t="shared" ref="U513:V517" si="117">U451</f>
        <v>HKD 4.48</v>
      </c>
      <c r="V513" s="44" t="str">
        <f t="shared" si="117"/>
        <v>China Telecom</v>
      </c>
    </row>
    <row r="514" spans="1:29">
      <c r="A514" s="5"/>
      <c r="C514" s="48" t="str">
        <f t="shared" si="114"/>
        <v>China Unicom</v>
      </c>
      <c r="D514" s="44" t="str">
        <f t="shared" si="114"/>
        <v>HKD 6.32</v>
      </c>
      <c r="E514" s="44" t="str">
        <f t="shared" si="114"/>
        <v>HKD 13.20</v>
      </c>
      <c r="F514" s="45">
        <f t="shared" si="114"/>
        <v>1.0886075949367084</v>
      </c>
      <c r="G514" s="44" t="str">
        <f t="shared" si="114"/>
        <v>Buy</v>
      </c>
      <c r="H514" s="46"/>
      <c r="I514" s="47">
        <f>_CU!$D$25/_CU!$D$33</f>
        <v>-44.986908701543271</v>
      </c>
      <c r="J514" s="47">
        <f>_CU!$E$25/_CU!$E$33</f>
        <v>-28.840737251333504</v>
      </c>
      <c r="K514" s="47">
        <f>_CU!$F$25/_CU!$F$33</f>
        <v>-20.534150214020261</v>
      </c>
      <c r="L514" s="47">
        <f>_CU!$G$25/_CU!$G$33</f>
        <v>-16.930091964407154</v>
      </c>
      <c r="M514" s="45">
        <f t="shared" si="115"/>
        <v>28.056816737136117</v>
      </c>
      <c r="N514" s="56"/>
      <c r="O514" s="169">
        <f>(_CU!$D$24-_CU!$D$25)/_CU!$D$23</f>
        <v>0.1983376140978054</v>
      </c>
      <c r="P514" s="169">
        <f>(_CU!$E$24-_CU!$E$25)/_CU!$E$23</f>
        <v>0.17167957421898655</v>
      </c>
      <c r="Q514" s="169">
        <f>(_CU!$F$24-_CU!$F$25)/_CU!$F$23</f>
        <v>0.16725303921526957</v>
      </c>
      <c r="R514" s="169">
        <f>(_CU!$G$24-_CU!$G$25)/_CU!$G$23</f>
        <v>0.16273403067114478</v>
      </c>
      <c r="S514" s="169">
        <f t="shared" si="116"/>
        <v>-3.5603583426660618E-2</v>
      </c>
      <c r="T514" s="46"/>
      <c r="U514" s="48" t="str">
        <f t="shared" si="117"/>
        <v>HKD 6.32</v>
      </c>
      <c r="V514" s="44" t="str">
        <f t="shared" si="117"/>
        <v>China Unicom</v>
      </c>
    </row>
    <row r="515" spans="1:29">
      <c r="C515" s="48" t="str">
        <f t="shared" si="114"/>
        <v>Chunghwa Telecom</v>
      </c>
      <c r="D515" s="44" t="str">
        <f t="shared" si="114"/>
        <v>TWD 124.00</v>
      </c>
      <c r="E515" s="44" t="str">
        <f t="shared" si="114"/>
        <v>TWD n/r</v>
      </c>
      <c r="F515" s="45" t="str">
        <f t="shared" si="114"/>
        <v>-</v>
      </c>
      <c r="G515" s="44" t="str">
        <f t="shared" si="114"/>
        <v>n/r</v>
      </c>
      <c r="H515" s="46"/>
      <c r="I515" s="47">
        <f>CHUNG!$D$25/CHUNG!$D$33</f>
        <v>-1616.0226101055337</v>
      </c>
      <c r="J515" s="47">
        <f>CHUNG!$E$25/CHUNG!$E$33</f>
        <v>-677.17021277113452</v>
      </c>
      <c r="K515" s="47">
        <f>CHUNG!$F$25/CHUNG!$F$33</f>
        <v>-412.41200290123919</v>
      </c>
      <c r="L515" s="47">
        <f>CHUNG!$G$25/CHUNG!$G$33</f>
        <v>-296.48082807884992</v>
      </c>
      <c r="M515" s="45">
        <f t="shared" si="115"/>
        <v>1319.5417820266837</v>
      </c>
      <c r="N515" s="56"/>
      <c r="O515" s="45">
        <f>(CHUNG!$D$24-CHUNG!$D$25)/CHUNG!$D$23</f>
        <v>0.13</v>
      </c>
      <c r="P515" s="45">
        <f>(CHUNG!$E$24-CHUNG!$E$25)/CHUNG!$E$23</f>
        <v>0.10999999999999999</v>
      </c>
      <c r="Q515" s="45">
        <f>(CHUNG!$F$24-CHUNG!$F$25)/CHUNG!$F$23</f>
        <v>9.9999999999999992E-2</v>
      </c>
      <c r="R515" s="45">
        <f>(CHUNG!$G$24-CHUNG!$G$25)/CHUNG!$G$23</f>
        <v>0.10000000000000002</v>
      </c>
      <c r="S515" s="45">
        <f t="shared" si="116"/>
        <v>-2.9999999999999985E-2</v>
      </c>
      <c r="T515" s="46"/>
      <c r="U515" s="48" t="str">
        <f t="shared" si="117"/>
        <v>TWD 124.00</v>
      </c>
      <c r="V515" s="44" t="str">
        <f t="shared" si="117"/>
        <v>Chunghwa Telecom</v>
      </c>
    </row>
    <row r="516" spans="1:29">
      <c r="C516" s="48" t="str">
        <f t="shared" si="114"/>
        <v>KT Corp</v>
      </c>
      <c r="D516" s="44" t="str">
        <f t="shared" si="114"/>
        <v>KRW 41,200</v>
      </c>
      <c r="E516" s="44" t="str">
        <f t="shared" si="114"/>
        <v>KRW 70,000</v>
      </c>
      <c r="F516" s="45">
        <f t="shared" si="114"/>
        <v>0.69902912621359214</v>
      </c>
      <c r="G516" s="44" t="str">
        <f t="shared" si="114"/>
        <v>Buy</v>
      </c>
      <c r="H516" s="46"/>
      <c r="I516" s="47">
        <f>_KT!$D$25/_KT!$D$33</f>
        <v>-6.5752457002456994</v>
      </c>
      <c r="J516" s="47">
        <f>_KT!$E$25/_KT!$E$33</f>
        <v>-7.0532099459681401</v>
      </c>
      <c r="K516" s="47">
        <f>_KT!$F$25/_KT!$F$33</f>
        <v>-14.167250223741839</v>
      </c>
      <c r="L516" s="47">
        <f>_KT!$G$25/_KT!$G$33</f>
        <v>-33.270927672150087</v>
      </c>
      <c r="M516" s="45">
        <f t="shared" si="115"/>
        <v>-26.695681971904389</v>
      </c>
      <c r="N516" s="56"/>
      <c r="O516" s="45">
        <f>(_KT!$D$24-_KT!$D$25)/_KT!$D$23</f>
        <v>0.12578163489597149</v>
      </c>
      <c r="P516" s="45">
        <f>(_KT!$E$24-_KT!$E$25)/_KT!$E$23</f>
        <v>0.1320786622553341</v>
      </c>
      <c r="Q516" s="45">
        <f>(_KT!$F$24-_KT!$F$25)/_KT!$F$23</f>
        <v>0.11622799345034399</v>
      </c>
      <c r="R516" s="45">
        <f>(_KT!$G$24-_KT!$G$25)/_KT!$G$23</f>
        <v>0.1141961595880846</v>
      </c>
      <c r="S516" s="45">
        <f t="shared" si="116"/>
        <v>-1.1585475307886894E-2</v>
      </c>
      <c r="T516" s="46"/>
      <c r="U516" s="48" t="str">
        <f t="shared" si="117"/>
        <v>KRW 41,200</v>
      </c>
      <c r="V516" s="44" t="str">
        <f t="shared" si="117"/>
        <v>KT Corp</v>
      </c>
      <c r="Z516" s="49"/>
    </row>
    <row r="517" spans="1:29">
      <c r="C517" s="48" t="str">
        <f t="shared" si="114"/>
        <v>PT Telkom</v>
      </c>
      <c r="D517" s="44" t="str">
        <f t="shared" si="114"/>
        <v>IDR 3,040</v>
      </c>
      <c r="E517" s="44" t="str">
        <f t="shared" si="114"/>
        <v>IDR 4,500</v>
      </c>
      <c r="F517" s="45">
        <f t="shared" si="114"/>
        <v>0.48026315789473695</v>
      </c>
      <c r="G517" s="44" t="str">
        <f t="shared" si="114"/>
        <v>Buy</v>
      </c>
      <c r="H517" s="46"/>
      <c r="I517" s="47">
        <f>PTT!$D$25/PTT!$D$33</f>
        <v>12.423001949317738</v>
      </c>
      <c r="J517" s="47">
        <f>PTT!$E$25/PTT!$E$33</f>
        <v>13.509551330056706</v>
      </c>
      <c r="K517" s="47">
        <f>PTT!$F$25/PTT!$F$33</f>
        <v>16.125834317452345</v>
      </c>
      <c r="L517" s="47">
        <f>PTT!$G$25/PTT!$G$33</f>
        <v>18.879564006637523</v>
      </c>
      <c r="M517" s="45">
        <f t="shared" si="115"/>
        <v>6.4565620573197844</v>
      </c>
      <c r="N517" s="56"/>
      <c r="O517" s="169">
        <f>(PTT!$D$24-PTT!$D$25)/PTT!$D$23</f>
        <v>0.2209414539995711</v>
      </c>
      <c r="P517" s="169">
        <f>(PTT!$E$24-PTT!$E$25)/PTT!$E$23</f>
        <v>0.20622379363300986</v>
      </c>
      <c r="Q517" s="169">
        <f>(PTT!$F$24-PTT!$F$25)/PTT!$F$23</f>
        <v>0.1962508996227047</v>
      </c>
      <c r="R517" s="169">
        <f>(PTT!$G$24-PTT!$G$25)/PTT!$G$23</f>
        <v>0.19034787660782079</v>
      </c>
      <c r="S517" s="169">
        <f t="shared" si="116"/>
        <v>-3.059357739175031E-2</v>
      </c>
      <c r="T517" s="46"/>
      <c r="U517" s="48" t="str">
        <f t="shared" si="117"/>
        <v>IDR 3,040</v>
      </c>
      <c r="V517" s="44" t="str">
        <f t="shared" si="117"/>
        <v>PT Telkom</v>
      </c>
      <c r="Z517" s="49"/>
    </row>
    <row r="518" spans="1:29">
      <c r="C518" s="51" t="str">
        <f>C456</f>
        <v>Agg. Emerging Asia Incumbent</v>
      </c>
      <c r="D518" s="52"/>
      <c r="E518" s="52"/>
      <c r="F518" s="53"/>
      <c r="G518" s="52"/>
      <c r="H518" s="46"/>
      <c r="I518" s="54">
        <f>'EM ASIA INCUMB'!$D$25/'EM ASIA INCUMB'!$D$33</f>
        <v>-107.62572248797132</v>
      </c>
      <c r="J518" s="54">
        <f>'EM ASIA INCUMB'!$E$25/'EM ASIA INCUMB'!$E$33</f>
        <v>-78.164398092564298</v>
      </c>
      <c r="K518" s="54">
        <f>'EM ASIA INCUMB'!$F$25/'EM ASIA INCUMB'!$F$33</f>
        <v>-100.33328739404315</v>
      </c>
      <c r="L518" s="54">
        <f>'EM ASIA INCUMB'!$G$25/'EM ASIA INCUMB'!$G$33</f>
        <v>-129.46783725205401</v>
      </c>
      <c r="M518" s="55">
        <f t="shared" si="115"/>
        <v>-21.842114764082694</v>
      </c>
      <c r="N518" s="56"/>
      <c r="O518" s="55">
        <f>('EM ASIA INCUMB'!$D$24-'EM ASIA INCUMB'!$D$25)/'EM ASIA INCUMB'!$D$23</f>
        <v>0.18533460667912566</v>
      </c>
      <c r="P518" s="55">
        <f>('EM ASIA INCUMB'!$E$24-'EM ASIA INCUMB'!$E$25)/'EM ASIA INCUMB'!$E$23</f>
        <v>0.1705841958287509</v>
      </c>
      <c r="Q518" s="55">
        <f>('EM ASIA INCUMB'!$F$24-'EM ASIA INCUMB'!$F$25)/'EM ASIA INCUMB'!$F$23</f>
        <v>0.16389960981629931</v>
      </c>
      <c r="R518" s="55">
        <f>('EM ASIA INCUMB'!$G$24-'EM ASIA INCUMB'!$G$25)/'EM ASIA INCUMB'!$G$23</f>
        <v>0.15942894376161251</v>
      </c>
      <c r="S518" s="55">
        <f t="shared" si="116"/>
        <v>-2.5905662917513145E-2</v>
      </c>
      <c r="T518" s="46"/>
      <c r="U518" s="57"/>
      <c r="V518" s="58" t="str">
        <f>V456</f>
        <v>Agg. Emerging Asia Incumbent</v>
      </c>
      <c r="Z518" s="49"/>
    </row>
    <row r="519" spans="1:29">
      <c r="C519" s="43"/>
      <c r="D519" s="44"/>
      <c r="E519" s="44"/>
      <c r="F519" s="68"/>
      <c r="G519" s="44"/>
      <c r="H519" s="46"/>
      <c r="I519" s="62"/>
      <c r="J519" s="62"/>
      <c r="K519" s="62"/>
      <c r="L519" s="62"/>
      <c r="M519" s="61"/>
      <c r="N519" s="56"/>
      <c r="O519" s="61"/>
      <c r="P519" s="61"/>
      <c r="Q519" s="61"/>
      <c r="R519" s="61"/>
      <c r="S519" s="61"/>
      <c r="T519" s="46"/>
      <c r="U519" s="48"/>
      <c r="V519" s="50"/>
      <c r="Z519" s="49"/>
    </row>
    <row r="520" spans="1:29">
      <c r="C520" s="51" t="str">
        <f>C458</f>
        <v>Agg. Emerging Incumbent</v>
      </c>
      <c r="D520" s="52"/>
      <c r="E520" s="52"/>
      <c r="F520" s="53"/>
      <c r="G520" s="52"/>
      <c r="H520" s="46"/>
      <c r="I520" s="54">
        <f>'EM INCUMB'!$D$25/'EM INCUMB'!$D$33</f>
        <v>-27.399655457759692</v>
      </c>
      <c r="J520" s="54">
        <f>'EM INCUMB'!$E$25/'EM INCUMB'!$E$33</f>
        <v>-31.651149796002041</v>
      </c>
      <c r="K520" s="54">
        <f>'EM INCUMB'!$F$25/'EM INCUMB'!$F$33</f>
        <v>-54.148043437853495</v>
      </c>
      <c r="L520" s="54">
        <f>'EM INCUMB'!$G$25/'EM INCUMB'!$G$33</f>
        <v>-133.18859070710087</v>
      </c>
      <c r="M520" s="55">
        <f t="shared" ref="M520" si="118">L520-I520</f>
        <v>-105.78893524934118</v>
      </c>
      <c r="N520" s="56"/>
      <c r="O520" s="55">
        <f>('EM INCUMB'!$D$24-'EM INCUMB'!$D$25)/'EM INCUMB'!$D$23</f>
        <v>0.18505579806527053</v>
      </c>
      <c r="P520" s="55">
        <f>('EM INCUMB'!$E$24-'EM INCUMB'!$E$25)/'EM INCUMB'!$E$23</f>
        <v>0.16939211568646792</v>
      </c>
      <c r="Q520" s="55">
        <f>('EM INCUMB'!$F$24-'EM INCUMB'!$F$25)/'EM INCUMB'!$F$23</f>
        <v>0.1616938859081444</v>
      </c>
      <c r="R520" s="55">
        <f>('EM INCUMB'!$G$24-'EM INCUMB'!$G$25)/'EM INCUMB'!$G$23</f>
        <v>0.15573502683459159</v>
      </c>
      <c r="S520" s="55">
        <f t="shared" ref="S520" si="119">R520-O520</f>
        <v>-2.9320771230678944E-2</v>
      </c>
      <c r="T520" s="46"/>
      <c r="U520" s="57"/>
      <c r="V520" s="58" t="str">
        <f>V458</f>
        <v>Agg. Emerging Incumbent</v>
      </c>
      <c r="Z520" s="49"/>
    </row>
    <row r="521" spans="1:29">
      <c r="C521" s="43"/>
      <c r="D521" s="44"/>
      <c r="E521" s="44"/>
      <c r="F521" s="45"/>
      <c r="G521" s="44"/>
      <c r="H521" s="46"/>
      <c r="I521" s="47"/>
      <c r="J521" s="47"/>
      <c r="K521" s="47"/>
      <c r="L521" s="47"/>
      <c r="M521" s="45"/>
      <c r="N521" s="56"/>
      <c r="O521" s="45"/>
      <c r="P521" s="45"/>
      <c r="Q521" s="45"/>
      <c r="R521" s="45"/>
      <c r="S521" s="45"/>
      <c r="T521" s="46"/>
      <c r="U521" s="48"/>
      <c r="V521" s="50"/>
      <c r="Z521" s="49"/>
      <c r="AC521" s="63"/>
    </row>
    <row r="522" spans="1:29">
      <c r="A522" s="41" t="s">
        <v>502</v>
      </c>
      <c r="C522" s="48" t="str">
        <f t="shared" ref="C522:G528" si="120">C460</f>
        <v>Airtel Africa</v>
      </c>
      <c r="D522" s="44" t="str">
        <f t="shared" si="120"/>
        <v>USD 1.13</v>
      </c>
      <c r="E522" s="44" t="str">
        <f t="shared" si="120"/>
        <v>USD 2.00</v>
      </c>
      <c r="F522" s="45">
        <f t="shared" si="120"/>
        <v>0.77619893428063969</v>
      </c>
      <c r="G522" s="44" t="str">
        <f t="shared" si="120"/>
        <v>Buy</v>
      </c>
      <c r="H522" s="46"/>
      <c r="I522" s="47">
        <f>AAF!$D$25/AAF!$D$33</f>
        <v>-0.80270111567821489</v>
      </c>
      <c r="J522" s="47">
        <f>AAF!$E$25/AAF!$E$33</f>
        <v>-1.5148262914395318</v>
      </c>
      <c r="K522" s="47">
        <f>AAF!$F$25/AAF!$F$33</f>
        <v>-3.020523935153749</v>
      </c>
      <c r="L522" s="47">
        <f>AAF!$G$25/AAF!$G$33</f>
        <v>-3.6088479711624557</v>
      </c>
      <c r="M522" s="45">
        <f t="shared" ref="M522" si="121">L522-I522</f>
        <v>-2.8061468554842408</v>
      </c>
      <c r="N522" s="56"/>
      <c r="O522" s="169">
        <f>(AAF!$D$24-AAF!$D$25)/AAF!$D$23</f>
        <v>0.14802169110263105</v>
      </c>
      <c r="P522" s="169">
        <f>(AAF!$E$24-AAF!$E$25)/AAF!$E$23</f>
        <v>0.15077578418506099</v>
      </c>
      <c r="Q522" s="169">
        <f>(AAF!$F$24-AAF!$F$25)/AAF!$F$23</f>
        <v>0.15435198109563608</v>
      </c>
      <c r="R522" s="169">
        <f>(AAF!$G$24-AAF!$G$25)/AAF!$G$23</f>
        <v>0.15217143545113837</v>
      </c>
      <c r="S522" s="169">
        <f t="shared" ref="S522" si="122">R522-O522</f>
        <v>4.1497443485073171E-3</v>
      </c>
      <c r="T522" s="46"/>
      <c r="U522" s="48" t="str">
        <f t="shared" ref="U522:V528" si="123">U460</f>
        <v>USD 1.13</v>
      </c>
      <c r="V522" s="44" t="str">
        <f t="shared" si="123"/>
        <v>Airtel Africa</v>
      </c>
      <c r="Z522" s="46"/>
      <c r="AC522" s="63"/>
    </row>
    <row r="523" spans="1:29">
      <c r="A523" s="41"/>
      <c r="C523" s="48" t="str">
        <f t="shared" si="120"/>
        <v>MobileTeleSystems</v>
      </c>
      <c r="D523" s="44" t="str">
        <f t="shared" si="120"/>
        <v>USD 10.00</v>
      </c>
      <c r="E523" s="44" t="str">
        <f t="shared" si="120"/>
        <v>USD 10.10</v>
      </c>
      <c r="F523" s="45">
        <f t="shared" si="120"/>
        <v>1.0000000000000009E-2</v>
      </c>
      <c r="G523" s="44" t="str">
        <f t="shared" si="120"/>
        <v>Buy</v>
      </c>
      <c r="H523" s="46"/>
      <c r="I523" s="47">
        <f>MTS!$D$25/MTS!$D$33</f>
        <v>-3.0988911002603241</v>
      </c>
      <c r="J523" s="47">
        <f>MTS!$E$25/MTS!$E$33</f>
        <v>-3.2584355347482377</v>
      </c>
      <c r="K523" s="47">
        <f>MTS!$F$25/MTS!$F$33</f>
        <v>-3.236711609057104</v>
      </c>
      <c r="L523" s="47">
        <f>MTS!$G$25/MTS!$G$33</f>
        <v>-3.1820978732036909</v>
      </c>
      <c r="M523" s="45">
        <f t="shared" ref="M523:M529" si="124">L523-I523</f>
        <v>-8.3206772943366758E-2</v>
      </c>
      <c r="N523" s="56"/>
      <c r="O523" s="169">
        <f>(MTS!$D$24-MTS!$D$25)/MTS!$D$23</f>
        <v>0.17618018297989393</v>
      </c>
      <c r="P523" s="169">
        <f>(MTS!$E$24-MTS!$E$25)/MTS!$E$23</f>
        <v>0.16138213738428772</v>
      </c>
      <c r="Q523" s="169">
        <f>(MTS!$F$24-MTS!$F$25)/MTS!$F$23</f>
        <v>0.16138390874760475</v>
      </c>
      <c r="R523" s="169">
        <f>(MTS!$G$24-MTS!$G$25)/MTS!$G$23</f>
        <v>0.16138560683105999</v>
      </c>
      <c r="S523" s="169">
        <f t="shared" ref="S523:S529" si="125">R523-O523</f>
        <v>-1.4794576148833949E-2</v>
      </c>
      <c r="T523" s="46"/>
      <c r="U523" s="48" t="str">
        <f t="shared" si="123"/>
        <v>USD 10.00</v>
      </c>
      <c r="V523" s="44" t="str">
        <f t="shared" si="123"/>
        <v>MobileTeleSystems</v>
      </c>
      <c r="Z523" s="46"/>
      <c r="AC523" s="63"/>
    </row>
    <row r="524" spans="1:29">
      <c r="C524" s="48" t="str">
        <f t="shared" si="120"/>
        <v>MTN</v>
      </c>
      <c r="D524" s="44" t="str">
        <f t="shared" si="120"/>
        <v>ZAR 92.00</v>
      </c>
      <c r="E524" s="44" t="str">
        <f t="shared" si="120"/>
        <v>ZAR 130.00</v>
      </c>
      <c r="F524" s="45">
        <f t="shared" si="120"/>
        <v>0.41304347826086962</v>
      </c>
      <c r="G524" s="44" t="str">
        <f t="shared" si="120"/>
        <v>Buy</v>
      </c>
      <c r="H524" s="46"/>
      <c r="I524" s="47">
        <f>MTN!$D$25/MTN!$D$33</f>
        <v>-1.5823636706711115</v>
      </c>
      <c r="J524" s="47">
        <f>MTN!$E$25/MTN!$E$33</f>
        <v>-1.6607046896989273</v>
      </c>
      <c r="K524" s="47">
        <f>MTN!$F$25/MTN!$F$33</f>
        <v>-2.2542924229351442</v>
      </c>
      <c r="L524" s="47">
        <f>MTN!$G$25/MTN!$G$33</f>
        <v>-2.8268132085485749</v>
      </c>
      <c r="M524" s="45">
        <f t="shared" si="124"/>
        <v>-1.2444495378774634</v>
      </c>
      <c r="N524" s="56"/>
      <c r="O524" s="169">
        <f>(MTN!$D$24-MTN!$D$25)/MTN!$D$23</f>
        <v>0.28780942385639841</v>
      </c>
      <c r="P524" s="169">
        <f>(MTN!$E$24-MTN!$E$25)/MTN!$E$23</f>
        <v>0.21147542210111184</v>
      </c>
      <c r="Q524" s="169">
        <f>(MTN!$F$24-MTN!$F$25)/MTN!$F$23</f>
        <v>0.19797190848244101</v>
      </c>
      <c r="R524" s="169">
        <f>(MTN!$G$24-MTN!$G$25)/MTN!$G$23</f>
        <v>0.19806086190655203</v>
      </c>
      <c r="S524" s="169">
        <f t="shared" si="125"/>
        <v>-8.9748561949846373E-2</v>
      </c>
      <c r="T524" s="46"/>
      <c r="U524" s="48" t="str">
        <f t="shared" si="123"/>
        <v>ZAR 92.00</v>
      </c>
      <c r="V524" s="44" t="str">
        <f t="shared" si="123"/>
        <v>MTN</v>
      </c>
      <c r="Z524" s="46"/>
      <c r="AC524" s="63"/>
    </row>
    <row r="525" spans="1:29">
      <c r="C525" s="48" t="str">
        <f t="shared" si="120"/>
        <v>Safaricom</v>
      </c>
      <c r="D525" s="44" t="str">
        <f t="shared" si="120"/>
        <v>KES 14.80</v>
      </c>
      <c r="E525" s="44" t="str">
        <f t="shared" si="120"/>
        <v>KES 17.0</v>
      </c>
      <c r="F525" s="45">
        <f t="shared" si="120"/>
        <v>0.14864864864864868</v>
      </c>
      <c r="G525" s="44" t="str">
        <f t="shared" si="120"/>
        <v>Neutral</v>
      </c>
      <c r="H525" s="46"/>
      <c r="I525" s="47">
        <f>SAF!$D$25/SAF!$D$33</f>
        <v>5.8511612535553281</v>
      </c>
      <c r="J525" s="47">
        <f>SAF!$E$25/SAF!$E$33</f>
        <v>4.5958213663662031</v>
      </c>
      <c r="K525" s="47">
        <f>SAF!$F$25/SAF!$F$33</f>
        <v>6.7462612440484735</v>
      </c>
      <c r="L525" s="47">
        <f>SAF!$G$25/SAF!$G$33</f>
        <v>8.7909991236729219</v>
      </c>
      <c r="M525" s="45">
        <f>L525-I525</f>
        <v>2.9398378701175938</v>
      </c>
      <c r="N525" s="56"/>
      <c r="O525" s="169">
        <f>(SAF!$D$24-SAF!$D$25)/SAF!$D$23</f>
        <v>0.27088480962515687</v>
      </c>
      <c r="P525" s="169">
        <f>(SAF!$E$24-SAF!$E$25)/SAF!$E$23</f>
        <v>0.31388053060611526</v>
      </c>
      <c r="Q525" s="169">
        <f>(SAF!$F$24-SAF!$F$25)/SAF!$F$23</f>
        <v>0.24103382463936557</v>
      </c>
      <c r="R525" s="169">
        <f>(SAF!$G$24-SAF!$G$25)/SAF!$G$23</f>
        <v>0.18325944473656666</v>
      </c>
      <c r="S525" s="169">
        <f>R525-O525</f>
        <v>-8.7625364888590213E-2</v>
      </c>
      <c r="T525" s="46"/>
      <c r="U525" s="48" t="str">
        <f t="shared" si="123"/>
        <v>KES 14.80</v>
      </c>
      <c r="V525" s="44" t="str">
        <f t="shared" si="123"/>
        <v>Safaricom</v>
      </c>
      <c r="Z525" s="46"/>
    </row>
    <row r="526" spans="1:29">
      <c r="C526" s="48" t="str">
        <f t="shared" si="120"/>
        <v>Turkcell</v>
      </c>
      <c r="D526" s="44" t="str">
        <f t="shared" si="120"/>
        <v>USD 99.65</v>
      </c>
      <c r="E526" s="44" t="str">
        <f t="shared" si="120"/>
        <v>USD 16.90</v>
      </c>
      <c r="F526" s="45">
        <f t="shared" si="120"/>
        <v>-0.83040642247867535</v>
      </c>
      <c r="G526" s="44" t="str">
        <f t="shared" si="120"/>
        <v>Buy</v>
      </c>
      <c r="H526" s="46"/>
      <c r="I526" s="47">
        <f>TKC!$D$25/TKC!$D$33</f>
        <v>-70.175523662310439</v>
      </c>
      <c r="J526" s="47">
        <f>TKC!$E$25/TKC!$E$33</f>
        <v>-92.3865231487259</v>
      </c>
      <c r="K526" s="47">
        <f>TKC!$F$25/TKC!$F$33</f>
        <v>-162.63707100167176</v>
      </c>
      <c r="L526" s="47">
        <f>TKC!$G$25/TKC!$G$33</f>
        <v>-486.1599290946844</v>
      </c>
      <c r="M526" s="45">
        <f t="shared" si="124"/>
        <v>-415.98440543237393</v>
      </c>
      <c r="N526" s="56"/>
      <c r="O526" s="169">
        <f>(TKC!$D$24-TKC!$D$25)/TKC!$D$23</f>
        <v>0.15701744899469086</v>
      </c>
      <c r="P526" s="169">
        <f>(TKC!$E$24-TKC!$E$25)/TKC!$E$23</f>
        <v>0.14794724054634042</v>
      </c>
      <c r="Q526" s="169">
        <f>(TKC!$F$24-TKC!$F$25)/TKC!$F$23</f>
        <v>0.13941887574912259</v>
      </c>
      <c r="R526" s="169">
        <f>(TKC!$G$24-TKC!$G$25)/TKC!$G$23</f>
        <v>0.13958719863923599</v>
      </c>
      <c r="S526" s="169">
        <f t="shared" si="125"/>
        <v>-1.7430250355454868E-2</v>
      </c>
      <c r="T526" s="46"/>
      <c r="U526" s="48" t="str">
        <f t="shared" si="123"/>
        <v>USD 99.65</v>
      </c>
      <c r="V526" s="44" t="str">
        <f t="shared" si="123"/>
        <v>Turkcell</v>
      </c>
      <c r="Z526" s="49"/>
    </row>
    <row r="527" spans="1:29">
      <c r="C527" s="48" t="str">
        <f t="shared" si="120"/>
        <v>VEON</v>
      </c>
      <c r="D527" s="44" t="str">
        <f t="shared" si="120"/>
        <v>USD 27.2</v>
      </c>
      <c r="E527" s="44" t="str">
        <f t="shared" si="120"/>
        <v>USD 40.0</v>
      </c>
      <c r="F527" s="45">
        <f t="shared" si="120"/>
        <v>0.47058823529411775</v>
      </c>
      <c r="G527" s="44" t="str">
        <f t="shared" si="120"/>
        <v>Buy</v>
      </c>
      <c r="H527" s="46"/>
      <c r="I527" s="47">
        <f>VIMP!$D$25/VIMP!$D$33</f>
        <v>-2.0345319875409369</v>
      </c>
      <c r="J527" s="47">
        <f>VIMP!$E$25/VIMP!$E$33</f>
        <v>-4.8806880209111823</v>
      </c>
      <c r="K527" s="47">
        <f>VIMP!$F$25/VIMP!$F$33</f>
        <v>-6.2790577058021935</v>
      </c>
      <c r="L527" s="47">
        <f>VIMP!$G$25/VIMP!$G$33</f>
        <v>-7.7611642209834573</v>
      </c>
      <c r="M527" s="45">
        <f t="shared" si="124"/>
        <v>-5.7266322334425208</v>
      </c>
      <c r="N527" s="56"/>
      <c r="O527" s="45">
        <f>(VIMP!$D$24-VIMP!$D$25)/VIMP!$D$23</f>
        <v>0.17603367051520571</v>
      </c>
      <c r="P527" s="45">
        <f>(VIMP!$E$24-VIMP!$E$25)/VIMP!$E$23</f>
        <v>0.17322874442587352</v>
      </c>
      <c r="Q527" s="45">
        <f>(VIMP!$F$24-VIMP!$F$25)/VIMP!$F$23</f>
        <v>0.18152021722043993</v>
      </c>
      <c r="R527" s="45">
        <f>(VIMP!$G$24-VIMP!$G$25)/VIMP!$G$23</f>
        <v>0.18001326959850797</v>
      </c>
      <c r="S527" s="45">
        <f t="shared" si="125"/>
        <v>3.9795990833022543E-3</v>
      </c>
      <c r="T527" s="46"/>
      <c r="U527" s="48" t="str">
        <f t="shared" si="123"/>
        <v>USD 27.2</v>
      </c>
      <c r="V527" s="44" t="str">
        <f t="shared" si="123"/>
        <v>Vimpel Com</v>
      </c>
      <c r="Z527" s="49"/>
    </row>
    <row r="528" spans="1:29">
      <c r="C528" s="48" t="str">
        <f t="shared" si="120"/>
        <v>Vodacom</v>
      </c>
      <c r="D528" s="44" t="str">
        <f t="shared" si="120"/>
        <v>ZAR 111.1</v>
      </c>
      <c r="E528" s="44" t="str">
        <f t="shared" si="120"/>
        <v>ZAR 150.0</v>
      </c>
      <c r="F528" s="45">
        <f t="shared" si="120"/>
        <v>0.34989200863930892</v>
      </c>
      <c r="G528" s="44" t="str">
        <f t="shared" si="120"/>
        <v>Buy</v>
      </c>
      <c r="H528" s="46"/>
      <c r="I528" s="47">
        <f>VODA!$D$25/VODA!$D$33</f>
        <v>-4.9568115539508399</v>
      </c>
      <c r="J528" s="47">
        <f>VODA!$E$25/VODA!$E$33</f>
        <v>-5.0103224511838205</v>
      </c>
      <c r="K528" s="47">
        <f>VODA!$F$25/VODA!$F$33</f>
        <v>-6.0222524210324675</v>
      </c>
      <c r="L528" s="47">
        <f>VODA!$G$25/VODA!$G$33</f>
        <v>-7.4393294610383043</v>
      </c>
      <c r="M528" s="45">
        <f t="shared" si="124"/>
        <v>-2.4825179070874643</v>
      </c>
      <c r="N528" s="56"/>
      <c r="O528" s="45">
        <f>(VODA!$D$24-VODA!$D$25)/VODA!$D$23</f>
        <v>0.13560965244299242</v>
      </c>
      <c r="P528" s="45">
        <f>(VODA!$E$24-VODA!$E$25)/VODA!$E$23</f>
        <v>0.13741423027885449</v>
      </c>
      <c r="Q528" s="45">
        <f>(VODA!$F$24-VODA!$F$25)/VODA!$F$23</f>
        <v>0.13672171690868645</v>
      </c>
      <c r="R528" s="45">
        <f>(VODA!$G$24-VODA!$G$25)/VODA!$G$23</f>
        <v>0.1362087276585725</v>
      </c>
      <c r="S528" s="45">
        <f t="shared" si="125"/>
        <v>5.9907521558008603E-4</v>
      </c>
      <c r="T528" s="46"/>
      <c r="U528" s="48" t="str">
        <f t="shared" si="123"/>
        <v>ZAR 111.1</v>
      </c>
      <c r="V528" s="44" t="str">
        <f t="shared" si="123"/>
        <v>Vodacom</v>
      </c>
      <c r="Z528" s="46"/>
    </row>
    <row r="529" spans="1:26">
      <c r="C529" s="51" t="str">
        <f>C467</f>
        <v>Agg. EMEA Cellular</v>
      </c>
      <c r="D529" s="52"/>
      <c r="E529" s="52"/>
      <c r="F529" s="53"/>
      <c r="G529" s="52"/>
      <c r="H529" s="46"/>
      <c r="I529" s="54">
        <f>'EMEA CELLULAR'!$D$25/'EMEA CELLULAR'!$D$33</f>
        <v>-2.0570599820157205</v>
      </c>
      <c r="J529" s="54">
        <f>'EMEA CELLULAR'!$E$25/'EMEA CELLULAR'!$E$33</f>
        <v>-2.9373313527117433</v>
      </c>
      <c r="K529" s="54">
        <f>'EMEA CELLULAR'!$F$25/'EMEA CELLULAR'!$F$33</f>
        <v>-4.138275451430462</v>
      </c>
      <c r="L529" s="54">
        <f>'EMEA CELLULAR'!$G$25/'EMEA CELLULAR'!$G$33</f>
        <v>-4.9453986013407985</v>
      </c>
      <c r="M529" s="55">
        <f t="shared" si="124"/>
        <v>-2.888338619325078</v>
      </c>
      <c r="N529" s="56"/>
      <c r="O529" s="55">
        <f>('EMEA CELLULAR'!$D$24-'EMEA CELLULAR'!$D$25)/'EMEA CELLULAR'!$D$23</f>
        <v>0.20622728366871673</v>
      </c>
      <c r="P529" s="55">
        <f>('EMEA CELLULAR'!$E$24-'EMEA CELLULAR'!$E$25)/'EMEA CELLULAR'!$E$23</f>
        <v>0.18167650707420349</v>
      </c>
      <c r="Q529" s="55">
        <f>('EMEA CELLULAR'!$F$24-'EMEA CELLULAR'!$F$25)/'EMEA CELLULAR'!$F$23</f>
        <v>0.17304670511284934</v>
      </c>
      <c r="R529" s="55">
        <f>('EMEA CELLULAR'!$G$24-'EMEA CELLULAR'!$G$25)/'EMEA CELLULAR'!$G$23</f>
        <v>0.16850153129621048</v>
      </c>
      <c r="S529" s="55">
        <f t="shared" si="125"/>
        <v>-3.7725752372506249E-2</v>
      </c>
      <c r="T529" s="46"/>
      <c r="U529" s="57"/>
      <c r="V529" s="58" t="str">
        <f>V467</f>
        <v>Agg. EMEA Cellular</v>
      </c>
      <c r="Z529" s="49"/>
    </row>
    <row r="530" spans="1:26">
      <c r="A530" s="5"/>
      <c r="C530" s="43"/>
      <c r="D530" s="44"/>
      <c r="E530" s="44"/>
      <c r="F530" s="45"/>
      <c r="G530" s="44"/>
      <c r="H530" s="46"/>
      <c r="I530" s="47"/>
      <c r="J530" s="47"/>
      <c r="K530" s="47"/>
      <c r="L530" s="47"/>
      <c r="M530" s="45"/>
      <c r="N530" s="56"/>
      <c r="O530" s="45"/>
      <c r="P530" s="45"/>
      <c r="Q530" s="45"/>
      <c r="R530" s="45"/>
      <c r="S530" s="45"/>
      <c r="T530" s="46"/>
      <c r="U530" s="48"/>
      <c r="V530" s="50"/>
      <c r="Z530" s="46"/>
    </row>
    <row r="531" spans="1:26">
      <c r="A531" s="5"/>
      <c r="C531" s="48" t="str">
        <f t="shared" ref="C531:G533" si="126">C469</f>
        <v>Entel</v>
      </c>
      <c r="D531" s="44" t="str">
        <f t="shared" si="126"/>
        <v>CLP 2,900</v>
      </c>
      <c r="E531" s="44" t="str">
        <f t="shared" si="126"/>
        <v>CLP 3,150</v>
      </c>
      <c r="F531" s="45">
        <f t="shared" si="126"/>
        <v>8.6206896551724199E-2</v>
      </c>
      <c r="G531" s="44" t="str">
        <f t="shared" si="126"/>
        <v>Neutral</v>
      </c>
      <c r="H531" s="46"/>
      <c r="I531" s="47">
        <f>ENTEL!$D$25/ENTEL!$D$33</f>
        <v>2.8182261707404357</v>
      </c>
      <c r="J531" s="47">
        <f>ENTEL!$E$25/ENTEL!$E$33</f>
        <v>3.5135479464563724</v>
      </c>
      <c r="K531" s="47">
        <f>ENTEL!$F$25/ENTEL!$F$33</f>
        <v>4.5277231199177486</v>
      </c>
      <c r="L531" s="47">
        <f>ENTEL!$G$25/ENTEL!$G$33</f>
        <v>5.3854157236933835</v>
      </c>
      <c r="M531" s="45">
        <f>L531-I531</f>
        <v>2.5671895529529478</v>
      </c>
      <c r="N531" s="56"/>
      <c r="O531" s="169">
        <f>(ENTEL!$D$24-ENTEL!$D$25)/ENTEL!$D$23</f>
        <v>0.18098559390243235</v>
      </c>
      <c r="P531" s="169">
        <f>(ENTEL!$E$24-ENTEL!$E$25)/ENTEL!$E$23</f>
        <v>0.17609124340441584</v>
      </c>
      <c r="Q531" s="169">
        <f>(ENTEL!$F$24-ENTEL!$F$25)/ENTEL!$F$23</f>
        <v>0.16920926074149062</v>
      </c>
      <c r="R531" s="169">
        <f>(ENTEL!$G$24-ENTEL!$G$25)/ENTEL!$G$23</f>
        <v>0.16654852907137446</v>
      </c>
      <c r="S531" s="169">
        <f>R531-O531</f>
        <v>-1.4437064831057889E-2</v>
      </c>
      <c r="T531" s="46"/>
      <c r="U531" s="48" t="str">
        <f t="shared" ref="U531:V533" si="127">U469</f>
        <v>CLP 2,900</v>
      </c>
      <c r="V531" s="44" t="str">
        <f t="shared" si="127"/>
        <v>Entel</v>
      </c>
      <c r="Z531" s="49"/>
    </row>
    <row r="532" spans="1:26">
      <c r="A532" s="5"/>
      <c r="C532" s="48" t="str">
        <f t="shared" si="126"/>
        <v>Millicom</v>
      </c>
      <c r="D532" s="44" t="str">
        <f t="shared" si="126"/>
        <v>USD  26.6</v>
      </c>
      <c r="E532" s="44" t="str">
        <f t="shared" si="126"/>
        <v>USD 18.0</v>
      </c>
      <c r="F532" s="45">
        <f t="shared" si="126"/>
        <v>-0.32407059707097252</v>
      </c>
      <c r="G532" s="44" t="str">
        <f t="shared" si="126"/>
        <v>Neutral</v>
      </c>
      <c r="H532" s="46"/>
      <c r="I532" s="47">
        <f>MILLI!$D$25/MILLI!$D$33</f>
        <v>1.9695303756978884</v>
      </c>
      <c r="J532" s="47">
        <f>MILLI!$E$25/MILLI!$E$33</f>
        <v>2.1096519780587539</v>
      </c>
      <c r="K532" s="47">
        <f>MILLI!$F$25/MILLI!$F$33</f>
        <v>2.3766035085412507</v>
      </c>
      <c r="L532" s="47">
        <f>MILLI!$G$25/MILLI!$G$33</f>
        <v>2.5403583415384534</v>
      </c>
      <c r="M532" s="45">
        <f>L532-I532</f>
        <v>0.57082796584056505</v>
      </c>
      <c r="N532" s="56"/>
      <c r="O532" s="169">
        <f>(MILLI!$D$24-MILLI!$D$25)/MILLI!$D$23</f>
        <v>0.15056120724692132</v>
      </c>
      <c r="P532" s="169">
        <f>(MILLI!$E$24-MILLI!$E$25)/MILLI!$E$23</f>
        <v>0.14702585911302446</v>
      </c>
      <c r="Q532" s="169">
        <f>(MILLI!$F$24-MILLI!$F$25)/MILLI!$F$23</f>
        <v>0.14442095058609331</v>
      </c>
      <c r="R532" s="169">
        <f>(MILLI!$G$24-MILLI!$G$25)/MILLI!$G$23</f>
        <v>0.14349770372216616</v>
      </c>
      <c r="S532" s="169">
        <f>R532-O532</f>
        <v>-7.0635035247551547E-3</v>
      </c>
      <c r="T532" s="46"/>
      <c r="U532" s="48" t="str">
        <f t="shared" si="127"/>
        <v>USD  26.6</v>
      </c>
      <c r="V532" s="44" t="str">
        <f t="shared" si="127"/>
        <v>Millicom</v>
      </c>
      <c r="Z532" s="46"/>
    </row>
    <row r="533" spans="1:26">
      <c r="A533" s="5"/>
      <c r="C533" s="48" t="str">
        <f t="shared" si="126"/>
        <v>TIM Participacoes</v>
      </c>
      <c r="D533" s="44" t="str">
        <f t="shared" si="126"/>
        <v>BRL 18.63</v>
      </c>
      <c r="E533" s="44" t="str">
        <f t="shared" si="126"/>
        <v>BRL 23.00</v>
      </c>
      <c r="F533" s="45">
        <f t="shared" si="126"/>
        <v>0.23456790123456805</v>
      </c>
      <c r="G533" s="44" t="str">
        <f t="shared" si="126"/>
        <v>Buy</v>
      </c>
      <c r="H533" s="46"/>
      <c r="I533" s="47">
        <f>TIMP!$D$25/TIMP!$D$33</f>
        <v>4.8309909473527428</v>
      </c>
      <c r="J533" s="47">
        <f>TIMP!$E$25/TIMP!$E$33</f>
        <v>6.1719028238028466</v>
      </c>
      <c r="K533" s="47">
        <f>TIMP!$F$25/TIMP!$F$33</f>
        <v>8.1921743699907879</v>
      </c>
      <c r="L533" s="47">
        <f>TIMP!$G$25/TIMP!$G$33</f>
        <v>12.397247659231923</v>
      </c>
      <c r="M533" s="45">
        <f>L533-I533</f>
        <v>7.5662567118791797</v>
      </c>
      <c r="N533" s="56"/>
      <c r="O533" s="45">
        <f>(TIMP!$D$24-TIMP!$D$25)/TIMP!$D$23</f>
        <v>0.1898967723487994</v>
      </c>
      <c r="P533" s="45">
        <f>(TIMP!$E$24-TIMP!$E$25)/TIMP!$E$23</f>
        <v>0.17490602010107301</v>
      </c>
      <c r="Q533" s="45">
        <f>(TIMP!$F$24-TIMP!$F$25)/TIMP!$F$23</f>
        <v>0.16318552611571829</v>
      </c>
      <c r="R533" s="45">
        <f>(TIMP!$G$24-TIMP!$G$25)/TIMP!$G$23</f>
        <v>0.16256628699301914</v>
      </c>
      <c r="S533" s="45">
        <f>R533-O533</f>
        <v>-2.7330485355780254E-2</v>
      </c>
      <c r="T533" s="46"/>
      <c r="U533" s="48" t="str">
        <f t="shared" si="127"/>
        <v>BRL 18.63</v>
      </c>
      <c r="V533" s="44" t="str">
        <f t="shared" si="127"/>
        <v>TIM Participacoes</v>
      </c>
      <c r="Z533" s="49"/>
    </row>
    <row r="534" spans="1:26">
      <c r="A534" s="5"/>
      <c r="C534" s="51" t="str">
        <f>C472</f>
        <v>Agg. LatAm Cellular</v>
      </c>
      <c r="D534" s="52"/>
      <c r="E534" s="52"/>
      <c r="F534" s="53"/>
      <c r="G534" s="52"/>
      <c r="H534" s="46"/>
      <c r="I534" s="54">
        <f>'LATAM CELLULAR'!$D$25/'LATAM CELLULAR'!$D$33</f>
        <v>2.8027312903021748</v>
      </c>
      <c r="J534" s="54">
        <f>'LATAM CELLULAR'!$E$25/'LATAM CELLULAR'!$E$33</f>
        <v>3.2733724233763626</v>
      </c>
      <c r="K534" s="54">
        <f>'LATAM CELLULAR'!$F$25/'LATAM CELLULAR'!$F$33</f>
        <v>3.9569953231358745</v>
      </c>
      <c r="L534" s="54">
        <f>'LATAM CELLULAR'!$G$25/'LATAM CELLULAR'!$G$33</f>
        <v>4.588874895176466</v>
      </c>
      <c r="M534" s="55">
        <f>L534-I534</f>
        <v>1.7861436048742911</v>
      </c>
      <c r="N534" s="56"/>
      <c r="O534" s="55">
        <f>('LATAM CELLULAR'!$D$24-'LATAM CELLULAR'!$D$25)/'LATAM CELLULAR'!$D$23</f>
        <v>0.17002580620892857</v>
      </c>
      <c r="P534" s="55">
        <f>('LATAM CELLULAR'!$E$24-'LATAM CELLULAR'!$E$25)/'LATAM CELLULAR'!$E$23</f>
        <v>0.16258301258838539</v>
      </c>
      <c r="Q534" s="55">
        <f>('LATAM CELLULAR'!$F$24-'LATAM CELLULAR'!$F$25)/'LATAM CELLULAR'!$F$23</f>
        <v>0.15603115915052643</v>
      </c>
      <c r="R534" s="55">
        <f>('LATAM CELLULAR'!$G$24-'LATAM CELLULAR'!$G$25)/'LATAM CELLULAR'!$G$23</f>
        <v>0.15495738354604244</v>
      </c>
      <c r="S534" s="55">
        <f>R534-O534</f>
        <v>-1.5068422662886133E-2</v>
      </c>
      <c r="T534" s="46"/>
      <c r="U534" s="57"/>
      <c r="V534" s="58" t="str">
        <f>V472</f>
        <v>Agg. LatAm Cellular</v>
      </c>
      <c r="Z534" s="49"/>
    </row>
    <row r="535" spans="1:26">
      <c r="C535" s="43"/>
      <c r="D535" s="44"/>
      <c r="E535" s="44"/>
      <c r="F535" s="45"/>
      <c r="G535" s="44"/>
      <c r="H535" s="46"/>
      <c r="I535" s="47"/>
      <c r="J535" s="47"/>
      <c r="K535" s="47"/>
      <c r="L535" s="47"/>
      <c r="M535" s="45"/>
      <c r="N535" s="46"/>
      <c r="O535" s="45"/>
      <c r="P535" s="45"/>
      <c r="Q535" s="45"/>
      <c r="R535" s="45"/>
      <c r="S535" s="45"/>
      <c r="T535" s="46"/>
      <c r="U535" s="48"/>
      <c r="V535" s="50"/>
      <c r="Z535" s="49"/>
    </row>
    <row r="536" spans="1:26">
      <c r="A536" s="5"/>
      <c r="C536" s="48" t="str">
        <f t="shared" ref="C536:G549" si="128">C474</f>
        <v>AIS</v>
      </c>
      <c r="D536" s="44" t="str">
        <f t="shared" si="128"/>
        <v>THB 269.0</v>
      </c>
      <c r="E536" s="44" t="str">
        <f t="shared" si="128"/>
        <v>THB 300.0</v>
      </c>
      <c r="F536" s="45">
        <f t="shared" si="128"/>
        <v>0.11524163568773238</v>
      </c>
      <c r="G536" s="44" t="str">
        <f t="shared" si="128"/>
        <v>Buy</v>
      </c>
      <c r="H536" s="46"/>
      <c r="I536" s="47">
        <f>ADVANCED!$D$25/ADVANCED!$D$33</f>
        <v>9.1591537835638732</v>
      </c>
      <c r="J536" s="47">
        <f>ADVANCED!$E$25/ADVANCED!$E$33</f>
        <v>13.146976907048025</v>
      </c>
      <c r="K536" s="47">
        <f>ADVANCED!$F$25/ADVANCED!$F$33</f>
        <v>16.32928464649541</v>
      </c>
      <c r="L536" s="47">
        <f>ADVANCED!$G$25/ADVANCED!$G$33</f>
        <v>18.314479729762123</v>
      </c>
      <c r="M536" s="45">
        <f t="shared" ref="M536:M550" si="129">L536-I536</f>
        <v>9.1553259461982499</v>
      </c>
      <c r="N536" s="46"/>
      <c r="O536" s="45">
        <f>(ADVANCED!$D$24-ADVANCED!$D$25)/ADVANCED!$D$23</f>
        <v>0.19636475303510825</v>
      </c>
      <c r="P536" s="45">
        <f>(ADVANCED!$E$24-ADVANCED!$E$25)/ADVANCED!$E$23</f>
        <v>0.1230458464790781</v>
      </c>
      <c r="Q536" s="45">
        <f>(ADVANCED!$F$24-ADVANCED!$F$25)/ADVANCED!$F$23</f>
        <v>0.1168198435737681</v>
      </c>
      <c r="R536" s="45">
        <f>(ADVANCED!$G$24-ADVANCED!$G$25)/ADVANCED!$G$23</f>
        <v>0.12999999999999998</v>
      </c>
      <c r="S536" s="45">
        <f t="shared" ref="S536:S550" si="130">R536-O536</f>
        <v>-6.6364753035108276E-2</v>
      </c>
      <c r="T536" s="46"/>
      <c r="U536" s="48" t="str">
        <f t="shared" ref="U536:V549" si="131">U474</f>
        <v>THB 269.0</v>
      </c>
      <c r="V536" s="44" t="str">
        <f t="shared" si="131"/>
        <v>AIS</v>
      </c>
      <c r="Z536" s="49"/>
    </row>
    <row r="537" spans="1:26">
      <c r="C537" s="48" t="str">
        <f t="shared" si="128"/>
        <v>Axiata</v>
      </c>
      <c r="D537" s="44" t="str">
        <f t="shared" si="128"/>
        <v>MYR 2.44</v>
      </c>
      <c r="E537" s="44" t="str">
        <f t="shared" si="128"/>
        <v>MYR 4.50</v>
      </c>
      <c r="F537" s="45">
        <f t="shared" si="128"/>
        <v>0.84426229508196715</v>
      </c>
      <c r="G537" s="44" t="str">
        <f t="shared" si="128"/>
        <v>Buy</v>
      </c>
      <c r="H537" s="46"/>
      <c r="I537" s="47">
        <f>AXI!$D$25/AXI!$D$33</f>
        <v>-2.7572470076921189</v>
      </c>
      <c r="J537" s="47">
        <f>AXI!$E$25/AXI!$E$33</f>
        <v>-2.9789583788486653</v>
      </c>
      <c r="K537" s="47">
        <f>AXI!$F$25/AXI!$F$33</f>
        <v>-2.9631998646625686</v>
      </c>
      <c r="L537" s="47">
        <f>AXI!$G$25/AXI!$G$33</f>
        <v>-3.101483334609628</v>
      </c>
      <c r="M537" s="45">
        <f t="shared" si="129"/>
        <v>-0.34423632691750905</v>
      </c>
      <c r="N537" s="46"/>
      <c r="O537" s="45">
        <f>(AXI!$D$24-AXI!$D$25)/AXI!$D$23</f>
        <v>0.26817886401819285</v>
      </c>
      <c r="P537" s="45">
        <f>(AXI!$E$24-AXI!$E$25)/AXI!$E$23</f>
        <v>0.2728265552004977</v>
      </c>
      <c r="Q537" s="45">
        <f>(AXI!$F$24-AXI!$F$25)/AXI!$F$23</f>
        <v>0.28469963450890412</v>
      </c>
      <c r="R537" s="45">
        <f>(AXI!$G$24-AXI!$G$25)/AXI!$G$23</f>
        <v>0.28435685783413239</v>
      </c>
      <c r="S537" s="45">
        <f t="shared" si="130"/>
        <v>1.617799381593954E-2</v>
      </c>
      <c r="T537" s="46"/>
      <c r="U537" s="48" t="str">
        <f t="shared" si="131"/>
        <v>MYR 2.44</v>
      </c>
      <c r="V537" s="44" t="str">
        <f t="shared" si="131"/>
        <v>Axiata</v>
      </c>
      <c r="Z537" s="49"/>
    </row>
    <row r="538" spans="1:26">
      <c r="C538" s="48" t="str">
        <f t="shared" si="128"/>
        <v>Bharti Airtel</v>
      </c>
      <c r="D538" s="44" t="str">
        <f t="shared" si="128"/>
        <v>INR 1539</v>
      </c>
      <c r="E538" s="44" t="str">
        <f t="shared" si="128"/>
        <v>INR 1500</v>
      </c>
      <c r="F538" s="45">
        <f t="shared" si="128"/>
        <v>-2.5404457150282611E-2</v>
      </c>
      <c r="G538" s="44" t="str">
        <f t="shared" si="128"/>
        <v>Neutral</v>
      </c>
      <c r="H538" s="46"/>
      <c r="I538" s="47">
        <f>BHART!$D$25/BHART!$D$33</f>
        <v>1.7984819662642983</v>
      </c>
      <c r="J538" s="47">
        <f>BHART!$E$25/BHART!$E$33</f>
        <v>2.4598765433267067</v>
      </c>
      <c r="K538" s="47">
        <f>BHART!$F$25/BHART!$F$33</f>
        <v>3.3106112755159351</v>
      </c>
      <c r="L538" s="47">
        <f>BHART!$G$25/BHART!$G$33</f>
        <v>4.4357458150057454</v>
      </c>
      <c r="M538" s="45">
        <f t="shared" si="129"/>
        <v>2.6372638487414468</v>
      </c>
      <c r="N538" s="46"/>
      <c r="O538" s="45">
        <f>(BHART!$D$24-BHART!$D$25)/BHART!$D$23</f>
        <v>0.26074951570608751</v>
      </c>
      <c r="P538" s="45">
        <f>(BHART!$E$24-BHART!$E$25)/BHART!$E$23</f>
        <v>0.22015962794240343</v>
      </c>
      <c r="Q538" s="45">
        <f>(BHART!$F$24-BHART!$F$25)/BHART!$F$23</f>
        <v>0.19427844491113763</v>
      </c>
      <c r="R538" s="45">
        <f>(BHART!$G$24-BHART!$G$25)/BHART!$G$23</f>
        <v>0.1682375073940573</v>
      </c>
      <c r="S538" s="45">
        <f t="shared" si="130"/>
        <v>-9.2512008312030214E-2</v>
      </c>
      <c r="T538" s="46"/>
      <c r="U538" s="48" t="str">
        <f t="shared" si="131"/>
        <v>INR 1539</v>
      </c>
      <c r="V538" s="44" t="str">
        <f t="shared" si="131"/>
        <v>Bharti Airtel</v>
      </c>
      <c r="Z538" s="49"/>
    </row>
    <row r="539" spans="1:26">
      <c r="A539" s="5"/>
      <c r="C539" s="48" t="str">
        <f t="shared" si="128"/>
        <v>China Mobile</v>
      </c>
      <c r="D539" s="44" t="str">
        <f t="shared" si="128"/>
        <v>HKD 72.0</v>
      </c>
      <c r="E539" s="44" t="str">
        <f t="shared" si="128"/>
        <v>HKD 115.0</v>
      </c>
      <c r="F539" s="45">
        <f t="shared" si="128"/>
        <v>0.59722222222222232</v>
      </c>
      <c r="G539" s="44" t="str">
        <f t="shared" si="128"/>
        <v>Buy</v>
      </c>
      <c r="H539" s="46"/>
      <c r="I539" s="47">
        <f>_CM!$D$25/_CM!$D$33</f>
        <v>9.8253849689726511</v>
      </c>
      <c r="J539" s="47">
        <f>_CM!$E$25/_CM!$E$33</f>
        <v>15.88012435268184</v>
      </c>
      <c r="K539" s="47">
        <f>_CM!$F$25/_CM!$F$33</f>
        <v>19.340032280037768</v>
      </c>
      <c r="L539" s="47">
        <f>_CM!$G$25/_CM!$G$33</f>
        <v>20.152096962697751</v>
      </c>
      <c r="M539" s="45">
        <f t="shared" si="129"/>
        <v>10.3267119937251</v>
      </c>
      <c r="N539" s="46"/>
      <c r="O539" s="45">
        <f>(_CM!$D$24-_CM!$D$25)/_CM!$D$23</f>
        <v>0.16890466645992458</v>
      </c>
      <c r="P539" s="45">
        <f>(_CM!$E$24-_CM!$E$25)/_CM!$E$23</f>
        <v>0.15802625385762165</v>
      </c>
      <c r="Q539" s="45">
        <f>(_CM!$F$24-_CM!$F$25)/_CM!$F$23</f>
        <v>0.14783540363705355</v>
      </c>
      <c r="R539" s="45">
        <f>(_CM!$G$24-_CM!$G$25)/_CM!$G$23</f>
        <v>0.14457137514490895</v>
      </c>
      <c r="S539" s="45">
        <f t="shared" si="130"/>
        <v>-2.4333291315015632E-2</v>
      </c>
      <c r="T539" s="46"/>
      <c r="U539" s="48" t="str">
        <f t="shared" si="131"/>
        <v>HKD 72.0</v>
      </c>
      <c r="V539" s="44" t="str">
        <f t="shared" si="131"/>
        <v>China Mobile</v>
      </c>
      <c r="Z539" s="49"/>
    </row>
    <row r="540" spans="1:26">
      <c r="A540" s="5"/>
      <c r="C540" s="48" t="str">
        <f t="shared" si="128"/>
        <v>CelcomDigi</v>
      </c>
      <c r="D540" s="44" t="str">
        <f t="shared" si="128"/>
        <v>MYR 3.7</v>
      </c>
      <c r="E540" s="44" t="str">
        <f t="shared" si="128"/>
        <v>MYR 6.0</v>
      </c>
      <c r="F540" s="45">
        <f t="shared" si="128"/>
        <v>0.63934426229508201</v>
      </c>
      <c r="G540" s="44" t="str">
        <f t="shared" si="128"/>
        <v>Buy</v>
      </c>
      <c r="H540" s="46"/>
      <c r="I540" s="47">
        <f>DIGI!$D$25/DIGI!$D$33</f>
        <v>13.45564377655807</v>
      </c>
      <c r="J540" s="47">
        <f>DIGI!$E$25/DIGI!$E$33</f>
        <v>13.445009375530681</v>
      </c>
      <c r="K540" s="47">
        <f>DIGI!$F$25/DIGI!$F$33</f>
        <v>15.924966787882793</v>
      </c>
      <c r="L540" s="47">
        <f>DIGI!$G$25/DIGI!$G$33</f>
        <v>18.857283777176082</v>
      </c>
      <c r="M540" s="45">
        <f t="shared" si="129"/>
        <v>5.4016400006180127</v>
      </c>
      <c r="N540" s="46"/>
      <c r="O540" s="45">
        <f>(DIGI!$D$24-DIGI!$D$25)/DIGI!$D$23</f>
        <v>0.13839943231096741</v>
      </c>
      <c r="P540" s="45">
        <f>(DIGI!$E$24-DIGI!$E$25)/DIGI!$E$23</f>
        <v>0.15999999999999998</v>
      </c>
      <c r="Q540" s="45">
        <f>(DIGI!$F$24-DIGI!$F$25)/DIGI!$F$23</f>
        <v>0.14999999999999997</v>
      </c>
      <c r="R540" s="45">
        <f>(DIGI!$G$24-DIGI!$G$25)/DIGI!$G$23</f>
        <v>0.14000000000000001</v>
      </c>
      <c r="S540" s="45">
        <f t="shared" si="130"/>
        <v>1.6005676890326059E-3</v>
      </c>
      <c r="T540" s="46"/>
      <c r="U540" s="48" t="str">
        <f t="shared" si="131"/>
        <v>MYR 3.7</v>
      </c>
      <c r="V540" s="44" t="str">
        <f t="shared" si="131"/>
        <v>CelcomDigi</v>
      </c>
      <c r="Z540" s="49"/>
    </row>
    <row r="541" spans="1:26">
      <c r="A541" s="5"/>
      <c r="C541" s="48" t="str">
        <f t="shared" si="128"/>
        <v>Far EasTone</v>
      </c>
      <c r="D541" s="44" t="str">
        <f t="shared" si="128"/>
        <v>TWD 91.9</v>
      </c>
      <c r="E541" s="44" t="str">
        <f t="shared" si="128"/>
        <v>TWD n/r</v>
      </c>
      <c r="F541" s="45" t="str">
        <f t="shared" si="128"/>
        <v>-</v>
      </c>
      <c r="G541" s="44" t="str">
        <f t="shared" si="128"/>
        <v>n/r</v>
      </c>
      <c r="H541" s="46"/>
      <c r="I541" s="47">
        <f>FAR!$D$25/FAR!$D$33</f>
        <v>-12.412159504490692</v>
      </c>
      <c r="J541" s="47">
        <f>FAR!$E$25/FAR!$E$33</f>
        <v>-13.269972092336992</v>
      </c>
      <c r="K541" s="47">
        <f>FAR!$F$25/FAR!$F$33</f>
        <v>-13.941106838324067</v>
      </c>
      <c r="L541" s="47">
        <f>FAR!$G$25/FAR!$G$33</f>
        <v>-14.65345416188736</v>
      </c>
      <c r="M541" s="45">
        <f t="shared" si="129"/>
        <v>-2.2412946573966686</v>
      </c>
      <c r="N541" s="46"/>
      <c r="O541" s="45">
        <f>(FAR!$D$24-FAR!$D$25)/FAR!$D$23</f>
        <v>0.10000000000000003</v>
      </c>
      <c r="P541" s="45">
        <f>(FAR!$E$24-FAR!$E$25)/FAR!$E$23</f>
        <v>9.4999999999999973E-2</v>
      </c>
      <c r="Q541" s="45">
        <f>(FAR!$F$24-FAR!$F$25)/FAR!$F$23</f>
        <v>9.5000000000000001E-2</v>
      </c>
      <c r="R541" s="45">
        <f>(FAR!$G$24-FAR!$G$25)/FAR!$G$23</f>
        <v>9.4999999999999987E-2</v>
      </c>
      <c r="S541" s="45">
        <f t="shared" si="130"/>
        <v>-5.0000000000000461E-3</v>
      </c>
      <c r="T541" s="46"/>
      <c r="U541" s="48" t="str">
        <f t="shared" si="131"/>
        <v>TWD 91.9</v>
      </c>
      <c r="V541" s="44" t="str">
        <f t="shared" si="131"/>
        <v>Far EasTone</v>
      </c>
      <c r="Z541" s="49"/>
    </row>
    <row r="542" spans="1:26">
      <c r="A542" s="5"/>
      <c r="C542" s="48" t="str">
        <f t="shared" si="128"/>
        <v>Vodafone IDEA</v>
      </c>
      <c r="D542" s="44" t="str">
        <f t="shared" si="128"/>
        <v>INR 13.4</v>
      </c>
      <c r="E542" s="44" t="str">
        <f t="shared" si="128"/>
        <v>INR 5.0</v>
      </c>
      <c r="F542" s="45">
        <f t="shared" si="128"/>
        <v>-0.62574850299401197</v>
      </c>
      <c r="G542" s="44" t="str">
        <f t="shared" si="128"/>
        <v>Reduce</v>
      </c>
      <c r="H542" s="46"/>
      <c r="I542" s="47">
        <f>IDEA!$D$25/IDEA!$D$33</f>
        <v>0.62158208584767416</v>
      </c>
      <c r="J542" s="47">
        <f>IDEA!$E$25/IDEA!$E$33</f>
        <v>5.2499508608400094E-2</v>
      </c>
      <c r="K542" s="47">
        <f>IDEA!$F$25/IDEA!$F$33</f>
        <v>8.2480720706779864E-2</v>
      </c>
      <c r="L542" s="47">
        <f>IDEA!$G$25/IDEA!$G$33</f>
        <v>0.47217370187864183</v>
      </c>
      <c r="M542" s="45">
        <f t="shared" si="129"/>
        <v>-0.14940838396903233</v>
      </c>
      <c r="N542" s="46"/>
      <c r="O542" s="45">
        <f>(IDEA!$D$24-IDEA!$D$25)/IDEA!$D$23</f>
        <v>4.3374589992895944E-2</v>
      </c>
      <c r="P542" s="45">
        <f>(IDEA!$E$24-IDEA!$E$25)/IDEA!$E$23</f>
        <v>0.38000000000000006</v>
      </c>
      <c r="Q542" s="45">
        <f>(IDEA!$F$24-IDEA!$F$25)/IDEA!$F$23</f>
        <v>0.38</v>
      </c>
      <c r="R542" s="45">
        <f>(IDEA!$G$24-IDEA!$G$25)/IDEA!$G$23</f>
        <v>0.2</v>
      </c>
      <c r="S542" s="45">
        <f t="shared" si="130"/>
        <v>0.15662541000710406</v>
      </c>
      <c r="T542" s="46"/>
      <c r="U542" s="48" t="str">
        <f t="shared" si="131"/>
        <v>INR 13.4</v>
      </c>
      <c r="V542" s="44" t="str">
        <f t="shared" si="131"/>
        <v>Vodafone IDEA</v>
      </c>
      <c r="Z542" s="49"/>
    </row>
    <row r="543" spans="1:26">
      <c r="A543" s="5"/>
      <c r="C543" s="48" t="str">
        <f t="shared" si="128"/>
        <v>Indosat</v>
      </c>
      <c r="D543" s="44" t="str">
        <f t="shared" si="128"/>
        <v>IDR 10,900</v>
      </c>
      <c r="E543" s="44" t="str">
        <f t="shared" si="128"/>
        <v>IDR 12,500</v>
      </c>
      <c r="F543" s="45">
        <f t="shared" si="128"/>
        <v>0.14678899082568808</v>
      </c>
      <c r="G543" s="44" t="str">
        <f t="shared" si="128"/>
        <v>Buy</v>
      </c>
      <c r="H543" s="46"/>
      <c r="I543" s="47">
        <f>INDO!$D$25/INDO!$D$33</f>
        <v>2.5388251092498182</v>
      </c>
      <c r="J543" s="47">
        <f>INDO!$E$25/INDO!$E$33</f>
        <v>4.4777064043984058</v>
      </c>
      <c r="K543" s="47">
        <f>INDO!$F$25/INDO!$F$33</f>
        <v>6.4368657588359763</v>
      </c>
      <c r="L543" s="47">
        <f>INDO!$G$25/INDO!$G$33</f>
        <v>9.4847489826881901</v>
      </c>
      <c r="M543" s="45">
        <f t="shared" si="129"/>
        <v>6.9459238734383719</v>
      </c>
      <c r="N543" s="46"/>
      <c r="O543" s="45">
        <f>(INDO!$D$24-INDO!$D$25)/INDO!$D$23</f>
        <v>0.24953541757761252</v>
      </c>
      <c r="P543" s="45">
        <f>(INDO!$E$24-INDO!$E$25)/INDO!$E$23</f>
        <v>0.21713022482353594</v>
      </c>
      <c r="Q543" s="45">
        <f>(INDO!$F$24-INDO!$F$25)/INDO!$F$23</f>
        <v>0.20035464838778994</v>
      </c>
      <c r="R543" s="45">
        <f>(INDO!$G$24-INDO!$G$25)/INDO!$G$23</f>
        <v>0.20036224591717355</v>
      </c>
      <c r="S543" s="45">
        <f t="shared" si="130"/>
        <v>-4.9173171660438969E-2</v>
      </c>
      <c r="T543" s="46"/>
      <c r="U543" s="48" t="str">
        <f t="shared" si="131"/>
        <v>IDR 10,900</v>
      </c>
      <c r="V543" s="44" t="str">
        <f t="shared" si="131"/>
        <v>Indosat</v>
      </c>
      <c r="Z543" s="49"/>
    </row>
    <row r="544" spans="1:26">
      <c r="A544" s="5"/>
      <c r="C544" s="48" t="str">
        <f t="shared" si="128"/>
        <v>LG Uplus</v>
      </c>
      <c r="D544" s="44" t="str">
        <f t="shared" si="128"/>
        <v>KRW 9,890</v>
      </c>
      <c r="E544" s="44" t="str">
        <f t="shared" si="128"/>
        <v>KRW 21,000</v>
      </c>
      <c r="F544" s="45">
        <f t="shared" si="128"/>
        <v>1.1233569261880687</v>
      </c>
      <c r="G544" s="44" t="str">
        <f t="shared" si="128"/>
        <v>Buy</v>
      </c>
      <c r="H544" s="46"/>
      <c r="I544" s="47">
        <f>_LG!$D$25/_LG!$D$33</f>
        <v>5.6996218260399782</v>
      </c>
      <c r="J544" s="47">
        <f>_LG!$E$25/_LG!$E$33</f>
        <v>6.9343979764778103</v>
      </c>
      <c r="K544" s="47">
        <f>_LG!$F$25/_LG!$F$33</f>
        <v>6.9118533796807418</v>
      </c>
      <c r="L544" s="47">
        <f>_LG!$G$25/_LG!$G$33</f>
        <v>6.9634875471343278</v>
      </c>
      <c r="M544" s="45">
        <f t="shared" si="129"/>
        <v>1.2638657210943496</v>
      </c>
      <c r="N544" s="46"/>
      <c r="O544" s="45">
        <f>(_LG!$D$24-_LG!$D$25)/_LG!$D$23</f>
        <v>0.17493666781932046</v>
      </c>
      <c r="P544" s="45">
        <f>(_LG!$E$24-_LG!$E$25)/_LG!$E$23</f>
        <v>0.15530646226046255</v>
      </c>
      <c r="Q544" s="45">
        <f>(_LG!$F$24-_LG!$F$25)/_LG!$F$23</f>
        <v>0.15271100631298876</v>
      </c>
      <c r="R544" s="45">
        <f>(_LG!$G$24-_LG!$G$25)/_LG!$G$23</f>
        <v>0.15017676536308788</v>
      </c>
      <c r="S544" s="45">
        <f t="shared" si="130"/>
        <v>-2.475990245623258E-2</v>
      </c>
      <c r="T544" s="46"/>
      <c r="U544" s="48" t="str">
        <f t="shared" si="131"/>
        <v>KRW 9,890</v>
      </c>
      <c r="V544" s="44" t="str">
        <f t="shared" si="131"/>
        <v>LG Uplus</v>
      </c>
      <c r="Z544" s="49"/>
    </row>
    <row r="545" spans="1:31">
      <c r="C545" s="48" t="str">
        <f t="shared" si="128"/>
        <v>Maxis</v>
      </c>
      <c r="D545" s="44" t="str">
        <f t="shared" si="128"/>
        <v>MYR 3.82</v>
      </c>
      <c r="E545" s="44" t="str">
        <f t="shared" si="128"/>
        <v>MYR 5.60</v>
      </c>
      <c r="F545" s="45">
        <f t="shared" si="128"/>
        <v>0.46596858638743455</v>
      </c>
      <c r="G545" s="44" t="str">
        <f t="shared" si="128"/>
        <v>Buy</v>
      </c>
      <c r="H545" s="46"/>
      <c r="I545" s="47">
        <f>MAXI!$D$25/MAXI!$D$33</f>
        <v>-7.0560538116591927</v>
      </c>
      <c r="J545" s="47">
        <f>MAXI!$E$25/MAXI!$E$33</f>
        <v>-6.6965702641314584</v>
      </c>
      <c r="K545" s="47">
        <f>MAXI!$F$25/MAXI!$F$33</f>
        <v>-7.4000543444989271</v>
      </c>
      <c r="L545" s="47">
        <f>MAXI!$G$25/MAXI!$G$33</f>
        <v>-8.0781437919949575</v>
      </c>
      <c r="M545" s="45">
        <f t="shared" si="129"/>
        <v>-1.0220899803357648</v>
      </c>
      <c r="N545" s="46"/>
      <c r="O545" s="45">
        <f>(MAXI!$D$24-MAXI!$D$25)/MAXI!$D$23</f>
        <v>7.9862475442043224E-2</v>
      </c>
      <c r="P545" s="45">
        <f>(MAXI!$E$24-MAXI!$E$25)/MAXI!$E$23</f>
        <v>0.11</v>
      </c>
      <c r="Q545" s="45">
        <f>(MAXI!$F$24-MAXI!$F$25)/MAXI!$F$23</f>
        <v>0.11000000000000001</v>
      </c>
      <c r="R545" s="45">
        <f>(MAXI!$G$24-MAXI!$G$25)/MAXI!$G$23</f>
        <v>0.10999999999999999</v>
      </c>
      <c r="S545" s="45">
        <f t="shared" si="130"/>
        <v>3.0137524557956763E-2</v>
      </c>
      <c r="T545" s="46"/>
      <c r="U545" s="48" t="str">
        <f t="shared" si="131"/>
        <v>MYR 3.82</v>
      </c>
      <c r="V545" s="44" t="str">
        <f t="shared" si="131"/>
        <v>Maxis</v>
      </c>
      <c r="Z545" s="49"/>
    </row>
    <row r="546" spans="1:31">
      <c r="A546" s="5"/>
      <c r="C546" s="48" t="str">
        <f t="shared" si="128"/>
        <v>SK Telecom</v>
      </c>
      <c r="D546" s="44" t="str">
        <f t="shared" si="128"/>
        <v>KRW 57,800</v>
      </c>
      <c r="E546" s="44" t="str">
        <f t="shared" si="128"/>
        <v>KRW 116,000</v>
      </c>
      <c r="F546" s="45">
        <f t="shared" si="128"/>
        <v>1.0069204152249136</v>
      </c>
      <c r="G546" s="44" t="str">
        <f t="shared" si="128"/>
        <v>Buy</v>
      </c>
      <c r="H546" s="46"/>
      <c r="I546" s="47">
        <f>SKT!$D$25/SKT!$D$33</f>
        <v>5.2348098868071773</v>
      </c>
      <c r="J546" s="47">
        <f>SKT!$E$25/SKT!$E$33</f>
        <v>7.7297572739300069</v>
      </c>
      <c r="K546" s="47">
        <f>SKT!$F$25/SKT!$F$33</f>
        <v>8.5972660846070639</v>
      </c>
      <c r="L546" s="47">
        <f>SKT!$G$25/SKT!$G$33</f>
        <v>10.137889303362495</v>
      </c>
      <c r="M546" s="45">
        <f t="shared" si="129"/>
        <v>4.9030794165553182</v>
      </c>
      <c r="N546" s="46"/>
      <c r="O546" s="45">
        <f>(SKT!$D$24-SKT!$D$25)/SKT!$D$23</f>
        <v>0.1557200079441545</v>
      </c>
      <c r="P546" s="45">
        <f>(SKT!$E$24-SKT!$E$25)/SKT!$E$23</f>
        <v>0.14383408048077639</v>
      </c>
      <c r="Q546" s="45">
        <f>(SKT!$F$24-SKT!$F$25)/SKT!$F$23</f>
        <v>0.1419585490656835</v>
      </c>
      <c r="R546" s="45">
        <f>(SKT!$G$24-SKT!$G$25)/SKT!$G$23</f>
        <v>0.14001975119982574</v>
      </c>
      <c r="S546" s="45">
        <f t="shared" si="130"/>
        <v>-1.5700256744328761E-2</v>
      </c>
      <c r="T546" s="46"/>
      <c r="U546" s="48" t="str">
        <f t="shared" si="131"/>
        <v>KRW 57,800</v>
      </c>
      <c r="V546" s="44" t="str">
        <f t="shared" si="131"/>
        <v>SK Telecom</v>
      </c>
      <c r="Z546" s="49"/>
    </row>
    <row r="547" spans="1:31">
      <c r="A547" s="5"/>
      <c r="C547" s="48" t="str">
        <f t="shared" si="128"/>
        <v>Taiwan Mobile</v>
      </c>
      <c r="D547" s="44" t="str">
        <f t="shared" si="128"/>
        <v>TWD 115.0</v>
      </c>
      <c r="E547" s="44" t="str">
        <f t="shared" si="128"/>
        <v>TWD n/r</v>
      </c>
      <c r="F547" s="45" t="str">
        <f t="shared" si="128"/>
        <v>-</v>
      </c>
      <c r="G547" s="44" t="str">
        <f t="shared" si="128"/>
        <v>n/r</v>
      </c>
      <c r="H547" s="46"/>
      <c r="I547" s="47">
        <f>TAIWAN!$D$25/TAIWAN!$D$33</f>
        <v>44.684466057850855</v>
      </c>
      <c r="J547" s="47">
        <f>TAIWAN!$E$25/TAIWAN!$E$33</f>
        <v>58.511407951366039</v>
      </c>
      <c r="K547" s="47">
        <f>TAIWAN!$F$25/TAIWAN!$F$33</f>
        <v>73.068709117344085</v>
      </c>
      <c r="L547" s="47">
        <f>TAIWAN!$G$25/TAIWAN!$G$33</f>
        <v>101.75726582830168</v>
      </c>
      <c r="M547" s="45">
        <f t="shared" si="129"/>
        <v>57.072799770450828</v>
      </c>
      <c r="N547" s="46"/>
      <c r="O547" s="45">
        <f>(TAIWAN!$D$24-TAIWAN!$D$25)/TAIWAN!$D$23</f>
        <v>7.0000000000000007E-2</v>
      </c>
      <c r="P547" s="45">
        <f>(TAIWAN!$E$24-TAIWAN!$E$25)/TAIWAN!$E$23</f>
        <v>0.06</v>
      </c>
      <c r="Q547" s="45">
        <f>(TAIWAN!$F$24-TAIWAN!$F$25)/TAIWAN!$F$23</f>
        <v>6.5000000000000002E-2</v>
      </c>
      <c r="R547" s="45">
        <f>(TAIWAN!$G$24-TAIWAN!$G$25)/TAIWAN!$G$23</f>
        <v>6.5000000000000002E-2</v>
      </c>
      <c r="S547" s="45">
        <f t="shared" si="130"/>
        <v>-5.0000000000000044E-3</v>
      </c>
      <c r="T547" s="46"/>
      <c r="U547" s="48" t="str">
        <f t="shared" si="131"/>
        <v>TWD 115.0</v>
      </c>
      <c r="V547" s="44" t="str">
        <f t="shared" si="131"/>
        <v>Taiwan Mobile</v>
      </c>
      <c r="Z547" s="49"/>
    </row>
    <row r="548" spans="1:31">
      <c r="A548" s="5"/>
      <c r="C548" s="48" t="str">
        <f t="shared" si="128"/>
        <v>True Corp</v>
      </c>
      <c r="D548" s="44" t="str">
        <f t="shared" si="128"/>
        <v>THB 10.7</v>
      </c>
      <c r="E548" s="44" t="str">
        <f t="shared" si="128"/>
        <v>THB 15.0</v>
      </c>
      <c r="F548" s="45">
        <f t="shared" si="128"/>
        <v>0.40186915887850483</v>
      </c>
      <c r="G548" s="44" t="str">
        <f t="shared" si="128"/>
        <v>Buy</v>
      </c>
      <c r="H548" s="46"/>
      <c r="I548" s="47">
        <f>TRUECORP!$D$25/TRUECORP!$D$33</f>
        <v>2.0868240343347639</v>
      </c>
      <c r="J548" s="47">
        <f>TRUECORP!$E$25/TRUECORP!$E$33</f>
        <v>2.5913471763705909</v>
      </c>
      <c r="K548" s="47">
        <f>TRUECORP!$F$25/TRUECORP!$F$33</f>
        <v>3.2202522063599361</v>
      </c>
      <c r="L548" s="47">
        <f>TRUECORP!$G$25/TRUECORP!$G$33</f>
        <v>3.8313902811868639</v>
      </c>
      <c r="M548" s="45">
        <f>L548-I548</f>
        <v>1.7445662468520999</v>
      </c>
      <c r="N548" s="46"/>
      <c r="O548" s="45">
        <f>(TRUECORP!$D$24-TRUECORP!$D$25)/TRUECORP!$D$23</f>
        <v>0.18294750956343417</v>
      </c>
      <c r="P548" s="45">
        <f>(TRUECORP!$E$24-TRUECORP!$E$25)/TRUECORP!$E$23</f>
        <v>0.14000000000000001</v>
      </c>
      <c r="Q548" s="45">
        <f>(TRUECORP!$F$24-TRUECORP!$F$25)/TRUECORP!$F$23</f>
        <v>0.13</v>
      </c>
      <c r="R548" s="45">
        <f>(TRUECORP!$G$24-TRUECORP!$G$25)/TRUECORP!$G$23</f>
        <v>0.12999999999999998</v>
      </c>
      <c r="S548" s="45">
        <f>R548-O548</f>
        <v>-5.2947509563434192E-2</v>
      </c>
      <c r="T548" s="46"/>
      <c r="U548" s="48" t="str">
        <f t="shared" si="131"/>
        <v>THB 10.7</v>
      </c>
      <c r="V548" s="44" t="str">
        <f t="shared" si="131"/>
        <v>True Corp</v>
      </c>
      <c r="Z548" s="49"/>
    </row>
    <row r="549" spans="1:31">
      <c r="A549" s="5"/>
      <c r="C549" s="48" t="str">
        <f t="shared" si="128"/>
        <v>XL Axiata</v>
      </c>
      <c r="D549" s="44" t="str">
        <f t="shared" si="128"/>
        <v>IDR 2,330</v>
      </c>
      <c r="E549" s="44" t="str">
        <f t="shared" si="128"/>
        <v>IDR 5,000</v>
      </c>
      <c r="F549" s="45">
        <f t="shared" si="128"/>
        <v>1.1459227467811157</v>
      </c>
      <c r="G549" s="44" t="str">
        <f t="shared" si="128"/>
        <v>Buy</v>
      </c>
      <c r="H549" s="46"/>
      <c r="I549" s="47">
        <f>XLAX!$D$25/XLAX!$D$33</f>
        <v>-3.0730139234609317</v>
      </c>
      <c r="J549" s="47">
        <f>XLAX!$E$25/XLAX!$E$33</f>
        <v>-3.3363557751119819</v>
      </c>
      <c r="K549" s="47">
        <f>XLAX!$F$25/XLAX!$F$33</f>
        <v>-4.1101124946236833</v>
      </c>
      <c r="L549" s="47">
        <f>XLAX!$G$25/XLAX!$G$33</f>
        <v>-5.1547468024095018</v>
      </c>
      <c r="M549" s="45">
        <f t="shared" si="129"/>
        <v>-2.0817328789485701</v>
      </c>
      <c r="N549" s="56"/>
      <c r="O549" s="45">
        <f>(XLAX!$D$24-XLAX!$D$25)/XLAX!$D$23</f>
        <v>0.22145460779191653</v>
      </c>
      <c r="P549" s="45">
        <f>(XLAX!$E$24-XLAX!$E$25)/XLAX!$E$23</f>
        <v>0.23499999999999999</v>
      </c>
      <c r="Q549" s="45">
        <f>(XLAX!$F$24-XLAX!$F$25)/XLAX!$F$23</f>
        <v>0.22499999999999995</v>
      </c>
      <c r="R549" s="45">
        <f>(XLAX!$G$24-XLAX!$G$25)/XLAX!$G$23</f>
        <v>0.22499999999999998</v>
      </c>
      <c r="S549" s="45">
        <f t="shared" si="130"/>
        <v>3.5453922080834477E-3</v>
      </c>
      <c r="T549" s="46"/>
      <c r="U549" s="48" t="str">
        <f t="shared" si="131"/>
        <v>IDR 2,330</v>
      </c>
      <c r="V549" s="44" t="str">
        <f t="shared" si="131"/>
        <v>XL Axiata</v>
      </c>
      <c r="Z549" s="49"/>
    </row>
    <row r="550" spans="1:31">
      <c r="A550" s="5"/>
      <c r="C550" s="51" t="str">
        <f>C488</f>
        <v>Agg. Emerging Asia Cellular</v>
      </c>
      <c r="D550" s="52"/>
      <c r="E550" s="52"/>
      <c r="F550" s="53"/>
      <c r="G550" s="52"/>
      <c r="H550" s="46"/>
      <c r="I550" s="54">
        <f>'EM ASIA CELLULAR'!$D$25/'EM ASIA CELLULAR'!$D$33</f>
        <v>4.6184438311715228</v>
      </c>
      <c r="J550" s="54">
        <f>'EM ASIA CELLULAR'!$E$25/'EM ASIA CELLULAR'!$E$33</f>
        <v>5.5148212964243566</v>
      </c>
      <c r="K550" s="54">
        <f>'EM ASIA CELLULAR'!$F$25/'EM ASIA CELLULAR'!$F$33</f>
        <v>6.335454536366333</v>
      </c>
      <c r="L550" s="54">
        <f>'EM ASIA CELLULAR'!$G$25/'EM ASIA CELLULAR'!$G$33</f>
        <v>7.1493847183712731</v>
      </c>
      <c r="M550" s="55">
        <f t="shared" si="129"/>
        <v>2.5309408871997503</v>
      </c>
      <c r="N550" s="56"/>
      <c r="O550" s="55">
        <f>('EM ASIA CELLULAR'!$D$24-'EM ASIA CELLULAR'!$D$25)/'EM ASIA CELLULAR'!$D$23</f>
        <v>0.1737924051694435</v>
      </c>
      <c r="P550" s="55">
        <f>('EM ASIA CELLULAR'!$E$24-'EM ASIA CELLULAR'!$E$25)/'EM ASIA CELLULAR'!$E$23</f>
        <v>0.16732120694345129</v>
      </c>
      <c r="Q550" s="55">
        <f>('EM ASIA CELLULAR'!$F$24-'EM ASIA CELLULAR'!$F$25)/'EM ASIA CELLULAR'!$F$23</f>
        <v>0.15891190234365951</v>
      </c>
      <c r="R550" s="55">
        <f>('EM ASIA CELLULAR'!$G$24-'EM ASIA CELLULAR'!$G$25)/'EM ASIA CELLULAR'!$G$23</f>
        <v>0.15017425856086397</v>
      </c>
      <c r="S550" s="55">
        <f t="shared" si="130"/>
        <v>-2.3618146608579527E-2</v>
      </c>
      <c r="T550" s="46"/>
      <c r="U550" s="57"/>
      <c r="V550" s="58" t="str">
        <f>V488</f>
        <v>Agg. Emerging Asia Cellular</v>
      </c>
      <c r="Z550" s="49"/>
    </row>
    <row r="551" spans="1:31">
      <c r="A551" s="5"/>
      <c r="C551" s="43"/>
      <c r="D551" s="44"/>
      <c r="E551" s="44"/>
      <c r="F551" s="68"/>
      <c r="G551" s="44"/>
      <c r="H551" s="46"/>
      <c r="I551" s="62"/>
      <c r="J551" s="62"/>
      <c r="K551" s="62"/>
      <c r="L551" s="62"/>
      <c r="M551" s="61"/>
      <c r="N551" s="46"/>
      <c r="O551" s="61"/>
      <c r="P551" s="61"/>
      <c r="Q551" s="61"/>
      <c r="R551" s="61"/>
      <c r="S551" s="61"/>
      <c r="T551" s="46"/>
      <c r="U551" s="48"/>
      <c r="V551" s="50"/>
      <c r="Z551" s="49"/>
    </row>
    <row r="552" spans="1:31">
      <c r="A552" s="5"/>
      <c r="C552" s="51" t="str">
        <f>C490</f>
        <v>Agg. Emerging  Cellular</v>
      </c>
      <c r="D552" s="52"/>
      <c r="E552" s="52"/>
      <c r="F552" s="53"/>
      <c r="G552" s="52"/>
      <c r="H552" s="46"/>
      <c r="I552" s="54">
        <f>'EM CELLULAR'!$D$25/'EM CELLULAR'!$D$33</f>
        <v>8.2101805865167901</v>
      </c>
      <c r="J552" s="54">
        <f>'EM CELLULAR'!$E$25/'EM CELLULAR'!$E$33</f>
        <v>8.6984355176903385</v>
      </c>
      <c r="K552" s="54">
        <f>'EM CELLULAR'!$F$25/'EM CELLULAR'!$F$33</f>
        <v>9.5486454445302282</v>
      </c>
      <c r="L552" s="54">
        <f>'EM CELLULAR'!$G$25/'EM CELLULAR'!$G$33</f>
        <v>10.72020892939406</v>
      </c>
      <c r="M552" s="55">
        <f t="shared" ref="M552" si="132">L552-I552</f>
        <v>2.5100283428772698</v>
      </c>
      <c r="N552" s="46"/>
      <c r="O552" s="55">
        <f>('EM CELLULAR'!$D$24-'EM CELLULAR'!$D$25)/'EM CELLULAR'!$D$23</f>
        <v>0.17805640547045876</v>
      </c>
      <c r="P552" s="55">
        <f>('EM CELLULAR'!$E$24-'EM CELLULAR'!$E$25)/'EM CELLULAR'!$E$23</f>
        <v>0.16895809239326795</v>
      </c>
      <c r="Q552" s="55">
        <f>('EM CELLULAR'!$F$24-'EM CELLULAR'!$F$25)/'EM CELLULAR'!$F$23</f>
        <v>0.16066348660676977</v>
      </c>
      <c r="R552" s="55">
        <f>('EM CELLULAR'!$G$24-'EM CELLULAR'!$G$25)/'EM CELLULAR'!$G$23</f>
        <v>0.15289671740300814</v>
      </c>
      <c r="S552" s="55">
        <f t="shared" ref="S552" si="133">R552-O552</f>
        <v>-2.5159688067450614E-2</v>
      </c>
      <c r="T552" s="46"/>
      <c r="U552" s="57"/>
      <c r="V552" s="58" t="str">
        <f>V490</f>
        <v>Agg. Emerging  Cellular</v>
      </c>
      <c r="Z552" s="49"/>
    </row>
    <row r="553" spans="1:31">
      <c r="C553" s="43"/>
      <c r="D553" s="44"/>
      <c r="E553" s="44"/>
      <c r="F553" s="45"/>
      <c r="G553" s="44"/>
      <c r="H553" s="46"/>
      <c r="I553" s="47"/>
      <c r="J553" s="47"/>
      <c r="K553" s="47"/>
      <c r="L553" s="47"/>
      <c r="M553" s="45"/>
      <c r="N553" s="46"/>
      <c r="O553" s="45"/>
      <c r="P553" s="45"/>
      <c r="Q553" s="45"/>
      <c r="R553" s="45"/>
      <c r="S553" s="45"/>
      <c r="T553" s="46"/>
      <c r="U553" s="48"/>
      <c r="V553" s="50"/>
      <c r="Z553" s="49"/>
    </row>
    <row r="554" spans="1:31">
      <c r="A554" s="41" t="s">
        <v>503</v>
      </c>
      <c r="B554" s="42" t="s">
        <v>577</v>
      </c>
      <c r="C554" s="48" t="s">
        <v>811</v>
      </c>
      <c r="D554" s="44" t="str">
        <f>'EM Multiples'!B554&amp;TEXT(Prices!C$135,"0.00")</f>
        <v>MXN42.67</v>
      </c>
      <c r="E554" s="44" t="str">
        <f>'EM Multiples'!B554&amp;TEXT(Prices!E$135,"0.00")</f>
        <v>MXN55.00</v>
      </c>
      <c r="F554" s="45">
        <f>Prices!F$135</f>
        <v>0.28896179985938586</v>
      </c>
      <c r="G554" s="44" t="str">
        <f>Prices!D$48</f>
        <v>Buy</v>
      </c>
      <c r="H554" s="46"/>
      <c r="I554" s="47">
        <f>MEGA!$D$25/MEGA!$D$33</f>
        <v>-0.52112551943581131</v>
      </c>
      <c r="J554" s="47">
        <f>MEGA!$E$25/MEGA!$E$33</f>
        <v>-0.74417328290179496</v>
      </c>
      <c r="K554" s="47">
        <f>MEGA!$F$25/MEGA!$F$33</f>
        <v>-2.5724722221096661</v>
      </c>
      <c r="L554" s="47">
        <f>MEGA!$G$25/MEGA!$G$33</f>
        <v>-5.3852747347961731</v>
      </c>
      <c r="M554" s="45">
        <f>L554-I554</f>
        <v>-4.8641492153603618</v>
      </c>
      <c r="N554" s="46"/>
      <c r="O554" s="45">
        <f>(MEGA!$D$24-MEGA!$D$25)/MEGA!$D$23</f>
        <v>0.41</v>
      </c>
      <c r="P554" s="45">
        <f>(MEGA!$E$24-MEGA!$E$25)/MEGA!$E$23</f>
        <v>0.39</v>
      </c>
      <c r="Q554" s="45">
        <f>(MEGA!$F$24-MEGA!$F$25)/MEGA!$F$23</f>
        <v>0.31</v>
      </c>
      <c r="R554" s="45">
        <f>(MEGA!$G$24-MEGA!$G$25)/MEGA!$G$23</f>
        <v>0.25</v>
      </c>
      <c r="S554" s="45">
        <f>R554-O554</f>
        <v>-0.15999999999999998</v>
      </c>
      <c r="T554" s="46"/>
      <c r="U554" s="48" t="str">
        <f>D554</f>
        <v>MXN42.67</v>
      </c>
      <c r="V554" s="44" t="str">
        <f>C554</f>
        <v>Megacable</v>
      </c>
      <c r="Z554" s="46"/>
      <c r="AE554" s="41"/>
    </row>
    <row r="555" spans="1:31">
      <c r="A555" s="5"/>
      <c r="B555" s="42" t="s">
        <v>406</v>
      </c>
      <c r="C555" s="48" t="s">
        <v>797</v>
      </c>
      <c r="D555" s="44" t="str">
        <f>'EM Multiples'!B555&amp;TEXT(Prices!C$138,"0.00")</f>
        <v>USD9.48</v>
      </c>
      <c r="E555" s="44" t="str">
        <f>'EM Multiples'!B555&amp;TEXT(Prices!E$138,"0.00")</f>
        <v>USD14.00</v>
      </c>
      <c r="F555" s="45">
        <f>Prices!F$138</f>
        <v>0.47679324894514763</v>
      </c>
      <c r="G555" s="44" t="str">
        <f>Prices!D$138</f>
        <v>Buy</v>
      </c>
      <c r="H555" s="46"/>
      <c r="I555" s="47">
        <f>LiLAC!$D$25/LiLAC!$D$33</f>
        <v>2.1078629166549558</v>
      </c>
      <c r="J555" s="47">
        <f>LiLAC!$E$25/LiLAC!$E$33</f>
        <v>2.4665911656428778</v>
      </c>
      <c r="K555" s="47">
        <f>LiLAC!$F$25/LiLAC!$F$33</f>
        <v>2.6863862471704354</v>
      </c>
      <c r="L555" s="47">
        <f>LiLAC!$G$25/LiLAC!$G$33</f>
        <v>2.6141345228230883</v>
      </c>
      <c r="M555" s="45">
        <f>L555-I555</f>
        <v>0.50627160616813249</v>
      </c>
      <c r="N555" s="46"/>
      <c r="O555" s="45">
        <f>(LiLAC!$D$24-LiLAC!$D$25)/LiLAC!$D$23</f>
        <v>0.1653019718581196</v>
      </c>
      <c r="P555" s="45">
        <f>(LiLAC!$E$24-LiLAC!$E$25)/LiLAC!$E$23</f>
        <v>0.15868478896453453</v>
      </c>
      <c r="Q555" s="45">
        <f>(LiLAC!$F$24-LiLAC!$F$25)/LiLAC!$F$23</f>
        <v>0.15369084252204696</v>
      </c>
      <c r="R555" s="45">
        <f>(LiLAC!$G$24-LiLAC!$G$25)/LiLAC!$G$23</f>
        <v>0.16590657235874168</v>
      </c>
      <c r="S555" s="45">
        <f>R555-O555</f>
        <v>6.0460050062208226E-4</v>
      </c>
      <c r="T555" s="46"/>
      <c r="U555" s="48" t="str">
        <f>D555</f>
        <v>USD9.48</v>
      </c>
      <c r="V555" s="44" t="str">
        <f>C555</f>
        <v>LiLAC</v>
      </c>
      <c r="Z555" s="46"/>
      <c r="AE555" s="41"/>
    </row>
    <row r="556" spans="1:31">
      <c r="A556" s="5"/>
      <c r="C556" s="67" t="s">
        <v>814</v>
      </c>
      <c r="D556" s="52"/>
      <c r="E556" s="52"/>
      <c r="F556" s="53"/>
      <c r="G556" s="52"/>
      <c r="H556" s="46"/>
      <c r="I556" s="54">
        <f>'LATAM ALTNET &amp; CABLE'!$D$25/'LATAM ALTNET &amp; CABLE'!$D$33</f>
        <v>2.8921786612445088</v>
      </c>
      <c r="J556" s="54">
        <f>'LATAM ALTNET &amp; CABLE'!$E$25/'LATAM ALTNET &amp; CABLE'!$E$33</f>
        <v>3.523532469956383</v>
      </c>
      <c r="K556" s="54">
        <f>'LATAM ALTNET &amp; CABLE'!$F$25/'LATAM ALTNET &amp; CABLE'!$F$33</f>
        <v>4.2060065474264068</v>
      </c>
      <c r="L556" s="54">
        <f>'LATAM ALTNET &amp; CABLE'!$G$25/'LATAM ALTNET &amp; CABLE'!$G$33</f>
        <v>4.2498062509019476</v>
      </c>
      <c r="M556" s="55">
        <f>L556-I556</f>
        <v>1.3576275896574388</v>
      </c>
      <c r="N556" s="46"/>
      <c r="O556" s="55">
        <f>('LATAM ALTNET &amp; CABLE'!$D$24-'LATAM ALTNET &amp; CABLE'!$D$25)/'LATAM ALTNET &amp; CABLE'!$D$23</f>
        <v>0.22542432174040006</v>
      </c>
      <c r="P556" s="55">
        <f>('LATAM ALTNET &amp; CABLE'!$E$24-'LATAM ALTNET &amp; CABLE'!$E$25)/'LATAM ALTNET &amp; CABLE'!$E$23</f>
        <v>0.21916002224218753</v>
      </c>
      <c r="Q556" s="55">
        <f>('LATAM ALTNET &amp; CABLE'!$F$24-'LATAM ALTNET &amp; CABLE'!$F$25)/'LATAM ALTNET &amp; CABLE'!$F$23</f>
        <v>0.19634873285172266</v>
      </c>
      <c r="R556" s="55">
        <f>('LATAM ALTNET &amp; CABLE'!$G$24-'LATAM ALTNET &amp; CABLE'!$G$25)/'LATAM ALTNET &amp; CABLE'!$G$23</f>
        <v>0.19034310334475446</v>
      </c>
      <c r="S556" s="55">
        <f>R556-O556</f>
        <v>-3.5081218395645597E-2</v>
      </c>
      <c r="T556" s="46"/>
      <c r="U556" s="57"/>
      <c r="V556" s="58" t="str">
        <f>C556</f>
        <v>Agg. Emerging LatAm Altnets &amp; Cable</v>
      </c>
      <c r="Z556" s="46"/>
      <c r="AE556" s="41"/>
    </row>
    <row r="557" spans="1:31" s="5" customFormat="1">
      <c r="A557" s="39"/>
      <c r="B557" s="42"/>
      <c r="C557" s="43"/>
      <c r="D557" s="44"/>
      <c r="E557" s="44"/>
      <c r="F557" s="45"/>
      <c r="G557" s="44"/>
      <c r="H557" s="46"/>
      <c r="I557" s="47"/>
      <c r="J557" s="47"/>
      <c r="K557" s="47"/>
      <c r="L557" s="47"/>
      <c r="M557" s="45"/>
      <c r="N557" s="46"/>
      <c r="O557" s="45"/>
      <c r="P557" s="45"/>
      <c r="Q557" s="45"/>
      <c r="R557" s="45"/>
      <c r="S557" s="45"/>
      <c r="T557" s="46"/>
      <c r="U557" s="48"/>
      <c r="V557" s="50"/>
      <c r="Z557" s="49"/>
    </row>
    <row r="558" spans="1:31" s="5" customFormat="1">
      <c r="A558" s="39"/>
      <c r="B558" s="42"/>
      <c r="C558" s="67" t="str">
        <f>C496</f>
        <v>Agg. EMEA sector</v>
      </c>
      <c r="D558" s="52"/>
      <c r="E558" s="52"/>
      <c r="F558" s="53"/>
      <c r="G558" s="52"/>
      <c r="H558" s="46"/>
      <c r="I558" s="54">
        <f>'EMEA AGG'!$D$25/'EMEA AGG'!$D$33</f>
        <v>-2.1786830572527101</v>
      </c>
      <c r="J558" s="54">
        <f>'EMEA AGG'!$E$25/'EMEA AGG'!$E$33</f>
        <v>-3.1204270235309868</v>
      </c>
      <c r="K558" s="54">
        <f>'EMEA AGG'!$F$25/'EMEA AGG'!$F$33</f>
        <v>-4.3818562526693956</v>
      </c>
      <c r="L558" s="54">
        <f>'EMEA AGG'!$G$25/'EMEA AGG'!$G$33</f>
        <v>-5.2293327300759911</v>
      </c>
      <c r="M558" s="55">
        <f>L558-I558</f>
        <v>-3.050649672823281</v>
      </c>
      <c r="N558" s="56"/>
      <c r="O558" s="55">
        <f>('EMEA AGG'!$D$24-'EMEA AGG'!$D$25)/'EMEA AGG'!$D$23</f>
        <v>0.2021830512477869</v>
      </c>
      <c r="P558" s="55">
        <f>('EMEA AGG'!$E$24-'EMEA AGG'!$E$25)/'EMEA AGG'!$E$23</f>
        <v>0.17882213034097946</v>
      </c>
      <c r="Q558" s="55">
        <f>('EMEA AGG'!$F$24-'EMEA AGG'!$F$25)/'EMEA AGG'!$F$23</f>
        <v>0.17096011437710271</v>
      </c>
      <c r="R558" s="55">
        <f>('EMEA AGG'!$G$24-'EMEA AGG'!$G$25)/'EMEA AGG'!$G$23</f>
        <v>0.16681994776615025</v>
      </c>
      <c r="S558" s="55">
        <f>R558-O558</f>
        <v>-3.5363103481636654E-2</v>
      </c>
      <c r="T558" s="46"/>
      <c r="U558" s="57"/>
      <c r="V558" s="58" t="str">
        <f>V496</f>
        <v>Agg. EMEA sector</v>
      </c>
      <c r="Z558" s="49"/>
    </row>
    <row r="559" spans="1:31" s="5" customFormat="1">
      <c r="A559" s="39"/>
      <c r="B559" s="42"/>
      <c r="C559" s="41" t="str">
        <f>C497</f>
        <v>Agg. LatAm sector</v>
      </c>
      <c r="D559" s="44"/>
      <c r="E559" s="44"/>
      <c r="F559" s="45"/>
      <c r="G559" s="44"/>
      <c r="H559" s="46"/>
      <c r="I559" s="60">
        <f>'LATAM AGG'!$D$25/'LATAM AGG'!$D$33</f>
        <v>36.775258188611247</v>
      </c>
      <c r="J559" s="60">
        <f>'LATAM AGG'!$E$25/'LATAM AGG'!$E$33</f>
        <v>43.597395529071548</v>
      </c>
      <c r="K559" s="60">
        <f>'LATAM AGG'!$F$25/'LATAM AGG'!$F$33</f>
        <v>30.723930414848912</v>
      </c>
      <c r="L559" s="60">
        <f>'LATAM AGG'!$G$25/'LATAM AGG'!$G$33</f>
        <v>23.802051495485792</v>
      </c>
      <c r="M559" s="59">
        <f>L559-I559</f>
        <v>-12.973206693125455</v>
      </c>
      <c r="N559" s="56"/>
      <c r="O559" s="59">
        <f>('LATAM AGG'!$D$24-'LATAM AGG'!$D$25)/'LATAM AGG'!$D$23</f>
        <v>0.18650367357149392</v>
      </c>
      <c r="P559" s="59">
        <f>('LATAM AGG'!$E$24-'LATAM AGG'!$E$25)/'LATAM AGG'!$E$23</f>
        <v>0.17064329041109275</v>
      </c>
      <c r="Q559" s="59">
        <f>('LATAM AGG'!$F$24-'LATAM AGG'!$F$25)/'LATAM AGG'!$F$23</f>
        <v>0.15966857741013454</v>
      </c>
      <c r="R559" s="59">
        <f>('LATAM AGG'!$G$24-'LATAM AGG'!$G$25)/'LATAM AGG'!$G$23</f>
        <v>0.15116146742233608</v>
      </c>
      <c r="S559" s="59">
        <f>R559-O559</f>
        <v>-3.534220614915784E-2</v>
      </c>
      <c r="T559" s="46"/>
      <c r="U559" s="48"/>
      <c r="V559" s="50" t="str">
        <f>V497</f>
        <v>Agg. LatAm sector</v>
      </c>
      <c r="Z559" s="49"/>
    </row>
    <row r="560" spans="1:31" s="5" customFormat="1">
      <c r="A560" s="39"/>
      <c r="B560" s="42"/>
      <c r="C560" s="67" t="str">
        <f>C498</f>
        <v>Agg. Emerging Asia sector</v>
      </c>
      <c r="D560" s="52"/>
      <c r="E560" s="52"/>
      <c r="F560" s="53"/>
      <c r="G560" s="52"/>
      <c r="H560" s="46"/>
      <c r="I560" s="54">
        <f>'AGG EM ASIA'!$D$25/'AGG EM ASIA'!$D$33</f>
        <v>6.3795468635412895</v>
      </c>
      <c r="J560" s="54">
        <f>'AGG EM ASIA'!$E$25/'AGG EM ASIA'!$E$33</f>
        <v>7.9237075273017341</v>
      </c>
      <c r="K560" s="54">
        <f>'AGG EM ASIA'!$F$25/'AGG EM ASIA'!$F$33</f>
        <v>9.0389839856140952</v>
      </c>
      <c r="L560" s="54">
        <f>'AGG EM ASIA'!$G$25/'AGG EM ASIA'!$G$33</f>
        <v>10.109304002277375</v>
      </c>
      <c r="M560" s="55">
        <f>L560-I560</f>
        <v>3.7297571387360851</v>
      </c>
      <c r="N560" s="56"/>
      <c r="O560" s="55">
        <f>('AGG EM ASIA'!$D$24-'AGG EM ASIA'!$D$25)/'AGG EM ASIA'!$D$23</f>
        <v>0.17861087200576053</v>
      </c>
      <c r="P560" s="55">
        <f>('AGG EM ASIA'!$E$24-'AGG EM ASIA'!$E$25)/'AGG EM ASIA'!$E$23</f>
        <v>0.16867694853180751</v>
      </c>
      <c r="Q560" s="55">
        <f>('AGG EM ASIA'!$F$24-'AGG EM ASIA'!$F$25)/'AGG EM ASIA'!$F$23</f>
        <v>0.16098221813837857</v>
      </c>
      <c r="R560" s="55">
        <f>('AGG EM ASIA'!$G$24-'AGG EM ASIA'!$G$25)/'AGG EM ASIA'!$G$23</f>
        <v>0.15399191025073292</v>
      </c>
      <c r="S560" s="55">
        <f>R560-O560</f>
        <v>-2.4618961755027619E-2</v>
      </c>
      <c r="T560" s="46"/>
      <c r="U560" s="57"/>
      <c r="V560" s="58" t="str">
        <f>V498</f>
        <v>Agg. Emerging Asia sector</v>
      </c>
      <c r="Z560" s="49"/>
    </row>
    <row r="561" spans="1:69" s="5" customFormat="1">
      <c r="A561" s="39"/>
      <c r="B561" s="42"/>
      <c r="C561" s="41"/>
      <c r="D561" s="44"/>
      <c r="E561" s="44"/>
      <c r="F561" s="45"/>
      <c r="G561" s="44"/>
      <c r="H561" s="46"/>
      <c r="I561" s="60"/>
      <c r="J561" s="60"/>
      <c r="K561" s="60"/>
      <c r="L561" s="60"/>
      <c r="M561" s="59"/>
      <c r="N561" s="56"/>
      <c r="O561" s="59"/>
      <c r="P561" s="59"/>
      <c r="Q561" s="59"/>
      <c r="R561" s="59"/>
      <c r="S561" s="59"/>
      <c r="T561" s="46"/>
      <c r="U561" s="48"/>
      <c r="V561" s="50"/>
      <c r="Z561" s="49"/>
    </row>
    <row r="562" spans="1:69">
      <c r="C562" s="67" t="str">
        <f>C500</f>
        <v>Agg. Global EM sector (ex-consensus)</v>
      </c>
      <c r="D562" s="52"/>
      <c r="E562" s="52"/>
      <c r="F562" s="53"/>
      <c r="G562" s="52"/>
      <c r="H562" s="46"/>
      <c r="I562" s="54">
        <f>'AGG EM'!$D$25/'AGG EM'!$D$33</f>
        <v>14.171149149745448</v>
      </c>
      <c r="J562" s="54">
        <f>'AGG EM'!$E$25/'AGG EM'!$E$33</f>
        <v>15.633343321622823</v>
      </c>
      <c r="K562" s="54">
        <f>'AGG EM'!$F$25/'AGG EM'!$F$33</f>
        <v>16.062960488042357</v>
      </c>
      <c r="L562" s="54">
        <f>'AGG EM'!$G$25/'AGG EM'!$G$33</f>
        <v>16.877622177694406</v>
      </c>
      <c r="M562" s="55">
        <f>L562-I562</f>
        <v>2.7064730279489577</v>
      </c>
      <c r="N562" s="56"/>
      <c r="O562" s="55">
        <f>('AGG EM'!$D$24-'AGG EM'!$D$25)/'AGG EM'!$D$23</f>
        <v>0.18175247700271085</v>
      </c>
      <c r="P562" s="55">
        <f>('AGG EM'!$E$24-'AGG EM'!$E$25)/'AGG EM'!$E$23</f>
        <v>0.16975651371647787</v>
      </c>
      <c r="Q562" s="55">
        <f>('AGG EM'!$F$24-'AGG EM'!$F$25)/'AGG EM'!$F$23</f>
        <v>0.16154634032799603</v>
      </c>
      <c r="R562" s="55">
        <f>('AGG EM'!$G$24-'AGG EM'!$G$25)/'AGG EM'!$G$23</f>
        <v>0.15457859651045355</v>
      </c>
      <c r="S562" s="55">
        <f>R562-O562</f>
        <v>-2.7173880492257302E-2</v>
      </c>
      <c r="T562" s="46"/>
      <c r="U562" s="57"/>
      <c r="V562" s="58" t="str">
        <f>V500</f>
        <v>Agg. Global EM sector (ex-consensus)</v>
      </c>
    </row>
    <row r="563" spans="1:69">
      <c r="C563" s="43"/>
      <c r="D563" s="44"/>
      <c r="E563" s="44"/>
      <c r="F563" s="45"/>
      <c r="G563" s="44"/>
      <c r="H563" s="134"/>
      <c r="I563" s="47"/>
      <c r="J563" s="47"/>
      <c r="K563" s="47"/>
      <c r="L563" s="47"/>
      <c r="M563" s="47"/>
      <c r="N563" s="46"/>
      <c r="O563" s="47"/>
      <c r="P563" s="47"/>
      <c r="Q563" s="47"/>
      <c r="R563" s="47"/>
      <c r="S563" s="47"/>
      <c r="T563" s="46"/>
      <c r="U563" s="48"/>
      <c r="V563" s="50"/>
      <c r="X563" s="1"/>
    </row>
    <row r="564" spans="1:69">
      <c r="C564" s="43"/>
      <c r="D564" s="44"/>
      <c r="E564" s="44"/>
      <c r="F564" s="45"/>
      <c r="G564" s="44"/>
      <c r="H564" s="134"/>
      <c r="I564" s="47"/>
      <c r="J564" s="47"/>
      <c r="K564" s="47"/>
      <c r="L564" s="47"/>
      <c r="M564" s="47"/>
      <c r="N564" s="46"/>
      <c r="O564" s="47"/>
      <c r="P564" s="47"/>
      <c r="Q564" s="47"/>
      <c r="R564" s="47"/>
      <c r="S564" s="47"/>
      <c r="T564" s="46"/>
      <c r="U564" s="48"/>
      <c r="V564" s="50"/>
      <c r="X564" s="1"/>
    </row>
    <row r="565" spans="1:69" s="41" customFormat="1">
      <c r="B565" s="147"/>
      <c r="C565" s="164"/>
      <c r="D565" s="165" t="s">
        <v>459</v>
      </c>
      <c r="E565" s="165" t="s">
        <v>56</v>
      </c>
      <c r="F565" s="165" t="s">
        <v>58</v>
      </c>
      <c r="G565" s="165" t="s">
        <v>55</v>
      </c>
      <c r="H565" s="134"/>
      <c r="I565" s="166" t="s">
        <v>628</v>
      </c>
      <c r="J565" s="166"/>
      <c r="K565" s="166"/>
      <c r="L565" s="166"/>
      <c r="M565" s="166"/>
      <c r="N565" s="46"/>
      <c r="O565" s="166" t="s">
        <v>620</v>
      </c>
      <c r="P565" s="166"/>
      <c r="Q565" s="166"/>
      <c r="R565" s="166"/>
      <c r="S565" s="166"/>
      <c r="T565" s="46"/>
      <c r="U565" s="167" t="s">
        <v>459</v>
      </c>
      <c r="V565" s="165"/>
      <c r="Z565" s="49"/>
      <c r="AC565" s="135"/>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BC565" s="137"/>
      <c r="BD565" s="137"/>
      <c r="BE565" s="137"/>
      <c r="BG565" s="137"/>
      <c r="BH565" s="137"/>
      <c r="BI565" s="137"/>
      <c r="BK565" s="137"/>
      <c r="BL565" s="137"/>
      <c r="BM565" s="137"/>
      <c r="BO565" s="137"/>
      <c r="BP565" s="137"/>
      <c r="BQ565" s="137"/>
    </row>
    <row r="566" spans="1:69">
      <c r="A566" s="41" t="s">
        <v>501</v>
      </c>
      <c r="C566" s="48" t="str">
        <f>C504</f>
        <v>Telkom SA</v>
      </c>
      <c r="D566" s="44" t="str">
        <f>D504</f>
        <v>ZAR 27.6</v>
      </c>
      <c r="E566" s="44" t="str">
        <f>E504</f>
        <v>ZAR 56.0</v>
      </c>
      <c r="F566" s="45">
        <f>F504</f>
        <v>1.0326678765880217</v>
      </c>
      <c r="G566" s="44" t="str">
        <f>G504</f>
        <v>Neutral</v>
      </c>
      <c r="H566" s="134"/>
      <c r="I566" s="45">
        <f>TKG!$D$31/TKG!$D$29</f>
        <v>0.73079891859509527</v>
      </c>
      <c r="J566" s="45">
        <f>TKG!$E$31/TKG!$E$29</f>
        <v>0.73079891859509472</v>
      </c>
      <c r="K566" s="45">
        <f>TKG!$F$31/TKG!$F$29</f>
        <v>0.7307989185951036</v>
      </c>
      <c r="L566" s="45">
        <f>TKG!$G$31/TKG!$G$29</f>
        <v>0.72093773039550924</v>
      </c>
      <c r="M566" s="45">
        <f t="shared" ref="M566" si="134">L566-I566</f>
        <v>-9.8611881995860351E-3</v>
      </c>
      <c r="N566" s="46"/>
      <c r="O566" s="45">
        <f>TKG!$D$31/TKG!$D$30</f>
        <v>0.5771586784675139</v>
      </c>
      <c r="P566" s="45">
        <f>TKG!$E$31/TKG!$E$30</f>
        <v>0.60236855491718322</v>
      </c>
      <c r="Q566" s="45">
        <f>TKG!$F$31/TKG!$F$30</f>
        <v>0.59299298987278259</v>
      </c>
      <c r="R566" s="45">
        <f>TKG!$G$31/TKG!$G$30</f>
        <v>0.58499131482184397</v>
      </c>
      <c r="S566" s="45">
        <f t="shared" ref="S566" si="135">R566-O566</f>
        <v>7.8326363543300692E-3</v>
      </c>
      <c r="T566" s="46"/>
      <c r="U566" s="48" t="str">
        <f>U504</f>
        <v>ZAR 27.6</v>
      </c>
      <c r="V566" s="44" t="str">
        <f>V504</f>
        <v>Telkom SA</v>
      </c>
    </row>
    <row r="567" spans="1:69">
      <c r="A567" s="41"/>
      <c r="C567" s="51" t="str">
        <f>C505</f>
        <v>Agg. EMEA Incumbent</v>
      </c>
      <c r="D567" s="58"/>
      <c r="E567" s="58"/>
      <c r="F567" s="55"/>
      <c r="G567" s="58"/>
      <c r="H567" s="134"/>
      <c r="I567" s="55"/>
      <c r="J567" s="55"/>
      <c r="K567" s="55"/>
      <c r="L567" s="55"/>
      <c r="M567" s="55"/>
      <c r="N567" s="56"/>
      <c r="O567" s="55"/>
      <c r="P567" s="55"/>
      <c r="Q567" s="55"/>
      <c r="R567" s="55"/>
      <c r="S567" s="55"/>
      <c r="T567" s="56"/>
      <c r="U567" s="51"/>
      <c r="V567" s="58" t="str">
        <f>V505</f>
        <v>Agg. EMEA Incumbent</v>
      </c>
    </row>
    <row r="568" spans="1:69">
      <c r="A568" s="5"/>
      <c r="C568" s="48"/>
      <c r="D568" s="44"/>
      <c r="E568" s="44"/>
      <c r="F568" s="68"/>
      <c r="G568" s="44"/>
      <c r="H568" s="134"/>
      <c r="I568" s="61"/>
      <c r="J568" s="61"/>
      <c r="K568" s="61"/>
      <c r="L568" s="61"/>
      <c r="M568" s="61"/>
      <c r="N568" s="46"/>
      <c r="O568" s="61"/>
      <c r="P568" s="61"/>
      <c r="Q568" s="61"/>
      <c r="R568" s="61"/>
      <c r="S568" s="61"/>
      <c r="T568" s="46"/>
      <c r="U568" s="48"/>
      <c r="V568" s="44"/>
    </row>
    <row r="569" spans="1:69">
      <c r="A569" s="5"/>
      <c r="C569" s="48" t="str">
        <f t="shared" ref="C569:G572" si="136">C507</f>
        <v>America Movil</v>
      </c>
      <c r="D569" s="44" t="str">
        <f t="shared" si="136"/>
        <v>USD 16.3</v>
      </c>
      <c r="E569" s="44" t="str">
        <f t="shared" si="136"/>
        <v>USD 24.0</v>
      </c>
      <c r="F569" s="45">
        <f t="shared" si="136"/>
        <v>0.4714898835070509</v>
      </c>
      <c r="G569" s="44" t="str">
        <f t="shared" si="136"/>
        <v>Buy</v>
      </c>
      <c r="H569" s="46"/>
      <c r="I569" s="45">
        <f>AMX!$D$31/AMX!$D$29</f>
        <v>0.59437148702994269</v>
      </c>
      <c r="J569" s="45">
        <f>AMX!$E$31/AMX!$E$29</f>
        <v>0.37943595147959008</v>
      </c>
      <c r="K569" s="45">
        <f>AMX!$F$31/AMX!$F$29</f>
        <v>0.31416685824615992</v>
      </c>
      <c r="L569" s="45">
        <f>AMX!$G$31/AMX!$G$29</f>
        <v>0.26147197134569944</v>
      </c>
      <c r="M569" s="45">
        <f t="shared" ref="M569:M573" si="137">L569-I569</f>
        <v>-0.33289951568424325</v>
      </c>
      <c r="N569" s="46"/>
      <c r="O569" s="45">
        <f>AMX!$D$31/AMX!$D$30</f>
        <v>0.38660235359790501</v>
      </c>
      <c r="P569" s="45">
        <f>AMX!$E$31/AMX!$E$30</f>
        <v>0.32166130100983958</v>
      </c>
      <c r="Q569" s="45">
        <f>AMX!$F$31/AMX!$F$30</f>
        <v>0.26556735026543432</v>
      </c>
      <c r="R569" s="45">
        <f>AMX!$G$31/AMX!$G$30</f>
        <v>0.22505948934276751</v>
      </c>
      <c r="S569" s="45">
        <f t="shared" ref="S569:S573" si="138">R569-O569</f>
        <v>-0.1615428642551375</v>
      </c>
      <c r="T569" s="46"/>
      <c r="U569" s="48" t="str">
        <f t="shared" ref="U569:V571" si="139">U507</f>
        <v>USD 16.3</v>
      </c>
      <c r="V569" s="44" t="str">
        <f t="shared" si="139"/>
        <v>America Movil</v>
      </c>
    </row>
    <row r="570" spans="1:69">
      <c r="A570" s="5"/>
      <c r="C570" s="48" t="str">
        <f t="shared" si="136"/>
        <v>Oi</v>
      </c>
      <c r="D570" s="44" t="str">
        <f t="shared" si="136"/>
        <v>BRL 12.10</v>
      </c>
      <c r="E570" s="44" t="str">
        <f t="shared" si="136"/>
        <v>BRL 0.90</v>
      </c>
      <c r="F570" s="45">
        <f t="shared" si="136"/>
        <v>-0.92561983471074383</v>
      </c>
      <c r="G570" s="44" t="str">
        <f t="shared" si="136"/>
        <v>Neutral</v>
      </c>
      <c r="H570" s="46"/>
      <c r="I570" s="45">
        <f>OIBR!$D$31/OIBR!$D$29</f>
        <v>0</v>
      </c>
      <c r="J570" s="45">
        <f>OIBR!$E$31/OIBR!$E$29</f>
        <v>0</v>
      </c>
      <c r="K570" s="45">
        <f>OIBR!$F$31/OIBR!$F$29</f>
        <v>0</v>
      </c>
      <c r="L570" s="45">
        <f>OIBR!$G$31/OIBR!$G$29</f>
        <v>0</v>
      </c>
      <c r="M570" s="45">
        <f>L570-I570</f>
        <v>0</v>
      </c>
      <c r="N570" s="46"/>
      <c r="O570" s="45">
        <f>OIBR!$D$31/OIBR!$D$30</f>
        <v>0</v>
      </c>
      <c r="P570" s="45">
        <f>OIBR!$E$31/OIBR!$E$30</f>
        <v>0</v>
      </c>
      <c r="Q570" s="45">
        <f>OIBR!$F$31/OIBR!$F$30</f>
        <v>0</v>
      </c>
      <c r="R570" s="45">
        <f>OIBR!$G$31/OIBR!$G$30</f>
        <v>0</v>
      </c>
      <c r="S570" s="45">
        <f>R570-O570</f>
        <v>0</v>
      </c>
      <c r="T570" s="46"/>
      <c r="U570" s="48" t="str">
        <f t="shared" si="139"/>
        <v>BRL 12.10</v>
      </c>
      <c r="V570" s="44" t="str">
        <f t="shared" si="139"/>
        <v>Oi</v>
      </c>
      <c r="Z570" s="49"/>
    </row>
    <row r="571" spans="1:69">
      <c r="A571" s="5"/>
      <c r="C571" s="48" t="str">
        <f t="shared" si="136"/>
        <v>Telefonica Brasil</v>
      </c>
      <c r="D571" s="44" t="str">
        <f t="shared" si="136"/>
        <v>BRL 55.12</v>
      </c>
      <c r="E571" s="44" t="str">
        <f t="shared" si="136"/>
        <v>BRL 61.00</v>
      </c>
      <c r="F571" s="45">
        <f t="shared" si="136"/>
        <v>0.10667634252539915</v>
      </c>
      <c r="G571" s="44" t="str">
        <f t="shared" si="136"/>
        <v>Buy</v>
      </c>
      <c r="H571" s="46"/>
      <c r="I571" s="45">
        <f>VIVO!$D$31/VIVO!$D$29</f>
        <v>0.55468528588956767</v>
      </c>
      <c r="J571" s="45">
        <f>VIVO!$E$31/VIVO!$E$29</f>
        <v>0.5410296797392482</v>
      </c>
      <c r="K571" s="45">
        <f>VIVO!$F$31/VIVO!$F$29</f>
        <v>0.66400157240836022</v>
      </c>
      <c r="L571" s="45">
        <f>VIVO!$G$31/VIVO!$G$29</f>
        <v>0.74252235760675078</v>
      </c>
      <c r="M571" s="45">
        <f>L571-I571</f>
        <v>0.18783707171718311</v>
      </c>
      <c r="N571" s="46"/>
      <c r="O571" s="45">
        <f>VIVO!$D$31/VIVO!$D$30</f>
        <v>0.72482065590931977</v>
      </c>
      <c r="P571" s="45">
        <f>VIVO!$E$31/VIVO!$E$30</f>
        <v>0.69404583796675201</v>
      </c>
      <c r="Q571" s="45">
        <f>VIVO!$F$31/VIVO!$F$30</f>
        <v>0.74724507251306782</v>
      </c>
      <c r="R571" s="45">
        <f>VIVO!$G$31/VIVO!$G$30</f>
        <v>0.78829495801071348</v>
      </c>
      <c r="S571" s="45">
        <f>R571-O571</f>
        <v>6.3474302101393709E-2</v>
      </c>
      <c r="T571" s="46"/>
      <c r="U571" s="48" t="str">
        <f t="shared" si="139"/>
        <v>BRL 55.12</v>
      </c>
      <c r="V571" s="44" t="str">
        <f t="shared" si="139"/>
        <v>Telefonica Brasil</v>
      </c>
      <c r="X571" s="45"/>
      <c r="Y571" s="45"/>
      <c r="Z571" s="49"/>
    </row>
    <row r="572" spans="1:69">
      <c r="A572" s="5"/>
      <c r="C572" s="48" t="str">
        <f t="shared" si="136"/>
        <v>Televisa</v>
      </c>
      <c r="D572" s="44" t="str">
        <f t="shared" si="136"/>
        <v>USD 1.8</v>
      </c>
      <c r="E572" s="44" t="str">
        <f t="shared" si="136"/>
        <v>USD 3.7</v>
      </c>
      <c r="F572" s="45">
        <f t="shared" si="136"/>
        <v>1.0903954802259888</v>
      </c>
      <c r="G572" s="44" t="str">
        <f t="shared" si="136"/>
        <v>Neutral</v>
      </c>
      <c r="H572" s="46"/>
      <c r="I572" s="45">
        <f>TVIS!$D$31/TVIS!$D$29</f>
        <v>-0.19522484250962951</v>
      </c>
      <c r="J572" s="45">
        <f>TVIS!$E$31/TVIS!$E$29</f>
        <v>0.36244872528847905</v>
      </c>
      <c r="K572" s="45">
        <f>TVIS!$F$31/TVIS!$F$29</f>
        <v>0.27566622436565313</v>
      </c>
      <c r="L572" s="45">
        <f>TVIS!$G$31/TVIS!$G$29</f>
        <v>0.21058398166124084</v>
      </c>
      <c r="M572" s="45">
        <f>L572-I572</f>
        <v>0.40580882417087039</v>
      </c>
      <c r="N572" s="46"/>
      <c r="O572" s="45">
        <f>TVIS!$D$31/TVIS!$D$30</f>
        <v>-0.77034577222104061</v>
      </c>
      <c r="P572" s="45">
        <f>TVIS!$E$31/TVIS!$E$30</f>
        <v>1.7820148945275736</v>
      </c>
      <c r="Q572" s="45">
        <f>TVIS!$F$31/TVIS!$F$30</f>
        <v>0.52483398137291137</v>
      </c>
      <c r="R572" s="45">
        <f>TVIS!$G$31/TVIS!$G$30</f>
        <v>0.28139674776494683</v>
      </c>
      <c r="S572" s="45">
        <f>R572-O572</f>
        <v>1.0517425199859876</v>
      </c>
      <c r="T572" s="46"/>
      <c r="U572" s="48" t="str">
        <f>U510</f>
        <v>USD 1.8</v>
      </c>
      <c r="V572" s="44" t="s">
        <v>667</v>
      </c>
      <c r="Z572" s="49"/>
    </row>
    <row r="573" spans="1:69">
      <c r="A573" s="5"/>
      <c r="C573" s="51" t="str">
        <f>C511</f>
        <v>Agg. LatAm Incumbent</v>
      </c>
      <c r="D573" s="52"/>
      <c r="E573" s="52"/>
      <c r="F573" s="53"/>
      <c r="G573" s="52"/>
      <c r="H573" s="46"/>
      <c r="I573" s="55">
        <f>'LATAM INCUMB'!$D$31/'LATAM INCUMB'!$D$29</f>
        <v>0.8627930890635962</v>
      </c>
      <c r="J573" s="55">
        <f>'LATAM INCUMB'!$E$31/'LATAM INCUMB'!$E$29</f>
        <v>0.49052492114089552</v>
      </c>
      <c r="K573" s="55">
        <f>'LATAM INCUMB'!$F$31/'LATAM INCUMB'!$F$29</f>
        <v>0.42422949128548088</v>
      </c>
      <c r="L573" s="55">
        <f>'LATAM INCUMB'!$G$31/'LATAM INCUMB'!$G$29</f>
        <v>0.3734565041962376</v>
      </c>
      <c r="M573" s="55">
        <f t="shared" si="137"/>
        <v>-0.48933658486735859</v>
      </c>
      <c r="N573" s="56"/>
      <c r="O573" s="55">
        <f>'LATAM INCUMB'!$D$31/'LATAM INCUMB'!$D$30</f>
        <v>0.53327883958910061</v>
      </c>
      <c r="P573" s="55">
        <f>'LATAM INCUMB'!$E$31/'LATAM INCUMB'!$E$30</f>
        <v>0.43158154074841315</v>
      </c>
      <c r="Q573" s="55">
        <f>'LATAM INCUMB'!$F$31/'LATAM INCUMB'!$F$30</f>
        <v>0.37474048614982075</v>
      </c>
      <c r="R573" s="55">
        <f>'LATAM INCUMB'!$G$31/'LATAM INCUMB'!$G$30</f>
        <v>0.33426254417516765</v>
      </c>
      <c r="S573" s="55">
        <f t="shared" si="138"/>
        <v>-0.19901629541393295</v>
      </c>
      <c r="T573" s="46"/>
      <c r="U573" s="57"/>
      <c r="V573" s="58" t="str">
        <f>V511</f>
        <v>Agg. LatAm Incumbent</v>
      </c>
      <c r="W573" s="68"/>
      <c r="Z573" s="49"/>
    </row>
    <row r="574" spans="1:69">
      <c r="C574" s="48"/>
      <c r="D574" s="44"/>
      <c r="E574" s="44"/>
      <c r="F574" s="45"/>
      <c r="G574" s="44"/>
      <c r="H574" s="46"/>
      <c r="I574" s="45"/>
      <c r="J574" s="45"/>
      <c r="K574" s="45"/>
      <c r="L574" s="45"/>
      <c r="M574" s="45"/>
      <c r="N574" s="56"/>
      <c r="O574" s="45"/>
      <c r="P574" s="45"/>
      <c r="Q574" s="45"/>
      <c r="R574" s="45"/>
      <c r="S574" s="45"/>
      <c r="T574" s="46"/>
      <c r="U574" s="48"/>
      <c r="V574" s="50"/>
      <c r="Z574" s="49"/>
    </row>
    <row r="575" spans="1:69">
      <c r="A575" s="5"/>
      <c r="C575" s="48" t="str">
        <f t="shared" ref="C575:G579" si="140">C513</f>
        <v>China Telecom</v>
      </c>
      <c r="D575" s="44" t="str">
        <f t="shared" si="140"/>
        <v>HKD 4.48</v>
      </c>
      <c r="E575" s="44" t="str">
        <f t="shared" si="140"/>
        <v>HKD 8.75</v>
      </c>
      <c r="F575" s="45">
        <f t="shared" si="140"/>
        <v>0.95312499999999978</v>
      </c>
      <c r="G575" s="44" t="str">
        <f t="shared" si="140"/>
        <v>Buy</v>
      </c>
      <c r="H575" s="46"/>
      <c r="I575" s="45">
        <f>_CT!$D$31/_CT!$D$29</f>
        <v>0.68155325455126148</v>
      </c>
      <c r="J575" s="45">
        <f>_CT!$E$31/_CT!$E$29</f>
        <v>0.59907336009353218</v>
      </c>
      <c r="K575" s="45">
        <f>_CT!$F$31/_CT!$F$29</f>
        <v>0.60629645477520544</v>
      </c>
      <c r="L575" s="45">
        <f>_CT!$G$31/_CT!$G$29</f>
        <v>0.63180910604932239</v>
      </c>
      <c r="M575" s="45">
        <f t="shared" ref="M575:M580" si="141">L575-I575</f>
        <v>-4.9744148501939089E-2</v>
      </c>
      <c r="N575" s="56"/>
      <c r="O575" s="169">
        <f>_CT!$D$31/_CT!$D$30</f>
        <v>0.70048031775210073</v>
      </c>
      <c r="P575" s="169">
        <f>_CT!$E$31/_CT!$E$30</f>
        <v>0.71321993094385994</v>
      </c>
      <c r="Q575" s="169">
        <f>_CT!$F$31/_CT!$F$30</f>
        <v>0.714157442062617</v>
      </c>
      <c r="R575" s="169">
        <f>_CT!$G$31/_CT!$G$30</f>
        <v>0.74501331958398309</v>
      </c>
      <c r="S575" s="169">
        <f t="shared" ref="S575:S580" si="142">R575-O575</f>
        <v>4.4533001831882357E-2</v>
      </c>
      <c r="T575" s="46"/>
      <c r="U575" s="48" t="str">
        <f t="shared" ref="U575:V579" si="143">U513</f>
        <v>HKD 4.48</v>
      </c>
      <c r="V575" s="44" t="str">
        <f t="shared" si="143"/>
        <v>China Telecom</v>
      </c>
      <c r="Z575" s="49"/>
    </row>
    <row r="576" spans="1:69">
      <c r="A576" s="5"/>
      <c r="C576" s="48" t="str">
        <f t="shared" si="140"/>
        <v>China Unicom</v>
      </c>
      <c r="D576" s="44" t="str">
        <f t="shared" si="140"/>
        <v>HKD 6.32</v>
      </c>
      <c r="E576" s="44" t="str">
        <f t="shared" si="140"/>
        <v>HKD 13.20</v>
      </c>
      <c r="F576" s="45">
        <f t="shared" si="140"/>
        <v>1.0886075949367084</v>
      </c>
      <c r="G576" s="44" t="str">
        <f t="shared" si="140"/>
        <v>Buy</v>
      </c>
      <c r="H576" s="46"/>
      <c r="I576" s="45">
        <f>_CU!$D$31/_CU!$D$29</f>
        <v>0.36287935108683222</v>
      </c>
      <c r="J576" s="45">
        <f>_CU!$E$31/_CU!$E$29</f>
        <v>0.33063107703650813</v>
      </c>
      <c r="K576" s="45">
        <f>_CU!$F$31/_CU!$F$29</f>
        <v>0.38846805783234645</v>
      </c>
      <c r="L576" s="45">
        <f>_CU!$G$31/_CU!$G$29</f>
        <v>0.45399636668285004</v>
      </c>
      <c r="M576" s="45">
        <f t="shared" si="141"/>
        <v>9.1117015596017814E-2</v>
      </c>
      <c r="N576" s="56"/>
      <c r="O576" s="169">
        <f>_CU!$D$31/_CU!$D$30</f>
        <v>0.59743677814114549</v>
      </c>
      <c r="P576" s="169">
        <f>_CU!$E$31/_CU!$E$30</f>
        <v>0.62724480616385525</v>
      </c>
      <c r="Q576" s="169">
        <f>_CU!$F$31/_CU!$F$30</f>
        <v>0.84325386748352404</v>
      </c>
      <c r="R576" s="169">
        <f>_CU!$G$31/_CU!$G$30</f>
        <v>0.87592779811382815</v>
      </c>
      <c r="S576" s="169">
        <f t="shared" si="142"/>
        <v>0.27849101997268266</v>
      </c>
      <c r="T576" s="46"/>
      <c r="U576" s="48" t="str">
        <f t="shared" si="143"/>
        <v>HKD 6.32</v>
      </c>
      <c r="V576" s="44" t="str">
        <f t="shared" si="143"/>
        <v>China Unicom</v>
      </c>
      <c r="Z576" s="49"/>
    </row>
    <row r="577" spans="1:29">
      <c r="C577" s="48" t="str">
        <f t="shared" si="140"/>
        <v>Chunghwa Telecom</v>
      </c>
      <c r="D577" s="44" t="str">
        <f t="shared" si="140"/>
        <v>TWD 124.00</v>
      </c>
      <c r="E577" s="44" t="str">
        <f t="shared" si="140"/>
        <v>TWD n/r</v>
      </c>
      <c r="F577" s="45" t="str">
        <f t="shared" si="140"/>
        <v>-</v>
      </c>
      <c r="G577" s="44" t="str">
        <f t="shared" si="140"/>
        <v>n/r</v>
      </c>
      <c r="H577" s="46"/>
      <c r="I577" s="45">
        <f>CHUNG!$D$31/CHUNG!$D$29</f>
        <v>0.84465385215624533</v>
      </c>
      <c r="J577" s="45">
        <f>CHUNG!$E$31/CHUNG!$E$29</f>
        <v>0.79628830853752219</v>
      </c>
      <c r="K577" s="45">
        <f>CHUNG!$F$31/CHUNG!$F$29</f>
        <v>0.79463810742574048</v>
      </c>
      <c r="L577" s="45">
        <f>CHUNG!$G$31/CHUNG!$G$29</f>
        <v>0.82845718368406351</v>
      </c>
      <c r="M577" s="45">
        <f t="shared" si="141"/>
        <v>-1.6196668472181819E-2</v>
      </c>
      <c r="N577" s="56"/>
      <c r="O577" s="45">
        <f>CHUNG!$D$31/CHUNG!$D$30</f>
        <v>1.0319311379732297</v>
      </c>
      <c r="P577" s="45">
        <f>CHUNG!$E$31/CHUNG!$E$30</f>
        <v>1.0315433933448428</v>
      </c>
      <c r="Q577" s="45">
        <f>CHUNG!$F$31/CHUNG!$F$30</f>
        <v>1.0309610845851627</v>
      </c>
      <c r="R577" s="45">
        <f>CHUNG!$G$31/CHUNG!$G$30</f>
        <v>1.0303855316312986</v>
      </c>
      <c r="S577" s="45">
        <f t="shared" si="142"/>
        <v>-1.5456063419310162E-3</v>
      </c>
      <c r="T577" s="46"/>
      <c r="U577" s="48" t="str">
        <f t="shared" si="143"/>
        <v>TWD 124.00</v>
      </c>
      <c r="V577" s="44" t="str">
        <f t="shared" si="143"/>
        <v>Chunghwa Telecom</v>
      </c>
      <c r="Z577" s="49"/>
    </row>
    <row r="578" spans="1:29">
      <c r="C578" s="48" t="str">
        <f t="shared" si="140"/>
        <v>KT Corp</v>
      </c>
      <c r="D578" s="44" t="str">
        <f t="shared" si="140"/>
        <v>KRW 41,200</v>
      </c>
      <c r="E578" s="44" t="str">
        <f t="shared" si="140"/>
        <v>KRW 70,000</v>
      </c>
      <c r="F578" s="45">
        <f t="shared" si="140"/>
        <v>0.69902912621359214</v>
      </c>
      <c r="G578" s="44" t="str">
        <f t="shared" si="140"/>
        <v>Buy</v>
      </c>
      <c r="H578" s="46"/>
      <c r="I578" s="45">
        <f>_KT!$D$31/_KT!$D$29</f>
        <v>0.42230807859763764</v>
      </c>
      <c r="J578" s="45">
        <f>_KT!$E$31/_KT!$E$29</f>
        <v>0.5511961868584252</v>
      </c>
      <c r="K578" s="45">
        <f>_KT!$F$31/_KT!$F$29</f>
        <v>0.39993574616510036</v>
      </c>
      <c r="L578" s="45">
        <f>_KT!$G$31/_KT!$G$29</f>
        <v>0.35653512558490014</v>
      </c>
      <c r="M578" s="45">
        <f t="shared" si="141"/>
        <v>-6.5772953012737501E-2</v>
      </c>
      <c r="N578" s="56"/>
      <c r="O578" s="45">
        <f>_KT!$D$31/_KT!$D$30</f>
        <v>0.47823577296762065</v>
      </c>
      <c r="P578" s="45">
        <f>_KT!$E$31/_KT!$E$30</f>
        <v>0.43276619417966361</v>
      </c>
      <c r="Q578" s="45">
        <f>_KT!$F$31/_KT!$F$30</f>
        <v>0.389079587942112</v>
      </c>
      <c r="R578" s="45">
        <f>_KT!$G$31/_KT!$G$30</f>
        <v>0.40055864509995642</v>
      </c>
      <c r="S578" s="45">
        <f t="shared" si="142"/>
        <v>-7.7677127867664231E-2</v>
      </c>
      <c r="T578" s="46"/>
      <c r="U578" s="48" t="str">
        <f t="shared" si="143"/>
        <v>KRW 41,200</v>
      </c>
      <c r="V578" s="44" t="str">
        <f t="shared" si="143"/>
        <v>KT Corp</v>
      </c>
      <c r="Z578" s="49"/>
      <c r="AC578" s="63"/>
    </row>
    <row r="579" spans="1:29">
      <c r="C579" s="48" t="str">
        <f t="shared" si="140"/>
        <v>PT Telkom</v>
      </c>
      <c r="D579" s="44" t="str">
        <f t="shared" si="140"/>
        <v>IDR 3,040</v>
      </c>
      <c r="E579" s="44" t="str">
        <f t="shared" si="140"/>
        <v>IDR 4,500</v>
      </c>
      <c r="F579" s="45">
        <f t="shared" si="140"/>
        <v>0.48026315789473695</v>
      </c>
      <c r="G579" s="44" t="str">
        <f t="shared" si="140"/>
        <v>Buy</v>
      </c>
      <c r="H579" s="46"/>
      <c r="I579" s="45">
        <f>PTT!$D$31/PTT!$D$29</f>
        <v>0.62600385399762093</v>
      </c>
      <c r="J579" s="45">
        <f>PTT!$E$31/PTT!$E$29</f>
        <v>0.63148284394711163</v>
      </c>
      <c r="K579" s="45">
        <f>PTT!$F$31/PTT!$F$29</f>
        <v>0.6424590786461748</v>
      </c>
      <c r="L579" s="45">
        <f>PTT!$G$31/PTT!$G$29</f>
        <v>0.65675051076477342</v>
      </c>
      <c r="M579" s="45">
        <f t="shared" si="141"/>
        <v>3.0746656767152492E-2</v>
      </c>
      <c r="N579" s="56"/>
      <c r="O579" s="169">
        <f>PTT!$D$31/PTT!$D$30</f>
        <v>0.7047108904471544</v>
      </c>
      <c r="P579" s="169">
        <f>PTT!$E$31/PTT!$E$30</f>
        <v>0.74999999999999944</v>
      </c>
      <c r="Q579" s="169">
        <f>PTT!$F$31/PTT!$F$30</f>
        <v>0.74999999999999989</v>
      </c>
      <c r="R579" s="169">
        <f>PTT!$G$31/PTT!$G$30</f>
        <v>0.75</v>
      </c>
      <c r="S579" s="169">
        <f t="shared" si="142"/>
        <v>4.5289109552845597E-2</v>
      </c>
      <c r="T579" s="46"/>
      <c r="U579" s="48" t="str">
        <f t="shared" si="143"/>
        <v>IDR 3,040</v>
      </c>
      <c r="V579" s="44" t="str">
        <f t="shared" si="143"/>
        <v>PT Telkom</v>
      </c>
      <c r="Z579" s="49"/>
    </row>
    <row r="580" spans="1:29">
      <c r="C580" s="51" t="str">
        <f>C518</f>
        <v>Agg. Emerging Asia Incumbent</v>
      </c>
      <c r="D580" s="52"/>
      <c r="E580" s="52"/>
      <c r="F580" s="53"/>
      <c r="G580" s="52"/>
      <c r="H580" s="46"/>
      <c r="I580" s="55">
        <f>'EM ASIA INCUMB'!$D$31/'EM ASIA INCUMB'!$D$29</f>
        <v>0.5699947808515442</v>
      </c>
      <c r="J580" s="55">
        <f>'EM ASIA INCUMB'!$E$31/'EM ASIA INCUMB'!$E$29</f>
        <v>0.52322915590109986</v>
      </c>
      <c r="K580" s="55">
        <f>'EM ASIA INCUMB'!$F$31/'EM ASIA INCUMB'!$F$29</f>
        <v>0.53706178507648616</v>
      </c>
      <c r="L580" s="55">
        <f>'EM ASIA INCUMB'!$G$31/'EM ASIA INCUMB'!$G$29</f>
        <v>0.568331020199484</v>
      </c>
      <c r="M580" s="55">
        <f t="shared" si="141"/>
        <v>-1.6637606520601977E-3</v>
      </c>
      <c r="N580" s="56"/>
      <c r="O580" s="55">
        <f>'EM ASIA INCUMB'!$D$31/'EM ASIA INCUMB'!$D$30</f>
        <v>0.69495221084783743</v>
      </c>
      <c r="P580" s="55">
        <f>'EM ASIA INCUMB'!$E$31/'EM ASIA INCUMB'!$E$30</f>
        <v>0.7058809027516888</v>
      </c>
      <c r="Q580" s="55">
        <f>'EM ASIA INCUMB'!$F$31/'EM ASIA INCUMB'!$F$30</f>
        <v>0.74841556780700114</v>
      </c>
      <c r="R580" s="55">
        <f>'EM ASIA INCUMB'!$G$31/'EM ASIA INCUMB'!$G$30</f>
        <v>0.77111554184855013</v>
      </c>
      <c r="S580" s="55">
        <f t="shared" si="142"/>
        <v>7.6163331000712708E-2</v>
      </c>
      <c r="T580" s="46"/>
      <c r="U580" s="57"/>
      <c r="V580" s="58" t="str">
        <f>V518</f>
        <v>Agg. Emerging Asia Incumbent</v>
      </c>
      <c r="Z580" s="49"/>
    </row>
    <row r="581" spans="1:29">
      <c r="C581" s="43"/>
      <c r="D581" s="44"/>
      <c r="E581" s="44"/>
      <c r="F581" s="68"/>
      <c r="G581" s="44"/>
      <c r="H581" s="46"/>
      <c r="I581" s="61"/>
      <c r="J581" s="61"/>
      <c r="K581" s="61"/>
      <c r="L581" s="61"/>
      <c r="M581" s="61"/>
      <c r="N581" s="56"/>
      <c r="O581" s="61"/>
      <c r="P581" s="61"/>
      <c r="Q581" s="61"/>
      <c r="R581" s="61"/>
      <c r="S581" s="61"/>
      <c r="T581" s="46"/>
      <c r="U581" s="48"/>
      <c r="V581" s="50"/>
      <c r="Z581" s="49"/>
    </row>
    <row r="582" spans="1:29">
      <c r="C582" s="51" t="str">
        <f>C520</f>
        <v>Agg. Emerging Incumbent</v>
      </c>
      <c r="D582" s="52"/>
      <c r="E582" s="52"/>
      <c r="F582" s="53"/>
      <c r="G582" s="52"/>
      <c r="H582" s="46"/>
      <c r="I582" s="55">
        <f>'EM INCUMB'!$D$31/'EM INCUMB'!$D$29</f>
        <v>0.62397631981468382</v>
      </c>
      <c r="J582" s="55">
        <f>'EM INCUMB'!$E$31/'EM INCUMB'!$E$29</f>
        <v>0.51657270572966973</v>
      </c>
      <c r="K582" s="55">
        <f>'EM INCUMB'!$F$31/'EM INCUMB'!$F$29</f>
        <v>0.50626794033787703</v>
      </c>
      <c r="L582" s="55">
        <f>'EM INCUMB'!$G$31/'EM INCUMB'!$G$29</f>
        <v>0.50968425989474775</v>
      </c>
      <c r="M582" s="55">
        <f t="shared" ref="M582" si="144">L582-I582</f>
        <v>-0.11429205991993607</v>
      </c>
      <c r="N582" s="56"/>
      <c r="O582" s="55">
        <f>'EM INCUMB'!$D$31/'EM INCUMB'!$D$30</f>
        <v>0.64503820332625983</v>
      </c>
      <c r="P582" s="55">
        <f>'EM INCUMB'!$E$31/'EM INCUMB'!$E$30</f>
        <v>0.61041464453935257</v>
      </c>
      <c r="Q582" s="55">
        <f>'EM INCUMB'!$F$31/'EM INCUMB'!$F$30</f>
        <v>0.60315995212274276</v>
      </c>
      <c r="R582" s="55">
        <f>'EM INCUMB'!$G$31/'EM INCUMB'!$G$30</f>
        <v>0.5951106051825259</v>
      </c>
      <c r="S582" s="55">
        <f t="shared" ref="S582" si="145">R582-O582</f>
        <v>-4.9927598143733931E-2</v>
      </c>
      <c r="T582" s="46"/>
      <c r="U582" s="57"/>
      <c r="V582" s="58" t="str">
        <f>V520</f>
        <v>Agg. Emerging Incumbent</v>
      </c>
      <c r="Z582" s="49"/>
    </row>
    <row r="583" spans="1:29">
      <c r="C583" s="43"/>
      <c r="D583" s="44"/>
      <c r="E583" s="44"/>
      <c r="F583" s="45"/>
      <c r="G583" s="44"/>
      <c r="H583" s="46"/>
      <c r="I583" s="45"/>
      <c r="J583" s="45"/>
      <c r="K583" s="45"/>
      <c r="L583" s="45"/>
      <c r="M583" s="45"/>
      <c r="N583" s="56"/>
      <c r="O583" s="45"/>
      <c r="P583" s="45"/>
      <c r="Q583" s="45"/>
      <c r="R583" s="45"/>
      <c r="S583" s="45"/>
      <c r="T583" s="46"/>
      <c r="U583" s="48"/>
      <c r="V583" s="50"/>
      <c r="Z583" s="49"/>
    </row>
    <row r="584" spans="1:29">
      <c r="A584" s="41" t="s">
        <v>502</v>
      </c>
      <c r="C584" s="48" t="str">
        <f t="shared" ref="C584:G590" si="146">C522</f>
        <v>Airtel Africa</v>
      </c>
      <c r="D584" s="44" t="str">
        <f t="shared" si="146"/>
        <v>USD 1.13</v>
      </c>
      <c r="E584" s="44" t="str">
        <f t="shared" si="146"/>
        <v>USD 2.00</v>
      </c>
      <c r="F584" s="45">
        <f t="shared" si="146"/>
        <v>0.77619893428063969</v>
      </c>
      <c r="G584" s="44" t="str">
        <f t="shared" si="146"/>
        <v>Buy</v>
      </c>
      <c r="H584" s="46"/>
      <c r="I584" s="45">
        <f>AAF!$D$31/AAF!$D$29</f>
        <v>-0.32560282598679158</v>
      </c>
      <c r="J584" s="45">
        <f>AAF!$E$31/AAF!$E$29</f>
        <v>-0.40396328102228057</v>
      </c>
      <c r="K584" s="45">
        <f>AAF!$F$31/AAF!$F$29</f>
        <v>-0.40270574300319356</v>
      </c>
      <c r="L584" s="45">
        <f>AAF!$G$31/AAF!$G$29</f>
        <v>-0.39755458317506381</v>
      </c>
      <c r="M584" s="45">
        <f t="shared" ref="M584" si="147">L584-I584</f>
        <v>-7.1951757188272236E-2</v>
      </c>
      <c r="N584" s="56"/>
      <c r="O584" s="169">
        <f>AAF!$D$31/AAF!$D$30</f>
        <v>0.45591397849462367</v>
      </c>
      <c r="P584" s="169">
        <f>AAF!$E$31/AAF!$E$30</f>
        <v>-1.5029112115505334</v>
      </c>
      <c r="Q584" s="169">
        <f>AAF!$F$31/AAF!$F$30</f>
        <v>-0.28556592776579076</v>
      </c>
      <c r="R584" s="169">
        <f>AAF!$G$31/AAF!$G$30</f>
        <v>-0.25466396560571503</v>
      </c>
      <c r="S584" s="169">
        <f t="shared" ref="S584" si="148">R584-O584</f>
        <v>-0.7105779441003387</v>
      </c>
      <c r="T584" s="46"/>
      <c r="U584" s="48" t="str">
        <f t="shared" ref="U584:V590" si="149">U522</f>
        <v>USD 1.13</v>
      </c>
      <c r="V584" s="44" t="str">
        <f t="shared" si="149"/>
        <v>Airtel Africa</v>
      </c>
      <c r="Z584" s="49"/>
    </row>
    <row r="585" spans="1:29">
      <c r="A585" s="41"/>
      <c r="C585" s="48" t="str">
        <f t="shared" si="146"/>
        <v>MobileTeleSystems</v>
      </c>
      <c r="D585" s="44" t="str">
        <f t="shared" si="146"/>
        <v>USD 10.00</v>
      </c>
      <c r="E585" s="44" t="str">
        <f t="shared" si="146"/>
        <v>USD 10.10</v>
      </c>
      <c r="F585" s="45">
        <f t="shared" si="146"/>
        <v>1.0000000000000009E-2</v>
      </c>
      <c r="G585" s="44" t="str">
        <f t="shared" si="146"/>
        <v>Buy</v>
      </c>
      <c r="H585" s="46"/>
      <c r="I585" s="45">
        <f>MTS!$D$31/MTS!$D$29</f>
        <v>1.2434890525553088</v>
      </c>
      <c r="J585" s="45">
        <f>MTS!$E$31/MTS!$E$29</f>
        <v>1.1311166676273645</v>
      </c>
      <c r="K585" s="45">
        <f>MTS!$F$31/MTS!$F$29</f>
        <v>1.1962958441078932</v>
      </c>
      <c r="L585" s="45">
        <f>MTS!$G$31/MTS!$G$29</f>
        <v>1.2613749130091283</v>
      </c>
      <c r="M585" s="45">
        <f t="shared" ref="M585:M591" si="150">L585-I585</f>
        <v>1.7885860453819458E-2</v>
      </c>
      <c r="N585" s="56"/>
      <c r="O585" s="169">
        <f>MTS!$D$31/MTS!$D$30</f>
        <v>0.98986949950665648</v>
      </c>
      <c r="P585" s="169">
        <f>MTS!$E$31/MTS!$E$30</f>
        <v>1.0167570738835341</v>
      </c>
      <c r="Q585" s="169">
        <f>MTS!$F$31/MTS!$F$30</f>
        <v>1.0098924181427213</v>
      </c>
      <c r="R585" s="169">
        <f>MTS!$G$31/MTS!$G$30</f>
        <v>1.0151847754701082</v>
      </c>
      <c r="S585" s="169">
        <f t="shared" ref="S585:S591" si="151">R585-O585</f>
        <v>2.5315275963451733E-2</v>
      </c>
      <c r="T585" s="46"/>
      <c r="U585" s="48" t="str">
        <f t="shared" si="149"/>
        <v>USD 10.00</v>
      </c>
      <c r="V585" s="44" t="str">
        <f t="shared" si="149"/>
        <v>MobileTeleSystems</v>
      </c>
      <c r="Z585" s="49"/>
    </row>
    <row r="586" spans="1:29">
      <c r="C586" s="48" t="str">
        <f t="shared" si="146"/>
        <v>MTN</v>
      </c>
      <c r="D586" s="44" t="str">
        <f t="shared" si="146"/>
        <v>ZAR 92.00</v>
      </c>
      <c r="E586" s="44" t="str">
        <f t="shared" si="146"/>
        <v>ZAR 130.00</v>
      </c>
      <c r="F586" s="45">
        <f t="shared" si="146"/>
        <v>0.41304347826086962</v>
      </c>
      <c r="G586" s="44" t="str">
        <f t="shared" si="146"/>
        <v>Buy</v>
      </c>
      <c r="H586" s="46"/>
      <c r="I586" s="45">
        <f>MTN!$D$31/MTN!$D$29</f>
        <v>-0.46029551715502126</v>
      </c>
      <c r="J586" s="45">
        <f>MTN!$E$31/MTN!$E$29</f>
        <v>-3.3348353334577503</v>
      </c>
      <c r="K586" s="45">
        <f>MTN!$F$31/MTN!$F$29</f>
        <v>1.8420943739823816</v>
      </c>
      <c r="L586" s="45">
        <f>MTN!$G$31/MTN!$G$29</f>
        <v>1.0197533827749243</v>
      </c>
      <c r="M586" s="45">
        <f t="shared" si="150"/>
        <v>1.4800488999299457</v>
      </c>
      <c r="N586" s="56"/>
      <c r="O586" s="169">
        <f>MTN!$D$31/MTN!$D$30</f>
        <v>0.27197169646340319</v>
      </c>
      <c r="P586" s="169">
        <f>MTN!$E$31/MTN!$E$30</f>
        <v>0.5929138207692829</v>
      </c>
      <c r="Q586" s="169">
        <f>MTN!$F$31/MTN!$F$30</f>
        <v>0.47665611563395194</v>
      </c>
      <c r="R586" s="169">
        <f>MTN!$G$31/MTN!$G$30</f>
        <v>0.35211917615096117</v>
      </c>
      <c r="S586" s="169">
        <f t="shared" si="151"/>
        <v>8.0147479687557976E-2</v>
      </c>
      <c r="T586" s="46"/>
      <c r="U586" s="48" t="str">
        <f t="shared" si="149"/>
        <v>ZAR 92.00</v>
      </c>
      <c r="V586" s="44" t="str">
        <f t="shared" si="149"/>
        <v>MTN</v>
      </c>
      <c r="Z586" s="49"/>
    </row>
    <row r="587" spans="1:29">
      <c r="C587" s="48" t="str">
        <f t="shared" si="146"/>
        <v>Safaricom</v>
      </c>
      <c r="D587" s="44" t="str">
        <f t="shared" si="146"/>
        <v>KES 14.80</v>
      </c>
      <c r="E587" s="44" t="str">
        <f t="shared" si="146"/>
        <v>KES 17.0</v>
      </c>
      <c r="F587" s="45">
        <f t="shared" si="146"/>
        <v>0.14864864864864868</v>
      </c>
      <c r="G587" s="44" t="str">
        <f t="shared" si="146"/>
        <v>Neutral</v>
      </c>
      <c r="H587" s="46"/>
      <c r="I587" s="45">
        <f>SAF!$D$31/SAF!$D$29</f>
        <v>0.7392102439908228</v>
      </c>
      <c r="J587" s="45">
        <f>SAF!$E$31/SAF!$E$29</f>
        <v>1.2440241051705829</v>
      </c>
      <c r="K587" s="45">
        <f>SAF!$F$31/SAF!$F$29</f>
        <v>0.86305688411016201</v>
      </c>
      <c r="L587" s="45">
        <f>SAF!$G$31/SAF!$G$29</f>
        <v>0.74619763325927113</v>
      </c>
      <c r="M587" s="45">
        <f t="shared" si="150"/>
        <v>6.9873892684483296E-3</v>
      </c>
      <c r="N587" s="56"/>
      <c r="O587" s="169">
        <f>SAF!$D$31/SAF!$D$30</f>
        <v>0.61</v>
      </c>
      <c r="P587" s="169">
        <f>SAF!$E$31/SAF!$E$30</f>
        <v>0.8</v>
      </c>
      <c r="Q587" s="169">
        <f>SAF!$F$31/SAF!$F$30</f>
        <v>0.89999999999999991</v>
      </c>
      <c r="R587" s="169">
        <f>SAF!$G$31/SAF!$G$30</f>
        <v>0.95000000000000007</v>
      </c>
      <c r="S587" s="169">
        <f t="shared" si="151"/>
        <v>0.34000000000000008</v>
      </c>
      <c r="T587" s="46"/>
      <c r="U587" s="48" t="str">
        <f t="shared" si="149"/>
        <v>KES 14.80</v>
      </c>
      <c r="V587" s="44" t="str">
        <f t="shared" si="149"/>
        <v>Safaricom</v>
      </c>
      <c r="Z587" s="49"/>
    </row>
    <row r="588" spans="1:29">
      <c r="C588" s="48" t="str">
        <f t="shared" si="146"/>
        <v>Turkcell</v>
      </c>
      <c r="D588" s="44" t="str">
        <f t="shared" si="146"/>
        <v>USD 99.65</v>
      </c>
      <c r="E588" s="44" t="str">
        <f t="shared" si="146"/>
        <v>USD 16.90</v>
      </c>
      <c r="F588" s="45">
        <f t="shared" si="146"/>
        <v>-0.83040642247867535</v>
      </c>
      <c r="G588" s="44" t="str">
        <f t="shared" si="146"/>
        <v>Buy</v>
      </c>
      <c r="H588" s="46"/>
      <c r="I588" s="45">
        <f>TKC!$D$31/TKC!$D$29</f>
        <v>0.66095370743185822</v>
      </c>
      <c r="J588" s="45">
        <f>TKC!$E$31/TKC!$E$29</f>
        <v>0.6345007796789921</v>
      </c>
      <c r="K588" s="45">
        <f>TKC!$F$31/TKC!$F$29</f>
        <v>0.62163331188591697</v>
      </c>
      <c r="L588" s="45">
        <f>TKC!$G$31/TKC!$G$29</f>
        <v>0.64588613579448972</v>
      </c>
      <c r="M588" s="45">
        <f t="shared" si="150"/>
        <v>-1.5067571637368493E-2</v>
      </c>
      <c r="N588" s="56"/>
      <c r="O588" s="169">
        <f>TKC!$D$31/TKC!$D$30</f>
        <v>0.66978977405741491</v>
      </c>
      <c r="P588" s="169">
        <f>TKC!$E$31/TKC!$E$30</f>
        <v>0.67128742582389522</v>
      </c>
      <c r="Q588" s="169">
        <f>TKC!$F$31/TKC!$F$30</f>
        <v>0.67427297666966823</v>
      </c>
      <c r="R588" s="169">
        <f>TKC!$G$31/TKC!$G$30</f>
        <v>0.67810558396462528</v>
      </c>
      <c r="S588" s="169">
        <f t="shared" si="151"/>
        <v>8.3158099072103697E-3</v>
      </c>
      <c r="T588" s="46"/>
      <c r="U588" s="48" t="str">
        <f t="shared" si="149"/>
        <v>USD 99.65</v>
      </c>
      <c r="V588" s="44" t="str">
        <f t="shared" si="149"/>
        <v>Turkcell</v>
      </c>
      <c r="Z588" s="49"/>
    </row>
    <row r="589" spans="1:29">
      <c r="C589" s="48" t="str">
        <f t="shared" si="146"/>
        <v>VEON</v>
      </c>
      <c r="D589" s="44" t="str">
        <f t="shared" si="146"/>
        <v>USD 27.2</v>
      </c>
      <c r="E589" s="44" t="str">
        <f t="shared" si="146"/>
        <v>USD 40.0</v>
      </c>
      <c r="F589" s="45">
        <f t="shared" si="146"/>
        <v>0.47058823529411775</v>
      </c>
      <c r="G589" s="44" t="str">
        <f t="shared" si="146"/>
        <v>Buy</v>
      </c>
      <c r="H589" s="46"/>
      <c r="I589" s="45">
        <f>VIMP!$D$31/VIMP!$D$29</f>
        <v>0</v>
      </c>
      <c r="J589" s="45">
        <f>VIMP!$E$31/VIMP!$E$29</f>
        <v>0.25805111569323597</v>
      </c>
      <c r="K589" s="45">
        <f>VIMP!$F$31/VIMP!$F$29</f>
        <v>0.60424539568405533</v>
      </c>
      <c r="L589" s="45">
        <f>VIMP!$G$31/VIMP!$G$29</f>
        <v>0.45636570111871111</v>
      </c>
      <c r="M589" s="45">
        <f t="shared" si="150"/>
        <v>0.45636570111871111</v>
      </c>
      <c r="N589" s="56"/>
      <c r="O589" s="45">
        <f>VIMP!$D$31/VIMP!$D$30</f>
        <v>0</v>
      </c>
      <c r="P589" s="45">
        <f>VIMP!$E$31/VIMP!$E$30</f>
        <v>0.33732546007546776</v>
      </c>
      <c r="Q589" s="45">
        <f>VIMP!$F$31/VIMP!$F$30</f>
        <v>0.56240299585621212</v>
      </c>
      <c r="R589" s="45">
        <f>VIMP!$G$31/VIMP!$G$30</f>
        <v>0.42155559677011095</v>
      </c>
      <c r="S589" s="45">
        <f t="shared" si="151"/>
        <v>0.42155559677011095</v>
      </c>
      <c r="T589" s="46"/>
      <c r="U589" s="48" t="str">
        <f t="shared" si="149"/>
        <v>USD 27.2</v>
      </c>
      <c r="V589" s="44" t="str">
        <f t="shared" si="149"/>
        <v>Vimpel Com</v>
      </c>
      <c r="Z589" s="49"/>
    </row>
    <row r="590" spans="1:29">
      <c r="C590" s="48" t="str">
        <f t="shared" si="146"/>
        <v>Vodacom</v>
      </c>
      <c r="D590" s="44" t="str">
        <f t="shared" si="146"/>
        <v>ZAR 111.1</v>
      </c>
      <c r="E590" s="44" t="str">
        <f t="shared" si="146"/>
        <v>ZAR 150.0</v>
      </c>
      <c r="F590" s="45">
        <f t="shared" si="146"/>
        <v>0.34989200863930892</v>
      </c>
      <c r="G590" s="44" t="str">
        <f t="shared" si="146"/>
        <v>Buy</v>
      </c>
      <c r="H590" s="46"/>
      <c r="I590" s="45">
        <f>VODA!$D$31/VODA!$D$29</f>
        <v>1.0021468078149267</v>
      </c>
      <c r="J590" s="45">
        <f>VODA!$E$31/VODA!$E$29</f>
        <v>0.97391865549522616</v>
      </c>
      <c r="K590" s="45">
        <f>VODA!$F$31/VODA!$F$29</f>
        <v>1.0704890150806194</v>
      </c>
      <c r="L590" s="45">
        <f>VODA!$G$31/VODA!$G$29</f>
        <v>1.1091305126295077</v>
      </c>
      <c r="M590" s="45">
        <f t="shared" si="150"/>
        <v>0.10698370481458097</v>
      </c>
      <c r="N590" s="56"/>
      <c r="O590" s="45">
        <f>VODA!$D$31/VODA!$D$30</f>
        <v>0.74321078508638982</v>
      </c>
      <c r="P590" s="45">
        <f>VODA!$E$31/VODA!$E$30</f>
        <v>0.7387413780868749</v>
      </c>
      <c r="Q590" s="45">
        <f>VODA!$F$31/VODA!$F$30</f>
        <v>0.7577534045917278</v>
      </c>
      <c r="R590" s="45">
        <f>VODA!$G$31/VODA!$G$30</f>
        <v>0.76798657331388798</v>
      </c>
      <c r="S590" s="45">
        <f t="shared" si="151"/>
        <v>2.4775788227498152E-2</v>
      </c>
      <c r="T590" s="46"/>
      <c r="U590" s="48" t="str">
        <f t="shared" si="149"/>
        <v>ZAR 111.1</v>
      </c>
      <c r="V590" s="44" t="str">
        <f t="shared" si="149"/>
        <v>Vodacom</v>
      </c>
      <c r="Z590" s="49"/>
    </row>
    <row r="591" spans="1:29">
      <c r="C591" s="51" t="str">
        <f>C529</f>
        <v>Agg. EMEA Cellular</v>
      </c>
      <c r="D591" s="52"/>
      <c r="E591" s="52"/>
      <c r="F591" s="53"/>
      <c r="G591" s="52"/>
      <c r="H591" s="46"/>
      <c r="I591" s="55">
        <f>'EMEA CELLULAR'!$D$31/'EMEA CELLULAR'!$D$29</f>
        <v>0.86093645070473657</v>
      </c>
      <c r="J591" s="55">
        <f>'EMEA CELLULAR'!$E$31/'EMEA CELLULAR'!$E$29</f>
        <v>0.6892786925982729</v>
      </c>
      <c r="K591" s="55">
        <f>'EMEA CELLULAR'!$F$31/'EMEA CELLULAR'!$F$29</f>
        <v>0.72154157991457057</v>
      </c>
      <c r="L591" s="55">
        <f>'EMEA CELLULAR'!$G$31/'EMEA CELLULAR'!$G$29</f>
        <v>0.65380157418816365</v>
      </c>
      <c r="M591" s="55">
        <f t="shared" si="150"/>
        <v>-0.20713487651657292</v>
      </c>
      <c r="N591" s="56"/>
      <c r="O591" s="55">
        <f>'EMEA CELLULAR'!$D$31/'EMEA CELLULAR'!$D$30</f>
        <v>0.53710319464832623</v>
      </c>
      <c r="P591" s="55">
        <f>'EMEA CELLULAR'!$E$31/'EMEA CELLULAR'!$E$30</f>
        <v>0.58895368520573199</v>
      </c>
      <c r="Q591" s="55">
        <f>'EMEA CELLULAR'!$F$31/'EMEA CELLULAR'!$F$30</f>
        <v>0.5313883287029213</v>
      </c>
      <c r="R591" s="55">
        <f>'EMEA CELLULAR'!$G$31/'EMEA CELLULAR'!$G$30</f>
        <v>0.47466686551425319</v>
      </c>
      <c r="S591" s="55">
        <f t="shared" si="151"/>
        <v>-6.2436329134073043E-2</v>
      </c>
      <c r="T591" s="46"/>
      <c r="U591" s="57"/>
      <c r="V591" s="58" t="str">
        <f>V529</f>
        <v>Agg. EMEA Cellular</v>
      </c>
      <c r="Z591" s="49"/>
    </row>
    <row r="592" spans="1:29">
      <c r="A592" s="5"/>
      <c r="C592" s="43"/>
      <c r="D592" s="44"/>
      <c r="E592" s="44"/>
      <c r="F592" s="45"/>
      <c r="G592" s="44"/>
      <c r="H592" s="46"/>
      <c r="I592" s="45"/>
      <c r="J592" s="45"/>
      <c r="K592" s="45"/>
      <c r="L592" s="45"/>
      <c r="M592" s="45"/>
      <c r="N592" s="56"/>
      <c r="O592" s="45"/>
      <c r="P592" s="45"/>
      <c r="Q592" s="45"/>
      <c r="R592" s="45"/>
      <c r="S592" s="45"/>
      <c r="T592" s="46"/>
      <c r="U592" s="48"/>
      <c r="V592" s="50"/>
      <c r="Z592" s="49"/>
    </row>
    <row r="593" spans="1:26">
      <c r="A593" s="5"/>
      <c r="C593" s="48" t="str">
        <f t="shared" ref="C593:G595" si="152">C531</f>
        <v>Entel</v>
      </c>
      <c r="D593" s="44" t="str">
        <f t="shared" si="152"/>
        <v>CLP 2,900</v>
      </c>
      <c r="E593" s="44" t="str">
        <f t="shared" si="152"/>
        <v>CLP 3,150</v>
      </c>
      <c r="F593" s="45">
        <f t="shared" si="152"/>
        <v>8.6206896551724199E-2</v>
      </c>
      <c r="G593" s="44" t="str">
        <f t="shared" si="152"/>
        <v>Neutral</v>
      </c>
      <c r="H593" s="46"/>
      <c r="I593" s="45">
        <f>ENTEL!$D$31/ENTEL!$D$29</f>
        <v>0.22058081733723028</v>
      </c>
      <c r="J593" s="45">
        <f>ENTEL!$E$31/ENTEL!$E$29</f>
        <v>0.18058211086869144</v>
      </c>
      <c r="K593" s="45">
        <f>ENTEL!$F$31/ENTEL!$F$29</f>
        <v>0.15209447634099585</v>
      </c>
      <c r="L593" s="45">
        <f>ENTEL!$G$31/ENTEL!$G$29</f>
        <v>0.14227746838000557</v>
      </c>
      <c r="M593" s="45">
        <f>L593-I593</f>
        <v>-7.8303348957224711E-2</v>
      </c>
      <c r="N593" s="56"/>
      <c r="O593" s="169">
        <f>ENTEL!$D$31/ENTEL!$D$30</f>
        <v>0.1566505638495283</v>
      </c>
      <c r="P593" s="169">
        <f>ENTEL!$E$31/ENTEL!$E$30</f>
        <v>0.14573439124846355</v>
      </c>
      <c r="Q593" s="169">
        <f>ENTEL!$F$31/ENTEL!$F$30</f>
        <v>0.1372988943236895</v>
      </c>
      <c r="R593" s="169">
        <f>ENTEL!$G$31/ENTEL!$G$30</f>
        <v>0.13332904150416061</v>
      </c>
      <c r="S593" s="169">
        <f>R593-O593</f>
        <v>-2.332152234536769E-2</v>
      </c>
      <c r="T593" s="46"/>
      <c r="U593" s="48" t="str">
        <f t="shared" ref="U593:V595" si="153">U531</f>
        <v>CLP 2,900</v>
      </c>
      <c r="V593" s="44" t="str">
        <f t="shared" si="153"/>
        <v>Entel</v>
      </c>
      <c r="Z593" s="49"/>
    </row>
    <row r="594" spans="1:26">
      <c r="A594" s="5"/>
      <c r="C594" s="48" t="str">
        <f t="shared" si="152"/>
        <v>Millicom</v>
      </c>
      <c r="D594" s="44" t="str">
        <f t="shared" si="152"/>
        <v>USD  26.6</v>
      </c>
      <c r="E594" s="44" t="str">
        <f t="shared" si="152"/>
        <v>USD 18.0</v>
      </c>
      <c r="F594" s="45">
        <f t="shared" si="152"/>
        <v>-0.32407059707097252</v>
      </c>
      <c r="G594" s="44" t="str">
        <f t="shared" si="152"/>
        <v>Neutral</v>
      </c>
      <c r="H594" s="46"/>
      <c r="I594" s="45">
        <f>MILLI!$D$31/MILLI!$D$29</f>
        <v>0</v>
      </c>
      <c r="J594" s="45">
        <f>MILLI!$E$31/MILLI!$E$29</f>
        <v>0</v>
      </c>
      <c r="K594" s="45">
        <f>MILLI!$F$31/MILLI!$F$29</f>
        <v>0</v>
      </c>
      <c r="L594" s="45">
        <f>MILLI!$G$31/MILLI!$G$29</f>
        <v>0</v>
      </c>
      <c r="M594" s="45">
        <f>L594-I594</f>
        <v>0</v>
      </c>
      <c r="N594" s="56"/>
      <c r="O594" s="169">
        <f>MILLI!$D$31/MILLI!$D$30</f>
        <v>0</v>
      </c>
      <c r="P594" s="169">
        <f>MILLI!$E$31/MILLI!$E$30</f>
        <v>0</v>
      </c>
      <c r="Q594" s="169">
        <f>MILLI!$F$31/MILLI!$F$30</f>
        <v>0</v>
      </c>
      <c r="R594" s="169">
        <f>MILLI!$G$31/MILLI!$G$30</f>
        <v>0</v>
      </c>
      <c r="S594" s="169">
        <f>R594-O594</f>
        <v>0</v>
      </c>
      <c r="T594" s="46"/>
      <c r="U594" s="48" t="str">
        <f t="shared" si="153"/>
        <v>USD  26.6</v>
      </c>
      <c r="V594" s="44" t="str">
        <f t="shared" si="153"/>
        <v>Millicom</v>
      </c>
      <c r="Z594" s="49"/>
    </row>
    <row r="595" spans="1:26">
      <c r="A595" s="5"/>
      <c r="C595" s="48" t="str">
        <f t="shared" si="152"/>
        <v>TIM Participacoes</v>
      </c>
      <c r="D595" s="44" t="str">
        <f t="shared" si="152"/>
        <v>BRL 18.63</v>
      </c>
      <c r="E595" s="44" t="str">
        <f t="shared" si="152"/>
        <v>BRL 23.00</v>
      </c>
      <c r="F595" s="45">
        <f t="shared" si="152"/>
        <v>0.23456790123456805</v>
      </c>
      <c r="G595" s="44" t="str">
        <f t="shared" si="152"/>
        <v>Buy</v>
      </c>
      <c r="H595" s="46"/>
      <c r="I595" s="45">
        <f>TIMP!$D$31/TIMP!$D$29</f>
        <v>0.56614684447095953</v>
      </c>
      <c r="J595" s="45">
        <f>TIMP!$E$31/TIMP!$E$29</f>
        <v>0.60719791399986289</v>
      </c>
      <c r="K595" s="45">
        <f>TIMP!$F$31/TIMP!$F$29</f>
        <v>0.57370694509493292</v>
      </c>
      <c r="L595" s="45">
        <f>TIMP!$G$31/TIMP!$G$29</f>
        <v>0.56023490696130662</v>
      </c>
      <c r="M595" s="45">
        <f>L595-I595</f>
        <v>-5.9119375096529092E-3</v>
      </c>
      <c r="N595" s="56"/>
      <c r="O595" s="45">
        <f>TIMP!$D$31/TIMP!$D$30</f>
        <v>0.79200981603984411</v>
      </c>
      <c r="P595" s="45">
        <f>TIMP!$E$31/TIMP!$E$30</f>
        <v>0.7652637691944193</v>
      </c>
      <c r="Q595" s="45">
        <f>TIMP!$F$31/TIMP!$F$30</f>
        <v>0.65432533796367509</v>
      </c>
      <c r="R595" s="45">
        <f>TIMP!$G$31/TIMP!$G$30</f>
        <v>0.5765218369047922</v>
      </c>
      <c r="S595" s="45">
        <f>R595-O595</f>
        <v>-0.21548797913505191</v>
      </c>
      <c r="T595" s="46"/>
      <c r="U595" s="48" t="str">
        <f t="shared" si="153"/>
        <v>BRL 18.63</v>
      </c>
      <c r="V595" s="44" t="str">
        <f t="shared" si="153"/>
        <v>TIM Participacoes</v>
      </c>
      <c r="Z595" s="49"/>
    </row>
    <row r="596" spans="1:26">
      <c r="A596" s="5"/>
      <c r="C596" s="51" t="str">
        <f>C534</f>
        <v>Agg. LatAm Cellular</v>
      </c>
      <c r="D596" s="52"/>
      <c r="E596" s="52"/>
      <c r="F596" s="53"/>
      <c r="G596" s="52"/>
      <c r="H596" s="46"/>
      <c r="I596" s="55">
        <f>'LATAM CELLULAR'!$D$31/'LATAM CELLULAR'!$D$29</f>
        <v>0.3418050824667247</v>
      </c>
      <c r="J596" s="55">
        <f>'LATAM CELLULAR'!$E$31/'LATAM CELLULAR'!$E$29</f>
        <v>0.37101764015947974</v>
      </c>
      <c r="K596" s="55">
        <f>'LATAM CELLULAR'!$F$31/'LATAM CELLULAR'!$F$29</f>
        <v>0.35093660459743997</v>
      </c>
      <c r="L596" s="55">
        <f>'LATAM CELLULAR'!$G$31/'LATAM CELLULAR'!$G$29</f>
        <v>0.3377307085109536</v>
      </c>
      <c r="M596" s="55">
        <f>L596-I596</f>
        <v>-4.0743739557710934E-3</v>
      </c>
      <c r="N596" s="56"/>
      <c r="O596" s="55">
        <f>'LATAM CELLULAR'!$D$31/'LATAM CELLULAR'!$D$30</f>
        <v>0.41286709576686365</v>
      </c>
      <c r="P596" s="55">
        <f>'LATAM CELLULAR'!$E$31/'LATAM CELLULAR'!$E$30</f>
        <v>0.44654808991481254</v>
      </c>
      <c r="Q596" s="55">
        <f>'LATAM CELLULAR'!$F$31/'LATAM CELLULAR'!$F$30</f>
        <v>0.39172709171928571</v>
      </c>
      <c r="R596" s="55">
        <f>'LATAM CELLULAR'!$G$31/'LATAM CELLULAR'!$G$30</f>
        <v>0.35663550115693354</v>
      </c>
      <c r="S596" s="55">
        <f>R596-O596</f>
        <v>-5.6231594609930102E-2</v>
      </c>
      <c r="T596" s="46"/>
      <c r="U596" s="57"/>
      <c r="V596" s="58" t="str">
        <f>V534</f>
        <v>Agg. LatAm Cellular</v>
      </c>
      <c r="Z596" s="49"/>
    </row>
    <row r="597" spans="1:26">
      <c r="C597" s="43"/>
      <c r="D597" s="44"/>
      <c r="E597" s="44"/>
      <c r="F597" s="45"/>
      <c r="G597" s="44"/>
      <c r="H597" s="46"/>
      <c r="I597" s="45"/>
      <c r="J597" s="45"/>
      <c r="K597" s="45"/>
      <c r="L597" s="45"/>
      <c r="M597" s="45"/>
      <c r="N597" s="46"/>
      <c r="O597" s="45"/>
      <c r="P597" s="45"/>
      <c r="Q597" s="45"/>
      <c r="R597" s="45"/>
      <c r="S597" s="45"/>
      <c r="T597" s="46"/>
      <c r="U597" s="48"/>
      <c r="V597" s="50"/>
      <c r="Z597" s="49"/>
    </row>
    <row r="598" spans="1:26">
      <c r="A598" s="5"/>
      <c r="C598" s="48" t="str">
        <f t="shared" ref="C598:G611" si="154">C536</f>
        <v>AIS</v>
      </c>
      <c r="D598" s="44" t="str">
        <f t="shared" si="154"/>
        <v>THB 269.0</v>
      </c>
      <c r="E598" s="44" t="str">
        <f t="shared" si="154"/>
        <v>THB 300.0</v>
      </c>
      <c r="F598" s="45">
        <f t="shared" si="154"/>
        <v>0.11524163568773238</v>
      </c>
      <c r="G598" s="44" t="str">
        <f t="shared" si="154"/>
        <v>Buy</v>
      </c>
      <c r="H598" s="46"/>
      <c r="I598" s="45">
        <f>ADVANCED!$D$31/ADVANCED!$D$29</f>
        <v>0.59233708852853406</v>
      </c>
      <c r="J598" s="45">
        <f>ADVANCED!$E$31/ADVANCED!$E$29</f>
        <v>0.449429910552617</v>
      </c>
      <c r="K598" s="45">
        <f>ADVANCED!$F$31/ADVANCED!$F$29</f>
        <v>0.57405988886021908</v>
      </c>
      <c r="L598" s="45">
        <f>ADVANCED!$G$31/ADVANCED!$G$29</f>
        <v>0.68674916309676992</v>
      </c>
      <c r="M598" s="45">
        <f t="shared" ref="M598:M612" si="155">L598-I598</f>
        <v>9.441207456823586E-2</v>
      </c>
      <c r="N598" s="46"/>
      <c r="O598" s="45">
        <f>ADVANCED!$D$31/ADVANCED!$D$30</f>
        <v>0.88560149741438698</v>
      </c>
      <c r="P598" s="45">
        <f>ADVANCED!$E$31/ADVANCED!$E$30</f>
        <v>0.92168141218483557</v>
      </c>
      <c r="Q598" s="45">
        <f>ADVANCED!$F$31/ADVANCED!$F$30</f>
        <v>0.91017453858230513</v>
      </c>
      <c r="R598" s="45">
        <f>ADVANCED!$G$31/ADVANCED!$G$30</f>
        <v>0.90559602573257902</v>
      </c>
      <c r="S598" s="45">
        <f t="shared" ref="S598:S612" si="156">R598-O598</f>
        <v>1.999452831819204E-2</v>
      </c>
      <c r="T598" s="46"/>
      <c r="U598" s="48" t="str">
        <f t="shared" ref="U598:V611" si="157">U536</f>
        <v>THB 269.0</v>
      </c>
      <c r="V598" s="44" t="str">
        <f t="shared" si="157"/>
        <v>AIS</v>
      </c>
      <c r="Z598" s="49"/>
    </row>
    <row r="599" spans="1:26">
      <c r="C599" s="48" t="str">
        <f t="shared" si="154"/>
        <v>Axiata</v>
      </c>
      <c r="D599" s="44" t="str">
        <f t="shared" si="154"/>
        <v>MYR 2.44</v>
      </c>
      <c r="E599" s="44" t="str">
        <f t="shared" si="154"/>
        <v>MYR 4.50</v>
      </c>
      <c r="F599" s="45">
        <f t="shared" si="154"/>
        <v>0.84426229508196715</v>
      </c>
      <c r="G599" s="44" t="str">
        <f t="shared" si="154"/>
        <v>Buy</v>
      </c>
      <c r="H599" s="46"/>
      <c r="I599" s="45">
        <f>AXI!$D$31/AXI!$D$29</f>
        <v>0.24372591998673007</v>
      </c>
      <c r="J599" s="45">
        <f>AXI!$E$31/AXI!$E$29</f>
        <v>0.22496023013640637</v>
      </c>
      <c r="K599" s="45">
        <f>AXI!$F$31/AXI!$F$29</f>
        <v>0.23051260030965898</v>
      </c>
      <c r="L599" s="45">
        <f>AXI!$G$31/AXI!$G$29</f>
        <v>0.22499228733974169</v>
      </c>
      <c r="M599" s="45">
        <f t="shared" si="155"/>
        <v>-1.873363264698838E-2</v>
      </c>
      <c r="N599" s="46"/>
      <c r="O599" s="45">
        <f>AXI!$D$31/AXI!$D$30</f>
        <v>0.44769155280845302</v>
      </c>
      <c r="P599" s="45">
        <f>AXI!$E$31/AXI!$E$30</f>
        <v>0.29057967829749715</v>
      </c>
      <c r="Q599" s="45">
        <f>AXI!$F$31/AXI!$F$30</f>
        <v>0.27607292700867697</v>
      </c>
      <c r="R599" s="45">
        <f>AXI!$G$31/AXI!$G$30</f>
        <v>0.2702344275584701</v>
      </c>
      <c r="S599" s="45">
        <f t="shared" si="156"/>
        <v>-0.17745712524998292</v>
      </c>
      <c r="T599" s="46"/>
      <c r="U599" s="48" t="str">
        <f t="shared" si="157"/>
        <v>MYR 2.44</v>
      </c>
      <c r="V599" s="44" t="str">
        <f t="shared" si="157"/>
        <v>Axiata</v>
      </c>
      <c r="Z599" s="49"/>
    </row>
    <row r="600" spans="1:26">
      <c r="C600" s="48" t="str">
        <f t="shared" si="154"/>
        <v>Bharti Airtel</v>
      </c>
      <c r="D600" s="44" t="str">
        <f t="shared" si="154"/>
        <v>INR 1539</v>
      </c>
      <c r="E600" s="44" t="str">
        <f t="shared" si="154"/>
        <v>INR 1500</v>
      </c>
      <c r="F600" s="45">
        <f t="shared" si="154"/>
        <v>-2.5404457150282611E-2</v>
      </c>
      <c r="G600" s="44" t="str">
        <f t="shared" si="154"/>
        <v>Neutral</v>
      </c>
      <c r="H600" s="46"/>
      <c r="I600" s="45">
        <f>BHART!$D$31/BHART!$D$29</f>
        <v>0.32048160789465363</v>
      </c>
      <c r="J600" s="45">
        <f>BHART!$E$31/BHART!$E$29</f>
        <v>0.48328815277900877</v>
      </c>
      <c r="K600" s="45">
        <f>BHART!$F$31/BHART!$F$29</f>
        <v>0.49251917721159383</v>
      </c>
      <c r="L600" s="45">
        <f>BHART!$G$31/BHART!$G$29</f>
        <v>0.51361362384112297</v>
      </c>
      <c r="M600" s="45">
        <f t="shared" si="155"/>
        <v>0.19313201594646934</v>
      </c>
      <c r="N600" s="46"/>
      <c r="O600" s="45">
        <f>BHART!$D$31/BHART!$D$30</f>
        <v>0.32166390722972477</v>
      </c>
      <c r="P600" s="45">
        <f>BHART!$E$31/BHART!$E$30</f>
        <v>0.60575741688030116</v>
      </c>
      <c r="Q600" s="45">
        <f>BHART!$F$31/BHART!$F$30</f>
        <v>0.59793633837642968</v>
      </c>
      <c r="R600" s="45">
        <f>BHART!$G$31/BHART!$G$30</f>
        <v>0.62793633837642981</v>
      </c>
      <c r="S600" s="45">
        <f t="shared" si="156"/>
        <v>0.30627243114670505</v>
      </c>
      <c r="T600" s="46"/>
      <c r="U600" s="48" t="str">
        <f t="shared" si="157"/>
        <v>INR 1539</v>
      </c>
      <c r="V600" s="44" t="str">
        <f t="shared" si="157"/>
        <v>Bharti Airtel</v>
      </c>
      <c r="Z600" s="49"/>
    </row>
    <row r="601" spans="1:26">
      <c r="A601" s="5"/>
      <c r="C601" s="48" t="str">
        <f t="shared" si="154"/>
        <v>China Mobile</v>
      </c>
      <c r="D601" s="44" t="str">
        <f t="shared" si="154"/>
        <v>HKD 72.0</v>
      </c>
      <c r="E601" s="44" t="str">
        <f t="shared" si="154"/>
        <v>HKD 115.0</v>
      </c>
      <c r="F601" s="45">
        <f t="shared" si="154"/>
        <v>0.59722222222222232</v>
      </c>
      <c r="G601" s="44" t="str">
        <f t="shared" si="154"/>
        <v>Buy</v>
      </c>
      <c r="H601" s="46"/>
      <c r="I601" s="45">
        <f>_CM!$D$31/_CM!$D$29</f>
        <v>1.221201059918511</v>
      </c>
      <c r="J601" s="45">
        <f>_CM!$E$31/_CM!$E$29</f>
        <v>1.224700542343518</v>
      </c>
      <c r="K601" s="45">
        <f>_CM!$F$31/_CM!$F$29</f>
        <v>1.1011121446576833</v>
      </c>
      <c r="L601" s="45">
        <f>_CM!$G$31/_CM!$G$29</f>
        <v>1.1085221255853082</v>
      </c>
      <c r="M601" s="45">
        <f t="shared" si="155"/>
        <v>-0.11267893433320286</v>
      </c>
      <c r="N601" s="46"/>
      <c r="O601" s="45">
        <f>_CM!$D$31/_CM!$D$30</f>
        <v>0.71210263670856089</v>
      </c>
      <c r="P601" s="45">
        <f>_CM!$E$31/_CM!$E$30</f>
        <v>0.725565985643291</v>
      </c>
      <c r="Q601" s="45">
        <f>_CM!$F$31/_CM!$F$30</f>
        <v>0.725565985643291</v>
      </c>
      <c r="R601" s="45">
        <f>_CM!$G$31/_CM!$G$30</f>
        <v>0.74544450579790178</v>
      </c>
      <c r="S601" s="45">
        <f t="shared" si="156"/>
        <v>3.3341869089340892E-2</v>
      </c>
      <c r="T601" s="46"/>
      <c r="U601" s="48" t="str">
        <f t="shared" si="157"/>
        <v>HKD 72.0</v>
      </c>
      <c r="V601" s="44" t="str">
        <f t="shared" si="157"/>
        <v>China Mobile</v>
      </c>
      <c r="Z601" s="49"/>
    </row>
    <row r="602" spans="1:26">
      <c r="A602" s="5"/>
      <c r="C602" s="48" t="str">
        <f t="shared" si="154"/>
        <v>CelcomDigi</v>
      </c>
      <c r="D602" s="44" t="str">
        <f t="shared" si="154"/>
        <v>MYR 3.7</v>
      </c>
      <c r="E602" s="44" t="str">
        <f t="shared" si="154"/>
        <v>MYR 6.0</v>
      </c>
      <c r="F602" s="45">
        <f t="shared" si="154"/>
        <v>0.63934426229508201</v>
      </c>
      <c r="G602" s="44" t="str">
        <f t="shared" si="154"/>
        <v>Buy</v>
      </c>
      <c r="H602" s="46"/>
      <c r="I602" s="45">
        <f>DIGI!$D$31/DIGI!$D$29</f>
        <v>0.54719799809759373</v>
      </c>
      <c r="J602" s="45">
        <f>DIGI!$E$31/DIGI!$E$29</f>
        <v>0.84728005408788321</v>
      </c>
      <c r="K602" s="45">
        <f>DIGI!$F$31/DIGI!$F$29</f>
        <v>0.87896744493640566</v>
      </c>
      <c r="L602" s="45">
        <f>DIGI!$G$31/DIGI!$G$29</f>
        <v>0.89755798025785116</v>
      </c>
      <c r="M602" s="45">
        <f t="shared" si="155"/>
        <v>0.35035998216025743</v>
      </c>
      <c r="N602" s="46"/>
      <c r="O602" s="45">
        <f>DIGI!$D$31/DIGI!$D$30</f>
        <v>0.72029072298418606</v>
      </c>
      <c r="P602" s="45">
        <f>DIGI!$E$31/DIGI!$E$30</f>
        <v>0.98813012072793849</v>
      </c>
      <c r="Q602" s="45">
        <f>DIGI!$F$31/DIGI!$F$30</f>
        <v>0.98813012072793849</v>
      </c>
      <c r="R602" s="45">
        <f>DIGI!$G$31/DIGI!$G$30</f>
        <v>0.98813012072793849</v>
      </c>
      <c r="S602" s="45">
        <f t="shared" si="156"/>
        <v>0.26783939774375243</v>
      </c>
      <c r="T602" s="46"/>
      <c r="U602" s="48" t="str">
        <f t="shared" si="157"/>
        <v>MYR 3.7</v>
      </c>
      <c r="V602" s="44" t="str">
        <f t="shared" si="157"/>
        <v>CelcomDigi</v>
      </c>
      <c r="Z602" s="49"/>
    </row>
    <row r="603" spans="1:26">
      <c r="A603" s="5"/>
      <c r="C603" s="48" t="str">
        <f t="shared" si="154"/>
        <v>Far EasTone</v>
      </c>
      <c r="D603" s="44" t="str">
        <f t="shared" si="154"/>
        <v>TWD 91.9</v>
      </c>
      <c r="E603" s="44" t="str">
        <f t="shared" si="154"/>
        <v>TWD n/r</v>
      </c>
      <c r="F603" s="45" t="str">
        <f t="shared" si="154"/>
        <v>-</v>
      </c>
      <c r="G603" s="44" t="str">
        <f t="shared" si="154"/>
        <v>n/r</v>
      </c>
      <c r="H603" s="46"/>
      <c r="I603" s="45">
        <f>FAR!$D$31/FAR!$D$29</f>
        <v>0.67859642028828659</v>
      </c>
      <c r="J603" s="45">
        <f>FAR!$E$31/FAR!$E$29</f>
        <v>0.66835739563559959</v>
      </c>
      <c r="K603" s="45">
        <f>FAR!$F$31/FAR!$F$29</f>
        <v>0.67608480915630909</v>
      </c>
      <c r="L603" s="45">
        <f>FAR!$G$31/FAR!$G$29</f>
        <v>0.68318929848414467</v>
      </c>
      <c r="M603" s="45">
        <f t="shared" si="155"/>
        <v>4.5928781958580744E-3</v>
      </c>
      <c r="N603" s="46"/>
      <c r="O603" s="45">
        <f>FAR!$D$31/FAR!$D$30</f>
        <v>0.85048078563585794</v>
      </c>
      <c r="P603" s="45">
        <f>FAR!$E$31/FAR!$E$30</f>
        <v>0.8314633002080678</v>
      </c>
      <c r="Q603" s="45">
        <f>FAR!$F$31/FAR!$F$30</f>
        <v>0.81272075281697986</v>
      </c>
      <c r="R603" s="45">
        <f>FAR!$G$31/FAR!$G$30</f>
        <v>0.79987738938380548</v>
      </c>
      <c r="S603" s="45">
        <f t="shared" si="156"/>
        <v>-5.0603396252052457E-2</v>
      </c>
      <c r="T603" s="46"/>
      <c r="U603" s="48" t="str">
        <f t="shared" si="157"/>
        <v>TWD 91.9</v>
      </c>
      <c r="V603" s="44" t="str">
        <f t="shared" si="157"/>
        <v>Far EasTone</v>
      </c>
      <c r="Z603" s="49"/>
    </row>
    <row r="604" spans="1:26">
      <c r="A604" s="5"/>
      <c r="C604" s="48" t="str">
        <f t="shared" si="154"/>
        <v>Vodafone IDEA</v>
      </c>
      <c r="D604" s="44" t="str">
        <f t="shared" si="154"/>
        <v>INR 13.4</v>
      </c>
      <c r="E604" s="44" t="str">
        <f t="shared" si="154"/>
        <v>INR 5.0</v>
      </c>
      <c r="F604" s="45">
        <f t="shared" si="154"/>
        <v>-0.62574850299401197</v>
      </c>
      <c r="G604" s="44" t="str">
        <f t="shared" si="154"/>
        <v>Reduce</v>
      </c>
      <c r="H604" s="46"/>
      <c r="I604" s="45">
        <f>IDEA!$D$31/IDEA!$D$29</f>
        <v>0</v>
      </c>
      <c r="J604" s="45">
        <f>IDEA!$E$31/IDEA!$E$29</f>
        <v>0</v>
      </c>
      <c r="K604" s="45">
        <f>IDEA!$F$31/IDEA!$F$29</f>
        <v>0</v>
      </c>
      <c r="L604" s="45">
        <f>IDEA!$G$31/IDEA!$G$29</f>
        <v>0</v>
      </c>
      <c r="M604" s="45">
        <f t="shared" si="155"/>
        <v>0</v>
      </c>
      <c r="N604" s="46"/>
      <c r="O604" s="45">
        <f>IDEA!$D$31/IDEA!$D$30</f>
        <v>0</v>
      </c>
      <c r="P604" s="45">
        <f>IDEA!$E$31/IDEA!$E$30</f>
        <v>0</v>
      </c>
      <c r="Q604" s="45">
        <f>IDEA!$F$31/IDEA!$F$30</f>
        <v>0</v>
      </c>
      <c r="R604" s="45">
        <f>IDEA!$G$31/IDEA!$G$30</f>
        <v>0</v>
      </c>
      <c r="S604" s="45">
        <f t="shared" si="156"/>
        <v>0</v>
      </c>
      <c r="T604" s="46"/>
      <c r="U604" s="48" t="str">
        <f t="shared" si="157"/>
        <v>INR 13.4</v>
      </c>
      <c r="V604" s="44" t="str">
        <f t="shared" si="157"/>
        <v>Vodafone IDEA</v>
      </c>
      <c r="Z604" s="49"/>
    </row>
    <row r="605" spans="1:26">
      <c r="A605" s="5"/>
      <c r="C605" s="48" t="str">
        <f t="shared" si="154"/>
        <v>Indosat</v>
      </c>
      <c r="D605" s="44" t="str">
        <f t="shared" si="154"/>
        <v>IDR 10,900</v>
      </c>
      <c r="E605" s="44" t="str">
        <f t="shared" si="154"/>
        <v>IDR 12,500</v>
      </c>
      <c r="F605" s="45">
        <f t="shared" si="154"/>
        <v>0.14678899082568808</v>
      </c>
      <c r="G605" s="44" t="str">
        <f t="shared" si="154"/>
        <v>Buy</v>
      </c>
      <c r="H605" s="46"/>
      <c r="I605" s="45">
        <f>INDO!$D$31/INDO!$D$29</f>
        <v>0.3411036767003216</v>
      </c>
      <c r="J605" s="45">
        <f>INDO!$E$31/INDO!$E$29</f>
        <v>0.24258598788993169</v>
      </c>
      <c r="K605" s="45">
        <f>INDO!$F$31/INDO!$F$29</f>
        <v>0.2622645401245316</v>
      </c>
      <c r="L605" s="45">
        <f>INDO!$G$31/INDO!$G$29</f>
        <v>0.30359202596947088</v>
      </c>
      <c r="M605" s="45">
        <f t="shared" si="155"/>
        <v>-3.7511650730850721E-2</v>
      </c>
      <c r="N605" s="46"/>
      <c r="O605" s="45">
        <f>INDO!$D$31/INDO!$D$30</f>
        <v>0.48021313014653449</v>
      </c>
      <c r="P605" s="45">
        <f>INDO!$E$31/INDO!$E$30</f>
        <v>0.39999999999999991</v>
      </c>
      <c r="Q605" s="45">
        <f>INDO!$F$31/INDO!$F$30</f>
        <v>0.45</v>
      </c>
      <c r="R605" s="45">
        <f>INDO!$G$31/INDO!$G$30</f>
        <v>0.5</v>
      </c>
      <c r="S605" s="45">
        <f t="shared" si="156"/>
        <v>1.9786869853465505E-2</v>
      </c>
      <c r="T605" s="46"/>
      <c r="U605" s="48" t="str">
        <f t="shared" si="157"/>
        <v>IDR 10,900</v>
      </c>
      <c r="V605" s="44" t="str">
        <f t="shared" si="157"/>
        <v>Indosat</v>
      </c>
      <c r="Z605" s="49"/>
    </row>
    <row r="606" spans="1:26">
      <c r="A606" s="5"/>
      <c r="C606" s="48" t="str">
        <f t="shared" si="154"/>
        <v>LG Uplus</v>
      </c>
      <c r="D606" s="44" t="str">
        <f t="shared" si="154"/>
        <v>KRW 9,890</v>
      </c>
      <c r="E606" s="44" t="str">
        <f t="shared" si="154"/>
        <v>KRW 21,000</v>
      </c>
      <c r="F606" s="45">
        <f t="shared" si="154"/>
        <v>1.1233569261880687</v>
      </c>
      <c r="G606" s="44" t="str">
        <f t="shared" si="154"/>
        <v>Buy</v>
      </c>
      <c r="H606" s="46"/>
      <c r="I606" s="45">
        <f>_LG!$D$31/_LG!$D$29</f>
        <v>2.9943010639761813</v>
      </c>
      <c r="J606" s="45">
        <f>_LG!$E$31/_LG!$E$29</f>
        <v>0.86451995335144238</v>
      </c>
      <c r="K606" s="45">
        <f>_LG!$F$31/_LG!$F$29</f>
        <v>0.87319266008135743</v>
      </c>
      <c r="L606" s="45">
        <f>_LG!$G$31/_LG!$G$29</f>
        <v>0.86335692564784006</v>
      </c>
      <c r="M606" s="45">
        <f t="shared" si="155"/>
        <v>-2.1309441383283412</v>
      </c>
      <c r="N606" s="46"/>
      <c r="O606" s="45">
        <f>_LG!$D$31/_LG!$D$30</f>
        <v>0.38576081873503115</v>
      </c>
      <c r="P606" s="45">
        <f>_LG!$E$31/_LG!$E$30</f>
        <v>0.34556322672836404</v>
      </c>
      <c r="Q606" s="45">
        <f>_LG!$F$31/_LG!$F$30</f>
        <v>0.35376037931420728</v>
      </c>
      <c r="R606" s="45">
        <f>_LG!$G$31/_LG!$G$30</f>
        <v>0.36021966326280941</v>
      </c>
      <c r="S606" s="45">
        <f t="shared" si="156"/>
        <v>-2.5541155472221744E-2</v>
      </c>
      <c r="T606" s="46"/>
      <c r="U606" s="48" t="str">
        <f t="shared" si="157"/>
        <v>KRW 9,890</v>
      </c>
      <c r="V606" s="44" t="str">
        <f t="shared" si="157"/>
        <v>LG Uplus</v>
      </c>
      <c r="Z606" s="49"/>
    </row>
    <row r="607" spans="1:26">
      <c r="C607" s="48" t="str">
        <f t="shared" si="154"/>
        <v>Maxis</v>
      </c>
      <c r="D607" s="44" t="str">
        <f t="shared" si="154"/>
        <v>MYR 3.82</v>
      </c>
      <c r="E607" s="44" t="str">
        <f t="shared" si="154"/>
        <v>MYR 5.60</v>
      </c>
      <c r="F607" s="45">
        <f t="shared" si="154"/>
        <v>0.46596858638743455</v>
      </c>
      <c r="G607" s="44" t="str">
        <f t="shared" si="154"/>
        <v>Buy</v>
      </c>
      <c r="H607" s="46"/>
      <c r="I607" s="45">
        <f>MAXI!$D$31/MAXI!$D$29</f>
        <v>0.73458598435666245</v>
      </c>
      <c r="J607" s="45">
        <f>MAXI!$E$31/MAXI!$E$29</f>
        <v>0.81418483492194804</v>
      </c>
      <c r="K607" s="45">
        <f>MAXI!$F$31/MAXI!$F$29</f>
        <v>0.88204740154026384</v>
      </c>
      <c r="L607" s="45">
        <f>MAXI!$G$31/MAXI!$G$29</f>
        <v>0.92934209341480378</v>
      </c>
      <c r="M607" s="45">
        <f t="shared" si="155"/>
        <v>0.19475610905814134</v>
      </c>
      <c r="N607" s="46"/>
      <c r="O607" s="45">
        <f>MAXI!$D$31/MAXI!$D$30</f>
        <v>1.2612903225806453</v>
      </c>
      <c r="P607" s="45">
        <f>MAXI!$E$31/MAXI!$E$30</f>
        <v>0.98000000000000009</v>
      </c>
      <c r="Q607" s="45">
        <f>MAXI!$F$31/MAXI!$F$30</f>
        <v>0.98</v>
      </c>
      <c r="R607" s="45">
        <f>MAXI!$G$31/MAXI!$G$30</f>
        <v>0.98</v>
      </c>
      <c r="S607" s="45">
        <f t="shared" si="156"/>
        <v>-0.28129032258064535</v>
      </c>
      <c r="T607" s="46"/>
      <c r="U607" s="48" t="str">
        <f t="shared" si="157"/>
        <v>MYR 3.82</v>
      </c>
      <c r="V607" s="44" t="str">
        <f t="shared" si="157"/>
        <v>Maxis</v>
      </c>
      <c r="Z607" s="49"/>
    </row>
    <row r="608" spans="1:26">
      <c r="A608" s="5"/>
      <c r="C608" s="48" t="str">
        <f t="shared" si="154"/>
        <v>SK Telecom</v>
      </c>
      <c r="D608" s="44" t="str">
        <f t="shared" si="154"/>
        <v>KRW 57,800</v>
      </c>
      <c r="E608" s="44" t="str">
        <f t="shared" si="154"/>
        <v>KRW 116,000</v>
      </c>
      <c r="F608" s="45">
        <f t="shared" si="154"/>
        <v>1.0069204152249136</v>
      </c>
      <c r="G608" s="44" t="str">
        <f t="shared" si="154"/>
        <v>Buy</v>
      </c>
      <c r="H608" s="46"/>
      <c r="I608" s="45">
        <f>SKT!$D$31/SKT!$D$29</f>
        <v>0.72525406948107951</v>
      </c>
      <c r="J608" s="45">
        <f>SKT!$E$31/SKT!$E$29</f>
        <v>0.61208221287599118</v>
      </c>
      <c r="K608" s="45">
        <f>SKT!$F$31/SKT!$F$29</f>
        <v>0.69863516138215076</v>
      </c>
      <c r="L608" s="45">
        <f>SKT!$G$31/SKT!$G$29</f>
        <v>0.6088137114661879</v>
      </c>
      <c r="M608" s="45">
        <f t="shared" si="155"/>
        <v>-0.11644035801489161</v>
      </c>
      <c r="N608" s="46"/>
      <c r="O608" s="45">
        <f>SKT!$D$31/SKT!$D$30</f>
        <v>0.81449766518200373</v>
      </c>
      <c r="P608" s="45">
        <f>SKT!$E$31/SKT!$E$30</f>
        <v>0.74943079988460126</v>
      </c>
      <c r="Q608" s="45">
        <f>SKT!$F$31/SKT!$F$30</f>
        <v>0.76037091034671966</v>
      </c>
      <c r="R608" s="45">
        <f>SKT!$G$31/SKT!$G$30</f>
        <v>0.7660318328914808</v>
      </c>
      <c r="S608" s="45">
        <f t="shared" si="156"/>
        <v>-4.8465832290522926E-2</v>
      </c>
      <c r="T608" s="46"/>
      <c r="U608" s="48" t="str">
        <f t="shared" si="157"/>
        <v>KRW 57,800</v>
      </c>
      <c r="V608" s="44" t="str">
        <f t="shared" si="157"/>
        <v>SK Telecom</v>
      </c>
      <c r="Z608" s="49"/>
    </row>
    <row r="609" spans="1:31">
      <c r="A609" s="5"/>
      <c r="C609" s="48" t="str">
        <f t="shared" si="154"/>
        <v>Taiwan Mobile</v>
      </c>
      <c r="D609" s="44" t="str">
        <f t="shared" si="154"/>
        <v>TWD 115.0</v>
      </c>
      <c r="E609" s="44" t="str">
        <f t="shared" si="154"/>
        <v>TWD n/r</v>
      </c>
      <c r="F609" s="45" t="str">
        <f t="shared" si="154"/>
        <v>-</v>
      </c>
      <c r="G609" s="44" t="str">
        <f t="shared" si="154"/>
        <v>n/r</v>
      </c>
      <c r="H609" s="46"/>
      <c r="I609" s="45">
        <f>TAIWAN!$D$31/TAIWAN!$D$29</f>
        <v>0.73145767140418971</v>
      </c>
      <c r="J609" s="45">
        <f>TAIWAN!$E$31/TAIWAN!$E$29</f>
        <v>0.652375382084324</v>
      </c>
      <c r="K609" s="45">
        <f>TAIWAN!$F$31/TAIWAN!$F$29</f>
        <v>0.64187544486587955</v>
      </c>
      <c r="L609" s="45">
        <f>TAIWAN!$G$31/TAIWAN!$G$29</f>
        <v>0.58568463751154931</v>
      </c>
      <c r="M609" s="45">
        <f t="shared" si="155"/>
        <v>-0.1457730338926404</v>
      </c>
      <c r="N609" s="46"/>
      <c r="O609" s="45">
        <f>TAIWAN!$D$31/TAIWAN!$D$30</f>
        <v>1.1920242965645695</v>
      </c>
      <c r="P609" s="45">
        <f>TAIWAN!$E$31/TAIWAN!$E$30</f>
        <v>1.0137120944700098</v>
      </c>
      <c r="Q609" s="45">
        <f>TAIWAN!$F$31/TAIWAN!$F$30</f>
        <v>0.895372114070348</v>
      </c>
      <c r="R609" s="45">
        <f>TAIWAN!$G$31/TAIWAN!$G$30</f>
        <v>0.79049244091423654</v>
      </c>
      <c r="S609" s="45">
        <f t="shared" si="156"/>
        <v>-0.401531855650333</v>
      </c>
      <c r="T609" s="46"/>
      <c r="U609" s="48" t="str">
        <f t="shared" si="157"/>
        <v>TWD 115.0</v>
      </c>
      <c r="V609" s="44" t="str">
        <f t="shared" si="157"/>
        <v>Taiwan Mobile</v>
      </c>
      <c r="Z609" s="49"/>
    </row>
    <row r="610" spans="1:31">
      <c r="A610" s="5"/>
      <c r="C610" s="48" t="str">
        <f t="shared" si="154"/>
        <v>True Corp</v>
      </c>
      <c r="D610" s="44" t="str">
        <f t="shared" si="154"/>
        <v>THB 10.7</v>
      </c>
      <c r="E610" s="44" t="str">
        <f t="shared" si="154"/>
        <v>THB 15.0</v>
      </c>
      <c r="F610" s="45">
        <f t="shared" si="154"/>
        <v>0.40186915887850483</v>
      </c>
      <c r="G610" s="44" t="str">
        <f t="shared" si="154"/>
        <v>Buy</v>
      </c>
      <c r="H610" s="46"/>
      <c r="I610" s="45">
        <f>TRUECORP!$D$31/TRUECORP!$D$29</f>
        <v>0</v>
      </c>
      <c r="J610" s="45">
        <f>TRUECORP!$E$31/TRUECORP!$E$29</f>
        <v>1.709732105414128E-2</v>
      </c>
      <c r="K610" s="45">
        <f>TRUECORP!$F$31/TRUECORP!$F$29</f>
        <v>8.4762903547079202E-2</v>
      </c>
      <c r="L610" s="45">
        <f>TRUECORP!$G$31/TRUECORP!$G$29</f>
        <v>0.25424989152129523</v>
      </c>
      <c r="M610" s="45">
        <f t="shared" si="155"/>
        <v>0.25424989152129523</v>
      </c>
      <c r="N610" s="46"/>
      <c r="O610" s="45">
        <f>TRUECORP!$D$31/TRUECORP!$D$30</f>
        <v>0</v>
      </c>
      <c r="P610" s="45">
        <f>TRUECORP!$E$31/TRUECORP!$E$30</f>
        <v>0.25</v>
      </c>
      <c r="Q610" s="45">
        <f>TRUECORP!$F$31/TRUECORP!$F$30</f>
        <v>0.25</v>
      </c>
      <c r="R610" s="45">
        <f>TRUECORP!$G$31/TRUECORP!$G$30</f>
        <v>0.5</v>
      </c>
      <c r="S610" s="45">
        <f t="shared" si="156"/>
        <v>0.5</v>
      </c>
      <c r="T610" s="46"/>
      <c r="U610" s="48" t="str">
        <f t="shared" si="157"/>
        <v>THB 10.7</v>
      </c>
      <c r="V610" s="44" t="str">
        <f t="shared" si="157"/>
        <v>True Corp</v>
      </c>
      <c r="Z610" s="49"/>
    </row>
    <row r="611" spans="1:31">
      <c r="A611" s="5"/>
      <c r="C611" s="48" t="str">
        <f t="shared" si="154"/>
        <v>XL Axiata</v>
      </c>
      <c r="D611" s="44" t="str">
        <f t="shared" si="154"/>
        <v>IDR 2,330</v>
      </c>
      <c r="E611" s="44" t="str">
        <f t="shared" si="154"/>
        <v>IDR 5,000</v>
      </c>
      <c r="F611" s="45">
        <f t="shared" si="154"/>
        <v>1.1459227467811157</v>
      </c>
      <c r="G611" s="44" t="str">
        <f t="shared" si="154"/>
        <v>Buy</v>
      </c>
      <c r="H611" s="46"/>
      <c r="I611" s="45">
        <f>XLAX!$D$31/XLAX!$D$29</f>
        <v>0.11655420536220229</v>
      </c>
      <c r="J611" s="45">
        <f>XLAX!$E$31/XLAX!$E$29</f>
        <v>0.13784021868126595</v>
      </c>
      <c r="K611" s="45">
        <f>XLAX!$F$31/XLAX!$F$29</f>
        <v>0.1520943847827271</v>
      </c>
      <c r="L611" s="45">
        <f>XLAX!$G$31/XLAX!$G$29</f>
        <v>0.17228325636391073</v>
      </c>
      <c r="M611" s="45">
        <f t="shared" si="155"/>
        <v>5.5729051001708441E-2</v>
      </c>
      <c r="N611" s="56"/>
      <c r="O611" s="45">
        <f>XLAX!$D$31/XLAX!$D$30</f>
        <v>0.49674391670118206</v>
      </c>
      <c r="P611" s="45">
        <f>XLAX!$E$31/XLAX!$E$30</f>
        <v>0.5</v>
      </c>
      <c r="Q611" s="45">
        <f>XLAX!$F$31/XLAX!$F$30</f>
        <v>0.49999999999999989</v>
      </c>
      <c r="R611" s="45">
        <f>XLAX!$G$31/XLAX!$G$30</f>
        <v>0.5</v>
      </c>
      <c r="S611" s="45">
        <f t="shared" si="156"/>
        <v>3.2560832988179356E-3</v>
      </c>
      <c r="T611" s="46"/>
      <c r="U611" s="48" t="str">
        <f t="shared" si="157"/>
        <v>IDR 2,330</v>
      </c>
      <c r="V611" s="44" t="str">
        <f t="shared" si="157"/>
        <v>XL Axiata</v>
      </c>
      <c r="Z611" s="49"/>
    </row>
    <row r="612" spans="1:31">
      <c r="A612" s="5"/>
      <c r="C612" s="51" t="str">
        <f>C550</f>
        <v>Agg. Emerging Asia Cellular</v>
      </c>
      <c r="D612" s="52"/>
      <c r="E612" s="52"/>
      <c r="F612" s="53"/>
      <c r="G612" s="52"/>
      <c r="H612" s="46"/>
      <c r="I612" s="55">
        <f>'EM ASIA CELLULAR'!$D$31/'EM ASIA CELLULAR'!$D$29</f>
        <v>0.93756163422902616</v>
      </c>
      <c r="J612" s="55">
        <f>'EM ASIA CELLULAR'!$E$31/'EM ASIA CELLULAR'!$E$29</f>
        <v>0.94204918764881274</v>
      </c>
      <c r="K612" s="55">
        <f>'EM ASIA CELLULAR'!$F$31/'EM ASIA CELLULAR'!$F$29</f>
        <v>0.87626164494965275</v>
      </c>
      <c r="L612" s="55">
        <f>'EM ASIA CELLULAR'!$G$31/'EM ASIA CELLULAR'!$G$29</f>
        <v>0.84386833189732791</v>
      </c>
      <c r="M612" s="55">
        <f t="shared" si="155"/>
        <v>-9.3693302331698258E-2</v>
      </c>
      <c r="N612" s="56"/>
      <c r="O612" s="55">
        <f>'EM ASIA CELLULAR'!$D$31/'EM ASIA CELLULAR'!$D$30</f>
        <v>0.83216643375769717</v>
      </c>
      <c r="P612" s="55">
        <f>'EM ASIA CELLULAR'!$E$31/'EM ASIA CELLULAR'!$E$30</f>
        <v>0.79912791685055129</v>
      </c>
      <c r="Q612" s="55">
        <f>'EM ASIA CELLULAR'!$F$31/'EM ASIA CELLULAR'!$F$30</f>
        <v>0.76851217262924387</v>
      </c>
      <c r="R612" s="55">
        <f>'EM ASIA CELLULAR'!$G$31/'EM ASIA CELLULAR'!$G$30</f>
        <v>0.77978671531246091</v>
      </c>
      <c r="S612" s="55">
        <f t="shared" si="156"/>
        <v>-5.2379718445236256E-2</v>
      </c>
      <c r="T612" s="46"/>
      <c r="U612" s="57"/>
      <c r="V612" s="58" t="str">
        <f>V550</f>
        <v>Agg. Emerging Asia Cellular</v>
      </c>
      <c r="Z612" s="49"/>
    </row>
    <row r="613" spans="1:31">
      <c r="A613" s="5"/>
      <c r="C613" s="43"/>
      <c r="D613" s="44"/>
      <c r="E613" s="44"/>
      <c r="F613" s="68"/>
      <c r="G613" s="44"/>
      <c r="H613" s="46"/>
      <c r="I613" s="61"/>
      <c r="J613" s="61"/>
      <c r="K613" s="61"/>
      <c r="L613" s="61"/>
      <c r="M613" s="61"/>
      <c r="N613" s="46"/>
      <c r="O613" s="61"/>
      <c r="P613" s="61"/>
      <c r="Q613" s="61"/>
      <c r="R613" s="61"/>
      <c r="S613" s="61"/>
      <c r="T613" s="46"/>
      <c r="U613" s="48"/>
      <c r="V613" s="50"/>
      <c r="Z613" s="49"/>
    </row>
    <row r="614" spans="1:31">
      <c r="A614" s="5"/>
      <c r="C614" s="51" t="str">
        <f>C552</f>
        <v>Agg. Emerging  Cellular</v>
      </c>
      <c r="D614" s="52"/>
      <c r="E614" s="52"/>
      <c r="F614" s="53"/>
      <c r="G614" s="52"/>
      <c r="H614" s="46"/>
      <c r="I614" s="55">
        <f>'EM CELLULAR'!$D$31/'EM CELLULAR'!$D$29</f>
        <v>0.89903425552652083</v>
      </c>
      <c r="J614" s="55">
        <f>'EM CELLULAR'!$E$31/'EM CELLULAR'!$E$29</f>
        <v>0.87797834322746737</v>
      </c>
      <c r="K614" s="55">
        <f>'EM CELLULAR'!$F$31/'EM CELLULAR'!$F$29</f>
        <v>0.8264400051459927</v>
      </c>
      <c r="L614" s="55">
        <f>'EM CELLULAR'!$G$31/'EM CELLULAR'!$G$29</f>
        <v>0.79370085194664652</v>
      </c>
      <c r="M614" s="55">
        <f t="shared" ref="M614" si="158">L614-I614</f>
        <v>-0.10533340357987431</v>
      </c>
      <c r="N614" s="46"/>
      <c r="O614" s="55">
        <f>'EM CELLULAR'!$D$31/'EM CELLULAR'!$D$30</f>
        <v>0.77774693190280886</v>
      </c>
      <c r="P614" s="55">
        <f>'EM CELLULAR'!$E$31/'EM CELLULAR'!$E$30</f>
        <v>0.75860695156920477</v>
      </c>
      <c r="Q614" s="55">
        <f>'EM CELLULAR'!$F$31/'EM CELLULAR'!$F$30</f>
        <v>0.71748468947929789</v>
      </c>
      <c r="R614" s="55">
        <f>'EM CELLULAR'!$G$31/'EM CELLULAR'!$G$30</f>
        <v>0.71508337105481301</v>
      </c>
      <c r="S614" s="55">
        <f t="shared" ref="S614" si="159">R614-O614</f>
        <v>-6.2663560847995847E-2</v>
      </c>
      <c r="T614" s="46"/>
      <c r="U614" s="57"/>
      <c r="V614" s="58" t="str">
        <f>V552</f>
        <v>Agg. Emerging  Cellular</v>
      </c>
      <c r="Z614" s="49"/>
    </row>
    <row r="615" spans="1:31">
      <c r="C615" s="43"/>
      <c r="D615" s="44"/>
      <c r="E615" s="44"/>
      <c r="F615" s="45"/>
      <c r="G615" s="44"/>
      <c r="H615" s="46"/>
      <c r="I615" s="45"/>
      <c r="J615" s="45"/>
      <c r="K615" s="45"/>
      <c r="L615" s="45"/>
      <c r="M615" s="45"/>
      <c r="N615" s="46"/>
      <c r="O615" s="45"/>
      <c r="P615" s="45"/>
      <c r="Q615" s="45"/>
      <c r="R615" s="45"/>
      <c r="S615" s="45"/>
      <c r="T615" s="46"/>
      <c r="U615" s="48"/>
      <c r="V615" s="50"/>
      <c r="Z615" s="49"/>
    </row>
    <row r="616" spans="1:31">
      <c r="A616" s="41" t="s">
        <v>503</v>
      </c>
      <c r="B616" s="42" t="s">
        <v>577</v>
      </c>
      <c r="C616" s="48" t="s">
        <v>811</v>
      </c>
      <c r="D616" s="44" t="str">
        <f>'EM Multiples'!B616&amp;TEXT(Prices!C$135,"0.00")</f>
        <v>MXN42.67</v>
      </c>
      <c r="E616" s="44" t="str">
        <f>'EM Multiples'!B616&amp;TEXT(Prices!E$135,"0.00")</f>
        <v>MXN55.00</v>
      </c>
      <c r="F616" s="45">
        <f>Prices!F$135</f>
        <v>0.28896179985938586</v>
      </c>
      <c r="G616" s="44" t="str">
        <f>Prices!D$48</f>
        <v>Buy</v>
      </c>
      <c r="H616" s="46"/>
      <c r="I616" s="45">
        <f>MEGA!$D$31/MEGA!$D$29</f>
        <v>1.7861512972537561</v>
      </c>
      <c r="J616" s="45">
        <f>MEGA!$E$31/MEGA!$E$29</f>
        <v>1.3845692119517286</v>
      </c>
      <c r="K616" s="45">
        <f>MEGA!$F$31/MEGA!$F$29</f>
        <v>0.61959563048356947</v>
      </c>
      <c r="L616" s="45">
        <f>MEGA!$G$31/MEGA!$G$29</f>
        <v>0.47860872013955469</v>
      </c>
      <c r="M616" s="45">
        <f>L616-I616</f>
        <v>-1.3075425771142015</v>
      </c>
      <c r="N616" s="46"/>
      <c r="O616" s="45">
        <f>MEGA!$D$31/MEGA!$D$30</f>
        <v>0.40262739355823024</v>
      </c>
      <c r="P616" s="45">
        <f>MEGA!$E$31/MEGA!$E$30</f>
        <v>0.39230950108628937</v>
      </c>
      <c r="Q616" s="45">
        <f>MEGA!$F$31/MEGA!$F$30</f>
        <v>0.4091581348953271</v>
      </c>
      <c r="R616" s="45">
        <f>MEGA!$G$31/MEGA!$G$30</f>
        <v>0.43507678526590865</v>
      </c>
      <c r="S616" s="45">
        <f>R616-O616</f>
        <v>3.244939170767841E-2</v>
      </c>
      <c r="T616" s="46"/>
      <c r="U616" s="48" t="str">
        <f>D616</f>
        <v>MXN42.67</v>
      </c>
      <c r="V616" s="44" t="str">
        <f>C616</f>
        <v>Megacable</v>
      </c>
      <c r="Z616" s="46"/>
      <c r="AE616" s="41"/>
    </row>
    <row r="617" spans="1:31">
      <c r="A617" s="5"/>
      <c r="B617" s="42" t="s">
        <v>406</v>
      </c>
      <c r="C617" s="48" t="s">
        <v>797</v>
      </c>
      <c r="D617" s="44" t="str">
        <f>'EM Multiples'!B617&amp;TEXT(Prices!C$138,"0.00")</f>
        <v>USD9.48</v>
      </c>
      <c r="E617" s="44" t="str">
        <f>'EM Multiples'!B617&amp;TEXT(Prices!E$138,"0.00")</f>
        <v>USD14.00</v>
      </c>
      <c r="F617" s="45">
        <f>Prices!F$138</f>
        <v>0.47679324894514763</v>
      </c>
      <c r="G617" s="44" t="str">
        <f>Prices!D$138</f>
        <v>Buy</v>
      </c>
      <c r="H617" s="46"/>
      <c r="I617" s="45">
        <f>LiLAC!$D$31/LiLAC!$D$28</f>
        <v>0</v>
      </c>
      <c r="J617" s="45">
        <f>LiLAC!$E$31/LiLAC!$E$29</f>
        <v>0</v>
      </c>
      <c r="K617" s="45">
        <f>LiLAC!$F$31/LiLAC!$F$29</f>
        <v>0</v>
      </c>
      <c r="L617" s="45">
        <f>LiLAC!$G$31/LiLAC!$G$29</f>
        <v>0</v>
      </c>
      <c r="M617" s="45">
        <f>L617-I617</f>
        <v>0</v>
      </c>
      <c r="N617" s="46"/>
      <c r="O617" s="45">
        <f>LiLAC!$D$31/LiLAC!$D$30</f>
        <v>0</v>
      </c>
      <c r="P617" s="45">
        <f>LiLAC!$E$31/LiLAC!$E$30</f>
        <v>0</v>
      </c>
      <c r="Q617" s="45">
        <f>LiLAC!$F$31/LiLAC!$F$30</f>
        <v>0</v>
      </c>
      <c r="R617" s="45">
        <f>LiLAC!$G$31/LiLAC!$G$30</f>
        <v>0</v>
      </c>
      <c r="S617" s="45">
        <f>R617-O617</f>
        <v>0</v>
      </c>
      <c r="T617" s="46"/>
      <c r="U617" s="48" t="str">
        <f>D617</f>
        <v>USD9.48</v>
      </c>
      <c r="V617" s="44" t="str">
        <f>C617</f>
        <v>LiLAC</v>
      </c>
      <c r="Z617" s="46"/>
      <c r="AE617" s="41"/>
    </row>
    <row r="618" spans="1:31">
      <c r="A618" s="5"/>
      <c r="C618" s="67" t="s">
        <v>814</v>
      </c>
      <c r="D618" s="52"/>
      <c r="E618" s="52"/>
      <c r="F618" s="53"/>
      <c r="G618" s="52"/>
      <c r="H618" s="46"/>
      <c r="I618" s="55">
        <f>'LATAM ALTNET &amp; CABLE'!$D$31/'LATAM ALTNET &amp; CABLE'!$D$29</f>
        <v>0.40140789609822214</v>
      </c>
      <c r="J618" s="55">
        <f>'LATAM ALTNET &amp; CABLE'!$E$31/'LATAM ALTNET &amp; CABLE'!$E$29</f>
        <v>0.27836440332773654</v>
      </c>
      <c r="K618" s="55">
        <f>'LATAM ALTNET &amp; CABLE'!$F$31/'LATAM ALTNET &amp; CABLE'!$F$29</f>
        <v>0.21733351592609534</v>
      </c>
      <c r="L618" s="55">
        <f>'LATAM ALTNET &amp; CABLE'!$G$31/'LATAM ALTNET &amp; CABLE'!$G$29</f>
        <v>0.21632229582594412</v>
      </c>
      <c r="M618" s="55">
        <f>L618-I618</f>
        <v>-0.18508560027227802</v>
      </c>
      <c r="N618" s="46"/>
      <c r="O618" s="55">
        <f>'LATAM ALTNET &amp; CABLE'!$D$31/'LATAM ALTNET &amp; CABLE'!$D$30</f>
        <v>0.28653393136827743</v>
      </c>
      <c r="P618" s="55">
        <f>'LATAM ALTNET &amp; CABLE'!$E$31/'LATAM ALTNET &amp; CABLE'!$E$30</f>
        <v>0.17067537334715704</v>
      </c>
      <c r="Q618" s="55">
        <f>'LATAM ALTNET &amp; CABLE'!$F$31/'LATAM ALTNET &amp; CABLE'!$F$30</f>
        <v>0.17622548756246456</v>
      </c>
      <c r="R618" s="55">
        <f>'LATAM ALTNET &amp; CABLE'!$G$31/'LATAM ALTNET &amp; CABLE'!$G$30</f>
        <v>0.18837570101292711</v>
      </c>
      <c r="S618" s="55">
        <f>R618-O618</f>
        <v>-9.8158230355350318E-2</v>
      </c>
      <c r="T618" s="46"/>
      <c r="U618" s="57"/>
      <c r="V618" s="58" t="str">
        <f>C618</f>
        <v>Agg. Emerging LatAm Altnets &amp; Cable</v>
      </c>
      <c r="Z618" s="46"/>
      <c r="AE618" s="41"/>
    </row>
    <row r="619" spans="1:31">
      <c r="C619" s="43"/>
      <c r="D619" s="44"/>
      <c r="E619" s="44"/>
      <c r="F619" s="45"/>
      <c r="G619" s="44"/>
      <c r="H619" s="46"/>
      <c r="I619" s="45"/>
      <c r="J619" s="45"/>
      <c r="K619" s="45"/>
      <c r="L619" s="45"/>
      <c r="M619" s="45"/>
      <c r="N619" s="46"/>
      <c r="O619" s="45"/>
      <c r="P619" s="45"/>
      <c r="Q619" s="45"/>
      <c r="R619" s="45"/>
      <c r="S619" s="45"/>
      <c r="T619" s="46"/>
      <c r="U619" s="48"/>
      <c r="V619" s="50"/>
      <c r="Z619" s="49"/>
    </row>
    <row r="620" spans="1:31">
      <c r="C620" s="67" t="str">
        <f>C558</f>
        <v>Agg. EMEA sector</v>
      </c>
      <c r="D620" s="52"/>
      <c r="E620" s="52"/>
      <c r="F620" s="53"/>
      <c r="G620" s="52"/>
      <c r="H620" s="46"/>
      <c r="I620" s="55">
        <f>'EMEA AGG'!$D$31/'EMEA AGG'!$D$29</f>
        <v>0.85106927249856379</v>
      </c>
      <c r="J620" s="55">
        <f>'EMEA AGG'!$E$31/'EMEA AGG'!$E$29</f>
        <v>0.6914444078537012</v>
      </c>
      <c r="K620" s="55">
        <f>'EMEA AGG'!$F$31/'EMEA AGG'!$F$29</f>
        <v>0.72194578890070138</v>
      </c>
      <c r="L620" s="55">
        <f>'EMEA AGG'!$G$31/'EMEA AGG'!$G$29</f>
        <v>0.65635032755914813</v>
      </c>
      <c r="M620" s="55">
        <f>L620-I620</f>
        <v>-0.19471894493941566</v>
      </c>
      <c r="N620" s="56"/>
      <c r="O620" s="55">
        <f>'EMEA AGG'!$D$31/'EMEA AGG'!$D$30</f>
        <v>0.53954108778753229</v>
      </c>
      <c r="P620" s="55">
        <f>'EMEA AGG'!$E$31/'EMEA AGG'!$E$30</f>
        <v>0.58967765611039935</v>
      </c>
      <c r="Q620" s="55">
        <f>'EMEA AGG'!$F$31/'EMEA AGG'!$F$30</f>
        <v>0.5338395803836874</v>
      </c>
      <c r="R620" s="55">
        <f>'EMEA AGG'!$G$31/'EMEA AGG'!$G$30</f>
        <v>0.47842933983278768</v>
      </c>
      <c r="S620" s="55">
        <f>R620-O620</f>
        <v>-6.1111747954744611E-2</v>
      </c>
      <c r="T620" s="46"/>
      <c r="U620" s="57"/>
      <c r="V620" s="58" t="str">
        <f>V558</f>
        <v>Agg. EMEA sector</v>
      </c>
      <c r="Z620" s="49"/>
    </row>
    <row r="621" spans="1:31">
      <c r="C621" s="41" t="str">
        <f>C559</f>
        <v>Agg. LatAm sector</v>
      </c>
      <c r="D621" s="44"/>
      <c r="E621" s="44"/>
      <c r="F621" s="45"/>
      <c r="G621" s="44"/>
      <c r="H621" s="46"/>
      <c r="I621" s="59">
        <f>'LATAM AGG'!$D$31/'LATAM AGG'!$D$29</f>
        <v>0.68595401449877713</v>
      </c>
      <c r="J621" s="59">
        <f>'LATAM AGG'!$E$31/'LATAM AGG'!$E$29</f>
        <v>0.4509401038395347</v>
      </c>
      <c r="K621" s="59">
        <f>'LATAM AGG'!$F$31/'LATAM AGG'!$F$29</f>
        <v>0.39398129091330053</v>
      </c>
      <c r="L621" s="59">
        <f>'LATAM AGG'!$G$31/'LATAM AGG'!$G$29</f>
        <v>0.35580448575953144</v>
      </c>
      <c r="M621" s="59">
        <f>L621-I621</f>
        <v>-0.33014952873924569</v>
      </c>
      <c r="N621" s="56"/>
      <c r="O621" s="59">
        <f>'LATAM AGG'!$D$31/'LATAM AGG'!$D$30</f>
        <v>0.49415998167733921</v>
      </c>
      <c r="P621" s="59">
        <f>'LATAM AGG'!$E$31/'LATAM AGG'!$E$30</f>
        <v>0.40689002162868054</v>
      </c>
      <c r="Q621" s="59">
        <f>'LATAM AGG'!$F$31/'LATAM AGG'!$F$30</f>
        <v>0.3601817674278438</v>
      </c>
      <c r="R621" s="59">
        <f>'LATAM AGG'!$G$31/'LATAM AGG'!$G$30</f>
        <v>0.32672700580091413</v>
      </c>
      <c r="S621" s="59">
        <f>R621-O621</f>
        <v>-0.16743297587642508</v>
      </c>
      <c r="T621" s="46"/>
      <c r="U621" s="48"/>
      <c r="V621" s="50" t="str">
        <f>V559</f>
        <v>Agg. LatAm sector</v>
      </c>
      <c r="Z621" s="49"/>
    </row>
    <row r="622" spans="1:31">
      <c r="C622" s="67" t="str">
        <f>C560</f>
        <v>Agg. Emerging Asia sector</v>
      </c>
      <c r="D622" s="52"/>
      <c r="E622" s="52"/>
      <c r="F622" s="53"/>
      <c r="G622" s="52"/>
      <c r="H622" s="46"/>
      <c r="I622" s="55">
        <f>'AGG EM ASIA'!$D$31/'AGG EM ASIA'!$D$29</f>
        <v>0.78909459566403128</v>
      </c>
      <c r="J622" s="55">
        <f>'AGG EM ASIA'!$E$31/'AGG EM ASIA'!$E$29</f>
        <v>0.7663559007459162</v>
      </c>
      <c r="K622" s="55">
        <f>'AGG EM ASIA'!$F$31/'AGG EM ASIA'!$F$29</f>
        <v>0.73992822464503871</v>
      </c>
      <c r="L622" s="55">
        <f>'AGG EM ASIA'!$G$31/'AGG EM ASIA'!$G$29</f>
        <v>0.73843995912553373</v>
      </c>
      <c r="M622" s="55">
        <f>L622-I622</f>
        <v>-5.0654636538497555E-2</v>
      </c>
      <c r="N622" s="56"/>
      <c r="O622" s="55">
        <f>'AGG EM ASIA'!$D$31/'AGG EM ASIA'!$D$30</f>
        <v>0.78683856076270486</v>
      </c>
      <c r="P622" s="55">
        <f>'AGG EM ASIA'!$E$31/'AGG EM ASIA'!$E$30</f>
        <v>0.7699952203948901</v>
      </c>
      <c r="Q622" s="55">
        <f>'AGG EM ASIA'!$F$31/'AGG EM ASIA'!$F$30</f>
        <v>0.76253875165674923</v>
      </c>
      <c r="R622" s="55">
        <f>'AGG EM ASIA'!$G$31/'AGG EM ASIA'!$G$30</f>
        <v>0.77721299276073674</v>
      </c>
      <c r="S622" s="55">
        <f>R622-O622</f>
        <v>-9.6255680019681211E-3</v>
      </c>
      <c r="T622" s="46"/>
      <c r="U622" s="57"/>
      <c r="V622" s="58" t="str">
        <f>V560</f>
        <v>Agg. Emerging Asia sector</v>
      </c>
      <c r="Z622" s="49"/>
    </row>
    <row r="623" spans="1:31">
      <c r="C623" s="41"/>
      <c r="D623" s="44"/>
      <c r="E623" s="44"/>
      <c r="F623" s="45"/>
      <c r="G623" s="44"/>
      <c r="H623" s="46"/>
      <c r="I623" s="59"/>
      <c r="J623" s="59"/>
      <c r="K623" s="59"/>
      <c r="L623" s="59"/>
      <c r="M623" s="59"/>
      <c r="N623" s="56"/>
      <c r="O623" s="59"/>
      <c r="P623" s="59"/>
      <c r="Q623" s="59"/>
      <c r="R623" s="59"/>
      <c r="S623" s="59"/>
      <c r="T623" s="46"/>
      <c r="U623" s="48"/>
      <c r="V623" s="50"/>
      <c r="Z623" s="49"/>
    </row>
    <row r="624" spans="1:31">
      <c r="C624" s="67" t="str">
        <f>C562</f>
        <v>Agg. Global EM sector (ex-consensus)</v>
      </c>
      <c r="D624" s="52"/>
      <c r="E624" s="52"/>
      <c r="F624" s="53"/>
      <c r="G624" s="52"/>
      <c r="H624" s="46"/>
      <c r="I624" s="55">
        <f>'AGG EM'!$D$31/'AGG EM'!$D$29</f>
        <v>0.7811093796944828</v>
      </c>
      <c r="J624" s="55">
        <f>'AGG EM'!$E$31/'AGG EM'!$E$29</f>
        <v>0.71190259032608272</v>
      </c>
      <c r="K624" s="55">
        <f>'AGG EM'!$F$31/'AGG EM'!$F$29</f>
        <v>0.68014626513904075</v>
      </c>
      <c r="L624" s="55">
        <f>'AGG EM'!$G$31/'AGG EM'!$G$29</f>
        <v>0.66683886253088454</v>
      </c>
      <c r="M624" s="55">
        <f>L624-I624</f>
        <v>-0.11427051716359826</v>
      </c>
      <c r="N624" s="56"/>
      <c r="O624" s="55">
        <f>'AGG EM'!$D$31/'AGG EM'!$D$30</f>
        <v>0.72301263931482518</v>
      </c>
      <c r="P624" s="55">
        <f>'AGG EM'!$E$31/'AGG EM'!$E$30</f>
        <v>0.69435792167061317</v>
      </c>
      <c r="Q624" s="55">
        <f>'AGG EM'!$F$31/'AGG EM'!$F$30</f>
        <v>0.66818997783678191</v>
      </c>
      <c r="R624" s="55">
        <f>'AGG EM'!$G$31/'AGG EM'!$G$30</f>
        <v>0.6644853496863441</v>
      </c>
      <c r="S624" s="55">
        <f>R624-O624</f>
        <v>-5.8527289628481083E-2</v>
      </c>
      <c r="T624" s="46"/>
      <c r="U624" s="57"/>
      <c r="V624" s="58" t="str">
        <f>V562</f>
        <v>Agg. Global EM sector (ex-consensus)</v>
      </c>
    </row>
    <row r="625" spans="1:69">
      <c r="C625" s="43"/>
      <c r="D625" s="44"/>
      <c r="E625" s="44"/>
      <c r="F625" s="45"/>
      <c r="G625" s="44"/>
      <c r="H625" s="134"/>
      <c r="I625" s="59"/>
      <c r="J625" s="59"/>
      <c r="K625" s="59"/>
      <c r="L625" s="59"/>
      <c r="M625" s="59"/>
      <c r="N625" s="56"/>
      <c r="O625" s="59"/>
      <c r="P625" s="59"/>
      <c r="Q625" s="59"/>
      <c r="R625" s="59"/>
      <c r="S625" s="59"/>
      <c r="T625" s="56"/>
      <c r="U625" s="48"/>
      <c r="V625" s="50"/>
    </row>
    <row r="626" spans="1:69">
      <c r="C626" s="43"/>
      <c r="D626" s="44"/>
      <c r="E626" s="44"/>
      <c r="F626" s="45"/>
      <c r="G626" s="44"/>
      <c r="H626" s="134"/>
      <c r="I626" s="59"/>
      <c r="J626" s="59"/>
      <c r="K626" s="59"/>
      <c r="L626" s="59"/>
      <c r="M626" s="59"/>
      <c r="N626" s="56"/>
      <c r="O626" s="59"/>
      <c r="P626" s="59"/>
      <c r="Q626" s="59"/>
      <c r="R626" s="59"/>
      <c r="S626" s="59"/>
      <c r="T626" s="56"/>
      <c r="U626" s="48"/>
      <c r="V626" s="50"/>
      <c r="X626" s="1"/>
    </row>
    <row r="627" spans="1:69" s="41" customFormat="1">
      <c r="B627" s="147"/>
      <c r="C627" s="164"/>
      <c r="D627" s="165" t="s">
        <v>459</v>
      </c>
      <c r="E627" s="165" t="s">
        <v>56</v>
      </c>
      <c r="F627" s="165" t="s">
        <v>58</v>
      </c>
      <c r="G627" s="165" t="s">
        <v>55</v>
      </c>
      <c r="H627" s="134"/>
      <c r="I627" s="166" t="s">
        <v>621</v>
      </c>
      <c r="J627" s="166"/>
      <c r="K627" s="166"/>
      <c r="L627" s="166"/>
      <c r="M627" s="166"/>
      <c r="N627" s="46"/>
      <c r="O627" s="166" t="s">
        <v>623</v>
      </c>
      <c r="P627" s="166"/>
      <c r="Q627" s="166"/>
      <c r="R627" s="166"/>
      <c r="S627" s="166"/>
      <c r="T627" s="46"/>
      <c r="U627" s="167" t="s">
        <v>459</v>
      </c>
      <c r="V627" s="165"/>
      <c r="Z627" s="49"/>
      <c r="AC627" s="135"/>
      <c r="AD627" s="136"/>
      <c r="AE627" s="136"/>
      <c r="AF627" s="136"/>
      <c r="AG627" s="136"/>
      <c r="AH627" s="136"/>
      <c r="AI627" s="136"/>
      <c r="AJ627" s="136"/>
      <c r="AK627" s="136"/>
      <c r="AL627" s="136"/>
      <c r="AM627" s="136"/>
      <c r="AN627" s="136"/>
      <c r="AO627" s="136"/>
      <c r="AP627" s="136"/>
      <c r="AQ627" s="136"/>
      <c r="AR627" s="136"/>
      <c r="AS627" s="136"/>
      <c r="AT627" s="136"/>
      <c r="AU627" s="136"/>
      <c r="AV627" s="136"/>
      <c r="AW627" s="136"/>
      <c r="BC627" s="137"/>
      <c r="BD627" s="137"/>
      <c r="BE627" s="137"/>
      <c r="BG627" s="137"/>
      <c r="BH627" s="137"/>
      <c r="BI627" s="137"/>
      <c r="BK627" s="137"/>
      <c r="BL627" s="137"/>
      <c r="BM627" s="137"/>
      <c r="BO627" s="137"/>
      <c r="BP627" s="137"/>
      <c r="BQ627" s="137"/>
    </row>
    <row r="628" spans="1:69">
      <c r="A628" s="41" t="s">
        <v>501</v>
      </c>
      <c r="C628" s="48" t="str">
        <f>C566</f>
        <v>Telkom SA</v>
      </c>
      <c r="D628" s="44" t="str">
        <f>D566</f>
        <v>ZAR 27.6</v>
      </c>
      <c r="E628" s="44" t="str">
        <f>E566</f>
        <v>ZAR 56.0</v>
      </c>
      <c r="F628" s="45">
        <f>F566</f>
        <v>1.0326678765880217</v>
      </c>
      <c r="G628" s="44" t="str">
        <f>G566</f>
        <v>Neutral</v>
      </c>
      <c r="H628" s="134"/>
      <c r="I628" s="45">
        <f>TKG!$D$32/TKG!$D$11</f>
        <v>0</v>
      </c>
      <c r="J628" s="45">
        <f>TKG!$E$32/TKG!$E$11</f>
        <v>0</v>
      </c>
      <c r="K628" s="45">
        <f>TKG!$F$32/TKG!$F$11</f>
        <v>0</v>
      </c>
      <c r="L628" s="45">
        <f>TKG!$G$32/TKG!$G$11</f>
        <v>0</v>
      </c>
      <c r="M628" s="45" t="str">
        <f>TKG!$H$32</f>
        <v>nm</v>
      </c>
      <c r="N628" s="46"/>
      <c r="O628" s="45">
        <f>(TKG!$D$31+TKG!$D$32)/TKG!$D$11</f>
        <v>0.15839861800205629</v>
      </c>
      <c r="P628" s="45">
        <f>(TKG!$E$31+TKG!$E$32)/TKG!$E$11</f>
        <v>0.15909259176915208</v>
      </c>
      <c r="Q628" s="45">
        <f>(TKG!$F$31+TKG!$F$32)/TKG!$F$11</f>
        <v>0.15796006432902249</v>
      </c>
      <c r="R628" s="45">
        <f>(TKG!$G$31+TKG!$G$32)/TKG!$G$11</f>
        <v>0.15909259176915241</v>
      </c>
      <c r="S628" s="45">
        <f>TKG!$H$46</f>
        <v>1.4582676697889596E-3</v>
      </c>
      <c r="T628" s="46"/>
      <c r="U628" s="48" t="str">
        <f>U566</f>
        <v>ZAR 27.6</v>
      </c>
      <c r="V628" s="44" t="str">
        <f>V566</f>
        <v>Telkom SA</v>
      </c>
    </row>
    <row r="629" spans="1:69">
      <c r="A629" s="5"/>
      <c r="C629" s="51" t="str">
        <f>C567</f>
        <v>Agg. EMEA Incumbent</v>
      </c>
      <c r="D629" s="58"/>
      <c r="E629" s="58"/>
      <c r="F629" s="55"/>
      <c r="G629" s="58"/>
      <c r="H629" s="134"/>
      <c r="I629" s="55"/>
      <c r="J629" s="55"/>
      <c r="K629" s="55"/>
      <c r="L629" s="55"/>
      <c r="M629" s="55"/>
      <c r="N629" s="56"/>
      <c r="O629" s="55"/>
      <c r="P629" s="55"/>
      <c r="Q629" s="55"/>
      <c r="R629" s="55"/>
      <c r="S629" s="55"/>
      <c r="T629" s="56"/>
      <c r="U629" s="51"/>
      <c r="V629" s="58" t="str">
        <f>V567</f>
        <v>Agg. EMEA Incumbent</v>
      </c>
    </row>
    <row r="630" spans="1:69">
      <c r="A630" s="5"/>
      <c r="C630" s="48"/>
      <c r="D630" s="44"/>
      <c r="E630" s="44"/>
      <c r="F630" s="68"/>
      <c r="G630" s="44"/>
      <c r="H630" s="134"/>
      <c r="I630" s="61"/>
      <c r="J630" s="61"/>
      <c r="K630" s="61"/>
      <c r="L630" s="61"/>
      <c r="M630" s="61"/>
      <c r="N630" s="46"/>
      <c r="O630" s="61"/>
      <c r="P630" s="61"/>
      <c r="Q630" s="61"/>
      <c r="R630" s="61"/>
      <c r="S630" s="61"/>
      <c r="T630" s="46"/>
      <c r="U630" s="48"/>
      <c r="V630" s="44"/>
    </row>
    <row r="631" spans="1:69">
      <c r="A631" s="5"/>
      <c r="C631" s="48" t="str">
        <f t="shared" ref="C631:G634" si="160">C569</f>
        <v>America Movil</v>
      </c>
      <c r="D631" s="44" t="str">
        <f t="shared" si="160"/>
        <v>USD 16.3</v>
      </c>
      <c r="E631" s="44" t="str">
        <f t="shared" si="160"/>
        <v>USD 24.0</v>
      </c>
      <c r="F631" s="45">
        <f t="shared" si="160"/>
        <v>0.4714898835070509</v>
      </c>
      <c r="G631" s="44" t="str">
        <f t="shared" si="160"/>
        <v>Buy</v>
      </c>
      <c r="H631" s="46"/>
      <c r="I631" s="45">
        <f>AMX!$D$32/AMX!$D$11</f>
        <v>5.2258067537064648E-4</v>
      </c>
      <c r="J631" s="45">
        <f>AMX!$E$32/AMX!$E$11</f>
        <v>3.9619099644384084E-4</v>
      </c>
      <c r="K631" s="45">
        <f>AMX!$F$32/AMX!$F$11</f>
        <v>-1.1883535182169702E-2</v>
      </c>
      <c r="L631" s="45">
        <f>AMX!$G$32/AMX!$G$11</f>
        <v>4.0118366874451722E-2</v>
      </c>
      <c r="M631" s="45">
        <f>AMX!$H$32</f>
        <v>3.0846814798953694</v>
      </c>
      <c r="N631" s="46"/>
      <c r="O631" s="45">
        <f>(AMX!$D$31+AMX!$D$32)/AMX!$D$11</f>
        <v>3.2158650333869596E-2</v>
      </c>
      <c r="P631" s="45">
        <f>(AMX!$E$31+AMX!$E$32)/AMX!$E$11</f>
        <v>3.4534319325764812E-2</v>
      </c>
      <c r="Q631" s="45">
        <f>(AMX!$F$31+AMX!$F$32)/AMX!$F$11</f>
        <v>2.4262718342993671E-2</v>
      </c>
      <c r="R631" s="45">
        <f>(AMX!$G$31+AMX!$G$32)/AMX!$G$11</f>
        <v>7.8180870586497392E-2</v>
      </c>
      <c r="S631" s="45">
        <f>AMX!$H$46</f>
        <v>0.29229736627918079</v>
      </c>
      <c r="T631" s="46"/>
      <c r="U631" s="48" t="str">
        <f t="shared" ref="U631:V633" si="161">U569</f>
        <v>USD 16.3</v>
      </c>
      <c r="V631" s="44" t="str">
        <f t="shared" si="161"/>
        <v>America Movil</v>
      </c>
    </row>
    <row r="632" spans="1:69">
      <c r="A632" s="5"/>
      <c r="C632" s="48" t="str">
        <f t="shared" si="160"/>
        <v>Oi</v>
      </c>
      <c r="D632" s="44" t="str">
        <f t="shared" si="160"/>
        <v>BRL 12.10</v>
      </c>
      <c r="E632" s="44" t="str">
        <f t="shared" si="160"/>
        <v>BRL 0.90</v>
      </c>
      <c r="F632" s="45">
        <f t="shared" si="160"/>
        <v>-0.92561983471074383</v>
      </c>
      <c r="G632" s="44" t="str">
        <f t="shared" si="160"/>
        <v>Neutral</v>
      </c>
      <c r="H632" s="46"/>
      <c r="I632" s="45">
        <f>OIBR!$D$32/OIBR!$D$11</f>
        <v>0</v>
      </c>
      <c r="J632" s="45">
        <f>OIBR!$E$32/OIBR!$E$11</f>
        <v>0</v>
      </c>
      <c r="K632" s="45">
        <f>OIBR!$F$32/OIBR!$F$11</f>
        <v>0</v>
      </c>
      <c r="L632" s="45">
        <f>OIBR!$G$32/OIBR!$G$11</f>
        <v>0</v>
      </c>
      <c r="M632" s="45" t="str">
        <f>OIBR!$H$32</f>
        <v>nm</v>
      </c>
      <c r="N632" s="46"/>
      <c r="O632" s="45">
        <f>(OIBR!$D$31+OIBR!$D$32)/OIBR!$D$11</f>
        <v>0</v>
      </c>
      <c r="P632" s="45">
        <f>(OIBR!$E$31+OIBR!$E$32)/OIBR!$E$11</f>
        <v>0</v>
      </c>
      <c r="Q632" s="45">
        <f>(OIBR!$F$31+OIBR!$F$32)/OIBR!$F$11</f>
        <v>0</v>
      </c>
      <c r="R632" s="45">
        <f>(OIBR!$G$31+OIBR!$G$32)/OIBR!$G$11</f>
        <v>0</v>
      </c>
      <c r="S632" s="45" t="str">
        <f>IFERROR(OIBR!$H$46,"na")</f>
        <v>na</v>
      </c>
      <c r="T632" s="46"/>
      <c r="U632" s="48" t="str">
        <f t="shared" si="161"/>
        <v>BRL 12.10</v>
      </c>
      <c r="V632" s="44" t="str">
        <f t="shared" si="161"/>
        <v>Oi</v>
      </c>
      <c r="Z632" s="49"/>
    </row>
    <row r="633" spans="1:69">
      <c r="A633" s="5"/>
      <c r="C633" s="48" t="str">
        <f t="shared" si="160"/>
        <v>Telefonica Brasil</v>
      </c>
      <c r="D633" s="44" t="str">
        <f t="shared" si="160"/>
        <v>BRL 55.12</v>
      </c>
      <c r="E633" s="44" t="str">
        <f t="shared" si="160"/>
        <v>BRL 61.00</v>
      </c>
      <c r="F633" s="45">
        <f t="shared" si="160"/>
        <v>0.10667634252539915</v>
      </c>
      <c r="G633" s="44" t="str">
        <f t="shared" si="160"/>
        <v>Buy</v>
      </c>
      <c r="H633" s="46"/>
      <c r="I633" s="45">
        <f>VIVO!$D$32/VIVO!$D$11</f>
        <v>0</v>
      </c>
      <c r="J633" s="45">
        <f>VIVO!$E$32/VIVO!$E$11</f>
        <v>0</v>
      </c>
      <c r="K633" s="45">
        <f>VIVO!$F$32/VIVO!$F$11</f>
        <v>0</v>
      </c>
      <c r="L633" s="45">
        <f>VIVO!$G$32/VIVO!$G$11</f>
        <v>0</v>
      </c>
      <c r="M633" s="45" t="str">
        <f>VIVO!$H$32</f>
        <v>nm</v>
      </c>
      <c r="N633" s="46"/>
      <c r="O633" s="45">
        <f>(VIVO!$D$31+VIVO!$D$32)/VIVO!$D$11</f>
        <v>4.2670804539439458E-2</v>
      </c>
      <c r="P633" s="45">
        <f>(VIVO!$E$31+VIVO!$E$32)/VIVO!$E$11</f>
        <v>5.0194333758759105E-2</v>
      </c>
      <c r="Q633" s="45">
        <f>(VIVO!$F$31+VIVO!$F$32)/VIVO!$F$11</f>
        <v>6.7619375328712483E-2</v>
      </c>
      <c r="R633" s="45">
        <f>(VIVO!$G$31+VIVO!$G$32)/VIVO!$G$11</f>
        <v>8.1481140488424961E-2</v>
      </c>
      <c r="S633" s="45">
        <f>VIVO!$H$46</f>
        <v>0.2313174684450654</v>
      </c>
      <c r="T633" s="46"/>
      <c r="U633" s="48" t="str">
        <f t="shared" si="161"/>
        <v>BRL 55.12</v>
      </c>
      <c r="V633" s="44" t="str">
        <f t="shared" si="161"/>
        <v>Telefonica Brasil</v>
      </c>
      <c r="X633" s="45"/>
      <c r="Y633" s="45"/>
      <c r="Z633" s="49"/>
    </row>
    <row r="634" spans="1:69">
      <c r="A634" s="5"/>
      <c r="C634" s="48" t="str">
        <f t="shared" si="160"/>
        <v>Televisa</v>
      </c>
      <c r="D634" s="44" t="str">
        <f t="shared" si="160"/>
        <v>USD 1.8</v>
      </c>
      <c r="E634" s="44" t="str">
        <f t="shared" si="160"/>
        <v>USD 3.7</v>
      </c>
      <c r="F634" s="45">
        <f t="shared" si="160"/>
        <v>1.0903954802259888</v>
      </c>
      <c r="G634" s="44" t="str">
        <f t="shared" si="160"/>
        <v>Neutral</v>
      </c>
      <c r="H634" s="46"/>
      <c r="I634" s="45">
        <f>TVIS!$D$32/TVIS!$D$11</f>
        <v>0</v>
      </c>
      <c r="J634" s="45">
        <f>TVIS!$E$32/TVIS!$E$11</f>
        <v>0</v>
      </c>
      <c r="K634" s="45">
        <f>TVIS!$F$32/TVIS!$F$11</f>
        <v>0</v>
      </c>
      <c r="L634" s="45">
        <f>TVIS!$G$32/TVIS!$G$11</f>
        <v>0</v>
      </c>
      <c r="M634" s="45" t="str">
        <f>TVIS!$H$32</f>
        <v>nm</v>
      </c>
      <c r="N634" s="46"/>
      <c r="O634" s="45">
        <f>(TVIS!$D$31+TVIS!$D$32)/TVIS!$D$11</f>
        <v>5.272973872588483E-2</v>
      </c>
      <c r="P634" s="45">
        <f>(TVIS!$E$31+TVIS!$E$32)/TVIS!$E$11</f>
        <v>5.272973872588483E-2</v>
      </c>
      <c r="Q634" s="45">
        <f>(TVIS!$F$31+TVIS!$F$32)/TVIS!$F$11</f>
        <v>5.272973872588483E-2</v>
      </c>
      <c r="R634" s="45">
        <f>(TVIS!$G$31+TVIS!$G$32)/TVIS!$G$11</f>
        <v>5.272973872588483E-2</v>
      </c>
      <c r="S634" s="45">
        <f>TVIS!$H$46</f>
        <v>0</v>
      </c>
      <c r="T634" s="46"/>
      <c r="U634" s="48" t="str">
        <f>U572</f>
        <v>USD 1.8</v>
      </c>
      <c r="V634" s="44" t="s">
        <v>667</v>
      </c>
      <c r="Z634" s="49"/>
    </row>
    <row r="635" spans="1:69">
      <c r="A635" s="5"/>
      <c r="C635" s="51" t="str">
        <f>C573</f>
        <v>Agg. LatAm Incumbent</v>
      </c>
      <c r="D635" s="52"/>
      <c r="E635" s="52"/>
      <c r="F635" s="53"/>
      <c r="G635" s="52"/>
      <c r="H635" s="46"/>
      <c r="I635" s="55">
        <f>'LATAM INCUMB'!$D$32/'LATAM INCUMB'!$D$11</f>
        <v>3.6048171355782026E-4</v>
      </c>
      <c r="J635" s="55">
        <f>'LATAM INCUMB'!$E$32/'LATAM INCUMB'!$E$11</f>
        <v>2.7088775270092875E-4</v>
      </c>
      <c r="K635" s="55">
        <f>'LATAM INCUMB'!$F$32/'LATAM INCUMB'!$F$11</f>
        <v>-8.0292071234633663E-3</v>
      </c>
      <c r="L635" s="55">
        <f>'LATAM INCUMB'!$G$32/'LATAM INCUMB'!$G$11</f>
        <v>2.6773550771190421E-2</v>
      </c>
      <c r="M635" s="55">
        <f>'LATAM INCUMB'!$H$32</f>
        <v>3.0846814798953694</v>
      </c>
      <c r="N635" s="56"/>
      <c r="O635" s="55">
        <f>('LATAM INCUMB'!$D$31+'LATAM INCUMB'!$D$32)/'LATAM INCUMB'!$D$11</f>
        <v>3.2386280718173587E-2</v>
      </c>
      <c r="P635" s="55">
        <f>('LATAM INCUMB'!$E$31+'LATAM INCUMB'!$E$32)/'LATAM INCUMB'!$E$11</f>
        <v>3.5702377387231532E-2</v>
      </c>
      <c r="Q635" s="55">
        <f>('LATAM INCUMB'!$F$31+'LATAM INCUMB'!$F$32)/'LATAM INCUMB'!$F$11</f>
        <v>3.2802914073150051E-2</v>
      </c>
      <c r="R635" s="55">
        <f>('LATAM INCUMB'!$G$31+'LATAM INCUMB'!$G$32)/'LATAM INCUMB'!$G$11</f>
        <v>7.2247104617748276E-2</v>
      </c>
      <c r="S635" s="55">
        <f>'LATAM INCUMB'!$H$46</f>
        <v>0.269707667316055</v>
      </c>
      <c r="T635" s="46"/>
      <c r="U635" s="57"/>
      <c r="V635" s="58" t="str">
        <f>V573</f>
        <v>Agg. LatAm Incumbent</v>
      </c>
      <c r="W635" s="68"/>
      <c r="Z635" s="49"/>
    </row>
    <row r="636" spans="1:69">
      <c r="C636" s="48"/>
      <c r="D636" s="44"/>
      <c r="E636" s="44"/>
      <c r="F636" s="45"/>
      <c r="G636" s="44"/>
      <c r="H636" s="46"/>
      <c r="I636" s="45"/>
      <c r="J636" s="45"/>
      <c r="K636" s="45"/>
      <c r="L636" s="45"/>
      <c r="M636" s="45"/>
      <c r="N636" s="56"/>
      <c r="O636" s="45"/>
      <c r="P636" s="45"/>
      <c r="Q636" s="45"/>
      <c r="R636" s="45"/>
      <c r="S636" s="45"/>
      <c r="T636" s="46"/>
      <c r="U636" s="48"/>
      <c r="V636" s="50"/>
      <c r="Z636" s="49"/>
    </row>
    <row r="637" spans="1:69">
      <c r="A637" s="5"/>
      <c r="C637" s="48" t="str">
        <f t="shared" ref="C637:G641" si="162">C575</f>
        <v>China Telecom</v>
      </c>
      <c r="D637" s="44" t="str">
        <f t="shared" si="162"/>
        <v>HKD 4.48</v>
      </c>
      <c r="E637" s="44" t="str">
        <f t="shared" si="162"/>
        <v>HKD 8.75</v>
      </c>
      <c r="F637" s="45">
        <f t="shared" si="162"/>
        <v>0.95312499999999978</v>
      </c>
      <c r="G637" s="44" t="str">
        <f t="shared" si="162"/>
        <v>Buy</v>
      </c>
      <c r="H637" s="46"/>
      <c r="I637" s="45">
        <f>_CT!$D$32/_CT!$D$11</f>
        <v>0</v>
      </c>
      <c r="J637" s="45">
        <f>_CT!$E$32/_CT!$E$11</f>
        <v>0</v>
      </c>
      <c r="K637" s="45">
        <f>_CT!$F$32/_CT!$F$11</f>
        <v>0</v>
      </c>
      <c r="L637" s="45">
        <f>_CT!$G$32/_CT!$G$11</f>
        <v>0</v>
      </c>
      <c r="M637" s="45" t="str">
        <f>_CT!$H$32</f>
        <v>nm</v>
      </c>
      <c r="N637" s="56"/>
      <c r="O637" s="169">
        <f>(_CT!$D$31+_CT!$D$32)/_CT!$D$11</f>
        <v>5.7226592845548041E-2</v>
      </c>
      <c r="P637" s="169">
        <f>(_CT!$E$31+_CT!$E$32)/_CT!$E$11</f>
        <v>6.3128670775157408E-2</v>
      </c>
      <c r="Q637" s="169">
        <f>(_CT!$F$31+_CT!$F$32)/_CT!$F$11</f>
        <v>6.9781467725496357E-2</v>
      </c>
      <c r="R637" s="169">
        <f>(_CT!$G$31+_CT!$G$32)/_CT!$G$11</f>
        <v>8.2655329347920248E-2</v>
      </c>
      <c r="S637" s="169">
        <f>_CT!$H$46</f>
        <v>0.13037963252567253</v>
      </c>
      <c r="T637" s="46"/>
      <c r="U637" s="48" t="str">
        <f t="shared" ref="U637:V641" si="163">U575</f>
        <v>HKD 4.48</v>
      </c>
      <c r="V637" s="44" t="str">
        <f t="shared" si="163"/>
        <v>China Telecom</v>
      </c>
      <c r="Z637" s="49"/>
    </row>
    <row r="638" spans="1:69">
      <c r="A638" s="5"/>
      <c r="C638" s="48" t="str">
        <f t="shared" si="162"/>
        <v>China Unicom</v>
      </c>
      <c r="D638" s="44" t="str">
        <f t="shared" si="162"/>
        <v>HKD 6.32</v>
      </c>
      <c r="E638" s="44" t="str">
        <f t="shared" si="162"/>
        <v>HKD 13.20</v>
      </c>
      <c r="F638" s="45">
        <f t="shared" si="162"/>
        <v>1.0886075949367084</v>
      </c>
      <c r="G638" s="44" t="str">
        <f t="shared" si="162"/>
        <v>Buy</v>
      </c>
      <c r="H638" s="46"/>
      <c r="I638" s="45">
        <f>_CU!$D$32/_CU!$D$11</f>
        <v>0</v>
      </c>
      <c r="J638" s="45">
        <f>_CU!$E$32/_CU!$E$11</f>
        <v>0</v>
      </c>
      <c r="K638" s="45">
        <f>_CU!$F$32/_CU!$F$11</f>
        <v>0</v>
      </c>
      <c r="L638" s="45">
        <f>_CU!$G$32/_CU!$G$11</f>
        <v>0</v>
      </c>
      <c r="M638" s="45" t="str">
        <f>_CU!$H$32</f>
        <v>nm</v>
      </c>
      <c r="N638" s="56"/>
      <c r="O638" s="169">
        <f>(_CU!$D$31+_CU!$D$32)/_CU!$D$11</f>
        <v>5.8552358192101243E-2</v>
      </c>
      <c r="P638" s="169">
        <f>(_CU!$E$31+_CU!$E$32)/_CU!$E$11</f>
        <v>7.1891421984342188E-2</v>
      </c>
      <c r="Q638" s="169">
        <f>(_CU!$F$31+_CU!$F$32)/_CU!$F$11</f>
        <v>9.2392614700438469E-2</v>
      </c>
      <c r="R638" s="169">
        <f>(_CU!$G$31+_CU!$G$32)/_CU!$G$11</f>
        <v>0.11706682722475864</v>
      </c>
      <c r="S638" s="169">
        <f>_CU!$H$46</f>
        <v>0.25978515300870919</v>
      </c>
      <c r="T638" s="46"/>
      <c r="U638" s="48" t="str">
        <f t="shared" si="163"/>
        <v>HKD 6.32</v>
      </c>
      <c r="V638" s="44" t="str">
        <f t="shared" si="163"/>
        <v>China Unicom</v>
      </c>
      <c r="Z638" s="49"/>
    </row>
    <row r="639" spans="1:69">
      <c r="C639" s="48" t="str">
        <f t="shared" si="162"/>
        <v>Chunghwa Telecom</v>
      </c>
      <c r="D639" s="44" t="str">
        <f t="shared" si="162"/>
        <v>TWD 124.00</v>
      </c>
      <c r="E639" s="44" t="str">
        <f t="shared" si="162"/>
        <v>TWD n/r</v>
      </c>
      <c r="F639" s="45" t="str">
        <f t="shared" si="162"/>
        <v>-</v>
      </c>
      <c r="G639" s="44" t="str">
        <f t="shared" si="162"/>
        <v>n/r</v>
      </c>
      <c r="H639" s="46"/>
      <c r="I639" s="45">
        <f>CHUNG!$D$32/CHUNG!$D$11</f>
        <v>0</v>
      </c>
      <c r="J639" s="45">
        <f>CHUNG!$E$32/CHUNG!$E$11</f>
        <v>0</v>
      </c>
      <c r="K639" s="45">
        <f>CHUNG!$F$32/CHUNG!$F$11</f>
        <v>0</v>
      </c>
      <c r="L639" s="45">
        <f>CHUNG!$G$32/CHUNG!$G$11</f>
        <v>0</v>
      </c>
      <c r="M639" s="45" t="str">
        <f>CHUNG!$H$32</f>
        <v>nm</v>
      </c>
      <c r="N639" s="56"/>
      <c r="O639" s="45">
        <f>(CHUNG!$D$31+CHUNG!$D$32)/CHUNG!$D$11</f>
        <v>3.6838313102058477E-2</v>
      </c>
      <c r="P639" s="45">
        <f>(CHUNG!$E$31+CHUNG!$E$32)/CHUNG!$E$11</f>
        <v>3.8594351580746956E-2</v>
      </c>
      <c r="Q639" s="45">
        <f>(CHUNG!$F$31+CHUNG!$F$32)/CHUNG!$F$11</f>
        <v>4.0695193178073526E-2</v>
      </c>
      <c r="R639" s="45">
        <f>(CHUNG!$G$31+CHUNG!$G$32)/CHUNG!$G$11</f>
        <v>4.2925292004036296E-2</v>
      </c>
      <c r="S639" s="45">
        <f>CHUNG!$H$46</f>
        <v>5.2295809971018903E-2</v>
      </c>
      <c r="T639" s="46"/>
      <c r="U639" s="48" t="str">
        <f t="shared" si="163"/>
        <v>TWD 124.00</v>
      </c>
      <c r="V639" s="44" t="str">
        <f t="shared" si="163"/>
        <v>Chunghwa Telecom</v>
      </c>
      <c r="Z639" s="49"/>
    </row>
    <row r="640" spans="1:69">
      <c r="C640" s="48" t="str">
        <f t="shared" si="162"/>
        <v>KT Corp</v>
      </c>
      <c r="D640" s="44" t="str">
        <f t="shared" si="162"/>
        <v>KRW 41,200</v>
      </c>
      <c r="E640" s="44" t="str">
        <f t="shared" si="162"/>
        <v>KRW 70,000</v>
      </c>
      <c r="F640" s="45">
        <f t="shared" si="162"/>
        <v>0.69902912621359214</v>
      </c>
      <c r="G640" s="44" t="str">
        <f t="shared" si="162"/>
        <v>Buy</v>
      </c>
      <c r="H640" s="46"/>
      <c r="I640" s="45">
        <f>_KT!$D$32/_KT!$D$11</f>
        <v>0</v>
      </c>
      <c r="J640" s="45">
        <f>_KT!$E$32/_KT!$E$11</f>
        <v>0</v>
      </c>
      <c r="K640" s="45">
        <f>_KT!$F$32/_KT!$F$11</f>
        <v>1.106536903102533E-2</v>
      </c>
      <c r="L640" s="45">
        <f>_KT!$G$32/_KT!$G$11</f>
        <v>1.8682308136352469E-2</v>
      </c>
      <c r="M640" s="45" t="str">
        <f>_KT!$H$32</f>
        <v>nm</v>
      </c>
      <c r="N640" s="56"/>
      <c r="O640" s="45">
        <f>(_KT!$D$31+_KT!$D$32)/_KT!$D$11</f>
        <v>4.7572815533980586E-2</v>
      </c>
      <c r="P640" s="45">
        <f>(_KT!$E$31+_KT!$E$32)/_KT!$E$11</f>
        <v>4.9980710416849213E-2</v>
      </c>
      <c r="Q640" s="45">
        <f>(_KT!$F$31+_KT!$F$32)/_KT!$F$11</f>
        <v>6.9380817757777935E-2</v>
      </c>
      <c r="R640" s="45">
        <f>(_KT!$G$31+_KT!$G$32)/_KT!$G$11</f>
        <v>8.5068190658312212E-2</v>
      </c>
      <c r="S640" s="45">
        <f>IFERROR(_KT!$H$46,"na")</f>
        <v>0.22215597630260597</v>
      </c>
      <c r="T640" s="46"/>
      <c r="U640" s="48" t="str">
        <f t="shared" si="163"/>
        <v>KRW 41,200</v>
      </c>
      <c r="V640" s="44" t="str">
        <f t="shared" si="163"/>
        <v>KT Corp</v>
      </c>
      <c r="Z640" s="49"/>
      <c r="AC640" s="63"/>
    </row>
    <row r="641" spans="1:26">
      <c r="C641" s="48" t="str">
        <f t="shared" si="162"/>
        <v>PT Telkom</v>
      </c>
      <c r="D641" s="44" t="str">
        <f t="shared" si="162"/>
        <v>IDR 3,040</v>
      </c>
      <c r="E641" s="44" t="str">
        <f t="shared" si="162"/>
        <v>IDR 4,500</v>
      </c>
      <c r="F641" s="45">
        <f t="shared" si="162"/>
        <v>0.48026315789473695</v>
      </c>
      <c r="G641" s="44" t="str">
        <f t="shared" si="162"/>
        <v>Buy</v>
      </c>
      <c r="H641" s="46"/>
      <c r="I641" s="45">
        <f>PTT!$D$32/PTT!$D$11</f>
        <v>0</v>
      </c>
      <c r="J641" s="45">
        <f>PTT!$E$32/PTT!$E$11</f>
        <v>0</v>
      </c>
      <c r="K641" s="45">
        <f>PTT!$F$32/PTT!$F$11</f>
        <v>0</v>
      </c>
      <c r="L641" s="45">
        <f>PTT!$G$32/PTT!$G$11</f>
        <v>0</v>
      </c>
      <c r="M641" s="45" t="str">
        <f>PTT!$H$32</f>
        <v>nm</v>
      </c>
      <c r="N641" s="56"/>
      <c r="O641" s="169">
        <f>(PTT!$D$31+PTT!$D$32)/PTT!$D$11</f>
        <v>5.871710526315789E-2</v>
      </c>
      <c r="P641" s="169">
        <f>(PTT!$E$31+PTT!$E$32)/PTT!$E$11</f>
        <v>5.9627553734956755E-2</v>
      </c>
      <c r="Q641" s="169">
        <f>(PTT!$F$31+PTT!$F$32)/PTT!$F$11</f>
        <v>6.7362780992070978E-2</v>
      </c>
      <c r="R641" s="169">
        <f>(PTT!$G$31+PTT!$G$32)/PTT!$G$11</f>
        <v>7.453195879255442E-2</v>
      </c>
      <c r="S641" s="169">
        <f>PTT!$H$46</f>
        <v>8.2744449600624881E-2</v>
      </c>
      <c r="T641" s="46"/>
      <c r="U641" s="48" t="str">
        <f t="shared" si="163"/>
        <v>IDR 3,040</v>
      </c>
      <c r="V641" s="44" t="str">
        <f t="shared" si="163"/>
        <v>PT Telkom</v>
      </c>
      <c r="Z641" s="49"/>
    </row>
    <row r="642" spans="1:26">
      <c r="C642" s="51" t="str">
        <f>C580</f>
        <v>Agg. Emerging Asia Incumbent</v>
      </c>
      <c r="D642" s="52"/>
      <c r="E642" s="52"/>
      <c r="F642" s="53"/>
      <c r="G642" s="52"/>
      <c r="H642" s="46"/>
      <c r="I642" s="55">
        <f>'EM ASIA INCUMB'!$D$32/'EM ASIA INCUMB'!$D$11</f>
        <v>0</v>
      </c>
      <c r="J642" s="55">
        <f>'EM ASIA INCUMB'!$E$32/'EM ASIA INCUMB'!$E$11</f>
        <v>0</v>
      </c>
      <c r="K642" s="55">
        <f>'EM ASIA INCUMB'!$F$32/'EM ASIA INCUMB'!$F$11</f>
        <v>6.4017402318204426E-4</v>
      </c>
      <c r="L642" s="55">
        <f>'EM ASIA INCUMB'!$G$32/'EM ASIA INCUMB'!$G$11</f>
        <v>1.080843153847096E-3</v>
      </c>
      <c r="M642" s="55" t="str">
        <f>'EM ASIA INCUMB'!$H$32</f>
        <v>nm</v>
      </c>
      <c r="N642" s="56"/>
      <c r="O642" s="55">
        <f>('EM ASIA INCUMB'!$D$31+'EM ASIA INCUMB'!$D$32)/'EM ASIA INCUMB'!$D$11</f>
        <v>5.2583644129876955E-2</v>
      </c>
      <c r="P642" s="55">
        <f>('EM ASIA INCUMB'!$E$31+'EM ASIA INCUMB'!$E$32)/'EM ASIA INCUMB'!$E$11</f>
        <v>5.7994866359433496E-2</v>
      </c>
      <c r="Q642" s="55">
        <f>('EM ASIA INCUMB'!$F$31+'EM ASIA INCUMB'!$F$32)/'EM ASIA INCUMB'!$F$11</f>
        <v>6.7072896956817646E-2</v>
      </c>
      <c r="R642" s="55">
        <f>('EM ASIA INCUMB'!$G$31+'EM ASIA INCUMB'!$G$32)/'EM ASIA INCUMB'!$G$11</f>
        <v>7.9075279064832568E-2</v>
      </c>
      <c r="S642" s="55">
        <f>'EM ASIA INCUMB'!$H$46</f>
        <v>0.14613213880568821</v>
      </c>
      <c r="T642" s="46"/>
      <c r="U642" s="57"/>
      <c r="V642" s="58" t="str">
        <f>V580</f>
        <v>Agg. Emerging Asia Incumbent</v>
      </c>
      <c r="Z642" s="49"/>
    </row>
    <row r="643" spans="1:26">
      <c r="C643" s="43"/>
      <c r="D643" s="44"/>
      <c r="E643" s="44"/>
      <c r="F643" s="68"/>
      <c r="G643" s="44"/>
      <c r="H643" s="46"/>
      <c r="I643" s="61"/>
      <c r="J643" s="61"/>
      <c r="K643" s="61"/>
      <c r="L643" s="61"/>
      <c r="M643" s="61"/>
      <c r="N643" s="56"/>
      <c r="O643" s="61"/>
      <c r="P643" s="61"/>
      <c r="Q643" s="61"/>
      <c r="R643" s="61"/>
      <c r="S643" s="61"/>
      <c r="T643" s="46"/>
      <c r="U643" s="48"/>
      <c r="V643" s="50"/>
      <c r="Z643" s="49"/>
    </row>
    <row r="644" spans="1:26">
      <c r="C644" s="51" t="str">
        <f>C582</f>
        <v>Agg. Emerging Incumbent</v>
      </c>
      <c r="D644" s="52"/>
      <c r="E644" s="52"/>
      <c r="F644" s="53"/>
      <c r="G644" s="52"/>
      <c r="H644" s="46"/>
      <c r="I644" s="55">
        <f>'EM INCUMB'!$D$32/'EM INCUMB'!$D$11</f>
        <v>1.2697492709328435E-4</v>
      </c>
      <c r="J644" s="55">
        <f>'EM INCUMB'!$E$32/'EM INCUMB'!$E$11</f>
        <v>9.3881897277242339E-5</v>
      </c>
      <c r="K644" s="55">
        <f>'EM INCUMB'!$F$32/'EM INCUMB'!$F$11</f>
        <v>-2.3073224832982509E-3</v>
      </c>
      <c r="L644" s="55">
        <f>'EM INCUMB'!$G$32/'EM INCUMB'!$G$11</f>
        <v>9.6224541084097594E-3</v>
      </c>
      <c r="M644" s="55">
        <f>'EM INCUMB'!$H$32</f>
        <v>3.1915268402964889</v>
      </c>
      <c r="N644" s="56"/>
      <c r="O644" s="55">
        <f>('EM INCUMB'!$D$31+'EM INCUMB'!$D$32)/'EM INCUMB'!$D$11</f>
        <v>4.5858287086324064E-2</v>
      </c>
      <c r="P644" s="55">
        <f>('EM INCUMB'!$E$31+'EM INCUMB'!$E$32)/'EM INCUMB'!$E$11</f>
        <v>5.0643300964691801E-2</v>
      </c>
      <c r="Q644" s="55">
        <f>('EM INCUMB'!$F$31+'EM INCUMB'!$F$32)/'EM INCUMB'!$F$11</f>
        <v>5.5771031888533044E-2</v>
      </c>
      <c r="R644" s="55">
        <f>('EM INCUMB'!$G$31+'EM INCUMB'!$G$32)/'EM INCUMB'!$G$11</f>
        <v>7.710678529056475E-2</v>
      </c>
      <c r="S644" s="55">
        <f>'EM INCUMB'!$H$46</f>
        <v>0.17780813272638851</v>
      </c>
      <c r="T644" s="46"/>
      <c r="U644" s="57"/>
      <c r="V644" s="58" t="str">
        <f>V582</f>
        <v>Agg. Emerging Incumbent</v>
      </c>
      <c r="Z644" s="49"/>
    </row>
    <row r="645" spans="1:26">
      <c r="C645" s="43"/>
      <c r="D645" s="44"/>
      <c r="E645" s="44"/>
      <c r="F645" s="45"/>
      <c r="G645" s="44"/>
      <c r="H645" s="46"/>
      <c r="I645" s="45"/>
      <c r="J645" s="45"/>
      <c r="K645" s="45"/>
      <c r="L645" s="45"/>
      <c r="M645" s="45"/>
      <c r="N645" s="56"/>
      <c r="O645" s="45"/>
      <c r="P645" s="45"/>
      <c r="Q645" s="45"/>
      <c r="R645" s="45"/>
      <c r="S645" s="45"/>
      <c r="T645" s="46"/>
      <c r="U645" s="48"/>
      <c r="V645" s="50"/>
      <c r="Z645" s="49"/>
    </row>
    <row r="646" spans="1:26">
      <c r="A646" s="41" t="s">
        <v>502</v>
      </c>
      <c r="C646" s="48" t="str">
        <f t="shared" ref="C646:G652" si="164">C584</f>
        <v>Airtel Africa</v>
      </c>
      <c r="D646" s="44" t="str">
        <f t="shared" si="164"/>
        <v>USD 1.13</v>
      </c>
      <c r="E646" s="44" t="str">
        <f t="shared" si="164"/>
        <v>USD 2.00</v>
      </c>
      <c r="F646" s="45">
        <f t="shared" si="164"/>
        <v>0.77619893428063969</v>
      </c>
      <c r="G646" s="44" t="str">
        <f t="shared" si="164"/>
        <v>Buy</v>
      </c>
      <c r="H646" s="46"/>
      <c r="I646" s="45">
        <f>AAF!$D$32/AAF!$D$11</f>
        <v>0</v>
      </c>
      <c r="J646" s="45">
        <f>AAF!$E$32/AAF!$E$11</f>
        <v>0</v>
      </c>
      <c r="K646" s="45">
        <f>AAF!$F$32/AAF!$F$11</f>
        <v>0</v>
      </c>
      <c r="L646" s="45">
        <f>AAF!$G$32/AAF!$G$11</f>
        <v>0</v>
      </c>
      <c r="M646" s="45" t="str">
        <f>AAF!$H$32</f>
        <v>nm</v>
      </c>
      <c r="N646" s="56"/>
      <c r="O646" s="169">
        <f>(AAF!$D$31+AAF!$D$32)/AAF!$D$11</f>
        <v>-3.8102125500695375E-2</v>
      </c>
      <c r="P646" s="169">
        <f>(AAF!$E$31+AAF!$E$32)/AAF!$E$11</f>
        <v>-4.2859749665420457E-2</v>
      </c>
      <c r="Q646" s="169">
        <f>(AAF!$F$31+AAF!$F$32)/AAF!$F$11</f>
        <v>-4.7300403183644771E-2</v>
      </c>
      <c r="R646" s="169">
        <f>(AAF!$G$31+AAF!$G$32)/AAF!$G$11</f>
        <v>-5.3865981536001424E-2</v>
      </c>
      <c r="S646" s="169">
        <f>AAF!$H$46</f>
        <v>0.11449916209622768</v>
      </c>
      <c r="T646" s="46"/>
      <c r="U646" s="48" t="str">
        <f t="shared" ref="U646:V652" si="165">U584</f>
        <v>USD 1.13</v>
      </c>
      <c r="V646" s="44" t="str">
        <f t="shared" si="165"/>
        <v>Airtel Africa</v>
      </c>
      <c r="Z646" s="49"/>
    </row>
    <row r="647" spans="1:26">
      <c r="A647" s="41"/>
      <c r="C647" s="48" t="str">
        <f t="shared" si="164"/>
        <v>MobileTeleSystems</v>
      </c>
      <c r="D647" s="44" t="str">
        <f t="shared" si="164"/>
        <v>USD 10.00</v>
      </c>
      <c r="E647" s="44" t="str">
        <f t="shared" si="164"/>
        <v>USD 10.10</v>
      </c>
      <c r="F647" s="45">
        <f t="shared" si="164"/>
        <v>1.0000000000000009E-2</v>
      </c>
      <c r="G647" s="44" t="str">
        <f t="shared" si="164"/>
        <v>Buy</v>
      </c>
      <c r="H647" s="46"/>
      <c r="I647" s="45">
        <f>MTS!$D$32/MTS!$D$11</f>
        <v>1.9165598706802664E-2</v>
      </c>
      <c r="J647" s="45">
        <f>MTS!$E$32/MTS!$E$11</f>
        <v>1.3469638605593116E-2</v>
      </c>
      <c r="K647" s="45">
        <f>MTS!$F$32/MTS!$F$11</f>
        <v>3.5108026763730329E-2</v>
      </c>
      <c r="L647" s="45">
        <f>MTS!$G$32/MTS!$G$11</f>
        <v>0</v>
      </c>
      <c r="M647" s="45" t="str">
        <f>MTS!$H$32</f>
        <v>nm</v>
      </c>
      <c r="N647" s="56"/>
      <c r="O647" s="169">
        <f>(MTS!$D$31+MTS!$D$32)/MTS!$D$11</f>
        <v>6.9358569390442756E-2</v>
      </c>
      <c r="P647" s="169">
        <f>(MTS!$E$31+MTS!$E$32)/MTS!$E$11</f>
        <v>6.4708400222844062E-2</v>
      </c>
      <c r="Q647" s="169">
        <f>(MTS!$F$31+MTS!$F$32)/MTS!$F$11</f>
        <v>8.7414368793515732E-2</v>
      </c>
      <c r="R647" s="169">
        <f>(MTS!$G$31+MTS!$G$32)/MTS!$G$11</f>
        <v>5.339616591388812E-2</v>
      </c>
      <c r="S647" s="169">
        <f>MTS!$H$46</f>
        <v>-8.3491179338755828E-2</v>
      </c>
      <c r="T647" s="46"/>
      <c r="U647" s="48" t="str">
        <f t="shared" si="165"/>
        <v>USD 10.00</v>
      </c>
      <c r="V647" s="44" t="str">
        <f t="shared" si="165"/>
        <v>MobileTeleSystems</v>
      </c>
      <c r="Z647" s="49"/>
    </row>
    <row r="648" spans="1:26">
      <c r="C648" s="48" t="str">
        <f t="shared" si="164"/>
        <v>MTN</v>
      </c>
      <c r="D648" s="44" t="str">
        <f t="shared" si="164"/>
        <v>ZAR 92.00</v>
      </c>
      <c r="E648" s="44" t="str">
        <f t="shared" si="164"/>
        <v>ZAR 130.00</v>
      </c>
      <c r="F648" s="45">
        <f t="shared" si="164"/>
        <v>0.41304347826086962</v>
      </c>
      <c r="G648" s="44" t="str">
        <f t="shared" si="164"/>
        <v>Buy</v>
      </c>
      <c r="H648" s="46"/>
      <c r="I648" s="45">
        <f>MTN!$D$32/MTN!$D$11</f>
        <v>0</v>
      </c>
      <c r="J648" s="45">
        <f>MTN!$E$32/MTN!$E$11</f>
        <v>0</v>
      </c>
      <c r="K648" s="45">
        <f>MTN!$F$32/MTN!$F$11</f>
        <v>0</v>
      </c>
      <c r="L648" s="45">
        <f>MTN!$G$32/MTN!$G$11</f>
        <v>0</v>
      </c>
      <c r="M648" s="45" t="str">
        <f>MTN!$H$32</f>
        <v>nm</v>
      </c>
      <c r="N648" s="56"/>
      <c r="O648" s="169">
        <f>(MTN!$D$31+MTN!$D$32)/MTN!$D$11</f>
        <v>3.5869565217391305E-2</v>
      </c>
      <c r="P648" s="169">
        <f>(MTN!$E$31+MTN!$E$32)/MTN!$E$11</f>
        <v>3.5869565217391305E-2</v>
      </c>
      <c r="Q648" s="169">
        <f>(MTN!$F$31+MTN!$F$32)/MTN!$F$11</f>
        <v>3.9456521739130432E-2</v>
      </c>
      <c r="R648" s="169">
        <f>(MTN!$G$31+MTN!$G$32)/MTN!$G$11</f>
        <v>4.3402173913043476E-2</v>
      </c>
      <c r="S648" s="169">
        <f>MTN!$H$46</f>
        <v>6.56022367666107E-2</v>
      </c>
      <c r="T648" s="46"/>
      <c r="U648" s="48" t="str">
        <f t="shared" si="165"/>
        <v>ZAR 92.00</v>
      </c>
      <c r="V648" s="44" t="str">
        <f t="shared" si="165"/>
        <v>MTN</v>
      </c>
      <c r="Z648" s="49"/>
    </row>
    <row r="649" spans="1:26">
      <c r="C649" s="48" t="str">
        <f t="shared" si="164"/>
        <v>Safaricom</v>
      </c>
      <c r="D649" s="44" t="str">
        <f t="shared" si="164"/>
        <v>KES 14.80</v>
      </c>
      <c r="E649" s="44" t="str">
        <f t="shared" si="164"/>
        <v>KES 17.0</v>
      </c>
      <c r="F649" s="45">
        <f t="shared" si="164"/>
        <v>0.14864864864864868</v>
      </c>
      <c r="G649" s="44" t="str">
        <f t="shared" si="164"/>
        <v>Neutral</v>
      </c>
      <c r="H649" s="46"/>
      <c r="I649" s="45">
        <f>SAF!$D$32/SAF!$D$11</f>
        <v>0</v>
      </c>
      <c r="J649" s="45">
        <f>SAF!$E$32/SAF!$E$11</f>
        <v>0</v>
      </c>
      <c r="K649" s="45">
        <f>SAF!$F$32/SAF!$F$11</f>
        <v>0</v>
      </c>
      <c r="L649" s="45">
        <f>SAF!$G$32/SAF!$G$11</f>
        <v>0</v>
      </c>
      <c r="M649" s="45" t="str">
        <f>SAF!$H$32</f>
        <v>nm</v>
      </c>
      <c r="N649" s="56"/>
      <c r="O649" s="169">
        <f>(SAF!$D$31+SAF!$D$32)/SAF!$D$11</f>
        <v>6.7414508322844624E-2</v>
      </c>
      <c r="P649" s="169">
        <f>(SAF!$E$31+SAF!$E$32)/SAF!$E$11</f>
        <v>8.7676752568118507E-2</v>
      </c>
      <c r="Q649" s="169">
        <f>(SAF!$F$31+SAF!$F$32)/SAF!$F$11</f>
        <v>0.10645115491969033</v>
      </c>
      <c r="R649" s="169">
        <f>(SAF!$G$31+SAF!$G$32)/SAF!$G$11</f>
        <v>0.12071297271685968</v>
      </c>
      <c r="S649" s="169">
        <f>SAF!$H$46</f>
        <v>0.21432105304348426</v>
      </c>
      <c r="T649" s="46"/>
      <c r="U649" s="48" t="str">
        <f t="shared" si="165"/>
        <v>KES 14.80</v>
      </c>
      <c r="V649" s="44" t="str">
        <f t="shared" si="165"/>
        <v>Safaricom</v>
      </c>
      <c r="Z649" s="49"/>
    </row>
    <row r="650" spans="1:26">
      <c r="C650" s="48" t="str">
        <f t="shared" si="164"/>
        <v>Turkcell</v>
      </c>
      <c r="D650" s="44" t="str">
        <f t="shared" si="164"/>
        <v>USD 99.65</v>
      </c>
      <c r="E650" s="44" t="str">
        <f t="shared" si="164"/>
        <v>USD 16.90</v>
      </c>
      <c r="F650" s="45">
        <f t="shared" si="164"/>
        <v>-0.83040642247867535</v>
      </c>
      <c r="G650" s="44" t="str">
        <f t="shared" si="164"/>
        <v>Buy</v>
      </c>
      <c r="H650" s="46"/>
      <c r="I650" s="45">
        <f>TKC!$D$32/TKC!$D$11</f>
        <v>-9.1228390275053588E-6</v>
      </c>
      <c r="J650" s="45">
        <f>TKC!$E$32/TKC!$E$11</f>
        <v>-1.368425854125804E-5</v>
      </c>
      <c r="K650" s="45">
        <f>TKC!$F$32/TKC!$F$11</f>
        <v>-1.8245678055010718E-5</v>
      </c>
      <c r="L650" s="45">
        <f>TKC!$G$32/TKC!$G$11</f>
        <v>-2.2807097568763399E-5</v>
      </c>
      <c r="M650" s="45">
        <f>TKC!$H$32</f>
        <v>0.35720880829745338</v>
      </c>
      <c r="N650" s="56"/>
      <c r="O650" s="169">
        <f>(TKC!$D$31+TKC!$D$32)/TKC!$D$11</f>
        <v>1.8243723873963995E-2</v>
      </c>
      <c r="P650" s="169">
        <f>(TKC!$E$31+TKC!$E$32)/TKC!$E$11</f>
        <v>1.9418160031298769E-2</v>
      </c>
      <c r="Q650" s="169">
        <f>(TKC!$F$31+TKC!$F$32)/TKC!$F$11</f>
        <v>2.0962595950741899E-2</v>
      </c>
      <c r="R650" s="169">
        <f>(TKC!$G$31+TKC!$G$32)/TKC!$G$11</f>
        <v>2.282889707019168E-2</v>
      </c>
      <c r="S650" s="169">
        <f>TKC!$H$46</f>
        <v>7.7598917702047521E-2</v>
      </c>
      <c r="T650" s="46"/>
      <c r="U650" s="48" t="str">
        <f t="shared" si="165"/>
        <v>USD 99.65</v>
      </c>
      <c r="V650" s="44" t="str">
        <f t="shared" si="165"/>
        <v>Turkcell</v>
      </c>
      <c r="Z650" s="49"/>
    </row>
    <row r="651" spans="1:26">
      <c r="C651" s="48" t="str">
        <f t="shared" si="164"/>
        <v>VEON</v>
      </c>
      <c r="D651" s="44" t="str">
        <f t="shared" si="164"/>
        <v>USD 27.2</v>
      </c>
      <c r="E651" s="44" t="str">
        <f t="shared" si="164"/>
        <v>USD 40.0</v>
      </c>
      <c r="F651" s="45">
        <f t="shared" si="164"/>
        <v>0.47058823529411775</v>
      </c>
      <c r="G651" s="44" t="str">
        <f t="shared" si="164"/>
        <v>Buy</v>
      </c>
      <c r="H651" s="46"/>
      <c r="I651" s="45">
        <f>VIMP!$D$32/VIMP!$D$11</f>
        <v>0</v>
      </c>
      <c r="J651" s="45">
        <f>VIMP!$E$32/VIMP!$E$11</f>
        <v>0</v>
      </c>
      <c r="K651" s="45">
        <f>VIMP!$F$32/VIMP!$F$11</f>
        <v>0</v>
      </c>
      <c r="L651" s="45">
        <f>VIMP!$G$32/VIMP!$G$11</f>
        <v>0</v>
      </c>
      <c r="M651" s="45" t="str">
        <f>VIMP!$H$32</f>
        <v>nm</v>
      </c>
      <c r="N651" s="56"/>
      <c r="O651" s="45">
        <f>(VIMP!$D$31+VIMP!$D$32)/VIMP!$D$11</f>
        <v>0</v>
      </c>
      <c r="P651" s="45">
        <f>(VIMP!$E$31+VIMP!$E$32)/VIMP!$E$11</f>
        <v>4.5588906927846286E-3</v>
      </c>
      <c r="Q651" s="45">
        <f>(VIMP!$F$31+VIMP!$F$32)/VIMP!$F$11</f>
        <v>8.8323422228061867E-3</v>
      </c>
      <c r="R651" s="45">
        <f>(VIMP!$G$31+VIMP!$G$32)/VIMP!$G$11</f>
        <v>7.3077719853664189E-3</v>
      </c>
      <c r="S651" s="45" t="e">
        <f>VIMP!$H$46</f>
        <v>#DIV/0!</v>
      </c>
      <c r="T651" s="46"/>
      <c r="U651" s="48" t="str">
        <f t="shared" si="165"/>
        <v>USD 27.2</v>
      </c>
      <c r="V651" s="44" t="str">
        <f t="shared" si="165"/>
        <v>Vimpel Com</v>
      </c>
      <c r="Z651" s="49"/>
    </row>
    <row r="652" spans="1:26">
      <c r="C652" s="48" t="str">
        <f t="shared" si="164"/>
        <v>Vodacom</v>
      </c>
      <c r="D652" s="44" t="str">
        <f t="shared" si="164"/>
        <v>ZAR 111.1</v>
      </c>
      <c r="E652" s="44" t="str">
        <f t="shared" si="164"/>
        <v>ZAR 150.0</v>
      </c>
      <c r="F652" s="45">
        <f t="shared" si="164"/>
        <v>0.34989200863930892</v>
      </c>
      <c r="G652" s="44" t="str">
        <f t="shared" si="164"/>
        <v>Buy</v>
      </c>
      <c r="H652" s="46"/>
      <c r="I652" s="45">
        <f>VODA!$D$32/VODA!$D$11</f>
        <v>-7.261410156590817E-3</v>
      </c>
      <c r="J652" s="45">
        <f>VODA!$E$32/VODA!$E$11</f>
        <v>-4.9162004183075265E-2</v>
      </c>
      <c r="K652" s="45">
        <f>VODA!$F$32/VODA!$F$11</f>
        <v>1.2958135874842997E-2</v>
      </c>
      <c r="L652" s="45">
        <f>VODA!$G$32/VODA!$G$11</f>
        <v>-2.571433233437745E-3</v>
      </c>
      <c r="M652" s="45">
        <f>VODA!$H$32</f>
        <v>-0.29251360183580055</v>
      </c>
      <c r="N652" s="56"/>
      <c r="O652" s="45">
        <f>(VODA!$D$31+VODA!$D$32)/VODA!$D$11</f>
        <v>4.5834342183221993E-2</v>
      </c>
      <c r="P652" s="45">
        <f>(VODA!$E$31+VODA!$E$32)/VODA!$E$11</f>
        <v>7.0610092238957145E-3</v>
      </c>
      <c r="Q652" s="45">
        <f>(VODA!$F$31+VODA!$F$32)/VODA!$F$11</f>
        <v>8.5247063570131579E-2</v>
      </c>
      <c r="R652" s="45">
        <f>(VODA!$G$31+VODA!$G$32)/VODA!$G$11</f>
        <v>8.2545999023939623E-2</v>
      </c>
      <c r="S652" s="45">
        <f>VODA!$H$46</f>
        <v>0.21665751154429391</v>
      </c>
      <c r="T652" s="46"/>
      <c r="U652" s="48" t="str">
        <f t="shared" si="165"/>
        <v>ZAR 111.1</v>
      </c>
      <c r="V652" s="44" t="str">
        <f t="shared" si="165"/>
        <v>Vodacom</v>
      </c>
      <c r="Z652" s="49"/>
    </row>
    <row r="653" spans="1:26">
      <c r="C653" s="51" t="str">
        <f>C591</f>
        <v>Agg. EMEA Cellular</v>
      </c>
      <c r="D653" s="52"/>
      <c r="E653" s="52"/>
      <c r="F653" s="53"/>
      <c r="G653" s="52"/>
      <c r="H653" s="46"/>
      <c r="I653" s="55">
        <f>'EMEA CELLULAR'!$D$32/'EMEA CELLULAR'!$D$11</f>
        <v>9.9365728117350722E-4</v>
      </c>
      <c r="J653" s="55">
        <f>'EMEA CELLULAR'!$E$32/'EMEA CELLULAR'!$E$11</f>
        <v>-5.2363218672084886E-3</v>
      </c>
      <c r="K653" s="55">
        <f>'EMEA CELLULAR'!$F$32/'EMEA CELLULAR'!$F$11</f>
        <v>5.3596607753186205E-3</v>
      </c>
      <c r="L653" s="55">
        <f>'EMEA CELLULAR'!$G$32/'EMEA CELLULAR'!$G$11</f>
        <v>-3.4791130913574457E-4</v>
      </c>
      <c r="M653" s="55">
        <f>'EMEA CELLULAR'!$H$32</f>
        <v>-1.7045376851021725</v>
      </c>
      <c r="N653" s="56"/>
      <c r="O653" s="55">
        <f>('EMEA CELLULAR'!$D$31+'EMEA CELLULAR'!$D$32)/'EMEA CELLULAR'!$D$11</f>
        <v>1.9060999328690584E-2</v>
      </c>
      <c r="P653" s="55">
        <f>('EMEA CELLULAR'!$E$31+'EMEA CELLULAR'!$E$32)/'EMEA CELLULAR'!$E$11</f>
        <v>1.6448875575029897E-2</v>
      </c>
      <c r="Q653" s="55">
        <f>('EMEA CELLULAR'!$F$31+'EMEA CELLULAR'!$F$32)/'EMEA CELLULAR'!$F$11</f>
        <v>3.2525613186693281E-2</v>
      </c>
      <c r="R653" s="55">
        <f>('EMEA CELLULAR'!$G$31+'EMEA CELLULAR'!$G$32)/'EMEA CELLULAR'!$G$11</f>
        <v>2.8728545035796364E-2</v>
      </c>
      <c r="S653" s="55">
        <f>'EMEA CELLULAR'!$H$46</f>
        <v>0.14608344960699671</v>
      </c>
      <c r="T653" s="46"/>
      <c r="U653" s="57"/>
      <c r="V653" s="58" t="str">
        <f>V591</f>
        <v>Agg. EMEA Cellular</v>
      </c>
      <c r="Z653" s="49"/>
    </row>
    <row r="654" spans="1:26">
      <c r="A654" s="5"/>
      <c r="C654" s="43"/>
      <c r="D654" s="44"/>
      <c r="E654" s="44"/>
      <c r="F654" s="45"/>
      <c r="G654" s="44"/>
      <c r="H654" s="46"/>
      <c r="I654" s="45"/>
      <c r="J654" s="45"/>
      <c r="K654" s="45"/>
      <c r="L654" s="45"/>
      <c r="M654" s="45"/>
      <c r="N654" s="56"/>
      <c r="O654" s="45"/>
      <c r="P654" s="45"/>
      <c r="Q654" s="45"/>
      <c r="R654" s="45"/>
      <c r="S654" s="45"/>
      <c r="T654" s="46"/>
      <c r="U654" s="48"/>
      <c r="V654" s="50"/>
      <c r="Z654" s="49"/>
    </row>
    <row r="655" spans="1:26">
      <c r="A655" s="5"/>
      <c r="C655" s="48" t="str">
        <f t="shared" ref="C655:G657" si="166">C593</f>
        <v>Entel</v>
      </c>
      <c r="D655" s="44" t="str">
        <f t="shared" si="166"/>
        <v>CLP 2,900</v>
      </c>
      <c r="E655" s="44" t="str">
        <f t="shared" si="166"/>
        <v>CLP 3,150</v>
      </c>
      <c r="F655" s="45">
        <f t="shared" si="166"/>
        <v>8.6206896551724199E-2</v>
      </c>
      <c r="G655" s="44" t="str">
        <f t="shared" si="166"/>
        <v>Neutral</v>
      </c>
      <c r="H655" s="46"/>
      <c r="I655" s="45">
        <f>ENTEL!$D$32/ENTEL!$D$11</f>
        <v>0</v>
      </c>
      <c r="J655" s="45">
        <f>ENTEL!$E$32/ENTEL!$E$11</f>
        <v>0</v>
      </c>
      <c r="K655" s="45">
        <f>ENTEL!$F$32/ENTEL!$F$11</f>
        <v>0</v>
      </c>
      <c r="L655" s="45">
        <f>ENTEL!$G$32/ENTEL!$G$11</f>
        <v>0</v>
      </c>
      <c r="M655" s="45" t="str">
        <f>ENTEL!$H$32</f>
        <v>nm</v>
      </c>
      <c r="N655" s="56"/>
      <c r="O655" s="169">
        <f>(ENTEL!$D$31+ENTEL!$D$32)/ENTEL!$D$11</f>
        <v>2.9642241379310343E-2</v>
      </c>
      <c r="P655" s="169">
        <f>(ENTEL!$E$31+ENTEL!$E$32)/ENTEL!$E$11</f>
        <v>3.2606465517241383E-2</v>
      </c>
      <c r="Q655" s="169">
        <f>(ENTEL!$F$31+ENTEL!$F$32)/ENTEL!$F$11</f>
        <v>3.586711206896552E-2</v>
      </c>
      <c r="R655" s="169">
        <f>(ENTEL!$G$31+ENTEL!$G$32)/ENTEL!$G$11</f>
        <v>3.9453823275862082E-2</v>
      </c>
      <c r="S655" s="169">
        <f>ENTEL!$H$46</f>
        <v>0.10000000000000009</v>
      </c>
      <c r="T655" s="46"/>
      <c r="U655" s="48" t="str">
        <f t="shared" ref="U655:V657" si="167">U593</f>
        <v>CLP 2,900</v>
      </c>
      <c r="V655" s="44" t="str">
        <f t="shared" si="167"/>
        <v>Entel</v>
      </c>
      <c r="Z655" s="49"/>
    </row>
    <row r="656" spans="1:26">
      <c r="A656" s="5"/>
      <c r="C656" s="48" t="str">
        <f t="shared" si="166"/>
        <v>Millicom</v>
      </c>
      <c r="D656" s="44" t="str">
        <f t="shared" si="166"/>
        <v>USD  26.6</v>
      </c>
      <c r="E656" s="44" t="str">
        <f t="shared" si="166"/>
        <v>USD 18.0</v>
      </c>
      <c r="F656" s="45">
        <f t="shared" si="166"/>
        <v>-0.32407059707097252</v>
      </c>
      <c r="G656" s="44" t="str">
        <f t="shared" si="166"/>
        <v>Neutral</v>
      </c>
      <c r="H656" s="46"/>
      <c r="I656" s="45">
        <f>MILLI!$D$32/MILLI!$D$11</f>
        <v>0</v>
      </c>
      <c r="J656" s="45">
        <f>MILLI!$E$32/MILLI!$E$11</f>
        <v>0</v>
      </c>
      <c r="K656" s="45">
        <f>MILLI!$F$32/MILLI!$F$11</f>
        <v>1.2529810270702491E-3</v>
      </c>
      <c r="L656" s="45">
        <f>MILLI!$G$32/MILLI!$G$11</f>
        <v>3.9326361609726803E-3</v>
      </c>
      <c r="M656" s="45" t="str">
        <f>MILLI!$H$32</f>
        <v>nm</v>
      </c>
      <c r="N656" s="56"/>
      <c r="O656" s="169">
        <f>(MILLI!$D$31+MILLI!$D$32)/MILLI!$D$11</f>
        <v>0</v>
      </c>
      <c r="P656" s="169">
        <f>(MILLI!$E$31+MILLI!$E$32)/MILLI!$E$11</f>
        <v>0</v>
      </c>
      <c r="Q656" s="169">
        <f>(MILLI!$F$31+MILLI!$F$32)/MILLI!$F$11</f>
        <v>1.2529810270702491E-3</v>
      </c>
      <c r="R656" s="169">
        <f>(MILLI!$G$31+MILLI!$G$32)/MILLI!$G$11</f>
        <v>3.9326361609726803E-3</v>
      </c>
      <c r="S656" s="169" t="e">
        <f>MILLI!$H$46</f>
        <v>#DIV/0!</v>
      </c>
      <c r="T656" s="46"/>
      <c r="U656" s="48" t="str">
        <f t="shared" si="167"/>
        <v>USD  26.6</v>
      </c>
      <c r="V656" s="44" t="str">
        <f t="shared" si="167"/>
        <v>Millicom</v>
      </c>
      <c r="Z656" s="49"/>
    </row>
    <row r="657" spans="1:26">
      <c r="A657" s="5"/>
      <c r="C657" s="48" t="str">
        <f t="shared" si="166"/>
        <v>TIM Participacoes</v>
      </c>
      <c r="D657" s="44" t="str">
        <f t="shared" si="166"/>
        <v>BRL 18.63</v>
      </c>
      <c r="E657" s="44" t="str">
        <f t="shared" si="166"/>
        <v>BRL 23.00</v>
      </c>
      <c r="F657" s="45">
        <f t="shared" si="166"/>
        <v>0.23456790123456805</v>
      </c>
      <c r="G657" s="44" t="str">
        <f t="shared" si="166"/>
        <v>Buy</v>
      </c>
      <c r="H657" s="46"/>
      <c r="I657" s="45">
        <f>TIMP!$D$32/TIMP!$D$11</f>
        <v>0</v>
      </c>
      <c r="J657" s="45">
        <f>TIMP!$E$32/TIMP!$E$11</f>
        <v>0</v>
      </c>
      <c r="K657" s="45">
        <f>TIMP!$F$32/TIMP!$F$11</f>
        <v>0</v>
      </c>
      <c r="L657" s="45">
        <f>TIMP!$G$32/TIMP!$G$11</f>
        <v>0</v>
      </c>
      <c r="M657" s="45" t="str">
        <f>TIMP!$H$32</f>
        <v>nm</v>
      </c>
      <c r="N657" s="56"/>
      <c r="O657" s="45">
        <f>(TIMP!$D$31+TIMP!$D$32)/TIMP!$D$11</f>
        <v>6.1524331667359058E-2</v>
      </c>
      <c r="P657" s="45">
        <f>(TIMP!$E$31+TIMP!$E$32)/TIMP!$E$11</f>
        <v>8.9210280917670637E-2</v>
      </c>
      <c r="Q657" s="45">
        <f>(TIMP!$F$31+TIMP!$F$32)/TIMP!$F$11</f>
        <v>0.10259182305532122</v>
      </c>
      <c r="R657" s="45">
        <f>(TIMP!$G$31+TIMP!$G$32)/TIMP!$G$11</f>
        <v>0.10772141420808727</v>
      </c>
      <c r="S657" s="45">
        <f>TIMP!$H$46</f>
        <v>0.20527194381139346</v>
      </c>
      <c r="T657" s="46"/>
      <c r="U657" s="48" t="str">
        <f t="shared" si="167"/>
        <v>BRL 18.63</v>
      </c>
      <c r="V657" s="44" t="str">
        <f t="shared" si="167"/>
        <v>TIM Participacoes</v>
      </c>
      <c r="Z657" s="49"/>
    </row>
    <row r="658" spans="1:26">
      <c r="A658" s="5"/>
      <c r="C658" s="51" t="str">
        <f>C596</f>
        <v>Agg. LatAm Cellular</v>
      </c>
      <c r="D658" s="52"/>
      <c r="E658" s="52"/>
      <c r="F658" s="53"/>
      <c r="G658" s="52"/>
      <c r="H658" s="46"/>
      <c r="I658" s="55">
        <f>'LATAM CELLULAR'!$D$32/'LATAM CELLULAR'!$D$11</f>
        <v>0</v>
      </c>
      <c r="J658" s="55">
        <f>'LATAM CELLULAR'!$E$32/'LATAM CELLULAR'!$E$11</f>
        <v>0</v>
      </c>
      <c r="K658" s="55">
        <f>'LATAM CELLULAR'!$F$32/'LATAM CELLULAR'!$F$11</f>
        <v>4.826666429446568E-4</v>
      </c>
      <c r="L658" s="55">
        <f>'LATAM CELLULAR'!$G$32/'LATAM CELLULAR'!$G$11</f>
        <v>1.4548641252261926E-3</v>
      </c>
      <c r="M658" s="55" t="str">
        <f>'LATAM CELLULAR'!$H$32</f>
        <v>nm</v>
      </c>
      <c r="N658" s="56"/>
      <c r="O658" s="55">
        <f>('LATAM CELLULAR'!$D$31+'LATAM CELLULAR'!$D$32)/'LATAM CELLULAR'!$D$11</f>
        <v>3.4312714157629799E-2</v>
      </c>
      <c r="P658" s="55">
        <f>('LATAM CELLULAR'!$E$31+'LATAM CELLULAR'!$E$32)/'LATAM CELLULAR'!$E$11</f>
        <v>4.8901958681009668E-2</v>
      </c>
      <c r="Q658" s="55">
        <f>('LATAM CELLULAR'!$F$31+'LATAM CELLULAR'!$F$32)/'LATAM CELLULAR'!$F$11</f>
        <v>5.7945694776289053E-2</v>
      </c>
      <c r="R658" s="55">
        <f>('LATAM CELLULAR'!$G$31+'LATAM CELLULAR'!$G$32)/'LATAM CELLULAR'!$G$11</f>
        <v>6.3444003937853016E-2</v>
      </c>
      <c r="S658" s="55">
        <f>'LATAM CELLULAR'!$H$46</f>
        <v>0.2077049110414857</v>
      </c>
      <c r="T658" s="46"/>
      <c r="U658" s="57"/>
      <c r="V658" s="58" t="str">
        <f>V596</f>
        <v>Agg. LatAm Cellular</v>
      </c>
      <c r="Z658" s="49"/>
    </row>
    <row r="659" spans="1:26">
      <c r="C659" s="43"/>
      <c r="D659" s="44"/>
      <c r="E659" s="44"/>
      <c r="F659" s="45"/>
      <c r="G659" s="44"/>
      <c r="H659" s="46"/>
      <c r="I659" s="45"/>
      <c r="J659" s="45"/>
      <c r="K659" s="45"/>
      <c r="L659" s="45"/>
      <c r="M659" s="45"/>
      <c r="N659" s="46"/>
      <c r="O659" s="45"/>
      <c r="P659" s="45"/>
      <c r="Q659" s="45"/>
      <c r="R659" s="45"/>
      <c r="S659" s="45"/>
      <c r="T659" s="46"/>
      <c r="U659" s="48"/>
      <c r="V659" s="50"/>
      <c r="Z659" s="49"/>
    </row>
    <row r="660" spans="1:26">
      <c r="A660" s="5"/>
      <c r="C660" s="48" t="str">
        <f t="shared" ref="C660:G673" si="168">C598</f>
        <v>AIS</v>
      </c>
      <c r="D660" s="44" t="str">
        <f t="shared" si="168"/>
        <v>THB 269.0</v>
      </c>
      <c r="E660" s="44" t="str">
        <f t="shared" si="168"/>
        <v>THB 300.0</v>
      </c>
      <c r="F660" s="45">
        <f t="shared" si="168"/>
        <v>0.11524163568773238</v>
      </c>
      <c r="G660" s="44" t="str">
        <f t="shared" si="168"/>
        <v>Buy</v>
      </c>
      <c r="H660" s="46"/>
      <c r="I660" s="45">
        <f>ADVANCED!$D$32/ADVANCED!$D$11</f>
        <v>0</v>
      </c>
      <c r="J660" s="45">
        <f>ADVANCED!$E$32/ADVANCED!$E$11</f>
        <v>0</v>
      </c>
      <c r="K660" s="45">
        <f>ADVANCED!$F$32/ADVANCED!$F$11</f>
        <v>0</v>
      </c>
      <c r="L660" s="45">
        <f>ADVANCED!$G$32/ADVANCED!$G$11</f>
        <v>0</v>
      </c>
      <c r="M660" s="45" t="str">
        <f>ADVANCED!$H$32</f>
        <v>nm</v>
      </c>
      <c r="N660" s="46"/>
      <c r="O660" s="45">
        <f>(ADVANCED!$D$31+ADVANCED!$D$32)/ADVANCED!$D$11</f>
        <v>3.2007434944237918E-2</v>
      </c>
      <c r="P660" s="45">
        <f>(ADVANCED!$E$31+ADVANCED!$E$32)/ADVANCED!$E$11</f>
        <v>3.8268278783910446E-2</v>
      </c>
      <c r="Q660" s="45">
        <f>(ADVANCED!$F$31+ADVANCED!$F$32)/ADVANCED!$F$11</f>
        <v>5.235186511132419E-2</v>
      </c>
      <c r="R660" s="45">
        <f>(ADVANCED!$G$31+ADVANCED!$G$32)/ADVANCED!$G$11</f>
        <v>6.1520572560139514E-2</v>
      </c>
      <c r="S660" s="45">
        <f>ADVANCED!$H$46</f>
        <v>0.24333979009018925</v>
      </c>
      <c r="T660" s="46"/>
      <c r="U660" s="48" t="str">
        <f t="shared" ref="U660:V673" si="169">U598</f>
        <v>THB 269.0</v>
      </c>
      <c r="V660" s="44" t="str">
        <f t="shared" si="169"/>
        <v>AIS</v>
      </c>
      <c r="Z660" s="49"/>
    </row>
    <row r="661" spans="1:26">
      <c r="C661" s="48" t="str">
        <f t="shared" si="168"/>
        <v>Axiata</v>
      </c>
      <c r="D661" s="44" t="str">
        <f t="shared" si="168"/>
        <v>MYR 2.44</v>
      </c>
      <c r="E661" s="44" t="str">
        <f t="shared" si="168"/>
        <v>MYR 4.50</v>
      </c>
      <c r="F661" s="45">
        <f t="shared" si="168"/>
        <v>0.84426229508196715</v>
      </c>
      <c r="G661" s="44" t="str">
        <f t="shared" si="168"/>
        <v>Buy</v>
      </c>
      <c r="H661" s="46"/>
      <c r="I661" s="45">
        <f>AXI!$D$32/AXI!$D$11</f>
        <v>0</v>
      </c>
      <c r="J661" s="45">
        <f>AXI!$E$32/AXI!$E$11</f>
        <v>0</v>
      </c>
      <c r="K661" s="45">
        <f>AXI!$F$32/AXI!$F$11</f>
        <v>0</v>
      </c>
      <c r="L661" s="45">
        <f>AXI!$G$32/AXI!$G$11</f>
        <v>0</v>
      </c>
      <c r="M661" s="45" t="str">
        <f>AXI!$H$32</f>
        <v>nm</v>
      </c>
      <c r="N661" s="46"/>
      <c r="O661" s="45">
        <f>(AXI!$D$31+AXI!$D$32)/AXI!$D$11</f>
        <v>4.0983606557377053E-2</v>
      </c>
      <c r="P661" s="45">
        <f>(AXI!$E$31+AXI!$E$32)/AXI!$E$11</f>
        <v>4.5081967213114756E-2</v>
      </c>
      <c r="Q661" s="45">
        <f>(AXI!$F$31+AXI!$F$32)/AXI!$F$11</f>
        <v>4.9180327868852458E-2</v>
      </c>
      <c r="R661" s="45">
        <f>(AXI!$G$31+AXI!$G$32)/AXI!$G$11</f>
        <v>5.3278688524590168E-2</v>
      </c>
      <c r="S661" s="45">
        <f>AXI!$H$46</f>
        <v>9.1392883061105934E-2</v>
      </c>
      <c r="T661" s="46"/>
      <c r="U661" s="48" t="str">
        <f t="shared" si="169"/>
        <v>MYR 2.44</v>
      </c>
      <c r="V661" s="44" t="str">
        <f t="shared" si="169"/>
        <v>Axiata</v>
      </c>
      <c r="Z661" s="49"/>
    </row>
    <row r="662" spans="1:26">
      <c r="C662" s="48" t="str">
        <f t="shared" si="168"/>
        <v>Bharti Airtel</v>
      </c>
      <c r="D662" s="44" t="str">
        <f t="shared" si="168"/>
        <v>INR 1539</v>
      </c>
      <c r="E662" s="44" t="str">
        <f t="shared" si="168"/>
        <v>INR 1500</v>
      </c>
      <c r="F662" s="45">
        <f t="shared" si="168"/>
        <v>-2.5404457150282611E-2</v>
      </c>
      <c r="G662" s="44" t="str">
        <f t="shared" si="168"/>
        <v>Neutral</v>
      </c>
      <c r="H662" s="46"/>
      <c r="I662" s="45">
        <f>BHART!$D$32/BHART!$D$11</f>
        <v>0</v>
      </c>
      <c r="J662" s="45">
        <f>BHART!$E$32/BHART!$E$11</f>
        <v>-4.0536773445269923E-2</v>
      </c>
      <c r="K662" s="45">
        <f>BHART!$F$32/BHART!$F$11</f>
        <v>0</v>
      </c>
      <c r="L662" s="45">
        <f>BHART!$G$32/BHART!$G$11</f>
        <v>-6.780533192996447E-3</v>
      </c>
      <c r="M662" s="45" t="str">
        <f>BHART!$H$32</f>
        <v>nm</v>
      </c>
      <c r="N662" s="46"/>
      <c r="O662" s="45">
        <f>(BHART!$D$31+BHART!$D$32)/BHART!$D$11</f>
        <v>5.1978428951984929E-3</v>
      </c>
      <c r="P662" s="45">
        <f>(BHART!$E$31+BHART!$E$32)/BHART!$E$11</f>
        <v>-2.7542166207273695E-2</v>
      </c>
      <c r="Q662" s="45">
        <f>(BHART!$F$31+BHART!$F$32)/BHART!$F$11</f>
        <v>1.9491910856994348E-2</v>
      </c>
      <c r="R662" s="45">
        <f>(BHART!$G$31+BHART!$G$32)/BHART!$G$11</f>
        <v>2.1048100957053003E-2</v>
      </c>
      <c r="S662" s="45">
        <f>BHART!$H$46</f>
        <v>0.59390802219171013</v>
      </c>
      <c r="T662" s="46"/>
      <c r="U662" s="48" t="str">
        <f t="shared" si="169"/>
        <v>INR 1539</v>
      </c>
      <c r="V662" s="44" t="str">
        <f t="shared" si="169"/>
        <v>Bharti Airtel</v>
      </c>
      <c r="Z662" s="49"/>
    </row>
    <row r="663" spans="1:26">
      <c r="A663" s="5"/>
      <c r="C663" s="48" t="str">
        <f t="shared" si="168"/>
        <v>China Mobile</v>
      </c>
      <c r="D663" s="44" t="str">
        <f t="shared" si="168"/>
        <v>HKD 72.0</v>
      </c>
      <c r="E663" s="44" t="str">
        <f t="shared" si="168"/>
        <v>HKD 115.0</v>
      </c>
      <c r="F663" s="45">
        <f t="shared" si="168"/>
        <v>0.59722222222222232</v>
      </c>
      <c r="G663" s="44" t="str">
        <f t="shared" si="168"/>
        <v>Buy</v>
      </c>
      <c r="H663" s="46"/>
      <c r="I663" s="45">
        <f>_CM!$D$32/_CM!$D$11</f>
        <v>0</v>
      </c>
      <c r="J663" s="45">
        <f>_CM!$E$32/_CM!$E$11</f>
        <v>0</v>
      </c>
      <c r="K663" s="45">
        <f>_CM!$F$32/_CM!$F$11</f>
        <v>0</v>
      </c>
      <c r="L663" s="45">
        <f>_CM!$G$32/_CM!$G$11</f>
        <v>0</v>
      </c>
      <c r="M663" s="45" t="str">
        <f>_CM!$H$32</f>
        <v>nm</v>
      </c>
      <c r="N663" s="46"/>
      <c r="O663" s="45">
        <f>(_CM!$D$31+_CM!$D$32)/_CM!$D$11</f>
        <v>6.6921876759695173E-2</v>
      </c>
      <c r="P663" s="45">
        <f>(_CM!$E$31+_CM!$E$32)/_CM!$E$11</f>
        <v>7.1846872628168468E-2</v>
      </c>
      <c r="Q663" s="45">
        <f>(_CM!$F$31+_CM!$F$32)/_CM!$F$11</f>
        <v>7.5705979126063125E-2</v>
      </c>
      <c r="R663" s="45">
        <f>(_CM!$G$31+_CM!$G$32)/_CM!$G$11</f>
        <v>8.3839378510055088E-2</v>
      </c>
      <c r="S663" s="45">
        <f>_CM!$H$46</f>
        <v>7.8019572965508432E-2</v>
      </c>
      <c r="T663" s="46"/>
      <c r="U663" s="48" t="str">
        <f t="shared" si="169"/>
        <v>HKD 72.0</v>
      </c>
      <c r="V663" s="44" t="str">
        <f t="shared" si="169"/>
        <v>China Mobile</v>
      </c>
      <c r="Z663" s="49"/>
    </row>
    <row r="664" spans="1:26">
      <c r="A664" s="5"/>
      <c r="C664" s="48" t="str">
        <f t="shared" si="168"/>
        <v>CelcomDigi</v>
      </c>
      <c r="D664" s="44" t="str">
        <f t="shared" si="168"/>
        <v>MYR 3.7</v>
      </c>
      <c r="E664" s="44" t="str">
        <f t="shared" si="168"/>
        <v>MYR 6.0</v>
      </c>
      <c r="F664" s="45">
        <f t="shared" si="168"/>
        <v>0.63934426229508201</v>
      </c>
      <c r="G664" s="44" t="str">
        <f t="shared" si="168"/>
        <v>Buy</v>
      </c>
      <c r="H664" s="46"/>
      <c r="I664" s="45">
        <f>DIGI!$D$32/DIGI!$D$11</f>
        <v>0</v>
      </c>
      <c r="J664" s="45">
        <f>DIGI!$E$32/DIGI!$E$11</f>
        <v>0</v>
      </c>
      <c r="K664" s="45">
        <f>DIGI!$F$32/DIGI!$F$11</f>
        <v>0</v>
      </c>
      <c r="L664" s="45">
        <f>DIGI!$G$32/DIGI!$G$11</f>
        <v>0</v>
      </c>
      <c r="M664" s="45" t="str">
        <f>DIGI!$H$32</f>
        <v>nm</v>
      </c>
      <c r="N664" s="46"/>
      <c r="O664" s="45">
        <f>(DIGI!$D$31+DIGI!$D$32)/DIGI!$D$11</f>
        <v>3.6065573770491806E-2</v>
      </c>
      <c r="P664" s="45">
        <f>(DIGI!$E$31+DIGI!$E$32)/DIGI!$E$11</f>
        <v>4.4054992877433398E-2</v>
      </c>
      <c r="Q664" s="45">
        <f>(DIGI!$F$31+DIGI!$F$32)/DIGI!$F$11</f>
        <v>5.3062011112857764E-2</v>
      </c>
      <c r="R664" s="45">
        <f>(DIGI!$G$31+DIGI!$G$32)/DIGI!$G$11</f>
        <v>6.1845881393700036E-2</v>
      </c>
      <c r="S664" s="45">
        <f>DIGI!$H$46</f>
        <v>0.19694073060847783</v>
      </c>
      <c r="T664" s="46"/>
      <c r="U664" s="48" t="str">
        <f t="shared" si="169"/>
        <v>MYR 3.7</v>
      </c>
      <c r="V664" s="44" t="str">
        <f t="shared" si="169"/>
        <v>CelcomDigi</v>
      </c>
      <c r="Z664" s="49"/>
    </row>
    <row r="665" spans="1:26">
      <c r="A665" s="5"/>
      <c r="C665" s="48" t="str">
        <f t="shared" si="168"/>
        <v>Far EasTone</v>
      </c>
      <c r="D665" s="44" t="str">
        <f t="shared" si="168"/>
        <v>TWD 91.9</v>
      </c>
      <c r="E665" s="44" t="str">
        <f t="shared" si="168"/>
        <v>TWD n/r</v>
      </c>
      <c r="F665" s="45" t="str">
        <f t="shared" si="168"/>
        <v>-</v>
      </c>
      <c r="G665" s="44" t="str">
        <f t="shared" si="168"/>
        <v>n/r</v>
      </c>
      <c r="H665" s="46"/>
      <c r="I665" s="45">
        <f>FAR!$D$32/FAR!$D$11</f>
        <v>0</v>
      </c>
      <c r="J665" s="45">
        <f>FAR!$E$32/FAR!$E$11</f>
        <v>0</v>
      </c>
      <c r="K665" s="45">
        <f>FAR!$F$32/FAR!$F$11</f>
        <v>0</v>
      </c>
      <c r="L665" s="45">
        <f>FAR!$G$32/FAR!$G$11</f>
        <v>0</v>
      </c>
      <c r="M665" s="45" t="str">
        <f>FAR!$H$32</f>
        <v>nm</v>
      </c>
      <c r="N665" s="46"/>
      <c r="O665" s="45">
        <f>(FAR!$D$31+FAR!$D$32)/FAR!$D$11</f>
        <v>3.632601673014145E-2</v>
      </c>
      <c r="P665" s="45">
        <f>(FAR!$E$31+FAR!$E$32)/FAR!$E$11</f>
        <v>3.7234167148394982E-2</v>
      </c>
      <c r="Q665" s="45">
        <f>(FAR!$F$31+FAR!$F$32)/FAR!$F$11</f>
        <v>3.8165021327104857E-2</v>
      </c>
      <c r="R665" s="45">
        <f>(FAR!$G$31+FAR!$G$32)/FAR!$G$11</f>
        <v>3.9119146860282471E-2</v>
      </c>
      <c r="S665" s="45">
        <f>FAR!$H$46</f>
        <v>2.4999999999999911E-2</v>
      </c>
      <c r="T665" s="46"/>
      <c r="U665" s="48" t="str">
        <f t="shared" si="169"/>
        <v>TWD 91.9</v>
      </c>
      <c r="V665" s="44" t="str">
        <f t="shared" si="169"/>
        <v>Far EasTone</v>
      </c>
      <c r="Z665" s="49"/>
    </row>
    <row r="666" spans="1:26">
      <c r="A666" s="5"/>
      <c r="C666" s="48" t="str">
        <f t="shared" si="168"/>
        <v>Vodafone IDEA</v>
      </c>
      <c r="D666" s="44" t="str">
        <f t="shared" si="168"/>
        <v>INR 13.4</v>
      </c>
      <c r="E666" s="44" t="str">
        <f t="shared" si="168"/>
        <v>INR 5.0</v>
      </c>
      <c r="F666" s="45">
        <f t="shared" si="168"/>
        <v>-0.62574850299401197</v>
      </c>
      <c r="G666" s="44" t="str">
        <f t="shared" si="168"/>
        <v>Reduce</v>
      </c>
      <c r="H666" s="46"/>
      <c r="I666" s="45">
        <f>IDEA!$D$32/IDEA!$D$11</f>
        <v>0</v>
      </c>
      <c r="J666" s="45">
        <f>IDEA!$E$32/IDEA!$E$11</f>
        <v>0</v>
      </c>
      <c r="K666" s="45">
        <f>IDEA!$F$32/IDEA!$F$11</f>
        <v>0</v>
      </c>
      <c r="L666" s="45">
        <f>IDEA!$G$32/IDEA!$G$11</f>
        <v>0</v>
      </c>
      <c r="M666" s="45" t="str">
        <f>IDEA!$H$32</f>
        <v>nm</v>
      </c>
      <c r="N666" s="46"/>
      <c r="O666" s="45">
        <f>(IDEA!$D$31+IDEA!$D$32)/IDEA!$D$11</f>
        <v>0</v>
      </c>
      <c r="P666" s="45">
        <f>(IDEA!$E$31+IDEA!$E$32)/IDEA!$E$11</f>
        <v>0</v>
      </c>
      <c r="Q666" s="45">
        <f>(IDEA!$F$31+IDEA!$F$32)/IDEA!$F$11</f>
        <v>0</v>
      </c>
      <c r="R666" s="45">
        <f>(IDEA!$G$31+IDEA!$G$32)/IDEA!$G$11</f>
        <v>0</v>
      </c>
      <c r="S666" s="45" t="str">
        <f>IFERROR(IDEA!$H$46,"na")</f>
        <v>na</v>
      </c>
      <c r="T666" s="46"/>
      <c r="U666" s="48" t="str">
        <f t="shared" si="169"/>
        <v>INR 13.4</v>
      </c>
      <c r="V666" s="44" t="str">
        <f t="shared" si="169"/>
        <v>Vodafone IDEA</v>
      </c>
      <c r="Z666" s="49"/>
    </row>
    <row r="667" spans="1:26">
      <c r="A667" s="5"/>
      <c r="C667" s="48" t="str">
        <f t="shared" si="168"/>
        <v>Indosat</v>
      </c>
      <c r="D667" s="44" t="str">
        <f t="shared" si="168"/>
        <v>IDR 10,900</v>
      </c>
      <c r="E667" s="44" t="str">
        <f t="shared" si="168"/>
        <v>IDR 12,500</v>
      </c>
      <c r="F667" s="45">
        <f t="shared" si="168"/>
        <v>0.14678899082568808</v>
      </c>
      <c r="G667" s="44" t="str">
        <f t="shared" si="168"/>
        <v>Buy</v>
      </c>
      <c r="H667" s="46"/>
      <c r="I667" s="45">
        <f>INDO!$D$32/INDO!$D$11</f>
        <v>0</v>
      </c>
      <c r="J667" s="45">
        <f>INDO!$E$32/INDO!$E$11</f>
        <v>0</v>
      </c>
      <c r="K667" s="45">
        <f>INDO!$F$32/INDO!$F$11</f>
        <v>0</v>
      </c>
      <c r="L667" s="45">
        <f>INDO!$G$32/INDO!$G$11</f>
        <v>0</v>
      </c>
      <c r="M667" s="45" t="str">
        <f>INDO!$H$32</f>
        <v>nm</v>
      </c>
      <c r="N667" s="46"/>
      <c r="O667" s="45">
        <f>(INDO!$D$31+INDO!$D$32)/INDO!$D$11</f>
        <v>2.4623853211009173E-2</v>
      </c>
      <c r="P667" s="45">
        <f>(INDO!$E$31+INDO!$E$32)/INDO!$E$11</f>
        <v>2.6960596439293834E-2</v>
      </c>
      <c r="Q667" s="45">
        <f>(INDO!$F$31+INDO!$F$32)/INDO!$F$11</f>
        <v>3.7522870372024696E-2</v>
      </c>
      <c r="R667" s="45">
        <f>(INDO!$G$31+INDO!$G$32)/INDO!$G$11</f>
        <v>5.043095339294202E-2</v>
      </c>
      <c r="S667" s="45">
        <f>INDO!$H$46</f>
        <v>0.26993177062119189</v>
      </c>
      <c r="T667" s="46"/>
      <c r="U667" s="48" t="str">
        <f t="shared" si="169"/>
        <v>IDR 10,900</v>
      </c>
      <c r="V667" s="44" t="str">
        <f t="shared" si="169"/>
        <v>Indosat</v>
      </c>
      <c r="Z667" s="49"/>
    </row>
    <row r="668" spans="1:26">
      <c r="A668" s="5"/>
      <c r="C668" s="48" t="str">
        <f t="shared" si="168"/>
        <v>LG Uplus</v>
      </c>
      <c r="D668" s="44" t="str">
        <f t="shared" si="168"/>
        <v>KRW 9,890</v>
      </c>
      <c r="E668" s="44" t="str">
        <f t="shared" si="168"/>
        <v>KRW 21,000</v>
      </c>
      <c r="F668" s="45">
        <f t="shared" si="168"/>
        <v>1.1233569261880687</v>
      </c>
      <c r="G668" s="44" t="str">
        <f t="shared" si="168"/>
        <v>Buy</v>
      </c>
      <c r="H668" s="46"/>
      <c r="I668" s="45">
        <f>_LG!$D$32/_LG!$D$11</f>
        <v>0</v>
      </c>
      <c r="J668" s="45">
        <f>_LG!$E$32/_LG!$E$11</f>
        <v>0</v>
      </c>
      <c r="K668" s="45">
        <f>_LG!$F$32/_LG!$F$11</f>
        <v>0</v>
      </c>
      <c r="L668" s="45">
        <f>_LG!$G$32/_LG!$G$11</f>
        <v>2.3159009294636788E-2</v>
      </c>
      <c r="M668" s="45" t="str">
        <f>_LG!$H$32</f>
        <v>nm</v>
      </c>
      <c r="N668" s="46"/>
      <c r="O668" s="45">
        <f>(_LG!$D$31+_LG!$D$32)/_LG!$D$11</f>
        <v>6.5722952477249755E-2</v>
      </c>
      <c r="P668" s="45">
        <f>(_LG!$E$31+_LG!$E$32)/_LG!$E$11</f>
        <v>5.6467104609553086E-2</v>
      </c>
      <c r="Q668" s="45">
        <f>(_LG!$F$31+_LG!$F$32)/_LG!$F$11</f>
        <v>6.35727289710461E-2</v>
      </c>
      <c r="R668" s="45">
        <f>(_LG!$G$31+_LG!$G$32)/_LG!$G$11</f>
        <v>9.4658491502037048E-2</v>
      </c>
      <c r="S668" s="45">
        <f>_LG!$H$46</f>
        <v>0.1293125939838129</v>
      </c>
      <c r="T668" s="46"/>
      <c r="U668" s="48" t="str">
        <f t="shared" si="169"/>
        <v>KRW 9,890</v>
      </c>
      <c r="V668" s="44" t="str">
        <f t="shared" si="169"/>
        <v>LG Uplus</v>
      </c>
      <c r="Z668" s="49"/>
    </row>
    <row r="669" spans="1:26">
      <c r="C669" s="48" t="str">
        <f t="shared" si="168"/>
        <v>Maxis</v>
      </c>
      <c r="D669" s="44" t="str">
        <f t="shared" si="168"/>
        <v>MYR 3.82</v>
      </c>
      <c r="E669" s="44" t="str">
        <f t="shared" si="168"/>
        <v>MYR 5.60</v>
      </c>
      <c r="F669" s="45">
        <f t="shared" si="168"/>
        <v>0.46596858638743455</v>
      </c>
      <c r="G669" s="44" t="str">
        <f t="shared" si="168"/>
        <v>Buy</v>
      </c>
      <c r="H669" s="46"/>
      <c r="I669" s="45">
        <f>MAXI!$D$32/MAXI!$D$11</f>
        <v>0</v>
      </c>
      <c r="J669" s="45">
        <f>MAXI!$E$32/MAXI!$E$11</f>
        <v>0</v>
      </c>
      <c r="K669" s="45">
        <f>MAXI!$F$32/MAXI!$F$11</f>
        <v>0</v>
      </c>
      <c r="L669" s="45">
        <f>MAXI!$G$32/MAXI!$G$11</f>
        <v>0</v>
      </c>
      <c r="M669" s="45" t="str">
        <f>MAXI!$H$32</f>
        <v>nm</v>
      </c>
      <c r="N669" s="46"/>
      <c r="O669" s="45">
        <f>(MAXI!$D$31+MAXI!$D$32)/MAXI!$D$11</f>
        <v>4.1884816753926704E-2</v>
      </c>
      <c r="P669" s="45">
        <f>(MAXI!$E$31+MAXI!$E$32)/MAXI!$E$11</f>
        <v>4.6471632928753469E-2</v>
      </c>
      <c r="Q669" s="45">
        <f>(MAXI!$F$31+MAXI!$F$32)/MAXI!$F$11</f>
        <v>5.2633753521872599E-2</v>
      </c>
      <c r="R669" s="45">
        <f>(MAXI!$G$31+MAXI!$G$32)/MAXI!$G$11</f>
        <v>5.8034932681404014E-2</v>
      </c>
      <c r="S669" s="45">
        <f>MAXI!$H$46</f>
        <v>0.11502578102968863</v>
      </c>
      <c r="T669" s="46"/>
      <c r="U669" s="48" t="str">
        <f t="shared" si="169"/>
        <v>MYR 3.82</v>
      </c>
      <c r="V669" s="44" t="str">
        <f t="shared" si="169"/>
        <v>Maxis</v>
      </c>
      <c r="Z669" s="49"/>
    </row>
    <row r="670" spans="1:26">
      <c r="A670" s="5"/>
      <c r="C670" s="48" t="str">
        <f t="shared" si="168"/>
        <v>SK Telecom</v>
      </c>
      <c r="D670" s="44" t="str">
        <f t="shared" si="168"/>
        <v>KRW 57,800</v>
      </c>
      <c r="E670" s="44" t="str">
        <f t="shared" si="168"/>
        <v>KRW 116,000</v>
      </c>
      <c r="F670" s="45">
        <f t="shared" si="168"/>
        <v>1.0069204152249136</v>
      </c>
      <c r="G670" s="44" t="str">
        <f t="shared" si="168"/>
        <v>Buy</v>
      </c>
      <c r="H670" s="46"/>
      <c r="I670" s="45">
        <f>SKT!$D$32/SKT!$D$11</f>
        <v>0</v>
      </c>
      <c r="J670" s="45">
        <f>SKT!$E$32/SKT!$E$11</f>
        <v>0</v>
      </c>
      <c r="K670" s="45">
        <f>SKT!$F$32/SKT!$F$11</f>
        <v>3.470493405800857E-2</v>
      </c>
      <c r="L670" s="45">
        <f>SKT!$G$32/SKT!$G$11</f>
        <v>6.1908837776074163E-3</v>
      </c>
      <c r="M670" s="45" t="str">
        <f>SKT!$H$32</f>
        <v>nm</v>
      </c>
      <c r="N670" s="46"/>
      <c r="O670" s="45">
        <f>(SKT!$D$31+SKT!$D$32)/SKT!$D$11</f>
        <v>6.1245674740484438E-2</v>
      </c>
      <c r="P670" s="45">
        <f>(SKT!$E$31+SKT!$E$32)/SKT!$E$11</f>
        <v>7.7689564518691065E-2</v>
      </c>
      <c r="Q670" s="45">
        <f>(SKT!$F$31+SKT!$F$32)/SKT!$F$11</f>
        <v>0.11919010824811496</v>
      </c>
      <c r="R670" s="45">
        <f>(SKT!$G$31+SKT!$G$32)/SKT!$G$11</f>
        <v>9.8958769205774885E-2</v>
      </c>
      <c r="S670" s="45">
        <f>SKT!$H$46</f>
        <v>0.16857419645286864</v>
      </c>
      <c r="T670" s="46"/>
      <c r="U670" s="48" t="str">
        <f t="shared" si="169"/>
        <v>KRW 57,800</v>
      </c>
      <c r="V670" s="44" t="str">
        <f t="shared" si="169"/>
        <v>SK Telecom</v>
      </c>
      <c r="Z670" s="49"/>
    </row>
    <row r="671" spans="1:26">
      <c r="A671" s="5"/>
      <c r="C671" s="48" t="str">
        <f t="shared" si="168"/>
        <v>Taiwan Mobile</v>
      </c>
      <c r="D671" s="44" t="str">
        <f t="shared" si="168"/>
        <v>TWD 115.0</v>
      </c>
      <c r="E671" s="44" t="str">
        <f t="shared" si="168"/>
        <v>TWD n/r</v>
      </c>
      <c r="F671" s="45" t="str">
        <f t="shared" si="168"/>
        <v>-</v>
      </c>
      <c r="G671" s="44" t="str">
        <f t="shared" si="168"/>
        <v>n/r</v>
      </c>
      <c r="H671" s="46"/>
      <c r="I671" s="45">
        <f>TAIWAN!$D$32/TAIWAN!$D$11</f>
        <v>0</v>
      </c>
      <c r="J671" s="45">
        <f>TAIWAN!$E$32/TAIWAN!$E$11</f>
        <v>0</v>
      </c>
      <c r="K671" s="45">
        <f>TAIWAN!$F$32/TAIWAN!$F$11</f>
        <v>0</v>
      </c>
      <c r="L671" s="45">
        <f>TAIWAN!$G$32/TAIWAN!$G$11</f>
        <v>0</v>
      </c>
      <c r="M671" s="45" t="str">
        <f>TAIWAN!$H$32</f>
        <v>nm</v>
      </c>
      <c r="N671" s="46"/>
      <c r="O671" s="45">
        <f>(TAIWAN!$D$31+TAIWAN!$D$32)/TAIWAN!$D$11</f>
        <v>4.6956521739130438E-2</v>
      </c>
      <c r="P671" s="45">
        <f>(TAIWAN!$E$31+TAIWAN!$E$32)/TAIWAN!$E$11</f>
        <v>4.6956521739130438E-2</v>
      </c>
      <c r="Q671" s="45">
        <f>(TAIWAN!$F$31+TAIWAN!$F$32)/TAIWAN!$F$11</f>
        <v>4.6956521739130438E-2</v>
      </c>
      <c r="R671" s="45">
        <f>(TAIWAN!$G$31+TAIWAN!$G$32)/TAIWAN!$G$11</f>
        <v>4.6956521739130438E-2</v>
      </c>
      <c r="S671" s="45">
        <f>TAIWAN!$H$46</f>
        <v>0</v>
      </c>
      <c r="T671" s="46"/>
      <c r="U671" s="48" t="str">
        <f t="shared" si="169"/>
        <v>TWD 115.0</v>
      </c>
      <c r="V671" s="44" t="str">
        <f t="shared" si="169"/>
        <v>Taiwan Mobile</v>
      </c>
      <c r="Z671" s="49"/>
    </row>
    <row r="672" spans="1:26">
      <c r="A672" s="5"/>
      <c r="C672" s="48" t="str">
        <f t="shared" si="168"/>
        <v>True Corp</v>
      </c>
      <c r="D672" s="44" t="str">
        <f t="shared" si="168"/>
        <v>THB 10.7</v>
      </c>
      <c r="E672" s="44" t="str">
        <f t="shared" si="168"/>
        <v>THB 15.0</v>
      </c>
      <c r="F672" s="45">
        <f t="shared" si="168"/>
        <v>0.40186915887850483</v>
      </c>
      <c r="G672" s="44" t="str">
        <f t="shared" si="168"/>
        <v>Buy</v>
      </c>
      <c r="H672" s="46"/>
      <c r="I672" s="45" t="e">
        <f>TRUECORP!$D$32/TRUECORP!$D$11</f>
        <v>#VALUE!</v>
      </c>
      <c r="J672" s="45" t="e">
        <f>TRUECORP!$E$32/TRUECORP!$E$11</f>
        <v>#VALUE!</v>
      </c>
      <c r="K672" s="45" t="e">
        <f>TRUECORP!$F$32/TRUECORP!$F$11</f>
        <v>#VALUE!</v>
      </c>
      <c r="L672" s="45" t="e">
        <f>TRUECORP!$G$32/TRUECORP!$G$11</f>
        <v>#VALUE!</v>
      </c>
      <c r="M672" s="45" t="e">
        <f>TRUECORP!$H$32</f>
        <v>#VALUE!</v>
      </c>
      <c r="N672" s="46"/>
      <c r="O672" s="45" t="e">
        <f>(TRUECORP!$D$31+TRUECORP!$D$32)/TRUECORP!$D$11</f>
        <v>#VALUE!</v>
      </c>
      <c r="P672" s="45" t="e">
        <f>(TRUECORP!$E$31+TRUECORP!$E$32)/TRUECORP!$E$11</f>
        <v>#VALUE!</v>
      </c>
      <c r="Q672" s="45" t="e">
        <f>(TRUECORP!$F$31+TRUECORP!$F$32)/TRUECORP!$F$11</f>
        <v>#VALUE!</v>
      </c>
      <c r="R672" s="45" t="e">
        <f>(TRUECORP!$G$31+TRUECORP!$G$32)/TRUECORP!$G$11</f>
        <v>#VALUE!</v>
      </c>
      <c r="S672" s="45" t="str">
        <f>IFERROR(TRUECORP!$H$46,"na")</f>
        <v>na</v>
      </c>
      <c r="T672" s="46"/>
      <c r="U672" s="48" t="str">
        <f t="shared" si="169"/>
        <v>THB 10.7</v>
      </c>
      <c r="V672" s="44" t="str">
        <f t="shared" si="169"/>
        <v>True Corp</v>
      </c>
      <c r="Z672" s="49"/>
    </row>
    <row r="673" spans="1:31">
      <c r="A673" s="5"/>
      <c r="C673" s="48" t="str">
        <f t="shared" si="168"/>
        <v>XL Axiata</v>
      </c>
      <c r="D673" s="44" t="str">
        <f t="shared" si="168"/>
        <v>IDR 2,330</v>
      </c>
      <c r="E673" s="44" t="str">
        <f t="shared" si="168"/>
        <v>IDR 5,000</v>
      </c>
      <c r="F673" s="45">
        <f t="shared" si="168"/>
        <v>1.1459227467811157</v>
      </c>
      <c r="G673" s="44" t="str">
        <f t="shared" si="168"/>
        <v>Buy</v>
      </c>
      <c r="H673" s="46"/>
      <c r="I673" s="45">
        <f>XLAX!$D$32/XLAX!$D$11</f>
        <v>0</v>
      </c>
      <c r="J673" s="45">
        <f>XLAX!$E$32/XLAX!$E$11</f>
        <v>0</v>
      </c>
      <c r="K673" s="45">
        <f>XLAX!$F$32/XLAX!$F$11</f>
        <v>0</v>
      </c>
      <c r="L673" s="45">
        <f>XLAX!$G$32/XLAX!$G$11</f>
        <v>0</v>
      </c>
      <c r="M673" s="45" t="str">
        <f>XLAX!$H$32</f>
        <v>nm</v>
      </c>
      <c r="N673" s="56"/>
      <c r="O673" s="45">
        <f>(XLAX!$D$31+XLAX!$D$32)/XLAX!$D$11</f>
        <v>2.0858369098712443E-2</v>
      </c>
      <c r="P673" s="45">
        <f>(XLAX!$E$31+XLAX!$E$32)/XLAX!$E$11</f>
        <v>2.6953112772068657E-2</v>
      </c>
      <c r="Q673" s="45">
        <f>(XLAX!$F$31+XLAX!$F$32)/XLAX!$F$11</f>
        <v>3.4639749204670396E-2</v>
      </c>
      <c r="R673" s="45">
        <f>(XLAX!$G$31+XLAX!$G$32)/XLAX!$G$11</f>
        <v>4.323711091555086E-2</v>
      </c>
      <c r="S673" s="45">
        <f>IFERROR(XLAX!$H$46,"na")</f>
        <v>0.27504478570969981</v>
      </c>
      <c r="T673" s="46"/>
      <c r="U673" s="48" t="str">
        <f t="shared" si="169"/>
        <v>IDR 2,330</v>
      </c>
      <c r="V673" s="44" t="str">
        <f t="shared" si="169"/>
        <v>XL Axiata</v>
      </c>
      <c r="Z673" s="49"/>
    </row>
    <row r="674" spans="1:31">
      <c r="A674" s="5"/>
      <c r="C674" s="51" t="str">
        <f>C612</f>
        <v>Agg. Emerging Asia Cellular</v>
      </c>
      <c r="D674" s="52"/>
      <c r="E674" s="52"/>
      <c r="F674" s="53"/>
      <c r="G674" s="52"/>
      <c r="H674" s="46"/>
      <c r="I674" s="55" t="e">
        <f>'EM ASIA CELLULAR'!$D$32/'EM ASIA CELLULAR'!$D$11</f>
        <v>#VALUE!</v>
      </c>
      <c r="J674" s="55" t="e">
        <f>'EM ASIA CELLULAR'!$E$32/'EM ASIA CELLULAR'!$E$11</f>
        <v>#VALUE!</v>
      </c>
      <c r="K674" s="55" t="e">
        <f>'EM ASIA CELLULAR'!$F$32/'EM ASIA CELLULAR'!$F$11</f>
        <v>#VALUE!</v>
      </c>
      <c r="L674" s="55" t="e">
        <f>'EM ASIA CELLULAR'!$G$32/'EM ASIA CELLULAR'!$G$11</f>
        <v>#VALUE!</v>
      </c>
      <c r="M674" s="55" t="e">
        <f>'EM ASIA CELLULAR'!$H$32</f>
        <v>#VALUE!</v>
      </c>
      <c r="N674" s="56"/>
      <c r="O674" s="55" t="e">
        <f>('EM ASIA CELLULAR'!$D$31+'EM ASIA CELLULAR'!$D$32)/'EM ASIA CELLULAR'!$D$11</f>
        <v>#VALUE!</v>
      </c>
      <c r="P674" s="55" t="e">
        <f>('EM ASIA CELLULAR'!$E$31+'EM ASIA CELLULAR'!$E$32)/'EM ASIA CELLULAR'!$E$11</f>
        <v>#VALUE!</v>
      </c>
      <c r="Q674" s="55" t="e">
        <f>('EM ASIA CELLULAR'!$F$31+'EM ASIA CELLULAR'!$F$32)/'EM ASIA CELLULAR'!$F$11</f>
        <v>#VALUE!</v>
      </c>
      <c r="R674" s="55" t="e">
        <f>('EM ASIA CELLULAR'!$G$31+'EM ASIA CELLULAR'!$G$32)/'EM ASIA CELLULAR'!$G$11</f>
        <v>#VALUE!</v>
      </c>
      <c r="S674" s="55" t="e">
        <f>'EM ASIA CELLULAR'!$H$46</f>
        <v>#VALUE!</v>
      </c>
      <c r="T674" s="46"/>
      <c r="U674" s="57"/>
      <c r="V674" s="58" t="str">
        <f>V612</f>
        <v>Agg. Emerging Asia Cellular</v>
      </c>
      <c r="Z674" s="49"/>
    </row>
    <row r="675" spans="1:31">
      <c r="A675" s="5"/>
      <c r="C675" s="43"/>
      <c r="D675" s="44"/>
      <c r="E675" s="44"/>
      <c r="F675" s="68"/>
      <c r="G675" s="44"/>
      <c r="H675" s="46"/>
      <c r="I675" s="61"/>
      <c r="J675" s="61"/>
      <c r="K675" s="61"/>
      <c r="L675" s="61"/>
      <c r="M675" s="61"/>
      <c r="N675" s="46"/>
      <c r="O675" s="61"/>
      <c r="P675" s="61"/>
      <c r="Q675" s="61"/>
      <c r="R675" s="61"/>
      <c r="S675" s="61"/>
      <c r="T675" s="46"/>
      <c r="U675" s="48"/>
      <c r="V675" s="50"/>
      <c r="Z675" s="49"/>
    </row>
    <row r="676" spans="1:31">
      <c r="A676" s="5"/>
      <c r="C676" s="51" t="str">
        <f>C614</f>
        <v>Agg. Emerging  Cellular</v>
      </c>
      <c r="D676" s="52"/>
      <c r="E676" s="52"/>
      <c r="F676" s="53"/>
      <c r="G676" s="52"/>
      <c r="H676" s="46"/>
      <c r="I676" s="55" t="e">
        <f>'EM CELLULAR'!$D$32/'EM CELLULAR'!$D$11</f>
        <v>#VALUE!</v>
      </c>
      <c r="J676" s="55" t="e">
        <f>'EM CELLULAR'!$E$32/'EM CELLULAR'!$E$11</f>
        <v>#VALUE!</v>
      </c>
      <c r="K676" s="55" t="e">
        <f>'EM CELLULAR'!$F$32/'EM CELLULAR'!$F$11</f>
        <v>#VALUE!</v>
      </c>
      <c r="L676" s="55" t="e">
        <f>'EM CELLULAR'!$G$32/'EM CELLULAR'!$G$11</f>
        <v>#VALUE!</v>
      </c>
      <c r="M676" s="55" t="e">
        <f>'EM CELLULAR'!$H$32</f>
        <v>#VALUE!</v>
      </c>
      <c r="N676" s="46"/>
      <c r="O676" s="55" t="e">
        <f>('EM CELLULAR'!$D$31+'EM CELLULAR'!$D$32)/'EM CELLULAR'!$D$11</f>
        <v>#VALUE!</v>
      </c>
      <c r="P676" s="55" t="e">
        <f>('EM CELLULAR'!$E$31+'EM CELLULAR'!$E$32)/'EM CELLULAR'!$E$11</f>
        <v>#VALUE!</v>
      </c>
      <c r="Q676" s="55" t="e">
        <f>('EM CELLULAR'!$F$31+'EM CELLULAR'!$F$32)/'EM CELLULAR'!$F$11</f>
        <v>#VALUE!</v>
      </c>
      <c r="R676" s="55" t="e">
        <f>('EM CELLULAR'!$G$31+'EM CELLULAR'!$G$32)/'EM CELLULAR'!$G$11</f>
        <v>#VALUE!</v>
      </c>
      <c r="S676" s="55" t="e">
        <f>'EM CELLULAR'!$H$46</f>
        <v>#VALUE!</v>
      </c>
      <c r="T676" s="46"/>
      <c r="U676" s="57"/>
      <c r="V676" s="58" t="str">
        <f>V614</f>
        <v>Agg. Emerging  Cellular</v>
      </c>
      <c r="Z676" s="49"/>
    </row>
    <row r="677" spans="1:31">
      <c r="C677" s="43"/>
      <c r="D677" s="44"/>
      <c r="E677" s="44"/>
      <c r="F677" s="45"/>
      <c r="G677" s="44"/>
      <c r="H677" s="46"/>
      <c r="I677" s="45"/>
      <c r="J677" s="45"/>
      <c r="K677" s="45"/>
      <c r="L677" s="45"/>
      <c r="M677" s="45"/>
      <c r="N677" s="46"/>
      <c r="O677" s="45"/>
      <c r="P677" s="45"/>
      <c r="Q677" s="45"/>
      <c r="R677" s="45"/>
      <c r="S677" s="45"/>
      <c r="T677" s="46"/>
      <c r="U677" s="48"/>
      <c r="V677" s="50"/>
      <c r="Z677" s="49"/>
    </row>
    <row r="678" spans="1:31">
      <c r="A678" s="41" t="s">
        <v>503</v>
      </c>
      <c r="B678" s="42" t="s">
        <v>577</v>
      </c>
      <c r="C678" s="48" t="s">
        <v>811</v>
      </c>
      <c r="D678" s="44" t="str">
        <f>'EM Multiples'!B678&amp;TEXT(Prices!C$135,"0.00")</f>
        <v>MXN42.67</v>
      </c>
      <c r="E678" s="44" t="str">
        <f>'EM Multiples'!B678&amp;TEXT(Prices!E$135,"0.00")</f>
        <v>MXN55.00</v>
      </c>
      <c r="F678" s="45">
        <f>Prices!F$135</f>
        <v>0.28896179985938586</v>
      </c>
      <c r="G678" s="44" t="str">
        <f>Prices!D$48</f>
        <v>Buy</v>
      </c>
      <c r="H678" s="46"/>
      <c r="I678" s="45">
        <f>MEGA!$D$32/MEGA!$D$11</f>
        <v>0</v>
      </c>
      <c r="J678" s="45">
        <f>MEGA!$E$32/MEGA!$E$11</f>
        <v>0</v>
      </c>
      <c r="K678" s="45">
        <f>MEGA!$F$32/MEGA!$F$11</f>
        <v>0</v>
      </c>
      <c r="L678" s="45">
        <f>MEGA!$G$32/MEGA!$G$11</f>
        <v>0</v>
      </c>
      <c r="M678" s="45" t="str">
        <f>MEGA!$H$32</f>
        <v>nm</v>
      </c>
      <c r="N678" s="46"/>
      <c r="O678" s="45">
        <f>(MEGA!$D$31+MEGA!$D$32)/MEGA!$D$11</f>
        <v>7.2838059526599497E-2</v>
      </c>
      <c r="P678" s="45">
        <f>(MEGA!$E$31+MEGA!$E$32)/MEGA!$E$11</f>
        <v>7.6479962502929461E-2</v>
      </c>
      <c r="Q678" s="45">
        <f>(MEGA!$F$31+MEGA!$F$32)/MEGA!$F$11</f>
        <v>8.4127958753222418E-2</v>
      </c>
      <c r="R678" s="45">
        <f>(MEGA!$G$31+MEGA!$G$32)/MEGA!$G$11</f>
        <v>9.2540754628544664E-2</v>
      </c>
      <c r="S678" s="45">
        <f>MEGA!$H$46</f>
        <v>8.3074231263342124E-2</v>
      </c>
      <c r="T678" s="46"/>
      <c r="U678" s="48" t="str">
        <f>D678</f>
        <v>MXN42.67</v>
      </c>
      <c r="V678" s="44" t="str">
        <f>C678</f>
        <v>Megacable</v>
      </c>
      <c r="Z678" s="46"/>
      <c r="AE678" s="41"/>
    </row>
    <row r="679" spans="1:31">
      <c r="A679" s="5"/>
      <c r="B679" s="42" t="s">
        <v>406</v>
      </c>
      <c r="C679" s="48" t="s">
        <v>797</v>
      </c>
      <c r="D679" s="44" t="str">
        <f>'EM Multiples'!B679&amp;TEXT(Prices!C$138,"0.00")</f>
        <v>USD9.48</v>
      </c>
      <c r="E679" s="44" t="str">
        <f>'EM Multiples'!B679&amp;TEXT(Prices!E$138,"0.00")</f>
        <v>USD14.00</v>
      </c>
      <c r="F679" s="45">
        <f>Prices!F$138</f>
        <v>0.47679324894514763</v>
      </c>
      <c r="G679" s="44" t="str">
        <f>Prices!D$138</f>
        <v>Buy</v>
      </c>
      <c r="H679" s="46"/>
      <c r="I679" s="45">
        <f>LiLAC!$D$32/LiLAC!$D$11</f>
        <v>0.14442925858411618</v>
      </c>
      <c r="J679" s="45">
        <f>LiLAC!$E$32/LiLAC!$E$11</f>
        <v>-9.062763446357773E-2</v>
      </c>
      <c r="K679" s="45">
        <f>LiLAC!$F$32/LiLAC!$F$11</f>
        <v>0.82539250435206701</v>
      </c>
      <c r="L679" s="45">
        <f>LiLAC!$G$32/LiLAC!$G$11</f>
        <v>0.13632771253577622</v>
      </c>
      <c r="M679" s="45">
        <f>LiLAC!$H$32</f>
        <v>0</v>
      </c>
      <c r="N679" s="46"/>
      <c r="O679" s="45">
        <f>(LiLAC!$D$31+LiLAC!$D$32)/LiLAC!$D$11</f>
        <v>0.14442925858411618</v>
      </c>
      <c r="P679" s="45">
        <f>(LiLAC!$E$31+LiLAC!$E$32)/LiLAC!$E$11</f>
        <v>-9.062763446357773E-2</v>
      </c>
      <c r="Q679" s="45">
        <f>(LiLAC!$F$31+LiLAC!$F$32)/LiLAC!$F$11</f>
        <v>0.82539250435206701</v>
      </c>
      <c r="R679" s="45">
        <f>(LiLAC!$G$31+LiLAC!$G$32)/LiLAC!$G$11</f>
        <v>0.13632771253577622</v>
      </c>
      <c r="S679" s="45">
        <f>LiLAC!$H$46</f>
        <v>6.2110327747262106E-2</v>
      </c>
      <c r="T679" s="46"/>
      <c r="U679" s="48" t="str">
        <f>D679</f>
        <v>USD9.48</v>
      </c>
      <c r="V679" s="44" t="str">
        <f>C679</f>
        <v>LiLAC</v>
      </c>
      <c r="Z679" s="46"/>
      <c r="AE679" s="41"/>
    </row>
    <row r="680" spans="1:31">
      <c r="A680" s="5"/>
      <c r="C680" s="67" t="s">
        <v>814</v>
      </c>
      <c r="D680" s="52"/>
      <c r="E680" s="52"/>
      <c r="F680" s="53"/>
      <c r="G680" s="52"/>
      <c r="H680" s="46"/>
      <c r="I680" s="55">
        <f>'LATAM ALTNET &amp; CABLE'!$D$32/'LATAM ALTNET &amp; CABLE'!$D$11</f>
        <v>6.9682703980311539E-2</v>
      </c>
      <c r="J680" s="55">
        <f>'LATAM ALTNET &amp; CABLE'!$E$32/'LATAM ALTNET &amp; CABLE'!$E$11</f>
        <v>-4.3842427076603248E-2</v>
      </c>
      <c r="K680" s="55">
        <f>'LATAM ALTNET &amp; CABLE'!$F$32/'LATAM ALTNET &amp; CABLE'!$F$11</f>
        <v>0.4493935383730831</v>
      </c>
      <c r="L680" s="55">
        <f>'LATAM ALTNET &amp; CABLE'!$G$32/'LATAM ALTNET &amp; CABLE'!$G$11</f>
        <v>7.3888056828326248E-2</v>
      </c>
      <c r="M680" s="55" t="str">
        <f>'LATAM ALTNET &amp; CABLE'!$H$32</f>
        <v>nm</v>
      </c>
      <c r="N680" s="46"/>
      <c r="O680" s="55">
        <f>('LATAM ALTNET &amp; CABLE'!$D$31+'LATAM ALTNET &amp; CABLE'!$D$32)/'LATAM ALTNET &amp; CABLE'!$D$11</f>
        <v>0.10737862547858126</v>
      </c>
      <c r="P680" s="55">
        <f>('LATAM ALTNET &amp; CABLE'!$E$31+'LATAM ALTNET &amp; CABLE'!$E$32)/'LATAM ALTNET &amp; CABLE'!$E$11</f>
        <v>-4.3607510091825692E-3</v>
      </c>
      <c r="Q680" s="55">
        <f>('LATAM ALTNET &amp; CABLE'!$F$31+'LATAM ALTNET &amp; CABLE'!$F$32)/'LATAM ALTNET &amp; CABLE'!$F$11</f>
        <v>0.48771715451249231</v>
      </c>
      <c r="R680" s="55">
        <f>('LATAM ALTNET &amp; CABLE'!$G$31+'LATAM ALTNET &amp; CABLE'!$G$32)/'LATAM ALTNET &amp; CABLE'!$G$11</f>
        <v>0.11627278367832435</v>
      </c>
      <c r="S680" s="55">
        <f>'LATAM ALTNET &amp; CABLE'!$H$46</f>
        <v>6.9563625971092335E-2</v>
      </c>
      <c r="T680" s="46"/>
      <c r="U680" s="57"/>
      <c r="V680" s="58" t="str">
        <f>C680</f>
        <v>Agg. Emerging LatAm Altnets &amp; Cable</v>
      </c>
      <c r="Z680" s="46"/>
      <c r="AE680" s="41"/>
    </row>
    <row r="681" spans="1:31">
      <c r="C681" s="43"/>
      <c r="D681" s="44"/>
      <c r="E681" s="44"/>
      <c r="F681" s="45"/>
      <c r="G681" s="44"/>
      <c r="H681" s="46"/>
      <c r="I681" s="45"/>
      <c r="J681" s="45"/>
      <c r="K681" s="45"/>
      <c r="L681" s="45"/>
      <c r="M681" s="45"/>
      <c r="N681" s="46"/>
      <c r="O681" s="45"/>
      <c r="P681" s="45"/>
      <c r="Q681" s="45"/>
      <c r="R681" s="45"/>
      <c r="S681" s="45"/>
      <c r="T681" s="46"/>
      <c r="U681" s="48"/>
      <c r="V681" s="50"/>
      <c r="Z681" s="49"/>
    </row>
    <row r="682" spans="1:31">
      <c r="C682" s="67" t="str">
        <f>C620</f>
        <v>Agg. EMEA sector</v>
      </c>
      <c r="D682" s="52"/>
      <c r="E682" s="52"/>
      <c r="F682" s="53"/>
      <c r="G682" s="52"/>
      <c r="H682" s="46"/>
      <c r="I682" s="55">
        <f>'EMEA AGG'!$D$32/'EMEA AGG'!$D$11</f>
        <v>9.8582650962243516E-4</v>
      </c>
      <c r="J682" s="55">
        <f>'EMEA AGG'!$E$32/'EMEA AGG'!$E$11</f>
        <v>-5.1950067092797585E-3</v>
      </c>
      <c r="K682" s="55">
        <f>'EMEA AGG'!$F$32/'EMEA AGG'!$F$11</f>
        <v>5.3173724597810664E-3</v>
      </c>
      <c r="L682" s="55">
        <f>'EMEA AGG'!$G$32/'EMEA AGG'!$G$11</f>
        <v>-3.4516625047688917E-4</v>
      </c>
      <c r="M682" s="55">
        <f>'EMEA AGG'!$H$32</f>
        <v>-1.7045376851021725</v>
      </c>
      <c r="N682" s="56"/>
      <c r="O682" s="55">
        <f>('EMEA AGG'!$D$31+'EMEA AGG'!$D$32)/'EMEA AGG'!$D$11</f>
        <v>2.0159085239169608E-2</v>
      </c>
      <c r="P682" s="55">
        <f>('EMEA AGG'!$E$31+'EMEA AGG'!$E$32)/'EMEA AGG'!$E$11</f>
        <v>1.7574350252017774E-2</v>
      </c>
      <c r="Q682" s="55">
        <f>('EMEA AGG'!$F$31+'EMEA AGG'!$F$32)/'EMEA AGG'!$F$11</f>
        <v>3.351530486151226E-2</v>
      </c>
      <c r="R682" s="55">
        <f>('EMEA AGG'!$G$31+'EMEA AGG'!$G$32)/'EMEA AGG'!$G$11</f>
        <v>2.9757131764344472E-2</v>
      </c>
      <c r="S682" s="55">
        <f>'EMEA AGG'!$H$46</f>
        <v>0.13815575730238483</v>
      </c>
      <c r="T682" s="46"/>
      <c r="U682" s="57"/>
      <c r="V682" s="58" t="str">
        <f>V620</f>
        <v>Agg. EMEA sector</v>
      </c>
      <c r="Z682" s="49"/>
    </row>
    <row r="683" spans="1:31">
      <c r="C683" s="41" t="str">
        <f>C621</f>
        <v>Agg. LatAm sector</v>
      </c>
      <c r="D683" s="44"/>
      <c r="E683" s="44"/>
      <c r="F683" s="45"/>
      <c r="G683" s="44"/>
      <c r="H683" s="46"/>
      <c r="I683" s="59">
        <f>'LATAM AGG'!$D$32/'LATAM AGG'!$D$11</f>
        <v>3.0993222017787567E-3</v>
      </c>
      <c r="J683" s="59">
        <f>'LATAM AGG'!$E$32/'LATAM AGG'!$E$11</f>
        <v>-1.575931082873029E-3</v>
      </c>
      <c r="K683" s="59">
        <f>'LATAM AGG'!$F$32/'LATAM AGG'!$F$11</f>
        <v>1.4850959766361159E-2</v>
      </c>
      <c r="L683" s="59">
        <f>'LATAM AGG'!$G$32/'LATAM AGG'!$G$11</f>
        <v>2.5776171689334691E-2</v>
      </c>
      <c r="M683" s="59">
        <f>'LATAM AGG'!$H$32</f>
        <v>0.97804557133531156</v>
      </c>
      <c r="N683" s="56"/>
      <c r="O683" s="59">
        <f>('LATAM AGG'!$D$31+'LATAM AGG'!$D$32)/'LATAM AGG'!$D$11</f>
        <v>3.5643647091074954E-2</v>
      </c>
      <c r="P683" s="59">
        <f>('LATAM AGG'!$E$31+'LATAM AGG'!$E$32)/'LATAM AGG'!$E$11</f>
        <v>3.5768478348423276E-2</v>
      </c>
      <c r="Q683" s="59">
        <f>('LATAM AGG'!$F$31+'LATAM AGG'!$F$32)/'LATAM AGG'!$F$11</f>
        <v>5.7717344663765387E-2</v>
      </c>
      <c r="R683" s="59">
        <f>('LATAM AGG'!$G$31+'LATAM AGG'!$G$32)/'LATAM AGG'!$G$11</f>
        <v>7.3248698143328447E-2</v>
      </c>
      <c r="S683" s="59">
        <f>'LATAM AGG'!$H$46</f>
        <v>0.24124731431677326</v>
      </c>
      <c r="T683" s="46"/>
      <c r="U683" s="48"/>
      <c r="V683" s="50" t="str">
        <f>V621</f>
        <v>Agg. LatAm sector</v>
      </c>
      <c r="Z683" s="49"/>
    </row>
    <row r="684" spans="1:31">
      <c r="C684" s="67" t="str">
        <f>C622</f>
        <v>Agg. Emerging Asia sector</v>
      </c>
      <c r="D684" s="52"/>
      <c r="E684" s="52"/>
      <c r="F684" s="53"/>
      <c r="G684" s="52"/>
      <c r="H684" s="46"/>
      <c r="I684" s="55" t="e">
        <f>'AGG EM ASIA'!$D$32/'AGG EM ASIA'!$D$11</f>
        <v>#VALUE!</v>
      </c>
      <c r="J684" s="55" t="e">
        <f>'AGG EM ASIA'!$E$32/'AGG EM ASIA'!$E$11</f>
        <v>#VALUE!</v>
      </c>
      <c r="K684" s="55" t="e">
        <f>'AGG EM ASIA'!$F$32/'AGG EM ASIA'!$F$11</f>
        <v>#VALUE!</v>
      </c>
      <c r="L684" s="55" t="e">
        <f>'AGG EM ASIA'!$G$32/'AGG EM ASIA'!$G$11</f>
        <v>#VALUE!</v>
      </c>
      <c r="M684" s="55" t="e">
        <f>'AGG EM ASIA'!$H$32</f>
        <v>#VALUE!</v>
      </c>
      <c r="N684" s="56"/>
      <c r="O684" s="55" t="e">
        <f>('AGG EM ASIA'!$D$31+'AGG EM ASIA'!$D$32)/'AGG EM ASIA'!$D$11</f>
        <v>#VALUE!</v>
      </c>
      <c r="P684" s="55" t="e">
        <f>('AGG EM ASIA'!$E$31+'AGG EM ASIA'!$E$32)/'AGG EM ASIA'!$E$11</f>
        <v>#VALUE!</v>
      </c>
      <c r="Q684" s="55" t="e">
        <f>('AGG EM ASIA'!$F$31+'AGG EM ASIA'!$F$32)/'AGG EM ASIA'!$F$11</f>
        <v>#VALUE!</v>
      </c>
      <c r="R684" s="55" t="e">
        <f>('AGG EM ASIA'!$G$31+'AGG EM ASIA'!$G$32)/'AGG EM ASIA'!$G$11</f>
        <v>#VALUE!</v>
      </c>
      <c r="S684" s="55" t="e">
        <f>'AGG EM ASIA'!$H$46</f>
        <v>#VALUE!</v>
      </c>
      <c r="T684" s="46"/>
      <c r="U684" s="57"/>
      <c r="V684" s="58" t="str">
        <f>V622</f>
        <v>Agg. Emerging Asia sector</v>
      </c>
      <c r="Z684" s="49"/>
    </row>
    <row r="685" spans="1:31">
      <c r="C685" s="41"/>
      <c r="D685" s="44"/>
      <c r="E685" s="44"/>
      <c r="F685" s="45"/>
      <c r="G685" s="44"/>
      <c r="H685" s="46"/>
      <c r="I685" s="59"/>
      <c r="J685" s="59"/>
      <c r="K685" s="59"/>
      <c r="L685" s="59"/>
      <c r="M685" s="59"/>
      <c r="N685" s="56"/>
      <c r="O685" s="59"/>
      <c r="P685" s="59"/>
      <c r="Q685" s="59"/>
      <c r="R685" s="59"/>
      <c r="S685" s="59"/>
      <c r="T685" s="46"/>
      <c r="U685" s="48"/>
      <c r="V685" s="50"/>
      <c r="X685" s="59"/>
      <c r="Y685" s="59"/>
      <c r="Z685" s="49"/>
    </row>
    <row r="686" spans="1:31" s="5" customFormat="1">
      <c r="A686" s="39"/>
      <c r="B686" s="42"/>
      <c r="C686" s="67" t="str">
        <f>C624</f>
        <v>Agg. Global EM sector (ex-consensus)</v>
      </c>
      <c r="D686" s="52"/>
      <c r="E686" s="52"/>
      <c r="F686" s="53"/>
      <c r="G686" s="52"/>
      <c r="H686" s="46"/>
      <c r="I686" s="55" t="e">
        <f>'AGG EM'!$D$32/'AGG EM'!$D$11</f>
        <v>#VALUE!</v>
      </c>
      <c r="J686" s="55" t="e">
        <f>'AGG EM'!$E$32/'AGG EM'!$E$11</f>
        <v>#VALUE!</v>
      </c>
      <c r="K686" s="55" t="e">
        <f>'AGG EM'!$F$32/'AGG EM'!$F$11</f>
        <v>#VALUE!</v>
      </c>
      <c r="L686" s="55" t="e">
        <f>'AGG EM'!$G$32/'AGG EM'!$G$11</f>
        <v>#VALUE!</v>
      </c>
      <c r="M686" s="55" t="e">
        <f>'AGG EM'!$H$32</f>
        <v>#VALUE!</v>
      </c>
      <c r="N686" s="56"/>
      <c r="O686" s="55" t="e">
        <f>('AGG EM'!$D$31+'AGG EM'!$D$32)/'AGG EM'!$D$11</f>
        <v>#VALUE!</v>
      </c>
      <c r="P686" s="55" t="e">
        <f>('AGG EM'!$E$31+'AGG EM'!$E$32)/'AGG EM'!$E$11</f>
        <v>#VALUE!</v>
      </c>
      <c r="Q686" s="55" t="e">
        <f>('AGG EM'!$F$31+'AGG EM'!$F$32)/'AGG EM'!$F$11</f>
        <v>#VALUE!</v>
      </c>
      <c r="R686" s="55" t="e">
        <f>('AGG EM'!$G$31+'AGG EM'!$G$32)/'AGG EM'!$G$11</f>
        <v>#VALUE!</v>
      </c>
      <c r="S686" s="55" t="e">
        <f>'AGG EM'!$H$46</f>
        <v>#VALUE!</v>
      </c>
      <c r="T686" s="46"/>
      <c r="U686" s="57"/>
      <c r="V686" s="58" t="str">
        <f>V624</f>
        <v>Agg. Global EM sector (ex-consensus)</v>
      </c>
      <c r="Z686" s="49"/>
    </row>
    <row r="687" spans="1:31">
      <c r="W687" s="61"/>
      <c r="Z687" s="49"/>
    </row>
    <row r="688" spans="1:31">
      <c r="W688" s="61"/>
      <c r="Z688" s="49"/>
    </row>
    <row r="689" spans="1:69" s="41" customFormat="1">
      <c r="B689" s="147"/>
      <c r="C689" s="164"/>
      <c r="D689" s="165" t="s">
        <v>459</v>
      </c>
      <c r="E689" s="165" t="s">
        <v>56</v>
      </c>
      <c r="F689" s="165" t="s">
        <v>58</v>
      </c>
      <c r="G689" s="165" t="s">
        <v>55</v>
      </c>
      <c r="H689" s="134"/>
      <c r="I689" s="166" t="s">
        <v>17</v>
      </c>
      <c r="J689" s="166"/>
      <c r="K689" s="166"/>
      <c r="L689" s="166"/>
      <c r="M689" s="166"/>
      <c r="N689" s="46"/>
      <c r="O689" s="166" t="s">
        <v>19</v>
      </c>
      <c r="P689" s="166"/>
      <c r="Q689" s="166"/>
      <c r="R689" s="166"/>
      <c r="S689" s="166"/>
      <c r="T689" s="46"/>
      <c r="U689" s="167" t="s">
        <v>459</v>
      </c>
      <c r="V689" s="165"/>
      <c r="Z689" s="49"/>
      <c r="AC689" s="135"/>
      <c r="AD689" s="136"/>
      <c r="AE689" s="136"/>
      <c r="AF689" s="136"/>
      <c r="AG689" s="136"/>
      <c r="AH689" s="136"/>
      <c r="AI689" s="136"/>
      <c r="AJ689" s="136"/>
      <c r="AK689" s="136"/>
      <c r="AL689" s="136"/>
      <c r="AM689" s="136"/>
      <c r="AN689" s="136"/>
      <c r="AO689" s="136"/>
      <c r="AP689" s="136"/>
      <c r="AQ689" s="136"/>
      <c r="AR689" s="136"/>
      <c r="AS689" s="136"/>
      <c r="AT689" s="136"/>
      <c r="AU689" s="136"/>
      <c r="AV689" s="136"/>
      <c r="AW689" s="136"/>
      <c r="BC689" s="137"/>
      <c r="BD689" s="137"/>
      <c r="BE689" s="137"/>
      <c r="BG689" s="137"/>
      <c r="BH689" s="137"/>
      <c r="BI689" s="137"/>
      <c r="BK689" s="137"/>
      <c r="BL689" s="137"/>
      <c r="BM689" s="137"/>
      <c r="BO689" s="137"/>
      <c r="BP689" s="137"/>
      <c r="BQ689" s="137"/>
    </row>
    <row r="690" spans="1:69" s="5" customFormat="1">
      <c r="A690" s="41" t="s">
        <v>501</v>
      </c>
      <c r="B690" s="42"/>
      <c r="C690" s="48" t="str">
        <f>C628</f>
        <v>Telkom SA</v>
      </c>
      <c r="D690" s="44" t="str">
        <f>D628</f>
        <v>ZAR 27.6</v>
      </c>
      <c r="E690" s="44" t="str">
        <f>E628</f>
        <v>ZAR 56.0</v>
      </c>
      <c r="F690" s="45">
        <f>F628</f>
        <v>1.0326678765880217</v>
      </c>
      <c r="G690" s="44" t="str">
        <f>G628</f>
        <v>Neutral</v>
      </c>
      <c r="H690" s="134"/>
      <c r="I690" s="47">
        <f>TKG!D$11/1000/Prices!$C$170</f>
        <v>0.7691515296562661</v>
      </c>
      <c r="J690" s="47">
        <f>TKG!E$11/1000/Prices!$C$170</f>
        <v>0.7691515296562661</v>
      </c>
      <c r="K690" s="47">
        <f>TKG!F$11/1000/Prices!$C$170</f>
        <v>0.7691515296562661</v>
      </c>
      <c r="L690" s="47">
        <f>TKG!G$11/1000/Prices!$C$170</f>
        <v>0.7691515296562661</v>
      </c>
      <c r="M690" s="45">
        <f t="shared" ref="M690" si="170">(L690/I690)^(1/3)-1</f>
        <v>0</v>
      </c>
      <c r="N690" s="46"/>
      <c r="O690" s="47">
        <f>TKG!D$12/1000/Prices!$C$170</f>
        <v>0.69437441600092498</v>
      </c>
      <c r="P690" s="47">
        <f>TKG!E$12/1000/Prices!$C$170</f>
        <v>0.65196616247338479</v>
      </c>
      <c r="Q690" s="47">
        <f>TKG!F$12/1000/Prices!$C$170</f>
        <v>0.61129766720078915</v>
      </c>
      <c r="R690" s="47">
        <f>TKG!G$12/1000/Prices!$C$170</f>
        <v>0.56977732731879271</v>
      </c>
      <c r="S690" s="45">
        <f t="shared" ref="S690" si="171">(R690/O690)^(1/3)-1</f>
        <v>-6.3796017498287227E-2</v>
      </c>
      <c r="T690" s="46"/>
      <c r="U690" s="48" t="str">
        <f>U628</f>
        <v>ZAR 27.6</v>
      </c>
      <c r="V690" s="44" t="str">
        <f>V628</f>
        <v>Telkom SA</v>
      </c>
      <c r="Z690" s="49"/>
    </row>
    <row r="691" spans="1:69">
      <c r="A691" s="5"/>
      <c r="C691" s="51" t="str">
        <f>C629</f>
        <v>Agg. EMEA Incumbent</v>
      </c>
      <c r="D691" s="58"/>
      <c r="E691" s="58"/>
      <c r="F691" s="55"/>
      <c r="G691" s="58"/>
      <c r="H691" s="134"/>
      <c r="I691" s="54"/>
      <c r="J691" s="54"/>
      <c r="K691" s="54"/>
      <c r="L691" s="54"/>
      <c r="M691" s="55"/>
      <c r="N691" s="56"/>
      <c r="O691" s="54"/>
      <c r="P691" s="54"/>
      <c r="Q691" s="54"/>
      <c r="R691" s="54"/>
      <c r="S691" s="55"/>
      <c r="T691" s="56"/>
      <c r="U691" s="51"/>
      <c r="V691" s="58" t="str">
        <f>V629</f>
        <v>Agg. EMEA Incumbent</v>
      </c>
    </row>
    <row r="692" spans="1:69" s="5" customFormat="1">
      <c r="B692" s="42"/>
      <c r="C692" s="48"/>
      <c r="D692" s="44"/>
      <c r="E692" s="44"/>
      <c r="F692" s="68"/>
      <c r="G692" s="44"/>
      <c r="H692" s="134"/>
      <c r="I692" s="62"/>
      <c r="J692" s="62"/>
      <c r="K692" s="62"/>
      <c r="L692" s="62"/>
      <c r="M692" s="61"/>
      <c r="N692" s="46"/>
      <c r="O692" s="62"/>
      <c r="P692" s="62"/>
      <c r="Q692" s="62"/>
      <c r="R692" s="62"/>
      <c r="S692" s="61"/>
      <c r="T692" s="46"/>
      <c r="U692" s="48"/>
      <c r="V692" s="44"/>
      <c r="Z692" s="46"/>
    </row>
    <row r="693" spans="1:69" s="5" customFormat="1">
      <c r="B693" s="42"/>
      <c r="C693" s="48" t="str">
        <f t="shared" ref="C693:G696" si="172">C631</f>
        <v>America Movil</v>
      </c>
      <c r="D693" s="44" t="str">
        <f t="shared" si="172"/>
        <v>USD 16.3</v>
      </c>
      <c r="E693" s="44" t="str">
        <f t="shared" si="172"/>
        <v>USD 24.0</v>
      </c>
      <c r="F693" s="45">
        <f t="shared" si="172"/>
        <v>0.4714898835070509</v>
      </c>
      <c r="G693" s="44" t="str">
        <f t="shared" si="172"/>
        <v>Buy</v>
      </c>
      <c r="H693" s="46"/>
      <c r="I693" s="47">
        <f>AMX!D$11/1000</f>
        <v>50.849685368999999</v>
      </c>
      <c r="J693" s="47">
        <f>AMX!E$11/1000</f>
        <v>49.218685368999999</v>
      </c>
      <c r="K693" s="47">
        <f>AMX!F$11/1000</f>
        <v>47.179935368999999</v>
      </c>
      <c r="L693" s="47">
        <f>AMX!G$11/1000</f>
        <v>45.141185368999999</v>
      </c>
      <c r="M693" s="45">
        <f t="shared" ref="M693:M697" si="173">(L693/I693)^(1/3)-1</f>
        <v>-3.891552250541741E-2</v>
      </c>
      <c r="N693" s="46"/>
      <c r="O693" s="47">
        <f>AMX!D$12/1000</f>
        <v>28.013412580953826</v>
      </c>
      <c r="P693" s="47">
        <f>AMX!E$12/1000</f>
        <v>27.344065161451127</v>
      </c>
      <c r="Q693" s="47">
        <f>AMX!F$12/1000</f>
        <v>25.545358322966752</v>
      </c>
      <c r="R693" s="47">
        <f>AMX!G$12/1000</f>
        <v>24.365718080729671</v>
      </c>
      <c r="S693" s="45">
        <f t="shared" ref="S693:S697" si="174">(R693/O693)^(1/3)-1</f>
        <v>-4.5437434008195554E-2</v>
      </c>
      <c r="T693" s="46"/>
      <c r="U693" s="48" t="str">
        <f t="shared" ref="U693:V695" si="175">U631</f>
        <v>USD 16.3</v>
      </c>
      <c r="V693" s="44" t="str">
        <f t="shared" si="175"/>
        <v>America Movil</v>
      </c>
      <c r="Z693" s="46"/>
    </row>
    <row r="694" spans="1:69">
      <c r="A694" s="5"/>
      <c r="C694" s="48" t="str">
        <f t="shared" si="172"/>
        <v>Oi</v>
      </c>
      <c r="D694" s="44" t="str">
        <f t="shared" si="172"/>
        <v>BRL 12.10</v>
      </c>
      <c r="E694" s="44" t="str">
        <f t="shared" si="172"/>
        <v>BRL 0.90</v>
      </c>
      <c r="F694" s="45">
        <f t="shared" si="172"/>
        <v>-0.92561983471074383</v>
      </c>
      <c r="G694" s="44" t="str">
        <f t="shared" si="172"/>
        <v>Neutral</v>
      </c>
      <c r="H694" s="46"/>
      <c r="I694" s="47">
        <f>OIBR!D$11/Prices!$C$160/1000</f>
        <v>5.4790860139128954</v>
      </c>
      <c r="J694" s="47">
        <f>OIBR!E$11/Prices!$C$160/1000</f>
        <v>5.4790860139128954</v>
      </c>
      <c r="K694" s="47">
        <f>OIBR!F$11/Prices!$C$160/1000</f>
        <v>5.4790860139128954</v>
      </c>
      <c r="L694" s="47">
        <f>OIBR!G$11/Prices!$C$160/1000</f>
        <v>5.4790860139128954</v>
      </c>
      <c r="M694" s="45">
        <f>(L694/I694)^(1/3)-1</f>
        <v>0</v>
      </c>
      <c r="N694" s="46"/>
      <c r="O694" s="47">
        <f>OIBR!D$12/Prices!$C$160/1000</f>
        <v>3.7430318727859655</v>
      </c>
      <c r="P694" s="47">
        <f>OIBR!E$12/Prices!$C$160/1000</f>
        <v>4.5010066956259083</v>
      </c>
      <c r="Q694" s="47">
        <f>OIBR!F$12/Prices!$C$160/1000</f>
        <v>4.8615339421727413</v>
      </c>
      <c r="R694" s="47">
        <f>OIBR!G$12/Prices!$C$160/1000</f>
        <v>5.3064623622001577</v>
      </c>
      <c r="S694" s="45">
        <f>(R694/O694)^(1/3)-1</f>
        <v>0.12338129325482305</v>
      </c>
      <c r="T694" s="46"/>
      <c r="U694" s="48" t="str">
        <f t="shared" si="175"/>
        <v>BRL 12.10</v>
      </c>
      <c r="V694" s="44" t="str">
        <f t="shared" si="175"/>
        <v>Oi</v>
      </c>
      <c r="Z694" s="46"/>
    </row>
    <row r="695" spans="1:69" s="5" customFormat="1">
      <c r="B695" s="42"/>
      <c r="C695" s="48" t="str">
        <f t="shared" si="172"/>
        <v>Telefonica Brasil</v>
      </c>
      <c r="D695" s="44" t="str">
        <f t="shared" si="172"/>
        <v>BRL 55.12</v>
      </c>
      <c r="E695" s="44" t="str">
        <f t="shared" si="172"/>
        <v>BRL 61.00</v>
      </c>
      <c r="F695" s="45">
        <f t="shared" si="172"/>
        <v>0.10667634252539915</v>
      </c>
      <c r="G695" s="44" t="str">
        <f t="shared" si="172"/>
        <v>Buy</v>
      </c>
      <c r="H695" s="46"/>
      <c r="I695" s="47">
        <f>VIVO!D$11/Prices!$C$160/1000</f>
        <v>16.371766133718864</v>
      </c>
      <c r="J695" s="47">
        <f>VIVO!E$11/Prices!$C$160/1000</f>
        <v>16.272876297713808</v>
      </c>
      <c r="K695" s="47">
        <f>VIVO!F$11/Prices!$C$160/1000</f>
        <v>16.154208494507738</v>
      </c>
      <c r="L695" s="47">
        <f>VIVO!G$11/Prices!$C$160/1000</f>
        <v>16.005873740500149</v>
      </c>
      <c r="M695" s="45">
        <f t="shared" si="173"/>
        <v>-7.5058594001062851E-3</v>
      </c>
      <c r="N695" s="46"/>
      <c r="O695" s="47">
        <f>VIVO!D$12/Prices!$C$160/1000</f>
        <v>2.6843924891720374</v>
      </c>
      <c r="P695" s="47">
        <f>VIVO!E$12/Prices!$C$160/1000</f>
        <v>2.6583706833153595</v>
      </c>
      <c r="Q695" s="47">
        <f>VIVO!F$12/Prices!$C$160/1000</f>
        <v>2.7657078101387258</v>
      </c>
      <c r="R695" s="47">
        <f>VIVO!G$12/Prices!$C$160/1000</f>
        <v>3.0821801699794213</v>
      </c>
      <c r="S695" s="45">
        <f t="shared" si="174"/>
        <v>4.713819810117359E-2</v>
      </c>
      <c r="T695" s="46"/>
      <c r="U695" s="48" t="str">
        <f t="shared" si="175"/>
        <v>BRL 55.12</v>
      </c>
      <c r="V695" s="44" t="str">
        <f t="shared" si="175"/>
        <v>Telefonica Brasil</v>
      </c>
      <c r="Z695" s="46"/>
    </row>
    <row r="696" spans="1:69" s="5" customFormat="1">
      <c r="B696" s="42"/>
      <c r="C696" s="48" t="str">
        <f t="shared" si="172"/>
        <v>Televisa</v>
      </c>
      <c r="D696" s="44" t="str">
        <f t="shared" si="172"/>
        <v>USD 1.8</v>
      </c>
      <c r="E696" s="44" t="str">
        <f t="shared" si="172"/>
        <v>USD 3.7</v>
      </c>
      <c r="F696" s="45">
        <f t="shared" si="172"/>
        <v>1.0903954802259888</v>
      </c>
      <c r="G696" s="44" t="str">
        <f t="shared" si="172"/>
        <v>Neutral</v>
      </c>
      <c r="H696" s="46"/>
      <c r="I696" s="47">
        <f>TVIS!D$11/1000</f>
        <v>1.0148880461538461</v>
      </c>
      <c r="J696" s="47">
        <f>TVIS!E$11/1000</f>
        <v>1.0148880461538461</v>
      </c>
      <c r="K696" s="47">
        <f>TVIS!F$11/1000</f>
        <v>1.0148880461538461</v>
      </c>
      <c r="L696" s="47">
        <f>TVIS!G$11/1000</f>
        <v>1.0148880461538461</v>
      </c>
      <c r="M696" s="45">
        <f>(L696/I696)^(1/3)-1</f>
        <v>0</v>
      </c>
      <c r="N696" s="46"/>
      <c r="O696" s="47">
        <f>TVIS!D$12/1000</f>
        <v>3.3235762119079464</v>
      </c>
      <c r="P696" s="47">
        <f>TVIS!E$12/1000</f>
        <v>3.1727041155302045</v>
      </c>
      <c r="Q696" s="47">
        <f>TVIS!F$12/1000</f>
        <v>3.0952954356795028</v>
      </c>
      <c r="R696" s="47">
        <f>TVIS!G$12/1000</f>
        <v>2.9530334642834934</v>
      </c>
      <c r="S696" s="45">
        <f>(R696/O696)^(1/3)-1</f>
        <v>-3.863661899369486E-2</v>
      </c>
      <c r="T696" s="46"/>
      <c r="U696" s="48" t="str">
        <f>U634</f>
        <v>USD 1.8</v>
      </c>
      <c r="V696" s="44" t="s">
        <v>667</v>
      </c>
      <c r="Z696" s="46"/>
    </row>
    <row r="697" spans="1:69" s="5" customFormat="1">
      <c r="B697" s="42"/>
      <c r="C697" s="51" t="str">
        <f>C635</f>
        <v>Agg. LatAm Incumbent</v>
      </c>
      <c r="D697" s="52"/>
      <c r="E697" s="52"/>
      <c r="F697" s="53"/>
      <c r="G697" s="52"/>
      <c r="H697" s="46"/>
      <c r="I697" s="54">
        <f>'LATAM INCUMB'!D$11/1000</f>
        <v>73.715425562785597</v>
      </c>
      <c r="J697" s="54">
        <f>'LATAM INCUMB'!$E$11/1000</f>
        <v>71.985535726780554</v>
      </c>
      <c r="K697" s="54">
        <f>'LATAM INCUMB'!$F$11/1000</f>
        <v>69.828117923574482</v>
      </c>
      <c r="L697" s="54">
        <f>'LATAM INCUMB'!$G$11/1000</f>
        <v>67.641033169566882</v>
      </c>
      <c r="M697" s="55">
        <f t="shared" si="173"/>
        <v>-2.8258795324290653E-2</v>
      </c>
      <c r="N697" s="56"/>
      <c r="O697" s="54">
        <f>'LATAM INCUMB'!D$12/1000</f>
        <v>37.764413154819778</v>
      </c>
      <c r="P697" s="54">
        <f>'LATAM INCUMB'!$E$12/1000</f>
        <v>37.676146655922601</v>
      </c>
      <c r="Q697" s="54">
        <f>'LATAM INCUMB'!$F$12/1000</f>
        <v>36.267895510957722</v>
      </c>
      <c r="R697" s="54">
        <f>'LATAM INCUMB'!$G$12/1000</f>
        <v>35.707394077192745</v>
      </c>
      <c r="S697" s="55">
        <f t="shared" si="174"/>
        <v>-1.8496606656372205E-2</v>
      </c>
      <c r="T697" s="46"/>
      <c r="U697" s="57"/>
      <c r="V697" s="58" t="str">
        <f>V635</f>
        <v>Agg. LatAm Incumbent</v>
      </c>
      <c r="Z697" s="46"/>
    </row>
    <row r="698" spans="1:69" s="5" customFormat="1">
      <c r="A698" s="39"/>
      <c r="B698" s="42"/>
      <c r="C698" s="48"/>
      <c r="D698" s="44"/>
      <c r="E698" s="44"/>
      <c r="F698" s="45"/>
      <c r="G698" s="44"/>
      <c r="H698" s="46"/>
      <c r="I698" s="47"/>
      <c r="J698" s="47"/>
      <c r="K698" s="47"/>
      <c r="L698" s="47"/>
      <c r="M698" s="45"/>
      <c r="N698" s="56"/>
      <c r="O698" s="47"/>
      <c r="P698" s="47"/>
      <c r="Q698" s="47"/>
      <c r="R698" s="47"/>
      <c r="S698" s="45"/>
      <c r="T698" s="46"/>
      <c r="U698" s="48"/>
      <c r="V698" s="50"/>
      <c r="Z698" s="46"/>
    </row>
    <row r="699" spans="1:69" s="5" customFormat="1">
      <c r="B699" s="42"/>
      <c r="C699" s="48" t="str">
        <f t="shared" ref="C699:G703" si="176">C637</f>
        <v>China Telecom</v>
      </c>
      <c r="D699" s="44" t="str">
        <f t="shared" si="176"/>
        <v>HKD 4.48</v>
      </c>
      <c r="E699" s="44" t="str">
        <f t="shared" si="176"/>
        <v>HKD 8.75</v>
      </c>
      <c r="F699" s="45">
        <f t="shared" si="176"/>
        <v>0.95312499999999978</v>
      </c>
      <c r="G699" s="44" t="str">
        <f t="shared" si="176"/>
        <v>Buy</v>
      </c>
      <c r="H699" s="46"/>
      <c r="I699" s="47">
        <f>(_CT!D$11/Prices!$C$175)/1000</f>
        <v>52.608455091976595</v>
      </c>
      <c r="J699" s="47">
        <f>(_CT!E$11/Prices!$C$175)/1000</f>
        <v>52.608455091976595</v>
      </c>
      <c r="K699" s="47">
        <f>(_CT!F$11/Prices!$C$175)/1000</f>
        <v>52.608455091976595</v>
      </c>
      <c r="L699" s="47">
        <f>(_CT!G$11/Prices!$C$175)/1000</f>
        <v>52.608455091976595</v>
      </c>
      <c r="M699" s="45">
        <f t="shared" ref="M699:M704" si="177">(L699/I699)^(1/3)-1</f>
        <v>0</v>
      </c>
      <c r="N699" s="56"/>
      <c r="O699" s="47">
        <f>_CT!D$12/1000/Prices!$C$175</f>
        <v>-5.6515903931456428</v>
      </c>
      <c r="P699" s="47">
        <f>_CT!E$12/1000/Prices!$C$175</f>
        <v>-7.5476133267996381</v>
      </c>
      <c r="Q699" s="47">
        <f>_CT!F$12/1000/Prices!$C$175</f>
        <v>-9.8277624610191427</v>
      </c>
      <c r="R699" s="47">
        <f>_CT!G$12/1000/Prices!$C$175</f>
        <v>-12.440314207588385</v>
      </c>
      <c r="S699" s="169">
        <f t="shared" ref="S699:S704" si="178">(R699/O699)^(1/3)-1</f>
        <v>0.30082904039855474</v>
      </c>
      <c r="T699" s="46"/>
      <c r="U699" s="48" t="str">
        <f t="shared" ref="U699:V703" si="179">U637</f>
        <v>HKD 4.48</v>
      </c>
      <c r="V699" s="44" t="str">
        <f t="shared" si="179"/>
        <v>China Telecom</v>
      </c>
      <c r="Z699" s="46"/>
    </row>
    <row r="700" spans="1:69" s="5" customFormat="1">
      <c r="B700" s="42"/>
      <c r="C700" s="48" t="str">
        <f t="shared" si="176"/>
        <v>China Unicom</v>
      </c>
      <c r="D700" s="44" t="str">
        <f t="shared" si="176"/>
        <v>HKD 6.32</v>
      </c>
      <c r="E700" s="44" t="str">
        <f t="shared" si="176"/>
        <v>HKD 13.20</v>
      </c>
      <c r="F700" s="45">
        <f t="shared" si="176"/>
        <v>1.0886075949367084</v>
      </c>
      <c r="G700" s="44" t="str">
        <f t="shared" si="176"/>
        <v>Buy</v>
      </c>
      <c r="H700" s="46"/>
      <c r="I700" s="47">
        <f>(_CU!D$11/Prices!$C$175)/1000</f>
        <v>24.816088855700279</v>
      </c>
      <c r="J700" s="47">
        <f>(_CU!E$11/Prices!$C$175)/1000</f>
        <v>24.816088855700279</v>
      </c>
      <c r="K700" s="47">
        <f>(_CU!F$11/Prices!$C$175)/1000</f>
        <v>24.816088855700279</v>
      </c>
      <c r="L700" s="47">
        <f>(_CU!G$11/Prices!$C$175)/1000</f>
        <v>24.816088855700279</v>
      </c>
      <c r="M700" s="45">
        <f t="shared" si="177"/>
        <v>0</v>
      </c>
      <c r="N700" s="56"/>
      <c r="O700" s="47">
        <f>_CU!D$12/1000/Prices!$C$175</f>
        <v>-0.30882776331400719</v>
      </c>
      <c r="P700" s="47">
        <f>_CU!E$12/1000/Prices!$C$175</f>
        <v>-2.4658267874493713</v>
      </c>
      <c r="Q700" s="47">
        <f>_CU!F$12/1000/Prices!$C$175</f>
        <v>-4.6117481470422623</v>
      </c>
      <c r="R700" s="47">
        <f>_CU!G$12/1000/Prices!$C$175</f>
        <v>-6.4013704911193692</v>
      </c>
      <c r="S700" s="169">
        <f t="shared" si="178"/>
        <v>1.7469592010413399</v>
      </c>
      <c r="T700" s="46"/>
      <c r="U700" s="48" t="str">
        <f t="shared" si="179"/>
        <v>HKD 6.32</v>
      </c>
      <c r="V700" s="44" t="str">
        <f t="shared" si="179"/>
        <v>China Unicom</v>
      </c>
      <c r="Z700" s="46"/>
    </row>
    <row r="701" spans="1:69" s="5" customFormat="1">
      <c r="A701" s="39"/>
      <c r="B701" s="42"/>
      <c r="C701" s="48" t="str">
        <f t="shared" si="176"/>
        <v>Chunghwa Telecom</v>
      </c>
      <c r="D701" s="44" t="str">
        <f t="shared" si="176"/>
        <v>TWD 124.00</v>
      </c>
      <c r="E701" s="44" t="str">
        <f t="shared" si="176"/>
        <v>TWD n/r</v>
      </c>
      <c r="F701" s="45" t="str">
        <f t="shared" si="176"/>
        <v>-</v>
      </c>
      <c r="G701" s="44" t="str">
        <f t="shared" si="176"/>
        <v>n/r</v>
      </c>
      <c r="H701" s="46"/>
      <c r="I701" s="47">
        <f>(CHUNG!D$11/Prices!$C$181)/1000</f>
        <v>30.121307975060077</v>
      </c>
      <c r="J701" s="47">
        <f>(CHUNG!E$11/Prices!$C$181)/1000</f>
        <v>30.121307975060077</v>
      </c>
      <c r="K701" s="47">
        <f>(CHUNG!F$11/Prices!$C$181)/1000</f>
        <v>30.121307975060077</v>
      </c>
      <c r="L701" s="47">
        <f>(CHUNG!G$11/Prices!$C$181)/1000</f>
        <v>30.121307975060077</v>
      </c>
      <c r="M701" s="45">
        <f t="shared" si="177"/>
        <v>0</v>
      </c>
      <c r="N701" s="56"/>
      <c r="O701" s="47">
        <f>CHUNG!D$12/1000/Prices!$C$181</f>
        <v>-0.37678427956386401</v>
      </c>
      <c r="P701" s="47">
        <f>CHUNG!E$12/1000/Prices!$C$181</f>
        <v>-0.7866027943591295</v>
      </c>
      <c r="Q701" s="47">
        <f>CHUNG!F$12/1000/Prices!$C$181</f>
        <v>-1.2260393869719926</v>
      </c>
      <c r="R701" s="47">
        <f>CHUNG!G$12/1000/Prices!$C$181</f>
        <v>-1.6202442167256597</v>
      </c>
      <c r="S701" s="45">
        <f t="shared" si="178"/>
        <v>0.62615735759783253</v>
      </c>
      <c r="T701" s="46"/>
      <c r="U701" s="48" t="str">
        <f t="shared" si="179"/>
        <v>TWD 124.00</v>
      </c>
      <c r="V701" s="44" t="str">
        <f t="shared" si="179"/>
        <v>Chunghwa Telecom</v>
      </c>
      <c r="Z701" s="46"/>
    </row>
    <row r="702" spans="1:69" s="5" customFormat="1">
      <c r="A702" s="39"/>
      <c r="B702" s="42"/>
      <c r="C702" s="48" t="str">
        <f t="shared" si="176"/>
        <v>KT Corp</v>
      </c>
      <c r="D702" s="44" t="str">
        <f t="shared" si="176"/>
        <v>KRW 41,200</v>
      </c>
      <c r="E702" s="44" t="str">
        <f t="shared" si="176"/>
        <v>KRW 70,000</v>
      </c>
      <c r="F702" s="45">
        <f t="shared" si="176"/>
        <v>0.69902912621359214</v>
      </c>
      <c r="G702" s="44" t="str">
        <f t="shared" si="176"/>
        <v>Buy</v>
      </c>
      <c r="H702" s="46"/>
      <c r="I702" s="47">
        <f>_KT!D$11/Prices!$C$173</f>
        <v>7.6479211920599646</v>
      </c>
      <c r="J702" s="47">
        <f>_KT!E$11/Prices!$C$173</f>
        <v>7.8075535397943439</v>
      </c>
      <c r="K702" s="47">
        <f>_KT!F$11/Prices!$C$173</f>
        <v>7.8075535397943439</v>
      </c>
      <c r="L702" s="47">
        <f>_KT!G$11/Prices!$C$173</f>
        <v>7.8075535397943439</v>
      </c>
      <c r="M702" s="45">
        <f t="shared" si="177"/>
        <v>6.9096946494353606E-3</v>
      </c>
      <c r="N702" s="56"/>
      <c r="O702" s="47">
        <f>_KT!D$12/Prices!$C$173</f>
        <v>5.5283438170929227</v>
      </c>
      <c r="P702" s="47">
        <f>_KT!E$12/Prices!$C$173</f>
        <v>5.1840791379551785</v>
      </c>
      <c r="Q702" s="47">
        <f>_KT!F$12/Prices!$C$173</f>
        <v>4.3444786708039667</v>
      </c>
      <c r="R702" s="47">
        <f>_KT!G$12/Prices!$C$173</f>
        <v>3.509307666863557</v>
      </c>
      <c r="S702" s="45">
        <f t="shared" si="178"/>
        <v>-0.14057338255463259</v>
      </c>
      <c r="T702" s="46"/>
      <c r="U702" s="48" t="str">
        <f t="shared" si="179"/>
        <v>KRW 41,200</v>
      </c>
      <c r="V702" s="44" t="str">
        <f t="shared" si="179"/>
        <v>KT Corp</v>
      </c>
      <c r="Z702" s="46"/>
    </row>
    <row r="703" spans="1:69" s="5" customFormat="1">
      <c r="A703" s="39"/>
      <c r="B703" s="42"/>
      <c r="C703" s="48" t="str">
        <f t="shared" si="176"/>
        <v>PT Telkom</v>
      </c>
      <c r="D703" s="44" t="str">
        <f t="shared" si="176"/>
        <v>IDR 3,040</v>
      </c>
      <c r="E703" s="44" t="str">
        <f t="shared" si="176"/>
        <v>IDR 4,500</v>
      </c>
      <c r="F703" s="45">
        <f t="shared" si="176"/>
        <v>0.48026315789473695</v>
      </c>
      <c r="G703" s="44" t="str">
        <f t="shared" si="176"/>
        <v>Buy</v>
      </c>
      <c r="H703" s="46"/>
      <c r="I703" s="47">
        <f>PTT!D$11/Prices!$C$172</f>
        <v>19.599682321140104</v>
      </c>
      <c r="J703" s="47">
        <f>PTT!E$11/Prices!$C$172</f>
        <v>19.599682321140104</v>
      </c>
      <c r="K703" s="47">
        <f>PTT!F$11/Prices!$C$172</f>
        <v>19.599682321140104</v>
      </c>
      <c r="L703" s="47">
        <f>PTT!G$11/Prices!$C$172</f>
        <v>19.599682321140104</v>
      </c>
      <c r="M703" s="45">
        <f t="shared" si="177"/>
        <v>0</v>
      </c>
      <c r="N703" s="56"/>
      <c r="O703" s="47">
        <f>PTT!D$12/Prices!$C$172</f>
        <v>2.5458507942824085</v>
      </c>
      <c r="P703" s="47">
        <f>PTT!E$12/Prices!$C$172</f>
        <v>1.8667221086360282</v>
      </c>
      <c r="Q703" s="47">
        <f>PTT!F$12/Prices!$C$172</f>
        <v>1.1590374151309373</v>
      </c>
      <c r="R703" s="47">
        <f>PTT!G$12/Prices!$C$172</f>
        <v>0.47164290518197599</v>
      </c>
      <c r="S703" s="169">
        <f t="shared" si="178"/>
        <v>-0.42993183846584937</v>
      </c>
      <c r="T703" s="46"/>
      <c r="U703" s="48" t="str">
        <f t="shared" si="179"/>
        <v>IDR 3,040</v>
      </c>
      <c r="V703" s="44" t="str">
        <f t="shared" si="179"/>
        <v>PT Telkom</v>
      </c>
      <c r="Z703" s="46"/>
    </row>
    <row r="704" spans="1:69" s="5" customFormat="1">
      <c r="A704" s="39"/>
      <c r="B704" s="42"/>
      <c r="C704" s="51" t="str">
        <f>C642</f>
        <v>Agg. Emerging Asia Incumbent</v>
      </c>
      <c r="D704" s="52"/>
      <c r="E704" s="52"/>
      <c r="F704" s="53"/>
      <c r="G704" s="52"/>
      <c r="H704" s="46"/>
      <c r="I704" s="54">
        <f>'EM ASIA INCUMB'!$D$11/1000</f>
        <v>134.79345543593701</v>
      </c>
      <c r="J704" s="54">
        <f>'EM ASIA INCUMB'!$E$11/1000</f>
        <v>134.95308778367138</v>
      </c>
      <c r="K704" s="54">
        <f>'EM ASIA INCUMB'!$F$11/1000</f>
        <v>134.95308778367138</v>
      </c>
      <c r="L704" s="54">
        <f>'EM ASIA INCUMB'!$G$11/1000</f>
        <v>134.95308778367138</v>
      </c>
      <c r="M704" s="55">
        <f t="shared" si="177"/>
        <v>3.946021773684194E-4</v>
      </c>
      <c r="N704" s="56"/>
      <c r="O704" s="54">
        <f>'EM ASIA INCUMB'!$D$12/1000</f>
        <v>1.736992175351816</v>
      </c>
      <c r="P704" s="54">
        <f>'EM ASIA INCUMB'!$E$12/1000</f>
        <v>-3.7492416620169311</v>
      </c>
      <c r="Q704" s="54">
        <f>'EM ASIA INCUMB'!$F$12/1000</f>
        <v>-10.162033909098488</v>
      </c>
      <c r="R704" s="54">
        <f>'EM ASIA INCUMB'!$G$12/1000</f>
        <v>-16.480978343387882</v>
      </c>
      <c r="S704" s="55">
        <f t="shared" si="178"/>
        <v>-3.1170366450226572</v>
      </c>
      <c r="T704" s="46"/>
      <c r="U704" s="57"/>
      <c r="V704" s="58" t="str">
        <f>V642</f>
        <v>Agg. Emerging Asia Incumbent</v>
      </c>
      <c r="Z704" s="46"/>
    </row>
    <row r="705" spans="1:26" s="5" customFormat="1">
      <c r="A705" s="39"/>
      <c r="B705" s="42"/>
      <c r="C705" s="43"/>
      <c r="D705" s="44"/>
      <c r="E705" s="44"/>
      <c r="F705" s="68"/>
      <c r="G705" s="44"/>
      <c r="H705" s="46"/>
      <c r="I705" s="62"/>
      <c r="J705" s="62"/>
      <c r="K705" s="62"/>
      <c r="L705" s="62"/>
      <c r="M705" s="61"/>
      <c r="N705" s="56"/>
      <c r="O705" s="62"/>
      <c r="P705" s="62"/>
      <c r="Q705" s="62"/>
      <c r="R705" s="62"/>
      <c r="S705" s="61"/>
      <c r="T705" s="46"/>
      <c r="U705" s="48"/>
      <c r="V705" s="50"/>
      <c r="Z705" s="46"/>
    </row>
    <row r="706" spans="1:26" s="5" customFormat="1">
      <c r="A706" s="39"/>
      <c r="B706" s="42"/>
      <c r="C706" s="51" t="str">
        <f>C644</f>
        <v>Agg. Emerging Incumbent</v>
      </c>
      <c r="D706" s="52"/>
      <c r="E706" s="52"/>
      <c r="F706" s="53"/>
      <c r="G706" s="52"/>
      <c r="H706" s="46"/>
      <c r="I706" s="54">
        <f>'EM INCUMB'!$D$11/1000</f>
        <v>209.27803252837887</v>
      </c>
      <c r="J706" s="54">
        <f>'EM INCUMB'!$E$11/1000</f>
        <v>207.7077750401082</v>
      </c>
      <c r="K706" s="54">
        <f>'EM INCUMB'!$F$11/1000</f>
        <v>205.55035723690213</v>
      </c>
      <c r="L706" s="54">
        <f>'EM INCUMB'!$G$11/1000</f>
        <v>203.36327248289453</v>
      </c>
      <c r="M706" s="55">
        <f t="shared" ref="M706" si="180">(L706/I706)^(1/3)-1</f>
        <v>-9.5110701523227759E-3</v>
      </c>
      <c r="N706" s="56"/>
      <c r="O706" s="54">
        <f>'EM INCUMB'!$D$12/1000</f>
        <v>40.195779746172512</v>
      </c>
      <c r="P706" s="54">
        <f>'EM INCUMB'!$E$12/1000</f>
        <v>34.578871156379059</v>
      </c>
      <c r="Q706" s="54">
        <f>'EM INCUMB'!$F$12/1000</f>
        <v>26.717159269060019</v>
      </c>
      <c r="R706" s="54">
        <f>'EM INCUMB'!$G$12/1000</f>
        <v>19.796193061123653</v>
      </c>
      <c r="S706" s="55">
        <f t="shared" ref="S706" si="181">(R706/O706)^(1/3)-1</f>
        <v>-0.21029102413077638</v>
      </c>
      <c r="T706" s="46"/>
      <c r="U706" s="57"/>
      <c r="V706" s="58" t="str">
        <f>V644</f>
        <v>Agg. Emerging Incumbent</v>
      </c>
      <c r="Z706" s="46"/>
    </row>
    <row r="707" spans="1:26" s="5" customFormat="1">
      <c r="A707" s="39"/>
      <c r="B707" s="42"/>
      <c r="C707" s="43"/>
      <c r="D707" s="44"/>
      <c r="E707" s="44"/>
      <c r="F707" s="45"/>
      <c r="G707" s="44"/>
      <c r="H707" s="46"/>
      <c r="I707" s="47"/>
      <c r="J707" s="47"/>
      <c r="K707" s="47"/>
      <c r="L707" s="47"/>
      <c r="M707" s="45"/>
      <c r="N707" s="56"/>
      <c r="O707" s="47"/>
      <c r="P707" s="47"/>
      <c r="Q707" s="47"/>
      <c r="R707" s="47"/>
      <c r="S707" s="45"/>
      <c r="T707" s="46"/>
      <c r="U707" s="48"/>
      <c r="V707" s="50"/>
      <c r="Z707" s="46"/>
    </row>
    <row r="708" spans="1:26" s="5" customFormat="1">
      <c r="A708" s="41" t="s">
        <v>502</v>
      </c>
      <c r="B708" s="42"/>
      <c r="C708" s="48" t="str">
        <f t="shared" ref="C708:G714" si="182">C646</f>
        <v>Airtel Africa</v>
      </c>
      <c r="D708" s="44" t="str">
        <f t="shared" si="182"/>
        <v>USD 1.13</v>
      </c>
      <c r="E708" s="44" t="str">
        <f t="shared" si="182"/>
        <v>USD 2.00</v>
      </c>
      <c r="F708" s="45">
        <f t="shared" si="182"/>
        <v>0.77619893428063969</v>
      </c>
      <c r="G708" s="44" t="str">
        <f t="shared" si="182"/>
        <v>Buy</v>
      </c>
      <c r="H708" s="46"/>
      <c r="I708" s="47">
        <f>AAF!D$11/1000</f>
        <v>5.5639940610696623</v>
      </c>
      <c r="J708" s="47">
        <f>AAF!E$11/1000</f>
        <v>5.4482938379922343</v>
      </c>
      <c r="K708" s="47">
        <f>AAF!F$11/1000</f>
        <v>5.4482938379922343</v>
      </c>
      <c r="L708" s="47">
        <f>AAF!G$11/1000</f>
        <v>5.4482938379922343</v>
      </c>
      <c r="M708" s="45">
        <f t="shared" ref="M708" si="183">(L708/I708)^(1/3)-1</f>
        <v>-6.9800932788562919E-3</v>
      </c>
      <c r="N708" s="56"/>
      <c r="O708" s="47">
        <f>AAF!D$12/1000</f>
        <v>3.5049999999999999</v>
      </c>
      <c r="P708" s="47">
        <f>AAF!E$12/1000</f>
        <v>3.3352500533620888</v>
      </c>
      <c r="Q708" s="47">
        <f>AAF!F$12/1000</f>
        <v>3.030219114333855</v>
      </c>
      <c r="R708" s="47">
        <f>AAF!G$12/1000</f>
        <v>2.664372234469206</v>
      </c>
      <c r="S708" s="169">
        <f t="shared" ref="S708" si="184">(R708/O708)^(1/3)-1</f>
        <v>-8.7354131099589227E-2</v>
      </c>
      <c r="T708" s="46"/>
      <c r="U708" s="48" t="str">
        <f t="shared" ref="U708:V714" si="185">U646</f>
        <v>USD 1.13</v>
      </c>
      <c r="V708" s="44" t="str">
        <f t="shared" si="185"/>
        <v>Airtel Africa</v>
      </c>
      <c r="Z708" s="46"/>
    </row>
    <row r="709" spans="1:26" s="5" customFormat="1">
      <c r="A709" s="41"/>
      <c r="B709" s="42"/>
      <c r="C709" s="48" t="str">
        <f t="shared" si="182"/>
        <v>MobileTeleSystems</v>
      </c>
      <c r="D709" s="44" t="str">
        <f t="shared" si="182"/>
        <v>USD 10.00</v>
      </c>
      <c r="E709" s="44" t="str">
        <f t="shared" si="182"/>
        <v>USD 10.10</v>
      </c>
      <c r="F709" s="45">
        <f t="shared" si="182"/>
        <v>1.0000000000000009E-2</v>
      </c>
      <c r="G709" s="44" t="str">
        <f t="shared" si="182"/>
        <v>Buy</v>
      </c>
      <c r="H709" s="46"/>
      <c r="I709" s="47">
        <f>MTS!D$11/1000</f>
        <v>9.9593128649999993</v>
      </c>
      <c r="J709" s="47">
        <f>MTS!E$11/1000</f>
        <v>9.9593128649999993</v>
      </c>
      <c r="K709" s="47">
        <f>MTS!F$11/1000</f>
        <v>9.9593128649999993</v>
      </c>
      <c r="L709" s="47">
        <f>MTS!G$11/1000</f>
        <v>9.9593128649999993</v>
      </c>
      <c r="M709" s="45">
        <f t="shared" ref="M709:M715" si="186">(L709/I709)^(1/3)-1</f>
        <v>0</v>
      </c>
      <c r="N709" s="56"/>
      <c r="O709" s="47">
        <f>MTS!D$12/1000</f>
        <v>5.0044780127577528</v>
      </c>
      <c r="P709" s="47">
        <f>MTS!E$12/1000</f>
        <v>5.0475138088160216</v>
      </c>
      <c r="Q709" s="47">
        <f>MTS!F$12/1000</f>
        <v>5.1177776179407592</v>
      </c>
      <c r="R709" s="47">
        <f>MTS!G$12/1000</f>
        <v>5.216854223729773</v>
      </c>
      <c r="S709" s="169">
        <f t="shared" ref="S709:S715" si="187">(R709/O709)^(1/3)-1</f>
        <v>1.3950231202184193E-2</v>
      </c>
      <c r="T709" s="46"/>
      <c r="U709" s="48" t="str">
        <f t="shared" si="185"/>
        <v>USD 10.00</v>
      </c>
      <c r="V709" s="44" t="str">
        <f t="shared" si="185"/>
        <v>MobileTeleSystems</v>
      </c>
      <c r="Z709" s="46"/>
    </row>
    <row r="710" spans="1:26" s="5" customFormat="1">
      <c r="A710" s="39"/>
      <c r="B710" s="42"/>
      <c r="C710" s="48" t="str">
        <f t="shared" si="182"/>
        <v>MTN</v>
      </c>
      <c r="D710" s="44" t="str">
        <f t="shared" si="182"/>
        <v>ZAR 92.00</v>
      </c>
      <c r="E710" s="44" t="str">
        <f t="shared" si="182"/>
        <v>ZAR 130.00</v>
      </c>
      <c r="F710" s="45">
        <f t="shared" si="182"/>
        <v>0.41304347826086962</v>
      </c>
      <c r="G710" s="44" t="str">
        <f t="shared" si="182"/>
        <v>Buy</v>
      </c>
      <c r="H710" s="46"/>
      <c r="I710" s="47">
        <f>MTN!D$11/1000/Prices!$C$170</f>
        <v>9.5411039665880306</v>
      </c>
      <c r="J710" s="47">
        <f>MTN!E$11/1000/Prices!$C$170</f>
        <v>9.5411039665880306</v>
      </c>
      <c r="K710" s="47">
        <f>MTN!F$11/1000/Prices!$C$170</f>
        <v>9.5411039665880306</v>
      </c>
      <c r="L710" s="47">
        <f>MTN!G$11/1000/Prices!$C$170</f>
        <v>9.5411039665880306</v>
      </c>
      <c r="M710" s="45">
        <f t="shared" si="186"/>
        <v>0</v>
      </c>
      <c r="N710" s="56"/>
      <c r="O710" s="47">
        <f>MTN!D$12/1000/Prices!$C$170</f>
        <v>5.5810375854753307</v>
      </c>
      <c r="P710" s="47">
        <f>MTN!E$12/1000/Prices!$C$170</f>
        <v>6.0718450187666431</v>
      </c>
      <c r="Q710" s="47">
        <f>MTN!F$12/1000/Prices!$C$170</f>
        <v>6.5198054601717619</v>
      </c>
      <c r="R710" s="47">
        <f>MTN!G$12/1000/Prices!$C$170</f>
        <v>6.9197928115306802</v>
      </c>
      <c r="S710" s="169">
        <f t="shared" si="187"/>
        <v>7.4301168214166546E-2</v>
      </c>
      <c r="T710" s="46"/>
      <c r="U710" s="48" t="str">
        <f t="shared" si="185"/>
        <v>ZAR 92.00</v>
      </c>
      <c r="V710" s="44" t="str">
        <f t="shared" si="185"/>
        <v>MTN</v>
      </c>
      <c r="Z710" s="46"/>
    </row>
    <row r="711" spans="1:26">
      <c r="C711" s="48" t="str">
        <f t="shared" si="182"/>
        <v>Safaricom</v>
      </c>
      <c r="D711" s="44" t="str">
        <f t="shared" si="182"/>
        <v>KES 14.80</v>
      </c>
      <c r="E711" s="44" t="str">
        <f t="shared" si="182"/>
        <v>KES 17.0</v>
      </c>
      <c r="F711" s="45">
        <f t="shared" si="182"/>
        <v>0.14864864864864868</v>
      </c>
      <c r="G711" s="44" t="str">
        <f t="shared" si="182"/>
        <v>Neutral</v>
      </c>
      <c r="H711" s="46"/>
      <c r="I711" s="47">
        <f>SAF!D$11/1000/Prices!$C$179</f>
        <v>4.5966469793434275</v>
      </c>
      <c r="J711" s="47">
        <f>SAF!E$11/1000/Prices!$C$179</f>
        <v>4.5966469793434275</v>
      </c>
      <c r="K711" s="47">
        <f>SAF!F$11/1000/Prices!$C$179</f>
        <v>4.5966469793434275</v>
      </c>
      <c r="L711" s="47">
        <f>SAF!G$11/1000/Prices!$C$179</f>
        <v>4.5966469793434275</v>
      </c>
      <c r="M711" s="45">
        <f>(L711/I711)^(1/3)-1</f>
        <v>0</v>
      </c>
      <c r="N711" s="56"/>
      <c r="O711" s="47">
        <f>SAF!D$12/1000/Prices!$C$179</f>
        <v>0.89618004177382704</v>
      </c>
      <c r="P711" s="47">
        <f>SAF!E$12/1000/Prices!$C$179</f>
        <v>1.0403804936029462</v>
      </c>
      <c r="Q711" s="47">
        <f>SAF!F$12/1000/Prices!$C$179</f>
        <v>1.0471894685423808</v>
      </c>
      <c r="R711" s="47">
        <f>SAF!G$12/1000/Prices!$C$179</f>
        <v>0.93960781508681601</v>
      </c>
      <c r="S711" s="169">
        <f>(R711/O711)^(1/3)-1</f>
        <v>1.5898808213379523E-2</v>
      </c>
      <c r="T711" s="46"/>
      <c r="U711" s="48" t="str">
        <f t="shared" si="185"/>
        <v>KES 14.80</v>
      </c>
      <c r="V711" s="44" t="str">
        <f t="shared" si="185"/>
        <v>Safaricom</v>
      </c>
      <c r="Z711" s="46"/>
    </row>
    <row r="712" spans="1:26" s="5" customFormat="1">
      <c r="A712" s="39"/>
      <c r="B712" s="42"/>
      <c r="C712" s="48" t="str">
        <f t="shared" si="182"/>
        <v>Turkcell</v>
      </c>
      <c r="D712" s="44" t="str">
        <f t="shared" si="182"/>
        <v>USD 99.65</v>
      </c>
      <c r="E712" s="44" t="str">
        <f t="shared" si="182"/>
        <v>USD 16.90</v>
      </c>
      <c r="F712" s="45">
        <f t="shared" si="182"/>
        <v>-0.83040642247867535</v>
      </c>
      <c r="G712" s="44" t="str">
        <f t="shared" si="182"/>
        <v>Buy</v>
      </c>
      <c r="H712" s="46"/>
      <c r="I712" s="47">
        <f>TKC!D$11/1000/Prices!$C$150</f>
        <v>6.4491293337101867</v>
      </c>
      <c r="J712" s="47">
        <f>TKC!E$11/1000/Prices!$C$150</f>
        <v>6.4491293337101867</v>
      </c>
      <c r="K712" s="47">
        <f>TKC!F$11/1000/Prices!$C$150</f>
        <v>6.4491293337101867</v>
      </c>
      <c r="L712" s="47">
        <f>TKC!G$11/1000/Prices!$C$150</f>
        <v>6.4491293337101867</v>
      </c>
      <c r="M712" s="45">
        <f t="shared" si="186"/>
        <v>0</v>
      </c>
      <c r="N712" s="56"/>
      <c r="O712" s="47">
        <f>TKC!D$12/1000/Prices!$C$150</f>
        <v>0.38250759873128287</v>
      </c>
      <c r="P712" s="47">
        <f>TKC!E$12/1000/Prices!$C$150</f>
        <v>0.36625878957647556</v>
      </c>
      <c r="Q712" s="47">
        <f>TKC!F$12/1000/Prices!$C$150</f>
        <v>0.34093317721796157</v>
      </c>
      <c r="R712" s="47">
        <f>TKC!G$12/1000/Prices!$C$150</f>
        <v>0.31876040144273654</v>
      </c>
      <c r="S712" s="169">
        <f t="shared" si="187"/>
        <v>-5.8959966789478346E-2</v>
      </c>
      <c r="T712" s="46"/>
      <c r="U712" s="48" t="str">
        <f t="shared" si="185"/>
        <v>USD 99.65</v>
      </c>
      <c r="V712" s="44" t="str">
        <f t="shared" si="185"/>
        <v>Turkcell</v>
      </c>
      <c r="Z712" s="46"/>
    </row>
    <row r="713" spans="1:26" s="5" customFormat="1">
      <c r="A713" s="39"/>
      <c r="B713" s="42"/>
      <c r="C713" s="48" t="str">
        <f t="shared" si="182"/>
        <v>VEON</v>
      </c>
      <c r="D713" s="44" t="str">
        <f t="shared" si="182"/>
        <v>USD 27.2</v>
      </c>
      <c r="E713" s="44" t="str">
        <f t="shared" si="182"/>
        <v>USD 40.0</v>
      </c>
      <c r="F713" s="45">
        <f t="shared" si="182"/>
        <v>0.47058823529411775</v>
      </c>
      <c r="G713" s="44" t="str">
        <f t="shared" si="182"/>
        <v>Buy</v>
      </c>
      <c r="H713" s="46"/>
      <c r="I713" s="47">
        <f>VIMP!D$11/1000</f>
        <v>47.691301587200002</v>
      </c>
      <c r="J713" s="47">
        <f>VIMP!E$11/1000</f>
        <v>47.691301587200002</v>
      </c>
      <c r="K713" s="47">
        <f>VIMP!F$11/1000</f>
        <v>47.691301587200002</v>
      </c>
      <c r="L713" s="47">
        <f>VIMP!G$11/1000</f>
        <v>47.691301587200002</v>
      </c>
      <c r="M713" s="45">
        <f t="shared" si="186"/>
        <v>0</v>
      </c>
      <c r="N713" s="56"/>
      <c r="O713" s="47">
        <f>VIMP!D$12/1000</f>
        <v>3.2549999999999999</v>
      </c>
      <c r="P713" s="47">
        <f>VIMP!E$12/1000</f>
        <v>2.4124559546135305</v>
      </c>
      <c r="Q713" s="47">
        <f>VIMP!F$12/1000</f>
        <v>1.9327885503109201</v>
      </c>
      <c r="R713" s="47">
        <f>VIMP!G$12/1000</f>
        <v>1.5903810133215044</v>
      </c>
      <c r="S713" s="45">
        <f t="shared" si="187"/>
        <v>-0.21238001058015377</v>
      </c>
      <c r="T713" s="46"/>
      <c r="U713" s="48" t="str">
        <f t="shared" si="185"/>
        <v>USD 27.2</v>
      </c>
      <c r="V713" s="44" t="str">
        <f t="shared" si="185"/>
        <v>Vimpel Com</v>
      </c>
      <c r="Z713" s="46"/>
    </row>
    <row r="714" spans="1:26" s="5" customFormat="1">
      <c r="A714" s="39"/>
      <c r="B714" s="42"/>
      <c r="C714" s="48" t="str">
        <f t="shared" si="182"/>
        <v>Vodacom</v>
      </c>
      <c r="D714" s="44" t="str">
        <f t="shared" si="182"/>
        <v>ZAR 111.1</v>
      </c>
      <c r="E714" s="44" t="str">
        <f t="shared" si="182"/>
        <v>ZAR 150.0</v>
      </c>
      <c r="F714" s="45">
        <f t="shared" si="182"/>
        <v>0.34989200863930892</v>
      </c>
      <c r="G714" s="44" t="str">
        <f t="shared" si="182"/>
        <v>Buy</v>
      </c>
      <c r="H714" s="46"/>
      <c r="I714" s="47">
        <f>VODA!D$11/1000/Prices!$C$170</f>
        <v>13.028046190520069</v>
      </c>
      <c r="J714" s="47">
        <f>VODA!E$11/1000/Prices!$C$170</f>
        <v>13.028046190520069</v>
      </c>
      <c r="K714" s="47">
        <f>VODA!F$11/1000/Prices!$C$170</f>
        <v>13.028046190520069</v>
      </c>
      <c r="L714" s="47">
        <f>VODA!G$11/1000/Prices!$C$170</f>
        <v>13.028046190520069</v>
      </c>
      <c r="M714" s="45">
        <f t="shared" si="186"/>
        <v>0</v>
      </c>
      <c r="N714" s="56"/>
      <c r="O714" s="47">
        <f>VODA!D$12/1000/Prices!$C$170</f>
        <v>2.8081799469612405</v>
      </c>
      <c r="P714" s="47">
        <f>VODA!E$12/1000/Prices!$C$170</f>
        <v>3.1567310737996195</v>
      </c>
      <c r="Q714" s="47">
        <f>VODA!F$12/1000/Prices!$C$170</f>
        <v>2.8837605005082017</v>
      </c>
      <c r="R714" s="47">
        <f>VODA!G$12/1000/Prices!$C$170</f>
        <v>2.6812786503502459</v>
      </c>
      <c r="S714" s="45">
        <f t="shared" si="187"/>
        <v>-1.5296067926969803E-2</v>
      </c>
      <c r="T714" s="46"/>
      <c r="U714" s="48" t="str">
        <f t="shared" si="185"/>
        <v>ZAR 111.1</v>
      </c>
      <c r="V714" s="44" t="str">
        <f t="shared" si="185"/>
        <v>Vodacom</v>
      </c>
      <c r="Z714" s="46"/>
    </row>
    <row r="715" spans="1:26">
      <c r="C715" s="51" t="str">
        <f>C653</f>
        <v>Agg. EMEA Cellular</v>
      </c>
      <c r="D715" s="52"/>
      <c r="E715" s="52"/>
      <c r="F715" s="53"/>
      <c r="G715" s="52"/>
      <c r="H715" s="46"/>
      <c r="I715" s="54">
        <f>'EMEA CELLULAR'!D$11/1000</f>
        <v>96.829534983431373</v>
      </c>
      <c r="J715" s="54">
        <f>'EMEA CELLULAR'!$E$11/1000</f>
        <v>96.713834760353933</v>
      </c>
      <c r="K715" s="54">
        <f>'EMEA CELLULAR'!$F$11/1000</f>
        <v>96.713834760353933</v>
      </c>
      <c r="L715" s="54">
        <f>'EMEA CELLULAR'!$G$11/1000</f>
        <v>96.713834760353933</v>
      </c>
      <c r="M715" s="55">
        <f t="shared" si="186"/>
        <v>-3.9845396537496747E-4</v>
      </c>
      <c r="N715" s="56"/>
      <c r="O715" s="54">
        <f>'EMEA CELLULAR'!D$12/1000</f>
        <v>21.432383185699436</v>
      </c>
      <c r="P715" s="54">
        <f>'EMEA CELLULAR'!$E$12/1000</f>
        <v>21.430435192537328</v>
      </c>
      <c r="Q715" s="54">
        <f>'EMEA CELLULAR'!$F$12/1000</f>
        <v>20.872473889025837</v>
      </c>
      <c r="R715" s="54">
        <f>'EMEA CELLULAR'!$G$12/1000</f>
        <v>20.331047149930964</v>
      </c>
      <c r="S715" s="55">
        <f t="shared" si="187"/>
        <v>-1.74309185107836E-2</v>
      </c>
      <c r="T715" s="46"/>
      <c r="U715" s="57"/>
      <c r="V715" s="58" t="str">
        <f>V653</f>
        <v>Agg. EMEA Cellular</v>
      </c>
      <c r="Z715" s="46"/>
    </row>
    <row r="716" spans="1:26">
      <c r="A716" s="5"/>
      <c r="C716" s="43"/>
      <c r="D716" s="44"/>
      <c r="E716" s="44"/>
      <c r="F716" s="45"/>
      <c r="G716" s="44"/>
      <c r="H716" s="46"/>
      <c r="I716" s="47"/>
      <c r="J716" s="47"/>
      <c r="K716" s="47"/>
      <c r="L716" s="47"/>
      <c r="M716" s="45"/>
      <c r="N716" s="56"/>
      <c r="O716" s="47"/>
      <c r="P716" s="47"/>
      <c r="Q716" s="47"/>
      <c r="R716" s="47"/>
      <c r="S716" s="45"/>
      <c r="T716" s="46"/>
      <c r="U716" s="48"/>
      <c r="V716" s="50"/>
      <c r="Z716" s="46"/>
    </row>
    <row r="717" spans="1:26">
      <c r="A717" s="5"/>
      <c r="C717" s="48" t="str">
        <f t="shared" ref="C717:G719" si="188">C655</f>
        <v>Entel</v>
      </c>
      <c r="D717" s="44" t="str">
        <f t="shared" si="188"/>
        <v>CLP 2,900</v>
      </c>
      <c r="E717" s="44" t="str">
        <f t="shared" si="188"/>
        <v>CLP 3,150</v>
      </c>
      <c r="F717" s="45">
        <f t="shared" si="188"/>
        <v>8.6206896551724199E-2</v>
      </c>
      <c r="G717" s="44" t="str">
        <f t="shared" si="188"/>
        <v>Neutral</v>
      </c>
      <c r="H717" s="46"/>
      <c r="I717" s="47">
        <f>ENTEL!D$11/Prices!$C$165/1000</f>
        <v>0.9237382713285518</v>
      </c>
      <c r="J717" s="47">
        <f>ENTEL!E$11/Prices!$C$165/1000</f>
        <v>0.9237382713285518</v>
      </c>
      <c r="K717" s="47">
        <f>ENTEL!F$11/Prices!$C$165/1000</f>
        <v>0.9237382713285518</v>
      </c>
      <c r="L717" s="47">
        <f>ENTEL!G$11/Prices!$C$165/1000</f>
        <v>0.9237382713285518</v>
      </c>
      <c r="M717" s="45">
        <f>(L717/I717)^(1/3)-1</f>
        <v>0</v>
      </c>
      <c r="N717" s="56"/>
      <c r="O717" s="47">
        <f>ENTEL!D$12/Prices!$C$165/1000</f>
        <v>1.6682350849698953</v>
      </c>
      <c r="P717" s="47">
        <f>ENTEL!E$12/Prices!$C$165/1000</f>
        <v>1.5315618803560052</v>
      </c>
      <c r="Q717" s="47">
        <f>ENTEL!F$12/Prices!$C$165/1000</f>
        <v>1.3468565752112074</v>
      </c>
      <c r="R717" s="47">
        <f>ENTEL!G$12/Prices!$C$165/1000</f>
        <v>1.1271471327765159</v>
      </c>
      <c r="S717" s="169">
        <f>(R717/O717)^(1/3)-1</f>
        <v>-0.12251213345305423</v>
      </c>
      <c r="T717" s="46"/>
      <c r="U717" s="48" t="str">
        <f t="shared" ref="U717:V719" si="189">U655</f>
        <v>CLP 2,900</v>
      </c>
      <c r="V717" s="44" t="str">
        <f t="shared" si="189"/>
        <v>Entel</v>
      </c>
      <c r="Z717" s="46"/>
    </row>
    <row r="718" spans="1:26">
      <c r="A718" s="5"/>
      <c r="C718" s="48" t="str">
        <f t="shared" si="188"/>
        <v>Millicom</v>
      </c>
      <c r="D718" s="44" t="str">
        <f t="shared" si="188"/>
        <v>USD  26.6</v>
      </c>
      <c r="E718" s="44" t="str">
        <f t="shared" si="188"/>
        <v>USD 18.0</v>
      </c>
      <c r="F718" s="45">
        <f t="shared" si="188"/>
        <v>-0.32407059707097252</v>
      </c>
      <c r="G718" s="44" t="str">
        <f t="shared" si="188"/>
        <v>Neutral</v>
      </c>
      <c r="H718" s="46"/>
      <c r="I718" s="47">
        <f>MILLI!D$11/1000</f>
        <v>4.4994047999999998</v>
      </c>
      <c r="J718" s="47">
        <f>MILLI!E$11/1000</f>
        <v>4.4994047999999998</v>
      </c>
      <c r="K718" s="47">
        <f>MILLI!F$11/1000</f>
        <v>4.2331047999999996</v>
      </c>
      <c r="L718" s="47">
        <f>MILLI!G$11/1000</f>
        <v>3.9668047999999994</v>
      </c>
      <c r="M718" s="45">
        <f>(L718/I718)^(1/3)-1</f>
        <v>-4.1125165208110492E-2</v>
      </c>
      <c r="N718" s="56"/>
      <c r="O718" s="47">
        <f>MILLI!D$12/1000</f>
        <v>6.9814578161957224</v>
      </c>
      <c r="P718" s="47">
        <f>MILLI!E$12/1000</f>
        <v>6.8998364147993572</v>
      </c>
      <c r="Q718" s="47">
        <f>MILLI!F$12/1000</f>
        <v>6.7769124816293109</v>
      </c>
      <c r="R718" s="47">
        <f>MILLI!G$12/1000</f>
        <v>6.5277576651955336</v>
      </c>
      <c r="S718" s="169">
        <f>(R718/O718)^(1/3)-1</f>
        <v>-2.2149110716094711E-2</v>
      </c>
      <c r="T718" s="46"/>
      <c r="U718" s="48" t="str">
        <f t="shared" si="189"/>
        <v>USD  26.6</v>
      </c>
      <c r="V718" s="44" t="str">
        <f t="shared" si="189"/>
        <v>Millicom</v>
      </c>
      <c r="Z718" s="46"/>
    </row>
    <row r="719" spans="1:26">
      <c r="A719" s="5"/>
      <c r="C719" s="48" t="str">
        <f t="shared" si="188"/>
        <v>TIM Participacoes</v>
      </c>
      <c r="D719" s="44" t="str">
        <f t="shared" si="188"/>
        <v>BRL 18.63</v>
      </c>
      <c r="E719" s="44" t="str">
        <f t="shared" si="188"/>
        <v>BRL 23.00</v>
      </c>
      <c r="F719" s="45">
        <f t="shared" si="188"/>
        <v>0.23456790123456805</v>
      </c>
      <c r="G719" s="44" t="str">
        <f t="shared" si="188"/>
        <v>Buy</v>
      </c>
      <c r="H719" s="46"/>
      <c r="I719" s="47">
        <f>TIMP!D$11/Prices!$C$160/1000</f>
        <v>5.8321077449974164</v>
      </c>
      <c r="J719" s="47">
        <f>TIMP!E$11/Prices!$C$160/1000</f>
        <v>5.8321077449974164</v>
      </c>
      <c r="K719" s="47">
        <f>TIMP!F$11/Prices!$C$160/1000</f>
        <v>5.8321077449974164</v>
      </c>
      <c r="L719" s="47">
        <f>TIMP!G$11/Prices!$C$160/1000</f>
        <v>5.8321077449974164</v>
      </c>
      <c r="M719" s="45">
        <f>(L719/I719)^(1/3)-1</f>
        <v>0</v>
      </c>
      <c r="N719" s="56"/>
      <c r="O719" s="47">
        <f>TIMP!D$12/Prices!$C$160/1000</f>
        <v>2.6417072767968142</v>
      </c>
      <c r="P719" s="47">
        <f>TIMP!E$12/Prices!$C$160/1000</f>
        <v>2.3768051845658036</v>
      </c>
      <c r="Q719" s="47">
        <f>TIMP!F$12/Prices!$C$160/1000</f>
        <v>1.9482804723443945</v>
      </c>
      <c r="R719" s="47">
        <f>TIMP!G$12/Prices!$C$160/1000</f>
        <v>1.3253485224157124</v>
      </c>
      <c r="S719" s="45">
        <f>(R719/O719)^(1/3)-1</f>
        <v>-0.20540016857604204</v>
      </c>
      <c r="T719" s="46"/>
      <c r="U719" s="48" t="str">
        <f t="shared" si="189"/>
        <v>BRL 18.63</v>
      </c>
      <c r="V719" s="44" t="str">
        <f t="shared" si="189"/>
        <v>TIM Participacoes</v>
      </c>
      <c r="Z719" s="46"/>
    </row>
    <row r="720" spans="1:26">
      <c r="A720" s="5"/>
      <c r="C720" s="51" t="str">
        <f>C658</f>
        <v>Agg. LatAm Cellular</v>
      </c>
      <c r="D720" s="52"/>
      <c r="E720" s="52"/>
      <c r="F720" s="53"/>
      <c r="G720" s="52"/>
      <c r="H720" s="46"/>
      <c r="I720" s="54">
        <f>'LATAM CELLULAR'!D$11/1000</f>
        <v>11.255250816325967</v>
      </c>
      <c r="J720" s="54">
        <f>'LATAM CELLULAR'!$E$11/1000</f>
        <v>11.255250816325967</v>
      </c>
      <c r="K720" s="54">
        <f>'LATAM CELLULAR'!$F$11/1000</f>
        <v>10.988950816325968</v>
      </c>
      <c r="L720" s="54">
        <f>'LATAM CELLULAR'!$G$11/1000</f>
        <v>10.722650816325968</v>
      </c>
      <c r="M720" s="55">
        <f>(L720/I720)^(1/3)-1</f>
        <v>-1.6028932613374569E-2</v>
      </c>
      <c r="N720" s="56"/>
      <c r="O720" s="54">
        <f>'LATAM CELLULAR'!D$12/1000</f>
        <v>11.291400177962432</v>
      </c>
      <c r="P720" s="54">
        <f>'LATAM CELLULAR'!$E$12/1000</f>
        <v>10.808203479721165</v>
      </c>
      <c r="Q720" s="54">
        <f>'LATAM CELLULAR'!$F$12/1000</f>
        <v>10.072049529184913</v>
      </c>
      <c r="R720" s="54">
        <f>'LATAM CELLULAR'!$G$12/1000</f>
        <v>8.9802533203877619</v>
      </c>
      <c r="S720" s="55">
        <f>(R720/O720)^(1/3)-1</f>
        <v>-7.3496787724400159E-2</v>
      </c>
      <c r="T720" s="46"/>
      <c r="U720" s="57"/>
      <c r="V720" s="58" t="str">
        <f>V658</f>
        <v>Agg. LatAm Cellular</v>
      </c>
      <c r="Z720" s="46"/>
    </row>
    <row r="721" spans="1:26">
      <c r="C721" s="43"/>
      <c r="D721" s="44"/>
      <c r="E721" s="44"/>
      <c r="F721" s="45"/>
      <c r="G721" s="44"/>
      <c r="H721" s="46"/>
      <c r="I721" s="47"/>
      <c r="J721" s="47"/>
      <c r="K721" s="47"/>
      <c r="L721" s="47"/>
      <c r="M721" s="45"/>
      <c r="N721" s="46"/>
      <c r="O721" s="47"/>
      <c r="P721" s="47"/>
      <c r="Q721" s="47"/>
      <c r="R721" s="47"/>
      <c r="S721" s="45"/>
      <c r="T721" s="46"/>
      <c r="U721" s="48"/>
      <c r="V721" s="50"/>
      <c r="Z721" s="46"/>
    </row>
    <row r="722" spans="1:26">
      <c r="A722" s="5"/>
      <c r="C722" s="48" t="str">
        <f t="shared" ref="C722:G735" si="190">C660</f>
        <v>AIS</v>
      </c>
      <c r="D722" s="44" t="str">
        <f t="shared" si="190"/>
        <v>THB 269.0</v>
      </c>
      <c r="E722" s="44" t="str">
        <f t="shared" si="190"/>
        <v>THB 300.0</v>
      </c>
      <c r="F722" s="45">
        <f t="shared" si="190"/>
        <v>0.11524163568773238</v>
      </c>
      <c r="G722" s="44" t="str">
        <f t="shared" si="190"/>
        <v>Buy</v>
      </c>
      <c r="H722" s="46"/>
      <c r="I722" s="47">
        <f>ADVANCED!D$11/1000/Prices!$C$163</f>
        <v>23.870080898081191</v>
      </c>
      <c r="J722" s="47">
        <f>ADVANCED!E$11/1000/Prices!$C$163</f>
        <v>23.870080898081191</v>
      </c>
      <c r="K722" s="47">
        <f>ADVANCED!F$11/1000/Prices!$C$163</f>
        <v>23.870080898081191</v>
      </c>
      <c r="L722" s="47">
        <f>ADVANCED!G$11/1000/Prices!$C$163</f>
        <v>23.870080898081191</v>
      </c>
      <c r="M722" s="45">
        <f t="shared" ref="M722:M736" si="191">(L722/I722)^(1/3)-1</f>
        <v>0</v>
      </c>
      <c r="N722" s="46"/>
      <c r="O722" s="47">
        <f>ADVANCED!D$12/1000/Prices!$C$163</f>
        <v>5.523099964254822</v>
      </c>
      <c r="P722" s="47">
        <f>ADVANCED!E$12/1000/Prices!$C$163</f>
        <v>4.2935662433425215</v>
      </c>
      <c r="Q722" s="47">
        <f>ADVANCED!F$12/1000/Prices!$C$163</f>
        <v>3.2757798869750361</v>
      </c>
      <c r="R722" s="47">
        <f>ADVANCED!G$12/1000/Prices!$C$163</f>
        <v>2.5234068682471809</v>
      </c>
      <c r="S722" s="45">
        <f t="shared" ref="S722:S736" si="192">(R722/O722)^(1/3)-1</f>
        <v>-0.22980364489883431</v>
      </c>
      <c r="T722" s="46"/>
      <c r="U722" s="48" t="str">
        <f t="shared" ref="U722:V735" si="193">U660</f>
        <v>THB 269.0</v>
      </c>
      <c r="V722" s="44" t="str">
        <f t="shared" si="193"/>
        <v>AIS</v>
      </c>
      <c r="Z722" s="46"/>
    </row>
    <row r="723" spans="1:26">
      <c r="C723" s="48" t="str">
        <f t="shared" si="190"/>
        <v>Axiata</v>
      </c>
      <c r="D723" s="44" t="str">
        <f t="shared" si="190"/>
        <v>MYR 2.44</v>
      </c>
      <c r="E723" s="44" t="str">
        <f t="shared" si="190"/>
        <v>MYR 4.50</v>
      </c>
      <c r="F723" s="45">
        <f t="shared" si="190"/>
        <v>0.84426229508196715</v>
      </c>
      <c r="G723" s="44" t="str">
        <f t="shared" si="190"/>
        <v>Buy</v>
      </c>
      <c r="H723" s="46"/>
      <c r="I723" s="47">
        <f>AXI!D$11/Prices!$C$159/1000</f>
        <v>5.1745430471039002</v>
      </c>
      <c r="J723" s="47">
        <f>AXI!E$11/Prices!$C$159/1000</f>
        <v>5.1745430471039002</v>
      </c>
      <c r="K723" s="47">
        <f>AXI!F$11/Prices!$C$159/1000</f>
        <v>5.1745430471039002</v>
      </c>
      <c r="L723" s="47">
        <f>AXI!G$11/Prices!$C$159/1000</f>
        <v>5.1745430471039002</v>
      </c>
      <c r="M723" s="45">
        <f t="shared" si="191"/>
        <v>0</v>
      </c>
      <c r="N723" s="46"/>
      <c r="O723" s="47">
        <f>AXI!D$12/Prices!$C$159/1000</f>
        <v>5.3194200736094057</v>
      </c>
      <c r="P723" s="47">
        <f>AXI!E$12/Prices!$C$159/1000</f>
        <v>5.1883231367767682</v>
      </c>
      <c r="Q723" s="47">
        <f>AXI!F$12/Prices!$C$159/1000</f>
        <v>5.085403563489578</v>
      </c>
      <c r="R723" s="47">
        <f>AXI!G$12/Prices!$C$159/1000</f>
        <v>4.971702779213687</v>
      </c>
      <c r="S723" s="45">
        <f t="shared" si="192"/>
        <v>-2.2281971807636247E-2</v>
      </c>
      <c r="T723" s="46"/>
      <c r="U723" s="48" t="str">
        <f t="shared" si="193"/>
        <v>MYR 2.44</v>
      </c>
      <c r="V723" s="44" t="str">
        <f t="shared" si="193"/>
        <v>Axiata</v>
      </c>
      <c r="Z723" s="46"/>
    </row>
    <row r="724" spans="1:26">
      <c r="C724" s="48" t="str">
        <f t="shared" si="190"/>
        <v>Bharti Airtel</v>
      </c>
      <c r="D724" s="44" t="str">
        <f t="shared" si="190"/>
        <v>INR 1539</v>
      </c>
      <c r="E724" s="44" t="str">
        <f t="shared" si="190"/>
        <v>INR 1500</v>
      </c>
      <c r="F724" s="45">
        <f t="shared" si="190"/>
        <v>-2.5404457150282611E-2</v>
      </c>
      <c r="G724" s="44" t="str">
        <f t="shared" si="190"/>
        <v>Neutral</v>
      </c>
      <c r="H724" s="46"/>
      <c r="I724" s="47">
        <f>BHART!D$11/1000/Prices!$C$152</f>
        <v>110.86780637993877</v>
      </c>
      <c r="J724" s="47">
        <f>BHART!E$11/1000/Prices!$C$152</f>
        <v>110.86780637993877</v>
      </c>
      <c r="K724" s="47">
        <f>BHART!F$11/1000/Prices!$C$152</f>
        <v>110.86780637993877</v>
      </c>
      <c r="L724" s="47">
        <f>BHART!G$11/1000/Prices!$C$152</f>
        <v>110.86780637993877</v>
      </c>
      <c r="M724" s="45">
        <f t="shared" si="191"/>
        <v>0</v>
      </c>
      <c r="N724" s="46"/>
      <c r="O724" s="47">
        <f>BHART!D$12/1000/Prices!$C$152</f>
        <v>24.378227213457755</v>
      </c>
      <c r="P724" s="47">
        <f>BHART!E$12/1000/Prices!$C$152</f>
        <v>21.389796811302801</v>
      </c>
      <c r="Q724" s="47">
        <f>BHART!F$12/1000/Prices!$C$152</f>
        <v>17.710450279676806</v>
      </c>
      <c r="R724" s="47">
        <f>BHART!G$12/1000/Prices!$C$152</f>
        <v>13.159511619404292</v>
      </c>
      <c r="S724" s="45">
        <f t="shared" si="192"/>
        <v>-0.18577227972546095</v>
      </c>
      <c r="T724" s="46"/>
      <c r="U724" s="48" t="str">
        <f t="shared" si="193"/>
        <v>INR 1539</v>
      </c>
      <c r="V724" s="44" t="str">
        <f t="shared" si="193"/>
        <v>Bharti Airtel</v>
      </c>
      <c r="Z724" s="46"/>
    </row>
    <row r="725" spans="1:26">
      <c r="A725" s="5"/>
      <c r="C725" s="48" t="str">
        <f t="shared" si="190"/>
        <v>China Mobile</v>
      </c>
      <c r="D725" s="44" t="str">
        <f t="shared" si="190"/>
        <v>HKD 72.0</v>
      </c>
      <c r="E725" s="44" t="str">
        <f t="shared" si="190"/>
        <v>HKD 115.0</v>
      </c>
      <c r="F725" s="45">
        <f t="shared" si="190"/>
        <v>0.59722222222222232</v>
      </c>
      <c r="G725" s="44" t="str">
        <f t="shared" si="190"/>
        <v>Buy</v>
      </c>
      <c r="H725" s="46"/>
      <c r="I725" s="47">
        <f>_CM!D$11/Prices!$C$175</f>
        <v>197.81008011100926</v>
      </c>
      <c r="J725" s="47">
        <f>_CM!E$11/Prices!$C$175</f>
        <v>197.81008011100926</v>
      </c>
      <c r="K725" s="47">
        <f>_CM!F$11/Prices!$C$175</f>
        <v>197.81008011100926</v>
      </c>
      <c r="L725" s="47">
        <f>_CM!G$11/Prices!$C$175</f>
        <v>197.81008011100926</v>
      </c>
      <c r="M725" s="45">
        <f t="shared" si="191"/>
        <v>0</v>
      </c>
      <c r="N725" s="46"/>
      <c r="O725" s="47">
        <f>_CM!D$12/Prices!$C$175</f>
        <v>-10.699351262771893</v>
      </c>
      <c r="P725" s="47">
        <f>_CM!E$12/Prices!$C$175</f>
        <v>-15.806504590789233</v>
      </c>
      <c r="Q725" s="47">
        <f>_CM!F$12/Prices!$C$175</f>
        <v>-21.542974109610395</v>
      </c>
      <c r="R725" s="47">
        <f>_CM!G$12/Prices!$C$175</f>
        <v>-27.467105036893457</v>
      </c>
      <c r="S725" s="45">
        <f t="shared" si="192"/>
        <v>0.36925756018578304</v>
      </c>
      <c r="T725" s="46"/>
      <c r="U725" s="48" t="str">
        <f t="shared" si="193"/>
        <v>HKD 72.0</v>
      </c>
      <c r="V725" s="44" t="str">
        <f t="shared" si="193"/>
        <v>China Mobile</v>
      </c>
      <c r="Z725" s="46"/>
    </row>
    <row r="726" spans="1:26">
      <c r="A726" s="5"/>
      <c r="C726" s="48" t="str">
        <f t="shared" si="190"/>
        <v>CelcomDigi</v>
      </c>
      <c r="D726" s="44" t="str">
        <f t="shared" si="190"/>
        <v>MYR 3.7</v>
      </c>
      <c r="E726" s="44" t="str">
        <f t="shared" si="190"/>
        <v>MYR 6.0</v>
      </c>
      <c r="F726" s="45">
        <f t="shared" si="190"/>
        <v>0.63934426229508201</v>
      </c>
      <c r="G726" s="44" t="str">
        <f t="shared" si="190"/>
        <v>Buy</v>
      </c>
      <c r="H726" s="46"/>
      <c r="I726" s="47">
        <f>DIGI!D$11/1000/Prices!$C$159</f>
        <v>9.9154901859364433</v>
      </c>
      <c r="J726" s="47">
        <f>DIGI!E$11/1000/Prices!$C$159</f>
        <v>9.9154901859364433</v>
      </c>
      <c r="K726" s="47">
        <f>DIGI!F$11/1000/Prices!$C$159</f>
        <v>9.9154901859364433</v>
      </c>
      <c r="L726" s="47">
        <f>DIGI!G$11/1000/Prices!$C$159</f>
        <v>9.9154901859364433</v>
      </c>
      <c r="M726" s="45">
        <f t="shared" si="191"/>
        <v>0</v>
      </c>
      <c r="N726" s="46"/>
      <c r="O726" s="47">
        <f>DIGI!D$12/1000/Prices!$C$159</f>
        <v>3.5053410676318753</v>
      </c>
      <c r="P726" s="47">
        <f>DIGI!E$12/1000/Prices!$C$159</f>
        <v>3.1573005980425002</v>
      </c>
      <c r="Q726" s="47">
        <f>DIGI!F$12/1000/Prices!$C$159</f>
        <v>2.8487638437350888</v>
      </c>
      <c r="R726" s="47">
        <f>DIGI!G$12/1000/Prices!$C$159</f>
        <v>2.5715213991854404</v>
      </c>
      <c r="S726" s="45">
        <f t="shared" si="192"/>
        <v>-9.8110590447631707E-2</v>
      </c>
      <c r="T726" s="46"/>
      <c r="U726" s="48" t="str">
        <f t="shared" si="193"/>
        <v>MYR 3.7</v>
      </c>
      <c r="V726" s="44" t="str">
        <f t="shared" si="193"/>
        <v>CelcomDigi</v>
      </c>
      <c r="Z726" s="46"/>
    </row>
    <row r="727" spans="1:26">
      <c r="A727" s="5"/>
      <c r="C727" s="48" t="str">
        <f t="shared" si="190"/>
        <v>Far EasTone</v>
      </c>
      <c r="D727" s="44" t="str">
        <f t="shared" si="190"/>
        <v>TWD 91.9</v>
      </c>
      <c r="E727" s="44" t="str">
        <f t="shared" si="190"/>
        <v>TWD n/r</v>
      </c>
      <c r="F727" s="45" t="str">
        <f t="shared" si="190"/>
        <v>-</v>
      </c>
      <c r="G727" s="44" t="str">
        <f t="shared" si="190"/>
        <v>n/r</v>
      </c>
      <c r="H727" s="46"/>
      <c r="I727" s="47">
        <f>(FAR!D$11/Prices!$C$181)/1000</f>
        <v>9.3756182483522306</v>
      </c>
      <c r="J727" s="47">
        <f>(FAR!E$11/Prices!$C$181)/1000</f>
        <v>9.3756182483522306</v>
      </c>
      <c r="K727" s="47">
        <f>(FAR!F$11/Prices!$C$181)/1000</f>
        <v>9.3756182483522306</v>
      </c>
      <c r="L727" s="47">
        <f>(FAR!G$11/Prices!$C$181)/1000</f>
        <v>9.3756182483522306</v>
      </c>
      <c r="M727" s="45">
        <f t="shared" si="191"/>
        <v>0</v>
      </c>
      <c r="N727" s="46"/>
      <c r="O727" s="47">
        <f>FAR!D$12/1000/Prices!$C$181</f>
        <v>2.2819581396232489</v>
      </c>
      <c r="P727" s="47">
        <f>FAR!E$12/1000/Prices!$C$181</f>
        <v>2.2044380386788673</v>
      </c>
      <c r="Q727" s="47">
        <f>FAR!F$12/1000/Prices!$C$181</f>
        <v>2.1289377738218298</v>
      </c>
      <c r="R727" s="47">
        <f>FAR!G$12/1000/Prices!$C$181</f>
        <v>2.0549872303549281</v>
      </c>
      <c r="S727" s="45">
        <f t="shared" si="192"/>
        <v>-3.4318707851948016E-2</v>
      </c>
      <c r="T727" s="46"/>
      <c r="U727" s="48" t="str">
        <f t="shared" si="193"/>
        <v>TWD 91.9</v>
      </c>
      <c r="V727" s="44" t="str">
        <f t="shared" si="193"/>
        <v>Far EasTone</v>
      </c>
      <c r="Z727" s="46"/>
    </row>
    <row r="728" spans="1:26">
      <c r="A728" s="5"/>
      <c r="C728" s="48" t="str">
        <f t="shared" si="190"/>
        <v>Vodafone IDEA</v>
      </c>
      <c r="D728" s="44" t="str">
        <f t="shared" si="190"/>
        <v>INR 13.4</v>
      </c>
      <c r="E728" s="44" t="str">
        <f t="shared" si="190"/>
        <v>INR 5.0</v>
      </c>
      <c r="F728" s="45">
        <f t="shared" si="190"/>
        <v>-0.62574850299401197</v>
      </c>
      <c r="G728" s="44" t="str">
        <f t="shared" si="190"/>
        <v>Reduce</v>
      </c>
      <c r="H728" s="46"/>
      <c r="I728" s="47">
        <f>IDEA!D$11/1000/Prices!$C$152</f>
        <v>7.9765379422501974</v>
      </c>
      <c r="J728" s="47">
        <f>IDEA!E$11/1000/Prices!$C$152</f>
        <v>11.007955785953898</v>
      </c>
      <c r="K728" s="47">
        <f>IDEA!F$11/1000/Prices!$C$152</f>
        <v>11.007955785953898</v>
      </c>
      <c r="L728" s="47">
        <f>IDEA!G$11/1000/Prices!$C$152</f>
        <v>11.007955785953898</v>
      </c>
      <c r="M728" s="45">
        <f t="shared" si="191"/>
        <v>0.11334752255350278</v>
      </c>
      <c r="N728" s="46"/>
      <c r="O728" s="47">
        <f>IDEA!D$12/1000/Prices!$C$152</f>
        <v>24.713691830940419</v>
      </c>
      <c r="P728" s="47">
        <f>IDEA!E$12/1000/Prices!$C$152</f>
        <v>25.400772525648375</v>
      </c>
      <c r="Q728" s="47">
        <f>IDEA!F$12/1000/Prices!$C$152</f>
        <v>28.133416141376763</v>
      </c>
      <c r="R728" s="47">
        <f>IDEA!G$12/1000/Prices!$C$152</f>
        <v>29.745132689219858</v>
      </c>
      <c r="S728" s="45">
        <f t="shared" si="192"/>
        <v>6.3716986539366971E-2</v>
      </c>
      <c r="T728" s="46"/>
      <c r="U728" s="48" t="str">
        <f t="shared" si="193"/>
        <v>INR 13.4</v>
      </c>
      <c r="V728" s="44" t="str">
        <f t="shared" si="193"/>
        <v>Vodafone IDEA</v>
      </c>
      <c r="Z728" s="46"/>
    </row>
    <row r="729" spans="1:26">
      <c r="A729" s="5"/>
      <c r="C729" s="48" t="str">
        <f t="shared" si="190"/>
        <v>Indosat</v>
      </c>
      <c r="D729" s="44" t="str">
        <f t="shared" si="190"/>
        <v>IDR 10,900</v>
      </c>
      <c r="E729" s="44" t="str">
        <f t="shared" si="190"/>
        <v>IDR 12,500</v>
      </c>
      <c r="F729" s="45">
        <f t="shared" si="190"/>
        <v>0.14678899082568808</v>
      </c>
      <c r="G729" s="44" t="str">
        <f t="shared" si="190"/>
        <v>Buy</v>
      </c>
      <c r="H729" s="46"/>
      <c r="I729" s="47">
        <f>INDO!D$11/Prices!$C$172</f>
        <v>5.7197023323330729</v>
      </c>
      <c r="J729" s="47">
        <f>INDO!E$11/Prices!$C$172</f>
        <v>5.7197023323330729</v>
      </c>
      <c r="K729" s="47">
        <f>INDO!F$11/Prices!$C$172</f>
        <v>5.7197023323330729</v>
      </c>
      <c r="L729" s="47">
        <f>INDO!G$11/Prices!$C$172</f>
        <v>5.7197023323330729</v>
      </c>
      <c r="M729" s="45">
        <f t="shared" si="191"/>
        <v>0</v>
      </c>
      <c r="N729" s="46"/>
      <c r="O729" s="47">
        <f>INDO!D$12/Prices!$C$172</f>
        <v>3.1672169106920331</v>
      </c>
      <c r="P729" s="47">
        <f>INDO!E$12/Prices!$C$172</f>
        <v>2.6345087193601611</v>
      </c>
      <c r="Q729" s="47">
        <f>INDO!F$12/Prices!$C$172</f>
        <v>1.9328389754303992</v>
      </c>
      <c r="R729" s="47">
        <f>INDO!G$12/Prices!$C$172</f>
        <v>1.1590872957810285</v>
      </c>
      <c r="S729" s="45">
        <f t="shared" si="192"/>
        <v>-0.28471445918451621</v>
      </c>
      <c r="T729" s="46"/>
      <c r="U729" s="48" t="str">
        <f t="shared" si="193"/>
        <v>IDR 10,900</v>
      </c>
      <c r="V729" s="44" t="str">
        <f t="shared" si="193"/>
        <v>Indosat</v>
      </c>
      <c r="Z729" s="46"/>
    </row>
    <row r="730" spans="1:26">
      <c r="A730" s="5"/>
      <c r="C730" s="48" t="str">
        <f t="shared" si="190"/>
        <v>LG Uplus</v>
      </c>
      <c r="D730" s="44" t="str">
        <f t="shared" si="190"/>
        <v>KRW 9,890</v>
      </c>
      <c r="E730" s="44" t="str">
        <f t="shared" si="190"/>
        <v>KRW 21,000</v>
      </c>
      <c r="F730" s="45">
        <f t="shared" si="190"/>
        <v>1.1233569261880687</v>
      </c>
      <c r="G730" s="44" t="str">
        <f t="shared" si="190"/>
        <v>Buy</v>
      </c>
      <c r="H730" s="46"/>
      <c r="I730" s="47">
        <f>_LG!D$11/Prices!$C$173</f>
        <v>3.2528336283852499</v>
      </c>
      <c r="J730" s="47">
        <f>_LG!E$11/Prices!$C$173</f>
        <v>3.2528336283852499</v>
      </c>
      <c r="K730" s="47">
        <f>_LG!F$11/Prices!$C$173</f>
        <v>3.2528336283852499</v>
      </c>
      <c r="L730" s="47">
        <f>_LG!G$11/Prices!$C$173</f>
        <v>3.2528336283852499</v>
      </c>
      <c r="M730" s="45">
        <f t="shared" si="191"/>
        <v>0</v>
      </c>
      <c r="N730" s="46"/>
      <c r="O730" s="47">
        <f>_LG!D$12/Prices!$C$173</f>
        <v>4.3104448378470002</v>
      </c>
      <c r="P730" s="47">
        <f>_LG!E$12/Prices!$C$173</f>
        <v>4.3022844539484257</v>
      </c>
      <c r="Q730" s="47">
        <f>_LG!F$12/Prices!$C$173</f>
        <v>4.2894950323703878</v>
      </c>
      <c r="R730" s="47">
        <f>_LG!G$12/Prices!$C$173</f>
        <v>4.2692026969105914</v>
      </c>
      <c r="S730" s="45">
        <f t="shared" si="192"/>
        <v>-3.1995443989996097E-3</v>
      </c>
      <c r="T730" s="46"/>
      <c r="U730" s="48" t="str">
        <f t="shared" si="193"/>
        <v>KRW 9,890</v>
      </c>
      <c r="V730" s="44" t="str">
        <f t="shared" si="193"/>
        <v>LG Uplus</v>
      </c>
      <c r="Z730" s="46"/>
    </row>
    <row r="731" spans="1:26">
      <c r="C731" s="48" t="str">
        <f t="shared" si="190"/>
        <v>Maxis</v>
      </c>
      <c r="D731" s="44" t="str">
        <f t="shared" si="190"/>
        <v>MYR 3.82</v>
      </c>
      <c r="E731" s="44" t="str">
        <f t="shared" si="190"/>
        <v>MYR 5.60</v>
      </c>
      <c r="F731" s="45">
        <f t="shared" si="190"/>
        <v>0.46596858638743455</v>
      </c>
      <c r="G731" s="44" t="str">
        <f t="shared" si="190"/>
        <v>Buy</v>
      </c>
      <c r="H731" s="46"/>
      <c r="I731" s="47">
        <f>MAXI!D$11/1000/Prices!$C$159</f>
        <v>6.905178879541265</v>
      </c>
      <c r="J731" s="47">
        <f>MAXI!E$11/1000/Prices!$C$159</f>
        <v>6.9087073306805289</v>
      </c>
      <c r="K731" s="47">
        <f>MAXI!F$11/1000/Prices!$C$159</f>
        <v>6.9087073306805289</v>
      </c>
      <c r="L731" s="47">
        <f>MAXI!G$11/1000/Prices!$C$159</f>
        <v>6.9087073306805289</v>
      </c>
      <c r="M731" s="45">
        <f t="shared" si="191"/>
        <v>1.7029973081283956E-4</v>
      </c>
      <c r="N731" s="46"/>
      <c r="O731" s="47">
        <f>MAXI!D$12/1000/Prices!$C$159</f>
        <v>2.1251528687600914</v>
      </c>
      <c r="P731" s="47">
        <f>MAXI!E$12/1000/Prices!$C$159</f>
        <v>1.9873313432750155</v>
      </c>
      <c r="Q731" s="47">
        <f>MAXI!F$12/1000/Prices!$C$159</f>
        <v>1.8822217297781627</v>
      </c>
      <c r="R731" s="47">
        <f>MAXI!G$12/1000/Prices!$C$159</f>
        <v>1.7971520352967036</v>
      </c>
      <c r="S731" s="45">
        <f t="shared" si="192"/>
        <v>-5.4347559274576684E-2</v>
      </c>
      <c r="T731" s="46"/>
      <c r="U731" s="48" t="str">
        <f t="shared" si="193"/>
        <v>MYR 3.82</v>
      </c>
      <c r="V731" s="44" t="str">
        <f t="shared" si="193"/>
        <v>Maxis</v>
      </c>
      <c r="Z731" s="46"/>
    </row>
    <row r="732" spans="1:26">
      <c r="A732" s="5"/>
      <c r="C732" s="48" t="str">
        <f t="shared" si="190"/>
        <v>SK Telecom</v>
      </c>
      <c r="D732" s="44" t="str">
        <f t="shared" si="190"/>
        <v>KRW 57,800</v>
      </c>
      <c r="E732" s="44" t="str">
        <f t="shared" si="190"/>
        <v>KRW 116,000</v>
      </c>
      <c r="F732" s="45">
        <f t="shared" si="190"/>
        <v>1.0069204152249136</v>
      </c>
      <c r="G732" s="44" t="str">
        <f t="shared" si="190"/>
        <v>Buy</v>
      </c>
      <c r="H732" s="46"/>
      <c r="I732" s="47">
        <f>SKT!D$11/Prices!$C$173</f>
        <v>9.3774895692493114</v>
      </c>
      <c r="J732" s="47">
        <f>SKT!E$11/Prices!$C$173</f>
        <v>9.2613992195562922</v>
      </c>
      <c r="K732" s="47">
        <f>SKT!F$11/Prices!$C$173</f>
        <v>9.2613992195562922</v>
      </c>
      <c r="L732" s="47">
        <f>SKT!G$11/Prices!$C$173</f>
        <v>9.2613992195562922</v>
      </c>
      <c r="M732" s="45">
        <f t="shared" si="191"/>
        <v>-4.14370764979477E-3</v>
      </c>
      <c r="N732" s="46"/>
      <c r="O732" s="47">
        <f>SKT!D$12/Prices!$C$173</f>
        <v>6.9462652415473274</v>
      </c>
      <c r="P732" s="47">
        <f>SKT!E$12/Prices!$C$173</f>
        <v>6.4224641258949973</v>
      </c>
      <c r="Q732" s="47">
        <f>SKT!F$12/Prices!$C$173</f>
        <v>5.9961957729759101</v>
      </c>
      <c r="R732" s="47">
        <f>SKT!G$12/Prices!$C$173</f>
        <v>5.3383527774295558</v>
      </c>
      <c r="S732" s="45">
        <f t="shared" si="192"/>
        <v>-8.4021452517084705E-2</v>
      </c>
      <c r="T732" s="46"/>
      <c r="U732" s="48" t="str">
        <f t="shared" si="193"/>
        <v>KRW 57,800</v>
      </c>
      <c r="V732" s="44" t="str">
        <f t="shared" si="193"/>
        <v>SK Telecom</v>
      </c>
      <c r="Z732" s="46"/>
    </row>
    <row r="733" spans="1:26">
      <c r="A733" s="5"/>
      <c r="C733" s="48" t="str">
        <f t="shared" si="190"/>
        <v>Taiwan Mobile</v>
      </c>
      <c r="D733" s="44" t="str">
        <f t="shared" si="190"/>
        <v>TWD 115.0</v>
      </c>
      <c r="E733" s="44" t="str">
        <f t="shared" si="190"/>
        <v>TWD n/r</v>
      </c>
      <c r="F733" s="45" t="str">
        <f t="shared" si="190"/>
        <v>-</v>
      </c>
      <c r="G733" s="44" t="str">
        <f t="shared" si="190"/>
        <v>n/r</v>
      </c>
      <c r="H733" s="46"/>
      <c r="I733" s="47">
        <f>(TAIWAN!D$11/Prices!$C$181)/1000</f>
        <v>9.7355558240176876</v>
      </c>
      <c r="J733" s="47">
        <f>(TAIWAN!E$11/Prices!$C$181)/1000</f>
        <v>9.7355558240176876</v>
      </c>
      <c r="K733" s="47">
        <f>(TAIWAN!F$11/Prices!$C$181)/1000</f>
        <v>9.7355558240176876</v>
      </c>
      <c r="L733" s="47">
        <f>(TAIWAN!G$11/Prices!$C$181)/1000</f>
        <v>9.7355558240176876</v>
      </c>
      <c r="M733" s="45">
        <f t="shared" si="191"/>
        <v>0</v>
      </c>
      <c r="N733" s="46"/>
      <c r="O733" s="47">
        <f>TAIWAN!D$12/1000/Prices!$C$181</f>
        <v>2.2508199481066562</v>
      </c>
      <c r="P733" s="47">
        <f>TAIWAN!E$12/1000/Prices!$C$181</f>
        <v>2.1100953469287136</v>
      </c>
      <c r="Q733" s="47">
        <f>TAIWAN!F$12/1000/Prices!$C$181</f>
        <v>1.9564536912156909</v>
      </c>
      <c r="R733" s="47">
        <f>TAIWAN!G$12/1000/Prices!$C$181</f>
        <v>1.7362767316961512</v>
      </c>
      <c r="S733" s="45">
        <f t="shared" si="192"/>
        <v>-8.2880213588475637E-2</v>
      </c>
      <c r="T733" s="46"/>
      <c r="U733" s="48" t="str">
        <f t="shared" si="193"/>
        <v>TWD 115.0</v>
      </c>
      <c r="V733" s="44" t="str">
        <f t="shared" si="193"/>
        <v>Taiwan Mobile</v>
      </c>
      <c r="Z733" s="46"/>
    </row>
    <row r="734" spans="1:26">
      <c r="A734" s="5"/>
      <c r="C734" s="48" t="str">
        <f t="shared" si="190"/>
        <v>True Corp</v>
      </c>
      <c r="D734" s="44" t="str">
        <f t="shared" si="190"/>
        <v>THB 10.7</v>
      </c>
      <c r="E734" s="44" t="str">
        <f t="shared" si="190"/>
        <v>THB 15.0</v>
      </c>
      <c r="F734" s="45">
        <f t="shared" si="190"/>
        <v>0.40186915887850483</v>
      </c>
      <c r="G734" s="44" t="str">
        <f t="shared" si="190"/>
        <v>Buy</v>
      </c>
      <c r="H734" s="46"/>
      <c r="I734" s="47">
        <f>TRUECORP!D$11/1000/Prices!$C$163</f>
        <v>11.031101544373701</v>
      </c>
      <c r="J734" s="47">
        <f>TRUECORP!E$11/1000/Prices!$C$163</f>
        <v>11.031101544373701</v>
      </c>
      <c r="K734" s="47">
        <f>TRUECORP!F$11/1000/Prices!$C$163</f>
        <v>11.031101544373701</v>
      </c>
      <c r="L734" s="47">
        <f>TRUECORP!G$11/1000/Prices!$C$163</f>
        <v>11.031101544373701</v>
      </c>
      <c r="M734" s="45">
        <f>(L734/I734)^(1/3)-1</f>
        <v>0</v>
      </c>
      <c r="N734" s="46"/>
      <c r="O734" s="47">
        <f>TRUECORP!D$12/1000/Prices!$C$163</f>
        <v>14.757954719392895</v>
      </c>
      <c r="P734" s="47">
        <f>TRUECORP!E$12/1000/Prices!$C$163</f>
        <v>13.669157315729777</v>
      </c>
      <c r="Q734" s="47">
        <f>TRUECORP!F$12/1000/Prices!$C$163</f>
        <v>12.674401247064262</v>
      </c>
      <c r="R734" s="47">
        <f>TRUECORP!G$12/1000/Prices!$C$163</f>
        <v>11.566227030070957</v>
      </c>
      <c r="S734" s="45">
        <f>(R734/O734)^(1/3)-1</f>
        <v>-7.8019265146239358E-2</v>
      </c>
      <c r="T734" s="46"/>
      <c r="U734" s="48" t="str">
        <f t="shared" si="193"/>
        <v>THB 10.7</v>
      </c>
      <c r="V734" s="44" t="str">
        <f t="shared" si="193"/>
        <v>True Corp</v>
      </c>
      <c r="Z734" s="46"/>
    </row>
    <row r="735" spans="1:26">
      <c r="A735" s="5"/>
      <c r="C735" s="48" t="str">
        <f t="shared" si="190"/>
        <v>XL Axiata</v>
      </c>
      <c r="D735" s="44" t="str">
        <f t="shared" si="190"/>
        <v>IDR 2,330</v>
      </c>
      <c r="E735" s="44" t="str">
        <f t="shared" si="190"/>
        <v>IDR 5,000</v>
      </c>
      <c r="F735" s="45">
        <f t="shared" si="190"/>
        <v>1.1459227467811157</v>
      </c>
      <c r="G735" s="44" t="str">
        <f t="shared" si="190"/>
        <v>Buy</v>
      </c>
      <c r="H735" s="46"/>
      <c r="I735" s="47">
        <f>XLAX!D$11/Prices!$C$172</f>
        <v>1.9908390145532695</v>
      </c>
      <c r="J735" s="47">
        <f>XLAX!E$11/Prices!$C$172</f>
        <v>1.9908390145532695</v>
      </c>
      <c r="K735" s="47">
        <f>XLAX!F$11/Prices!$C$172</f>
        <v>1.9908390145532695</v>
      </c>
      <c r="L735" s="47">
        <f>XLAX!G$11/Prices!$C$172</f>
        <v>1.9908390145532695</v>
      </c>
      <c r="M735" s="45">
        <f t="shared" si="191"/>
        <v>0</v>
      </c>
      <c r="N735" s="56"/>
      <c r="O735" s="47">
        <f>XLAX!D$12/Prices!$C$172</f>
        <v>2.9256104181184237</v>
      </c>
      <c r="P735" s="47">
        <f>XLAX!E$12/Prices!$C$172</f>
        <v>2.5709675280196422</v>
      </c>
      <c r="Q735" s="47">
        <f>XLAX!F$12/Prices!$C$172</f>
        <v>2.173675880695531</v>
      </c>
      <c r="R735" s="47">
        <f>XLAX!G$12/Prices!$C$172</f>
        <v>1.7469938149639759</v>
      </c>
      <c r="S735" s="45">
        <f t="shared" si="192"/>
        <v>-0.15791042436363212</v>
      </c>
      <c r="T735" s="46"/>
      <c r="U735" s="48" t="str">
        <f t="shared" si="193"/>
        <v>IDR 2,330</v>
      </c>
      <c r="V735" s="44" t="str">
        <f t="shared" si="193"/>
        <v>XL Axiata</v>
      </c>
      <c r="Z735" s="46"/>
    </row>
    <row r="736" spans="1:26">
      <c r="A736" s="5"/>
      <c r="C736" s="51" t="str">
        <f>C674</f>
        <v>Agg. Emerging Asia Cellular</v>
      </c>
      <c r="D736" s="52"/>
      <c r="E736" s="52"/>
      <c r="F736" s="53"/>
      <c r="G736" s="52"/>
      <c r="H736" s="46"/>
      <c r="I736" s="54">
        <f>'EM ASIA CELLULAR'!$D$11/1000</f>
        <v>413.00285760512571</v>
      </c>
      <c r="J736" s="54">
        <f>'EM ASIA CELLULAR'!$E$11/1000</f>
        <v>415.92171355027563</v>
      </c>
      <c r="K736" s="54">
        <f>'EM ASIA CELLULAR'!$F$11/1000</f>
        <v>415.92171355027563</v>
      </c>
      <c r="L736" s="54">
        <f>'EM ASIA CELLULAR'!$G$11/1000</f>
        <v>415.92171355027563</v>
      </c>
      <c r="M736" s="55">
        <f t="shared" si="191"/>
        <v>2.3502715325161017E-3</v>
      </c>
      <c r="N736" s="56"/>
      <c r="O736" s="54">
        <f>'EM ASIA CELLULAR'!$D$12/1000</f>
        <v>91.505851971210049</v>
      </c>
      <c r="P736" s="54">
        <f>'EM ASIA CELLULAR'!$E$12/1000</f>
        <v>79.52450159615934</v>
      </c>
      <c r="Q736" s="54">
        <f>'EM ASIA CELLULAR'!$F$12/1000</f>
        <v>68.545059708995041</v>
      </c>
      <c r="R736" s="54">
        <f>'EM ASIA CELLULAR'!$G$12/1000</f>
        <v>55.172449930880902</v>
      </c>
      <c r="S736" s="55">
        <f t="shared" si="192"/>
        <v>-0.15519242348340789</v>
      </c>
      <c r="T736" s="46"/>
      <c r="U736" s="57"/>
      <c r="V736" s="58" t="str">
        <f>V674</f>
        <v>Agg. Emerging Asia Cellular</v>
      </c>
      <c r="Z736" s="46"/>
    </row>
    <row r="737" spans="1:69">
      <c r="A737" s="5"/>
      <c r="C737" s="43"/>
      <c r="D737" s="44"/>
      <c r="E737" s="44"/>
      <c r="F737" s="68"/>
      <c r="G737" s="44"/>
      <c r="H737" s="46"/>
      <c r="I737" s="62"/>
      <c r="J737" s="62"/>
      <c r="K737" s="62"/>
      <c r="L737" s="62"/>
      <c r="M737" s="61"/>
      <c r="N737" s="46"/>
      <c r="O737" s="62"/>
      <c r="P737" s="62"/>
      <c r="Q737" s="62"/>
      <c r="R737" s="62"/>
      <c r="S737" s="61"/>
      <c r="T737" s="46"/>
      <c r="U737" s="48"/>
      <c r="V737" s="50"/>
      <c r="Z737" s="46"/>
    </row>
    <row r="738" spans="1:69">
      <c r="A738" s="5"/>
      <c r="C738" s="51" t="str">
        <f>C676</f>
        <v>Agg. Emerging  Cellular</v>
      </c>
      <c r="D738" s="52"/>
      <c r="E738" s="52"/>
      <c r="F738" s="53"/>
      <c r="G738" s="52"/>
      <c r="H738" s="46"/>
      <c r="I738" s="54">
        <f>'EM CELLULAR'!$D$11/1000</f>
        <v>521.08764340488301</v>
      </c>
      <c r="J738" s="54">
        <f>'EM CELLULAR'!$E$11/1000</f>
        <v>523.89079912695547</v>
      </c>
      <c r="K738" s="54">
        <f>'EM CELLULAR'!$F$11/1000</f>
        <v>523.62449912695547</v>
      </c>
      <c r="L738" s="54">
        <f>'EM CELLULAR'!$G$11/1000</f>
        <v>523.35819912695547</v>
      </c>
      <c r="M738" s="55">
        <f t="shared" ref="M738" si="194">(L738/I738)^(1/3)-1</f>
        <v>1.4503419596096911E-3</v>
      </c>
      <c r="N738" s="46"/>
      <c r="O738" s="54">
        <f>'EM CELLULAR'!$D$12/1000</f>
        <v>124.22963533487193</v>
      </c>
      <c r="P738" s="54">
        <f>'EM CELLULAR'!$E$12/1000</f>
        <v>111.76314026841783</v>
      </c>
      <c r="Q738" s="54">
        <f>'EM CELLULAR'!$F$12/1000</f>
        <v>99.48958312720579</v>
      </c>
      <c r="R738" s="54">
        <f>'EM CELLULAR'!$G$12/1000</f>
        <v>84.483750401199615</v>
      </c>
      <c r="S738" s="55">
        <f t="shared" ref="S738" si="195">(R738/O738)^(1/3)-1</f>
        <v>-0.12060770092652329</v>
      </c>
      <c r="T738" s="46"/>
      <c r="U738" s="57"/>
      <c r="V738" s="58" t="str">
        <f>V676</f>
        <v>Agg. Emerging  Cellular</v>
      </c>
      <c r="Z738" s="46"/>
    </row>
    <row r="739" spans="1:69">
      <c r="C739" s="43"/>
      <c r="D739" s="44"/>
      <c r="E739" s="44"/>
      <c r="F739" s="45"/>
      <c r="G739" s="44"/>
      <c r="H739" s="46"/>
      <c r="I739" s="47"/>
      <c r="J739" s="47"/>
      <c r="K739" s="47"/>
      <c r="L739" s="47"/>
      <c r="M739" s="45"/>
      <c r="N739" s="46"/>
      <c r="O739" s="47"/>
      <c r="P739" s="47"/>
      <c r="Q739" s="47"/>
      <c r="R739" s="47"/>
      <c r="S739" s="45"/>
      <c r="T739" s="46"/>
      <c r="U739" s="48"/>
      <c r="V739" s="50"/>
      <c r="Z739" s="46"/>
    </row>
    <row r="740" spans="1:69">
      <c r="A740" s="41" t="s">
        <v>503</v>
      </c>
      <c r="B740" s="42" t="s">
        <v>577</v>
      </c>
      <c r="C740" s="48" t="s">
        <v>811</v>
      </c>
      <c r="D740" s="44" t="str">
        <f>'EM Multiples'!B740&amp;TEXT(Prices!C$135,"0.00")</f>
        <v>MXN42.67</v>
      </c>
      <c r="E740" s="44" t="str">
        <f>'EM Multiples'!B740&amp;TEXT(Prices!E$135,"0.00")</f>
        <v>MXN55.00</v>
      </c>
      <c r="F740" s="45">
        <f>Prices!F$135</f>
        <v>0.28896179985938586</v>
      </c>
      <c r="G740" s="44" t="str">
        <f>Prices!D$48</f>
        <v>Buy</v>
      </c>
      <c r="H740" s="46"/>
      <c r="I740" s="47">
        <f>MEGA!D$11/1000/Prices!$C$180</f>
        <v>1.8404003380102907</v>
      </c>
      <c r="J740" s="47">
        <f>MEGA!E$11/1000/Prices!$C$180</f>
        <v>1.8404003380102907</v>
      </c>
      <c r="K740" s="47">
        <f>MEGA!F$11/1000/Prices!$C$180</f>
        <v>1.8404003380102907</v>
      </c>
      <c r="L740" s="47">
        <f>MEGA!G$11/1000/Prices!$C$180</f>
        <v>1.8404003380102907</v>
      </c>
      <c r="M740" s="45">
        <f>(L740/I740)^(1/3)-1</f>
        <v>0</v>
      </c>
      <c r="N740" s="46"/>
      <c r="O740" s="47">
        <f>MEGA!D$12/1000/Prices!$C$180</f>
        <v>0.96106758913197254</v>
      </c>
      <c r="P740" s="47">
        <f>MEGA!E$12/1000/Prices!$C$180</f>
        <v>1.1906306322994304</v>
      </c>
      <c r="Q740" s="47">
        <f>MEGA!F$12/1000/Prices!$C$180</f>
        <v>1.2670337894418522</v>
      </c>
      <c r="R740" s="47">
        <f>MEGA!G$12/1000/Prices!$C$180</f>
        <v>1.2127549541948781</v>
      </c>
      <c r="S740" s="45">
        <f>(R740/O740)^(1/3)-1</f>
        <v>8.0620101632364438E-2</v>
      </c>
      <c r="T740" s="46"/>
      <c r="U740" s="48" t="str">
        <f>D740</f>
        <v>MXN42.67</v>
      </c>
      <c r="V740" s="44" t="str">
        <f>C740</f>
        <v>Megacable</v>
      </c>
      <c r="Z740" s="46"/>
      <c r="AE740" s="41"/>
    </row>
    <row r="741" spans="1:69">
      <c r="A741" s="5"/>
      <c r="B741" s="42" t="s">
        <v>406</v>
      </c>
      <c r="C741" s="48" t="s">
        <v>797</v>
      </c>
      <c r="D741" s="44" t="str">
        <f>'EM Multiples'!B741&amp;TEXT(Prices!C$138,"0.00")</f>
        <v>USD9.48</v>
      </c>
      <c r="E741" s="44" t="str">
        <f>'EM Multiples'!B741&amp;TEXT(Prices!E$138,"0.00")</f>
        <v>USD14.00</v>
      </c>
      <c r="F741" s="45">
        <f>Prices!F$138</f>
        <v>0.47679324894514763</v>
      </c>
      <c r="G741" s="44" t="str">
        <f>Prices!D$138</f>
        <v>Buy</v>
      </c>
      <c r="H741" s="46"/>
      <c r="I741" s="47">
        <f>LiLAC!D$11/1000</f>
        <v>1.7157188400000003</v>
      </c>
      <c r="J741" s="47">
        <f>LiLAC!E$11/1000</f>
        <v>1.7246395200000002</v>
      </c>
      <c r="K741" s="47">
        <f>LiLAC!F$11/1000</f>
        <v>2.1996443999999999</v>
      </c>
      <c r="L741" s="47">
        <f>LiLAC!G$11/1000</f>
        <v>2.1778404</v>
      </c>
      <c r="M741" s="45">
        <f>(L741/I741)^(1/3)-1</f>
        <v>8.2746137752245152E-2</v>
      </c>
      <c r="N741" s="46"/>
      <c r="O741" s="47">
        <f>LiLAC!D$12/1000</f>
        <v>7.1070122227357784</v>
      </c>
      <c r="P741" s="47">
        <f>LiLAC!E$12/1000</f>
        <v>6.8172828302392325</v>
      </c>
      <c r="Q741" s="47">
        <f>LiLAC!F$12/1000</f>
        <v>6.5533547023544871</v>
      </c>
      <c r="R741" s="47">
        <f>LiLAC!G$12/1000</f>
        <v>6.2866492311254047</v>
      </c>
      <c r="S741" s="45">
        <f>(R741/O741)^(1/3)-1</f>
        <v>-4.0060073314429734E-2</v>
      </c>
      <c r="T741" s="46"/>
      <c r="U741" s="48" t="str">
        <f>D741</f>
        <v>USD9.48</v>
      </c>
      <c r="V741" s="44" t="str">
        <f>C741</f>
        <v>LiLAC</v>
      </c>
      <c r="Z741" s="46"/>
      <c r="AE741" s="41"/>
    </row>
    <row r="742" spans="1:69">
      <c r="A742" s="5"/>
      <c r="C742" s="67" t="s">
        <v>814</v>
      </c>
      <c r="D742" s="52"/>
      <c r="E742" s="52"/>
      <c r="F742" s="53"/>
      <c r="G742" s="52"/>
      <c r="H742" s="46"/>
      <c r="I742" s="54">
        <f>'LATAM ALTNET &amp; CABLE'!$D$11/1000</f>
        <v>3.5561191780102908</v>
      </c>
      <c r="J742" s="54">
        <f>'LATAM ALTNET &amp; CABLE'!$E$11/1000</f>
        <v>3.5650398580102909</v>
      </c>
      <c r="K742" s="54">
        <f>'LATAM ALTNET &amp; CABLE'!$F$11/1000</f>
        <v>4.0400447380102902</v>
      </c>
      <c r="L742" s="54">
        <f>'LATAM ALTNET &amp; CABLE'!$G$11/1000</f>
        <v>4.0182407380102907</v>
      </c>
      <c r="M742" s="55">
        <f>(L742/I742)^(1/3)-1</f>
        <v>4.1565409160207789E-2</v>
      </c>
      <c r="N742" s="46"/>
      <c r="O742" s="54">
        <f>'LATAM ALTNET &amp; CABLE'!$D$12/1000</f>
        <v>8.0680798118677508</v>
      </c>
      <c r="P742" s="54">
        <f>'LATAM ALTNET &amp; CABLE'!$E$12/1000</f>
        <v>8.0079134625386637</v>
      </c>
      <c r="Q742" s="54">
        <f>'LATAM ALTNET &amp; CABLE'!$F$12/1000</f>
        <v>7.8203884917963391</v>
      </c>
      <c r="R742" s="54">
        <f>'LATAM ALTNET &amp; CABLE'!$G$12/1000</f>
        <v>7.4994041853202837</v>
      </c>
      <c r="S742" s="55">
        <f>(R742/O742)^(1/3)-1</f>
        <v>-2.4069573080623741E-2</v>
      </c>
      <c r="T742" s="46"/>
      <c r="U742" s="57"/>
      <c r="V742" s="58" t="str">
        <f>C742</f>
        <v>Agg. Emerging LatAm Altnets &amp; Cable</v>
      </c>
      <c r="Z742" s="46"/>
      <c r="AE742" s="41"/>
    </row>
    <row r="743" spans="1:69">
      <c r="C743" s="43"/>
      <c r="D743" s="44"/>
      <c r="E743" s="44"/>
      <c r="F743" s="45"/>
      <c r="G743" s="44"/>
      <c r="H743" s="46"/>
      <c r="I743" s="47"/>
      <c r="J743" s="47"/>
      <c r="K743" s="47"/>
      <c r="L743" s="47"/>
      <c r="M743" s="45"/>
      <c r="N743" s="46"/>
      <c r="O743" s="47"/>
      <c r="P743" s="47"/>
      <c r="Q743" s="47"/>
      <c r="R743" s="47"/>
      <c r="S743" s="45"/>
      <c r="T743" s="46"/>
      <c r="U743" s="48"/>
      <c r="V743" s="50"/>
      <c r="Z743" s="46"/>
    </row>
    <row r="744" spans="1:69">
      <c r="C744" s="67" t="str">
        <f>C682</f>
        <v>Agg. EMEA sector</v>
      </c>
      <c r="D744" s="52"/>
      <c r="E744" s="52"/>
      <c r="F744" s="53"/>
      <c r="G744" s="52"/>
      <c r="H744" s="46"/>
      <c r="I744" s="54">
        <f>'EMEA AGG'!$D$11/1000</f>
        <v>97.598686513087642</v>
      </c>
      <c r="J744" s="54">
        <f>'EMEA AGG'!$E$11/1000</f>
        <v>97.482986290010203</v>
      </c>
      <c r="K744" s="54">
        <f>'EMEA AGG'!$F$11/1000</f>
        <v>97.482986290010203</v>
      </c>
      <c r="L744" s="54">
        <f>'EMEA AGG'!$G$11/1000</f>
        <v>97.482986290010203</v>
      </c>
      <c r="M744" s="55">
        <f>(L744/I744)^(1/3)-1</f>
        <v>-3.9531260452174699E-4</v>
      </c>
      <c r="N744" s="56"/>
      <c r="O744" s="54">
        <f>'EMEA AGG'!$D$12/1000</f>
        <v>22.126757601700362</v>
      </c>
      <c r="P744" s="54">
        <f>'EMEA AGG'!$E$12/1000</f>
        <v>22.082401355010713</v>
      </c>
      <c r="Q744" s="54">
        <f>'EMEA AGG'!$F$12/1000</f>
        <v>21.483771556226628</v>
      </c>
      <c r="R744" s="54">
        <f>'EMEA AGG'!$G$12/1000</f>
        <v>20.900824477249756</v>
      </c>
      <c r="S744" s="55">
        <f>(R744/O744)^(1/3)-1</f>
        <v>-1.8820317401682329E-2</v>
      </c>
      <c r="T744" s="46"/>
      <c r="U744" s="57"/>
      <c r="V744" s="58" t="str">
        <f>V682</f>
        <v>Agg. EMEA sector</v>
      </c>
      <c r="Z744" s="49"/>
    </row>
    <row r="745" spans="1:69">
      <c r="C745" s="41" t="str">
        <f>C683</f>
        <v>Agg. LatAm sector</v>
      </c>
      <c r="D745" s="44"/>
      <c r="E745" s="44"/>
      <c r="F745" s="45"/>
      <c r="G745" s="44"/>
      <c r="H745" s="46"/>
      <c r="I745" s="60">
        <f>'LATAM AGG'!$D$11/1000</f>
        <v>88.526795557121858</v>
      </c>
      <c r="J745" s="60">
        <f>'LATAM AGG'!$E$11/1000</f>
        <v>86.805826401116803</v>
      </c>
      <c r="K745" s="60">
        <f>'LATAM AGG'!$F$11/1000</f>
        <v>84.857113477910744</v>
      </c>
      <c r="L745" s="60">
        <f>'LATAM AGG'!$G$11/1000</f>
        <v>82.381924723903154</v>
      </c>
      <c r="M745" s="59">
        <f>(L745/I745)^(1/3)-1</f>
        <v>-2.3694513141623741E-2</v>
      </c>
      <c r="N745" s="56"/>
      <c r="O745" s="60">
        <f>'LATAM AGG'!$D$12/1000</f>
        <v>57.123893144649955</v>
      </c>
      <c r="P745" s="60">
        <f>'LATAM AGG'!$E$12/1000</f>
        <v>56.492263598182433</v>
      </c>
      <c r="Q745" s="60">
        <f>'LATAM AGG'!$F$12/1000</f>
        <v>54.160333531938974</v>
      </c>
      <c r="R745" s="60">
        <f>'LATAM AGG'!$G$12/1000</f>
        <v>52.187051582900793</v>
      </c>
      <c r="S745" s="59">
        <f>(R745/O745)^(1/3)-1</f>
        <v>-2.9679989620092551E-2</v>
      </c>
      <c r="T745" s="46"/>
      <c r="U745" s="48"/>
      <c r="V745" s="50" t="str">
        <f>V683</f>
        <v>Agg. LatAm sector</v>
      </c>
      <c r="Z745" s="46"/>
    </row>
    <row r="746" spans="1:69">
      <c r="C746" s="67" t="str">
        <f>C684</f>
        <v>Agg. Emerging Asia sector</v>
      </c>
      <c r="D746" s="52"/>
      <c r="E746" s="52"/>
      <c r="F746" s="53"/>
      <c r="G746" s="52"/>
      <c r="H746" s="46"/>
      <c r="I746" s="54">
        <f>'AGG EM ASIA'!$D$11/1000</f>
        <v>547.79631304106272</v>
      </c>
      <c r="J746" s="54">
        <f>'AGG EM ASIA'!$E$11/1000</f>
        <v>550.87480133394695</v>
      </c>
      <c r="K746" s="54">
        <f>'AGG EM ASIA'!$F$11/1000</f>
        <v>550.87480133394695</v>
      </c>
      <c r="L746" s="54">
        <f>'AGG EM ASIA'!$G$11/1000</f>
        <v>550.87480133394695</v>
      </c>
      <c r="M746" s="55">
        <f>(L746/I746)^(1/3)-1</f>
        <v>1.8697578888220434E-3</v>
      </c>
      <c r="N746" s="56"/>
      <c r="O746" s="54">
        <f>'AGG EM ASIA'!$D$12/1000</f>
        <v>93.242844146561865</v>
      </c>
      <c r="P746" s="54">
        <f>'AGG EM ASIA'!$E$12/1000</f>
        <v>75.775259934142426</v>
      </c>
      <c r="Q746" s="54">
        <f>'AGG EM ASIA'!$F$12/1000</f>
        <v>58.383025799896551</v>
      </c>
      <c r="R746" s="54">
        <f>'AGG EM ASIA'!$G$12/1000</f>
        <v>38.69147158749302</v>
      </c>
      <c r="S746" s="55">
        <f>(R746/O746)^(1/3)-1</f>
        <v>-0.25412409362484756</v>
      </c>
      <c r="T746" s="46"/>
      <c r="U746" s="57"/>
      <c r="V746" s="58" t="str">
        <f>V684</f>
        <v>Agg. Emerging Asia sector</v>
      </c>
      <c r="Z746" s="49"/>
    </row>
    <row r="747" spans="1:69">
      <c r="C747" s="41"/>
      <c r="D747" s="44"/>
      <c r="E747" s="44"/>
      <c r="F747" s="45"/>
      <c r="G747" s="44"/>
      <c r="H747" s="46"/>
      <c r="I747" s="60"/>
      <c r="J747" s="60"/>
      <c r="K747" s="60"/>
      <c r="L747" s="60"/>
      <c r="M747" s="59"/>
      <c r="N747" s="56"/>
      <c r="O747" s="60"/>
      <c r="P747" s="60"/>
      <c r="Q747" s="60"/>
      <c r="R747" s="60"/>
      <c r="S747" s="59"/>
      <c r="T747" s="46"/>
      <c r="U747" s="48"/>
      <c r="V747" s="50"/>
      <c r="Z747" s="46"/>
    </row>
    <row r="748" spans="1:69">
      <c r="C748" s="67" t="str">
        <f>C686</f>
        <v>Agg. Global EM sector (ex-consensus)</v>
      </c>
      <c r="D748" s="52"/>
      <c r="E748" s="52"/>
      <c r="F748" s="53"/>
      <c r="G748" s="52"/>
      <c r="H748" s="46"/>
      <c r="I748" s="54">
        <f>'AGG EM'!$D$11/1000</f>
        <v>733.9217951112721</v>
      </c>
      <c r="J748" s="54">
        <f>'AGG EM'!$E$11/1000</f>
        <v>735.16361402507391</v>
      </c>
      <c r="K748" s="54">
        <f>'AGG EM'!$F$11/1000</f>
        <v>733.21490110186789</v>
      </c>
      <c r="L748" s="54">
        <f>'AGG EM'!$G$11/1000</f>
        <v>730.73971234786018</v>
      </c>
      <c r="M748" s="55">
        <f>(L748/I748)^(1/3)-1</f>
        <v>-1.4473352939369244E-3</v>
      </c>
      <c r="N748" s="56"/>
      <c r="O748" s="54">
        <f>'AGG EM'!$D$12/1000</f>
        <v>172.4934948929122</v>
      </c>
      <c r="P748" s="54">
        <f>'AGG EM'!$E$12/1000</f>
        <v>154.34992488733553</v>
      </c>
      <c r="Q748" s="54">
        <f>'AGG EM'!$F$12/1000</f>
        <v>134.02713088806215</v>
      </c>
      <c r="R748" s="54">
        <f>'AGG EM'!$G$12/1000</f>
        <v>111.77934764764356</v>
      </c>
      <c r="S748" s="55">
        <f>(R748/O748)^(1/3)-1</f>
        <v>-0.13464106330411396</v>
      </c>
      <c r="T748" s="46"/>
      <c r="U748" s="57"/>
      <c r="V748" s="58" t="str">
        <f>V686</f>
        <v>Agg. Global EM sector (ex-consensus)</v>
      </c>
      <c r="Z748" s="49"/>
    </row>
    <row r="749" spans="1:69">
      <c r="C749" s="43"/>
      <c r="D749" s="44"/>
      <c r="E749" s="44"/>
      <c r="F749" s="45"/>
      <c r="G749" s="44"/>
      <c r="H749" s="134"/>
      <c r="I749" s="47"/>
      <c r="J749" s="47"/>
      <c r="K749" s="47"/>
      <c r="L749" s="47"/>
      <c r="M749" s="45"/>
      <c r="N749" s="46"/>
      <c r="O749" s="47"/>
      <c r="P749" s="47"/>
      <c r="Q749" s="47"/>
      <c r="R749" s="47"/>
      <c r="S749" s="45"/>
      <c r="T749" s="46"/>
      <c r="U749" s="48"/>
      <c r="V749" s="50"/>
      <c r="X749" s="1"/>
      <c r="Z749" s="49"/>
    </row>
    <row r="750" spans="1:69">
      <c r="C750" s="43"/>
      <c r="D750" s="44"/>
      <c r="E750" s="44"/>
      <c r="F750" s="45"/>
      <c r="G750" s="44"/>
      <c r="H750" s="134"/>
      <c r="I750" s="47"/>
      <c r="J750" s="47"/>
      <c r="K750" s="47"/>
      <c r="L750" s="47"/>
      <c r="M750" s="45"/>
      <c r="N750" s="46"/>
      <c r="O750" s="47"/>
      <c r="P750" s="47"/>
      <c r="Q750" s="47"/>
      <c r="R750" s="47"/>
      <c r="S750" s="45"/>
      <c r="T750" s="46"/>
      <c r="U750" s="48"/>
      <c r="V750" s="50"/>
      <c r="X750" s="1"/>
      <c r="Z750" s="49"/>
    </row>
    <row r="751" spans="1:69" s="41" customFormat="1">
      <c r="B751" s="147"/>
      <c r="C751" s="164"/>
      <c r="D751" s="165" t="s">
        <v>459</v>
      </c>
      <c r="E751" s="165" t="s">
        <v>56</v>
      </c>
      <c r="F751" s="165" t="s">
        <v>58</v>
      </c>
      <c r="G751" s="165" t="s">
        <v>55</v>
      </c>
      <c r="H751" s="134"/>
      <c r="I751" s="166" t="s">
        <v>18</v>
      </c>
      <c r="J751" s="166"/>
      <c r="K751" s="166"/>
      <c r="L751" s="166"/>
      <c r="M751" s="166"/>
      <c r="N751" s="46"/>
      <c r="O751" s="166"/>
      <c r="P751" s="166"/>
      <c r="Q751" s="166"/>
      <c r="R751" s="166"/>
      <c r="S751" s="166"/>
      <c r="T751" s="46"/>
      <c r="U751" s="167"/>
      <c r="V751" s="165"/>
      <c r="Z751" s="49"/>
      <c r="AC751" s="135"/>
      <c r="AD751" s="136"/>
      <c r="AE751" s="136"/>
      <c r="AF751" s="136"/>
      <c r="AG751" s="136"/>
      <c r="AH751" s="136"/>
      <c r="AI751" s="136"/>
      <c r="AJ751" s="136"/>
      <c r="AK751" s="136"/>
      <c r="AL751" s="136"/>
      <c r="AM751" s="136"/>
      <c r="AN751" s="136"/>
      <c r="AO751" s="136"/>
      <c r="AP751" s="136"/>
      <c r="AQ751" s="136"/>
      <c r="AR751" s="136"/>
      <c r="AS751" s="136"/>
      <c r="AT751" s="136"/>
      <c r="AU751" s="136"/>
      <c r="AV751" s="136"/>
      <c r="AW751" s="136"/>
      <c r="BC751" s="137"/>
      <c r="BD751" s="137"/>
      <c r="BE751" s="137"/>
      <c r="BG751" s="137"/>
      <c r="BH751" s="137"/>
      <c r="BI751" s="137"/>
      <c r="BK751" s="137"/>
      <c r="BL751" s="137"/>
      <c r="BM751" s="137"/>
      <c r="BO751" s="137"/>
      <c r="BP751" s="137"/>
      <c r="BQ751" s="137"/>
    </row>
    <row r="752" spans="1:69">
      <c r="A752" s="41" t="s">
        <v>501</v>
      </c>
      <c r="C752" s="48" t="str">
        <f>C690</f>
        <v>Telkom SA</v>
      </c>
      <c r="D752" s="44" t="str">
        <f>D690</f>
        <v>ZAR 27.6</v>
      </c>
      <c r="E752" s="44" t="str">
        <f>E690</f>
        <v>ZAR 56.0</v>
      </c>
      <c r="F752" s="45">
        <f>F690</f>
        <v>1.0326678765880217</v>
      </c>
      <c r="G752" s="44" t="str">
        <f>G690</f>
        <v>Neutral</v>
      </c>
      <c r="H752" s="134"/>
      <c r="I752" s="47">
        <f>TKG!D$18/1000/Prices!$C$170</f>
        <v>1.1938831950657298</v>
      </c>
      <c r="J752" s="47">
        <f>TKG!E$18/1000/Prices!$C$170</f>
        <v>1.026441362295283</v>
      </c>
      <c r="K752" s="47">
        <f>TKG!F$18/1000/Prices!$C$170</f>
        <v>0.86019149244485227</v>
      </c>
      <c r="L752" s="47">
        <f>TKG!G$18/1000/Prices!$C$170</f>
        <v>0.69308977798502069</v>
      </c>
      <c r="M752" s="45">
        <f t="shared" ref="M752" si="196">(L752/I752)^(1/3)-1</f>
        <v>-0.1657890525464496</v>
      </c>
      <c r="N752" s="46"/>
      <c r="O752" s="47"/>
      <c r="P752" s="47"/>
      <c r="Q752" s="47"/>
      <c r="R752" s="47"/>
      <c r="S752" s="45"/>
      <c r="T752" s="46"/>
      <c r="U752" s="48"/>
      <c r="V752" s="44"/>
      <c r="Z752" s="46"/>
    </row>
    <row r="753" spans="1:26">
      <c r="A753" s="5"/>
      <c r="C753" s="51" t="str">
        <f>C691</f>
        <v>Agg. EMEA Incumbent</v>
      </c>
      <c r="D753" s="58"/>
      <c r="E753" s="58"/>
      <c r="F753" s="55"/>
      <c r="G753" s="58"/>
      <c r="H753" s="134"/>
      <c r="I753" s="54"/>
      <c r="J753" s="54"/>
      <c r="K753" s="54"/>
      <c r="L753" s="54"/>
      <c r="M753" s="55"/>
      <c r="N753" s="56"/>
      <c r="O753" s="54"/>
      <c r="P753" s="54"/>
      <c r="Q753" s="54"/>
      <c r="R753" s="54"/>
      <c r="S753" s="55"/>
      <c r="T753" s="56"/>
      <c r="U753" s="51"/>
      <c r="V753" s="58"/>
    </row>
    <row r="754" spans="1:26">
      <c r="A754" s="5"/>
      <c r="C754" s="48"/>
      <c r="D754" s="44"/>
      <c r="E754" s="44"/>
      <c r="F754" s="68"/>
      <c r="G754" s="44"/>
      <c r="H754" s="134"/>
      <c r="I754" s="62"/>
      <c r="J754" s="62"/>
      <c r="K754" s="62"/>
      <c r="L754" s="62"/>
      <c r="M754" s="61"/>
      <c r="N754" s="46"/>
      <c r="O754" s="62"/>
      <c r="P754" s="62"/>
      <c r="Q754" s="62"/>
      <c r="R754" s="62"/>
      <c r="S754" s="61"/>
      <c r="T754" s="46"/>
      <c r="U754" s="48"/>
      <c r="V754" s="44"/>
      <c r="X754" s="56"/>
      <c r="Y754" s="56"/>
      <c r="Z754" s="56"/>
    </row>
    <row r="755" spans="1:26">
      <c r="A755" s="5"/>
      <c r="C755" s="48" t="str">
        <f t="shared" ref="C755:G758" si="197">C693</f>
        <v>America Movil</v>
      </c>
      <c r="D755" s="44" t="str">
        <f t="shared" si="197"/>
        <v>USD 16.3</v>
      </c>
      <c r="E755" s="44" t="str">
        <f t="shared" si="197"/>
        <v>USD 24.0</v>
      </c>
      <c r="F755" s="45">
        <f t="shared" si="197"/>
        <v>0.4714898835070509</v>
      </c>
      <c r="G755" s="44" t="str">
        <f t="shared" si="197"/>
        <v>Buy</v>
      </c>
      <c r="H755" s="46"/>
      <c r="I755" s="47">
        <f>AMX!D$18/1000</f>
        <v>87.682715326770989</v>
      </c>
      <c r="J755" s="47">
        <f>AMX!E$18/1000</f>
        <v>83.646454822635789</v>
      </c>
      <c r="K755" s="47">
        <f>AMX!F$18/1000</f>
        <v>78.029926904628283</v>
      </c>
      <c r="L755" s="47">
        <f>AMX!G$18/1000</f>
        <v>73.015750197274571</v>
      </c>
      <c r="M755" s="45">
        <f t="shared" ref="M755:M759" si="198">(L755/I755)^(1/3)-1</f>
        <v>-5.9192320469937387E-2</v>
      </c>
      <c r="N755" s="46"/>
      <c r="O755" s="47"/>
      <c r="P755" s="47"/>
      <c r="Q755" s="47"/>
      <c r="R755" s="47"/>
      <c r="S755" s="45"/>
      <c r="T755" s="46"/>
      <c r="U755" s="48"/>
      <c r="V755" s="44"/>
      <c r="Z755" s="49"/>
    </row>
    <row r="756" spans="1:26">
      <c r="A756" s="5"/>
      <c r="C756" s="48" t="str">
        <f t="shared" si="197"/>
        <v>Oi</v>
      </c>
      <c r="D756" s="44" t="str">
        <f t="shared" si="197"/>
        <v>BRL 12.10</v>
      </c>
      <c r="E756" s="44" t="str">
        <f t="shared" si="197"/>
        <v>BRL 0.90</v>
      </c>
      <c r="F756" s="45">
        <f t="shared" si="197"/>
        <v>-0.92561983471074383</v>
      </c>
      <c r="G756" s="44" t="str">
        <f t="shared" si="197"/>
        <v>Neutral</v>
      </c>
      <c r="H756" s="46"/>
      <c r="I756" s="47">
        <f>OIBR!D$18/Prices!$C$160/1000</f>
        <v>8.8850097556148597</v>
      </c>
      <c r="J756" s="47">
        <f>OIBR!E$18/Prices!$C$160/1000</f>
        <v>9.556020009864941</v>
      </c>
      <c r="K756" s="47">
        <f>OIBR!F$18/Prices!$C$160/1000</f>
        <v>10.078769492946787</v>
      </c>
      <c r="L756" s="47">
        <f>OIBR!G$18/Prices!$C$160/1000</f>
        <v>10.693220150153294</v>
      </c>
      <c r="M756" s="45">
        <f>(L756/I756)^(1/3)-1</f>
        <v>6.3694384172634955E-2</v>
      </c>
      <c r="N756" s="46"/>
      <c r="O756" s="47"/>
      <c r="P756" s="47"/>
      <c r="Q756" s="47"/>
      <c r="R756" s="47"/>
      <c r="S756" s="45"/>
      <c r="T756" s="46"/>
      <c r="U756" s="48"/>
      <c r="V756" s="44"/>
      <c r="W756" s="56"/>
      <c r="Z756" s="49"/>
    </row>
    <row r="757" spans="1:26">
      <c r="A757" s="5"/>
      <c r="C757" s="48" t="str">
        <f t="shared" si="197"/>
        <v>Telefonica Brasil</v>
      </c>
      <c r="D757" s="44" t="str">
        <f t="shared" si="197"/>
        <v>BRL 55.12</v>
      </c>
      <c r="E757" s="44" t="str">
        <f t="shared" si="197"/>
        <v>BRL 61.00</v>
      </c>
      <c r="F757" s="45">
        <f t="shared" si="197"/>
        <v>0.10667634252539915</v>
      </c>
      <c r="G757" s="44" t="str">
        <f t="shared" si="197"/>
        <v>Buy</v>
      </c>
      <c r="H757" s="46"/>
      <c r="I757" s="47">
        <f>VIVO!D$18/Prices!$C$160/1000</f>
        <v>17.535628919435542</v>
      </c>
      <c r="J757" s="47">
        <f>VIVO!E$18/Prices!$C$160/1000</f>
        <v>16.559856773575373</v>
      </c>
      <c r="K757" s="47">
        <f>VIVO!F$18/Prices!$C$160/1000</f>
        <v>15.413018162567985</v>
      </c>
      <c r="L757" s="47">
        <f>VIVO!G$18/Prices!$C$160/1000</f>
        <v>14.163758078583301</v>
      </c>
      <c r="M757" s="45">
        <f t="shared" si="198"/>
        <v>-6.8708331069228246E-2</v>
      </c>
      <c r="N757" s="46"/>
      <c r="O757" s="47"/>
      <c r="P757" s="47"/>
      <c r="Q757" s="47"/>
      <c r="R757" s="47"/>
      <c r="S757" s="45"/>
      <c r="T757" s="46"/>
      <c r="U757" s="48"/>
      <c r="V757" s="44"/>
      <c r="X757" s="144"/>
      <c r="Y757" s="138"/>
      <c r="Z757" s="46"/>
    </row>
    <row r="758" spans="1:26">
      <c r="A758" s="5"/>
      <c r="C758" s="48" t="str">
        <f t="shared" si="197"/>
        <v>Televisa</v>
      </c>
      <c r="D758" s="44" t="str">
        <f t="shared" si="197"/>
        <v>USD 1.8</v>
      </c>
      <c r="E758" s="44" t="str">
        <f t="shared" si="197"/>
        <v>USD 3.7</v>
      </c>
      <c r="F758" s="45">
        <f t="shared" si="197"/>
        <v>1.0903954802259888</v>
      </c>
      <c r="G758" s="44" t="str">
        <f t="shared" si="197"/>
        <v>Neutral</v>
      </c>
      <c r="H758" s="46"/>
      <c r="I758" s="47">
        <f>TVIS!D$18/1000</f>
        <v>-0.51744147726583833</v>
      </c>
      <c r="J758" s="47">
        <f>TVIS!E$18/1000</f>
        <v>-0.72531883076446424</v>
      </c>
      <c r="K758" s="47">
        <f>TVIS!F$18/1000</f>
        <v>-0.86087287287846681</v>
      </c>
      <c r="L758" s="47">
        <f>TVIS!G$18/1000</f>
        <v>-1.0624431137830441</v>
      </c>
      <c r="M758" s="45">
        <f>(L758/I758)^(1/3)-1</f>
        <v>0.27100760544897318</v>
      </c>
      <c r="N758" s="46"/>
      <c r="O758" s="47"/>
      <c r="P758" s="47"/>
      <c r="Q758" s="47"/>
      <c r="R758" s="47"/>
      <c r="S758" s="45"/>
      <c r="T758" s="46"/>
      <c r="U758" s="48"/>
      <c r="V758" s="44"/>
      <c r="Z758" s="49"/>
    </row>
    <row r="759" spans="1:26">
      <c r="A759" s="5"/>
      <c r="C759" s="51" t="str">
        <f>C697</f>
        <v>Agg. LatAm Incumbent</v>
      </c>
      <c r="D759" s="52"/>
      <c r="E759" s="52"/>
      <c r="F759" s="53"/>
      <c r="G759" s="52"/>
      <c r="H759" s="46"/>
      <c r="I759" s="54">
        <f>'LATAM INCUMB'!D$18/1000</f>
        <v>113.58591252455557</v>
      </c>
      <c r="J759" s="54">
        <f>'LATAM INCUMB'!$E$18/1000</f>
        <v>109.03701277531164</v>
      </c>
      <c r="K759" s="54">
        <f>'LATAM INCUMB'!$F$18/1000</f>
        <v>102.66084168726459</v>
      </c>
      <c r="L759" s="54">
        <f>'LATAM INCUMB'!$G$18/1000</f>
        <v>96.810285312228118</v>
      </c>
      <c r="M759" s="55">
        <f t="shared" si="198"/>
        <v>-5.1874829536188161E-2</v>
      </c>
      <c r="N759" s="56"/>
      <c r="O759" s="54"/>
      <c r="P759" s="54"/>
      <c r="Q759" s="54"/>
      <c r="R759" s="54"/>
      <c r="S759" s="55"/>
      <c r="T759" s="46"/>
      <c r="U759" s="57"/>
      <c r="V759" s="58"/>
      <c r="W759" s="176"/>
      <c r="Z759" s="49"/>
    </row>
    <row r="760" spans="1:26">
      <c r="C760" s="48"/>
      <c r="D760" s="44"/>
      <c r="E760" s="44"/>
      <c r="F760" s="45"/>
      <c r="G760" s="44"/>
      <c r="H760" s="46"/>
      <c r="I760" s="47"/>
      <c r="J760" s="47"/>
      <c r="K760" s="47"/>
      <c r="L760" s="47"/>
      <c r="M760" s="45"/>
      <c r="N760" s="56"/>
      <c r="O760" s="47"/>
      <c r="P760" s="47"/>
      <c r="Q760" s="47"/>
      <c r="R760" s="47"/>
      <c r="S760" s="45"/>
      <c r="T760" s="46"/>
      <c r="U760" s="48"/>
      <c r="V760" s="50"/>
      <c r="Z760" s="49"/>
    </row>
    <row r="761" spans="1:26">
      <c r="A761" s="5"/>
      <c r="C761" s="48" t="str">
        <f t="shared" ref="C761:G765" si="199">C699</f>
        <v>China Telecom</v>
      </c>
      <c r="D761" s="44" t="str">
        <f t="shared" si="199"/>
        <v>HKD 4.48</v>
      </c>
      <c r="E761" s="44" t="str">
        <f t="shared" si="199"/>
        <v>HKD 8.75</v>
      </c>
      <c r="F761" s="45">
        <f t="shared" si="199"/>
        <v>0.95312499999999978</v>
      </c>
      <c r="G761" s="44" t="str">
        <f t="shared" si="199"/>
        <v>Buy</v>
      </c>
      <c r="H761" s="46"/>
      <c r="I761" s="47">
        <f>_CT!D$18/1000/Prices!$C$175</f>
        <v>30.546333932160291</v>
      </c>
      <c r="J761" s="47">
        <f>_CT!E$18/1000/Prices!$C$175</f>
        <v>28.650310998506296</v>
      </c>
      <c r="K761" s="47">
        <f>_CT!F$18/1000/Prices!$C$175</f>
        <v>26.370161864286796</v>
      </c>
      <c r="L761" s="47">
        <f>_CT!G$18/1000/Prices!$C$175</f>
        <v>23.757610117717551</v>
      </c>
      <c r="M761" s="45">
        <f t="shared" ref="M761:M765" si="200">(L761/I761)^(1/3)-1</f>
        <v>-8.0366989676591616E-2</v>
      </c>
      <c r="N761" s="56"/>
      <c r="O761" s="47"/>
      <c r="P761" s="47"/>
      <c r="Q761" s="47"/>
      <c r="R761" s="47"/>
      <c r="S761" s="169"/>
      <c r="T761" s="46"/>
      <c r="U761" s="48"/>
      <c r="V761" s="44"/>
      <c r="Z761" s="49"/>
    </row>
    <row r="762" spans="1:26">
      <c r="A762" s="5"/>
      <c r="C762" s="48" t="str">
        <f t="shared" si="199"/>
        <v>China Unicom</v>
      </c>
      <c r="D762" s="44" t="str">
        <f t="shared" si="199"/>
        <v>HKD 6.32</v>
      </c>
      <c r="E762" s="44" t="str">
        <f t="shared" si="199"/>
        <v>HKD 13.20</v>
      </c>
      <c r="F762" s="45">
        <f t="shared" si="199"/>
        <v>1.0886075949367084</v>
      </c>
      <c r="G762" s="44" t="str">
        <f t="shared" si="199"/>
        <v>Buy</v>
      </c>
      <c r="H762" s="46"/>
      <c r="I762" s="47">
        <f>_CU!D$18/1000/Prices!$C$175</f>
        <v>12.28325277807739</v>
      </c>
      <c r="J762" s="47">
        <f>_CU!E$18/1000/Prices!$C$175</f>
        <v>10.126253753942027</v>
      </c>
      <c r="K762" s="47">
        <f>_CU!F$18/1000/Prices!$C$175</f>
        <v>7.980332394349138</v>
      </c>
      <c r="L762" s="47">
        <f>_CU!G$18/1000/Prices!$C$175</f>
        <v>6.1907100502720285</v>
      </c>
      <c r="M762" s="45">
        <f t="shared" si="200"/>
        <v>-0.20419067304027783</v>
      </c>
      <c r="N762" s="56"/>
      <c r="O762" s="47"/>
      <c r="P762" s="47"/>
      <c r="Q762" s="47"/>
      <c r="R762" s="47"/>
      <c r="S762" s="169"/>
      <c r="T762" s="46"/>
      <c r="U762" s="48"/>
      <c r="V762" s="44"/>
      <c r="Z762" s="49"/>
    </row>
    <row r="763" spans="1:26">
      <c r="C763" s="48" t="str">
        <f t="shared" si="199"/>
        <v>Chunghwa Telecom</v>
      </c>
      <c r="D763" s="44" t="str">
        <f t="shared" si="199"/>
        <v>TWD 124.00</v>
      </c>
      <c r="E763" s="44" t="str">
        <f t="shared" si="199"/>
        <v>TWD n/r</v>
      </c>
      <c r="F763" s="45" t="str">
        <f t="shared" si="199"/>
        <v>-</v>
      </c>
      <c r="G763" s="44" t="str">
        <f t="shared" si="199"/>
        <v>n/r</v>
      </c>
      <c r="H763" s="46"/>
      <c r="I763" s="47">
        <f>CHUNG!D$18/1000/Prices!$C$181</f>
        <v>25.618446157872622</v>
      </c>
      <c r="J763" s="47">
        <f>CHUNG!E$18/1000/Prices!$C$181</f>
        <v>24.099009468848564</v>
      </c>
      <c r="K763" s="47">
        <f>CHUNG!F$18/1000/Prices!$C$181</f>
        <v>22.497060526174273</v>
      </c>
      <c r="L763" s="47">
        <f>CHUNG!G$18/1000/Prices!$C$181</f>
        <v>20.877063249599288</v>
      </c>
      <c r="M763" s="45">
        <f t="shared" si="200"/>
        <v>-6.5945520880175135E-2</v>
      </c>
      <c r="N763" s="56"/>
      <c r="O763" s="47"/>
      <c r="P763" s="47"/>
      <c r="Q763" s="47"/>
      <c r="R763" s="47"/>
      <c r="S763" s="45"/>
      <c r="T763" s="46"/>
      <c r="U763" s="48"/>
      <c r="V763" s="44"/>
      <c r="Z763" s="49"/>
    </row>
    <row r="764" spans="1:26">
      <c r="C764" s="48" t="str">
        <f t="shared" si="199"/>
        <v>KT Corp</v>
      </c>
      <c r="D764" s="44" t="str">
        <f t="shared" si="199"/>
        <v>KRW 41,200</v>
      </c>
      <c r="E764" s="44" t="str">
        <f t="shared" si="199"/>
        <v>KRW 70,000</v>
      </c>
      <c r="F764" s="45">
        <f t="shared" si="199"/>
        <v>0.69902912621359214</v>
      </c>
      <c r="G764" s="44" t="str">
        <f t="shared" si="199"/>
        <v>Buy</v>
      </c>
      <c r="H764" s="46"/>
      <c r="I764" s="47">
        <f>_KT!D$18/Prices!$C$173</f>
        <v>13.84866370848412</v>
      </c>
      <c r="J764" s="47">
        <f>_KT!E$18/Prices!$C$173</f>
        <v>13.599888462082582</v>
      </c>
      <c r="K764" s="47">
        <f>_KT!F$18/Prices!$C$173</f>
        <v>12.300465859621847</v>
      </c>
      <c r="L764" s="47">
        <f>_KT!G$18/Prices!$C$173</f>
        <v>10.934483224441461</v>
      </c>
      <c r="M764" s="45">
        <f t="shared" si="200"/>
        <v>-7.5734382255554289E-2</v>
      </c>
      <c r="N764" s="56"/>
      <c r="O764" s="47"/>
      <c r="P764" s="47"/>
      <c r="Q764" s="47"/>
      <c r="R764" s="47"/>
      <c r="S764" s="45"/>
      <c r="T764" s="46"/>
      <c r="U764" s="48"/>
      <c r="V764" s="44"/>
      <c r="Z764" s="49"/>
    </row>
    <row r="765" spans="1:26">
      <c r="C765" s="48" t="str">
        <f t="shared" si="199"/>
        <v>PT Telkom</v>
      </c>
      <c r="D765" s="44" t="str">
        <f t="shared" si="199"/>
        <v>IDR 3,040</v>
      </c>
      <c r="E765" s="44" t="str">
        <f t="shared" si="199"/>
        <v>IDR 4,500</v>
      </c>
      <c r="F765" s="45">
        <f t="shared" si="199"/>
        <v>0.48026315789473695</v>
      </c>
      <c r="G765" s="44" t="str">
        <f t="shared" si="199"/>
        <v>Buy</v>
      </c>
      <c r="H765" s="46"/>
      <c r="I765" s="47">
        <f>PTT!D$18/Prices!$C$172</f>
        <v>34.017373940805221</v>
      </c>
      <c r="J765" s="47">
        <f>PTT!E$18/Prices!$C$172</f>
        <v>33.338245255158839</v>
      </c>
      <c r="K765" s="47">
        <f>PTT!F$18/Prices!$C$172</f>
        <v>31.310271453940622</v>
      </c>
      <c r="L765" s="47">
        <f>PTT!G$18/Prices!$C$172</f>
        <v>29.162074228885288</v>
      </c>
      <c r="M765" s="45">
        <f t="shared" si="200"/>
        <v>-5.0038781979518387E-2</v>
      </c>
      <c r="N765" s="56"/>
      <c r="O765" s="47"/>
      <c r="P765" s="47"/>
      <c r="Q765" s="47"/>
      <c r="R765" s="47"/>
      <c r="S765" s="169"/>
      <c r="T765" s="46"/>
      <c r="U765" s="48"/>
      <c r="V765" s="44"/>
      <c r="Z765" s="49"/>
    </row>
    <row r="766" spans="1:26">
      <c r="C766" s="51" t="str">
        <f>C704</f>
        <v>Agg. Emerging Asia Incumbent</v>
      </c>
      <c r="D766" s="52"/>
      <c r="E766" s="52"/>
      <c r="F766" s="53"/>
      <c r="G766" s="52"/>
      <c r="H766" s="46"/>
      <c r="I766" s="54">
        <f>'EM ASIA INCUMB'!D$18/1000</f>
        <v>116.31407051739964</v>
      </c>
      <c r="J766" s="54">
        <f>'EM ASIA INCUMB'!$E$18/1000</f>
        <v>109.81370793853831</v>
      </c>
      <c r="K766" s="54">
        <f>'EM ASIA INCUMB'!$F$18/1000</f>
        <v>100.45829209837268</v>
      </c>
      <c r="L766" s="54">
        <f>'EM ASIA INCUMB'!$G$18/1000</f>
        <v>90.921940870915606</v>
      </c>
      <c r="M766" s="55">
        <f>(L759/I759)^(1/3)-1</f>
        <v>-5.1874829536188161E-2</v>
      </c>
      <c r="N766" s="56"/>
      <c r="O766" s="54"/>
      <c r="P766" s="54"/>
      <c r="Q766" s="54"/>
      <c r="R766" s="54"/>
      <c r="S766" s="55"/>
      <c r="T766" s="46"/>
      <c r="U766" s="57"/>
      <c r="V766" s="58"/>
      <c r="Z766" s="49"/>
    </row>
    <row r="767" spans="1:26">
      <c r="C767" s="43"/>
      <c r="D767" s="44"/>
      <c r="E767" s="44"/>
      <c r="F767" s="68"/>
      <c r="G767" s="44"/>
      <c r="H767" s="46"/>
      <c r="I767" s="62"/>
      <c r="J767" s="62"/>
      <c r="K767" s="62"/>
      <c r="L767" s="62"/>
      <c r="M767" s="61"/>
      <c r="N767" s="56"/>
      <c r="O767" s="62"/>
      <c r="P767" s="62"/>
      <c r="Q767" s="62"/>
      <c r="R767" s="62"/>
      <c r="S767" s="61"/>
      <c r="T767" s="46"/>
      <c r="U767" s="48"/>
      <c r="V767" s="50"/>
      <c r="Z767" s="49"/>
    </row>
    <row r="768" spans="1:26">
      <c r="C768" s="51" t="str">
        <f>C706</f>
        <v>Agg. Emerging Incumbent</v>
      </c>
      <c r="D768" s="52"/>
      <c r="E768" s="52"/>
      <c r="F768" s="53"/>
      <c r="G768" s="52"/>
      <c r="H768" s="46"/>
      <c r="I768" s="54">
        <f>'EM INCUMB'!D$18/1000</f>
        <v>231.09386623702093</v>
      </c>
      <c r="J768" s="54">
        <f>'EM INCUMB'!$E$18/1000</f>
        <v>219.87716207614523</v>
      </c>
      <c r="K768" s="54">
        <f>'EM INCUMB'!$F$18/1000</f>
        <v>203.97932527808211</v>
      </c>
      <c r="L768" s="54">
        <f>'EM INCUMB'!$G$18/1000</f>
        <v>188.42531596112875</v>
      </c>
      <c r="M768" s="55">
        <f>(L761/I761)^(1/3)-1</f>
        <v>-8.0366989676591616E-2</v>
      </c>
      <c r="N768" s="56"/>
      <c r="O768" s="54"/>
      <c r="P768" s="54"/>
      <c r="Q768" s="54"/>
      <c r="R768" s="54"/>
      <c r="S768" s="55"/>
      <c r="T768" s="46"/>
      <c r="U768" s="57"/>
      <c r="V768" s="58"/>
      <c r="Z768" s="49"/>
    </row>
    <row r="769" spans="1:26">
      <c r="C769" s="43"/>
      <c r="D769" s="44"/>
      <c r="E769" s="44"/>
      <c r="F769" s="45"/>
      <c r="G769" s="44"/>
      <c r="H769" s="46"/>
      <c r="I769" s="47"/>
      <c r="J769" s="47"/>
      <c r="K769" s="47"/>
      <c r="L769" s="47"/>
      <c r="M769" s="45"/>
      <c r="N769" s="56"/>
      <c r="O769" s="47"/>
      <c r="P769" s="47"/>
      <c r="Q769" s="47"/>
      <c r="R769" s="47"/>
      <c r="S769" s="45"/>
      <c r="T769" s="46"/>
      <c r="U769" s="48"/>
      <c r="V769" s="50"/>
      <c r="Z769" s="49"/>
    </row>
    <row r="770" spans="1:26">
      <c r="A770" s="41" t="s">
        <v>502</v>
      </c>
      <c r="C770" s="48" t="str">
        <f t="shared" ref="C770:G776" si="201">C708</f>
        <v>Airtel Africa</v>
      </c>
      <c r="D770" s="44" t="str">
        <f t="shared" si="201"/>
        <v>USD 1.13</v>
      </c>
      <c r="E770" s="44" t="str">
        <f t="shared" si="201"/>
        <v>USD 2.00</v>
      </c>
      <c r="F770" s="45">
        <f t="shared" si="201"/>
        <v>0.77619893428063969</v>
      </c>
      <c r="G770" s="44" t="str">
        <f t="shared" si="201"/>
        <v>Buy</v>
      </c>
      <c r="H770" s="46"/>
      <c r="I770" s="47">
        <f>AAF!D$18/1000</f>
        <v>11.73404477476384</v>
      </c>
      <c r="J770" s="47">
        <f>AAF!E$18/1000</f>
        <v>11.4485946050485</v>
      </c>
      <c r="K770" s="47">
        <f>AAF!F$18/1000</f>
        <v>10.850085970740267</v>
      </c>
      <c r="L770" s="47">
        <f>AAF!G$18/1000</f>
        <v>10.137450768379619</v>
      </c>
      <c r="M770" s="45">
        <f t="shared" ref="M770" si="202">(L770/I770)^(1/3)-1</f>
        <v>-4.7583291633341074E-2</v>
      </c>
      <c r="N770" s="56"/>
      <c r="O770" s="47"/>
      <c r="P770" s="47"/>
      <c r="Q770" s="47"/>
      <c r="R770" s="47"/>
      <c r="S770" s="169"/>
      <c r="T770" s="46"/>
      <c r="U770" s="48"/>
      <c r="V770" s="44"/>
      <c r="Z770" s="49"/>
    </row>
    <row r="771" spans="1:26">
      <c r="A771" s="41"/>
      <c r="C771" s="48" t="str">
        <f t="shared" si="201"/>
        <v>MobileTeleSystems</v>
      </c>
      <c r="D771" s="44" t="str">
        <f t="shared" si="201"/>
        <v>USD 10.00</v>
      </c>
      <c r="E771" s="44" t="str">
        <f t="shared" si="201"/>
        <v>USD 10.10</v>
      </c>
      <c r="F771" s="45">
        <f t="shared" si="201"/>
        <v>1.0000000000000009E-2</v>
      </c>
      <c r="G771" s="44" t="str">
        <f t="shared" si="201"/>
        <v>Buy</v>
      </c>
      <c r="H771" s="46"/>
      <c r="I771" s="47">
        <f>MTS!D$18/1000</f>
        <v>12.607617693801306</v>
      </c>
      <c r="J771" s="47">
        <f>MTS!E$18/1000</f>
        <v>12.150765991197428</v>
      </c>
      <c r="K771" s="47">
        <f>MTS!F$18/1000</f>
        <v>11.710726942560811</v>
      </c>
      <c r="L771" s="47">
        <f>MTS!G$18/1000</f>
        <v>11.288868323251492</v>
      </c>
      <c r="M771" s="45">
        <f t="shared" ref="M771:M777" si="203">(L771/I771)^(1/3)-1</f>
        <v>-3.6158121906753493E-2</v>
      </c>
      <c r="N771" s="56"/>
      <c r="O771" s="47"/>
      <c r="P771" s="47"/>
      <c r="Q771" s="47"/>
      <c r="R771" s="47"/>
      <c r="S771" s="169"/>
      <c r="T771" s="46"/>
      <c r="U771" s="48"/>
      <c r="V771" s="44"/>
      <c r="Z771" s="49"/>
    </row>
    <row r="772" spans="1:26">
      <c r="C772" s="48" t="str">
        <f t="shared" si="201"/>
        <v>MTN</v>
      </c>
      <c r="D772" s="44" t="str">
        <f t="shared" si="201"/>
        <v>ZAR 92.00</v>
      </c>
      <c r="E772" s="44" t="str">
        <f t="shared" si="201"/>
        <v>ZAR 130.00</v>
      </c>
      <c r="F772" s="45">
        <f t="shared" si="201"/>
        <v>0.41304347826086962</v>
      </c>
      <c r="G772" s="44" t="str">
        <f t="shared" si="201"/>
        <v>Buy</v>
      </c>
      <c r="H772" s="46"/>
      <c r="I772" s="47">
        <f>MTN!D$18/1000/Prices!$C$170</f>
        <v>18.28739561792344</v>
      </c>
      <c r="J772" s="47">
        <f>MTN!E$18/1000/Prices!$C$170</f>
        <v>18.778203051214753</v>
      </c>
      <c r="K772" s="47">
        <f>MTN!F$18/1000/Prices!$C$170</f>
        <v>18.883928241644433</v>
      </c>
      <c r="L772" s="47">
        <f>MTN!G$18/1000/Prices!$C$170</f>
        <v>18.907456816930363</v>
      </c>
      <c r="M772" s="45">
        <f t="shared" si="203"/>
        <v>1.1176774050793759E-2</v>
      </c>
      <c r="N772" s="56"/>
      <c r="O772" s="47"/>
      <c r="P772" s="47"/>
      <c r="Q772" s="47"/>
      <c r="R772" s="47"/>
      <c r="S772" s="169"/>
      <c r="T772" s="46"/>
      <c r="U772" s="48"/>
      <c r="V772" s="44"/>
      <c r="Z772" s="49"/>
    </row>
    <row r="773" spans="1:26">
      <c r="C773" s="48" t="str">
        <f t="shared" si="201"/>
        <v>Safaricom</v>
      </c>
      <c r="D773" s="44" t="str">
        <f t="shared" si="201"/>
        <v>KES 14.80</v>
      </c>
      <c r="E773" s="44" t="str">
        <f t="shared" si="201"/>
        <v>KES 17.0</v>
      </c>
      <c r="F773" s="45">
        <f t="shared" si="201"/>
        <v>0.14864864864864868</v>
      </c>
      <c r="G773" s="44" t="str">
        <f t="shared" si="201"/>
        <v>Neutral</v>
      </c>
      <c r="H773" s="46"/>
      <c r="I773" s="47">
        <f>SAF!D$18/1000/Prices!$C$179</f>
        <v>5.4928270211172538</v>
      </c>
      <c r="J773" s="47">
        <f>SAF!E$18/1000/Prices!$C$179</f>
        <v>5.2891731069420054</v>
      </c>
      <c r="K773" s="47">
        <f>SAF!F$18/1000/Prices!$C$179</f>
        <v>4.9444871838451592</v>
      </c>
      <c r="L773" s="47">
        <f>SAF!G$18/1000/Prices!$C$179</f>
        <v>4.3644043262513526</v>
      </c>
      <c r="M773" s="45">
        <f>(L773/I773)^(1/3)-1</f>
        <v>-7.378953209500938E-2</v>
      </c>
      <c r="N773" s="56"/>
      <c r="O773" s="47"/>
      <c r="P773" s="47"/>
      <c r="Q773" s="47"/>
      <c r="R773" s="47"/>
      <c r="S773" s="169"/>
      <c r="T773" s="46"/>
      <c r="U773" s="48"/>
      <c r="V773" s="44"/>
      <c r="Z773" s="49"/>
    </row>
    <row r="774" spans="1:26">
      <c r="C774" s="48" t="str">
        <f t="shared" si="201"/>
        <v>Turkcell</v>
      </c>
      <c r="D774" s="44" t="str">
        <f t="shared" si="201"/>
        <v>USD 99.65</v>
      </c>
      <c r="E774" s="44" t="str">
        <f t="shared" si="201"/>
        <v>USD 16.90</v>
      </c>
      <c r="F774" s="45">
        <f t="shared" si="201"/>
        <v>-0.83040642247867535</v>
      </c>
      <c r="G774" s="44" t="str">
        <f t="shared" si="201"/>
        <v>Buy</v>
      </c>
      <c r="H774" s="46"/>
      <c r="I774" s="47">
        <f>TKC!D$18/1000/Prices!$C$150</f>
        <v>6.3003351015109139</v>
      </c>
      <c r="J774" s="47">
        <f>TKC!E$18/1000/Prices!$C$150</f>
        <v>6.1663713231956381</v>
      </c>
      <c r="K774" s="47">
        <f>TKC!F$18/1000/Prices!$C$150</f>
        <v>6.0157272338194279</v>
      </c>
      <c r="L774" s="47">
        <f>TKC!G$18/1000/Prices!$C$150</f>
        <v>5.8582462968500018</v>
      </c>
      <c r="M774" s="45">
        <f t="shared" si="203"/>
        <v>-2.3959154502220747E-2</v>
      </c>
      <c r="N774" s="56"/>
      <c r="O774" s="47"/>
      <c r="P774" s="47"/>
      <c r="Q774" s="47"/>
      <c r="R774" s="47"/>
      <c r="S774" s="169"/>
      <c r="T774" s="46"/>
      <c r="U774" s="48"/>
      <c r="V774" s="44"/>
      <c r="Z774" s="49"/>
    </row>
    <row r="775" spans="1:26">
      <c r="C775" s="48" t="str">
        <f t="shared" si="201"/>
        <v>VEON</v>
      </c>
      <c r="D775" s="44" t="str">
        <f t="shared" si="201"/>
        <v>USD 27.2</v>
      </c>
      <c r="E775" s="44" t="str">
        <f t="shared" si="201"/>
        <v>USD 40.0</v>
      </c>
      <c r="F775" s="45">
        <f t="shared" si="201"/>
        <v>0.47058823529411775</v>
      </c>
      <c r="G775" s="44" t="str">
        <f t="shared" si="201"/>
        <v>Buy</v>
      </c>
      <c r="H775" s="46"/>
      <c r="I775" s="47">
        <f>VIMP!D$18/1000</f>
        <v>50.515630926965855</v>
      </c>
      <c r="J775" s="47">
        <f>VIMP!E$18/1000</f>
        <v>49.67308688157938</v>
      </c>
      <c r="K775" s="47">
        <f>VIMP!F$18/1000</f>
        <v>48.975976237993343</v>
      </c>
      <c r="L775" s="47">
        <f>VIMP!G$18/1000</f>
        <v>48.212296678310693</v>
      </c>
      <c r="M775" s="45">
        <f t="shared" si="203"/>
        <v>-1.5435861890260583E-2</v>
      </c>
      <c r="N775" s="56"/>
      <c r="O775" s="47"/>
      <c r="P775" s="47"/>
      <c r="Q775" s="47"/>
      <c r="R775" s="47"/>
      <c r="S775" s="45"/>
      <c r="T775" s="46"/>
      <c r="U775" s="48"/>
      <c r="V775" s="44"/>
      <c r="Z775" s="49"/>
    </row>
    <row r="776" spans="1:26">
      <c r="C776" s="48" t="str">
        <f t="shared" si="201"/>
        <v>Vodacom</v>
      </c>
      <c r="D776" s="44" t="str">
        <f t="shared" si="201"/>
        <v>ZAR 111.1</v>
      </c>
      <c r="E776" s="44" t="str">
        <f t="shared" si="201"/>
        <v>ZAR 150.0</v>
      </c>
      <c r="F776" s="45">
        <f t="shared" si="201"/>
        <v>0.34989200863930892</v>
      </c>
      <c r="G776" s="44" t="str">
        <f t="shared" si="201"/>
        <v>Buy</v>
      </c>
      <c r="H776" s="46"/>
      <c r="I776" s="47">
        <f>VODA!D$18/1000/Prices!$C$170</f>
        <v>14.61622442606623</v>
      </c>
      <c r="J776" s="47">
        <f>VODA!E$18/1000/Prices!$C$170</f>
        <v>14.964775552904605</v>
      </c>
      <c r="K776" s="47">
        <f>VODA!F$18/1000/Prices!$C$170</f>
        <v>13.940555422793928</v>
      </c>
      <c r="L776" s="47">
        <f>VODA!G$18/1000/Prices!$C$170</f>
        <v>12.776577865316414</v>
      </c>
      <c r="M776" s="45">
        <f t="shared" si="203"/>
        <v>-4.3849078887542747E-2</v>
      </c>
      <c r="N776" s="56"/>
      <c r="O776" s="47"/>
      <c r="P776" s="47"/>
      <c r="Q776" s="47"/>
      <c r="R776" s="47"/>
      <c r="S776" s="45"/>
      <c r="T776" s="46"/>
      <c r="U776" s="48"/>
      <c r="V776" s="44"/>
      <c r="Z776" s="49"/>
    </row>
    <row r="777" spans="1:26">
      <c r="C777" s="51" t="str">
        <f>C715</f>
        <v>Agg. EMEA Cellular</v>
      </c>
      <c r="D777" s="52"/>
      <c r="E777" s="52"/>
      <c r="F777" s="53"/>
      <c r="G777" s="52"/>
      <c r="H777" s="46"/>
      <c r="I777" s="54">
        <f>'EMEA CELLULAR'!D$18/1000</f>
        <v>119.55407556214882</v>
      </c>
      <c r="J777" s="54">
        <f>'EMEA CELLULAR'!$E$18/1000</f>
        <v>118.4709705120823</v>
      </c>
      <c r="K777" s="54">
        <f>'EMEA CELLULAR'!$F$18/1000</f>
        <v>115.32148723339738</v>
      </c>
      <c r="L777" s="54">
        <f>'EMEA CELLULAR'!$G$18/1000</f>
        <v>111.54530107528996</v>
      </c>
      <c r="M777" s="55">
        <f t="shared" si="203"/>
        <v>-2.2847611062479012E-2</v>
      </c>
      <c r="N777" s="56"/>
      <c r="O777" s="54"/>
      <c r="P777" s="54"/>
      <c r="Q777" s="54"/>
      <c r="R777" s="54"/>
      <c r="S777" s="55"/>
      <c r="T777" s="46"/>
      <c r="U777" s="57"/>
      <c r="V777" s="58"/>
      <c r="Z777" s="49"/>
    </row>
    <row r="778" spans="1:26">
      <c r="A778" s="5"/>
      <c r="C778" s="43"/>
      <c r="D778" s="44"/>
      <c r="E778" s="44"/>
      <c r="F778" s="45"/>
      <c r="G778" s="44"/>
      <c r="H778" s="46"/>
      <c r="I778" s="47"/>
      <c r="J778" s="47"/>
      <c r="K778" s="47"/>
      <c r="L778" s="47"/>
      <c r="M778" s="45"/>
      <c r="N778" s="56"/>
      <c r="O778" s="47"/>
      <c r="P778" s="47"/>
      <c r="Q778" s="47"/>
      <c r="R778" s="47"/>
      <c r="S778" s="45"/>
      <c r="T778" s="46"/>
      <c r="U778" s="48"/>
      <c r="V778" s="50"/>
      <c r="Z778" s="49"/>
    </row>
    <row r="779" spans="1:26">
      <c r="A779" s="5"/>
      <c r="C779" s="48" t="str">
        <f t="shared" ref="C779:G781" si="204">C717</f>
        <v>Entel</v>
      </c>
      <c r="D779" s="44" t="str">
        <f t="shared" si="204"/>
        <v>CLP 2,900</v>
      </c>
      <c r="E779" s="44" t="str">
        <f t="shared" si="204"/>
        <v>CLP 3,150</v>
      </c>
      <c r="F779" s="45">
        <f t="shared" si="204"/>
        <v>8.6206896551724199E-2</v>
      </c>
      <c r="G779" s="44" t="str">
        <f t="shared" si="204"/>
        <v>Neutral</v>
      </c>
      <c r="H779" s="46"/>
      <c r="I779" s="47">
        <f>ENTEL!D$18/Prices!$C$165/1000</f>
        <v>2.5584583972796247</v>
      </c>
      <c r="J779" s="47">
        <f>ENTEL!E$18/Prices!$C$165/1000</f>
        <v>2.3882702336469128</v>
      </c>
      <c r="K779" s="47">
        <f>ENTEL!F$18/Prices!$C$165/1000</f>
        <v>2.1287323161938514</v>
      </c>
      <c r="L779" s="47">
        <f>ENTEL!G$18/Prices!$C$165/1000</f>
        <v>1.787540141407101</v>
      </c>
      <c r="M779" s="45">
        <f>(L779/I779)^(1/3)-1</f>
        <v>-0.11265505151260025</v>
      </c>
      <c r="N779" s="56"/>
      <c r="O779" s="47"/>
      <c r="P779" s="47"/>
      <c r="Q779" s="47"/>
      <c r="R779" s="47"/>
      <c r="S779" s="169"/>
      <c r="T779" s="46"/>
      <c r="U779" s="48"/>
      <c r="V779" s="44"/>
      <c r="Z779" s="49"/>
    </row>
    <row r="780" spans="1:26">
      <c r="A780" s="5"/>
      <c r="C780" s="48" t="str">
        <f t="shared" si="204"/>
        <v>Millicom</v>
      </c>
      <c r="D780" s="44" t="str">
        <f t="shared" si="204"/>
        <v>USD  26.6</v>
      </c>
      <c r="E780" s="44" t="str">
        <f t="shared" si="204"/>
        <v>USD 18.0</v>
      </c>
      <c r="F780" s="45">
        <f t="shared" si="204"/>
        <v>-0.32407059707097252</v>
      </c>
      <c r="G780" s="44" t="str">
        <f t="shared" si="204"/>
        <v>Neutral</v>
      </c>
      <c r="H780" s="46"/>
      <c r="I780" s="47">
        <f>MILLI!D$18/1000</f>
        <v>16.70764036037691</v>
      </c>
      <c r="J780" s="47">
        <f>MILLI!E$18/1000</f>
        <v>16.626018958980545</v>
      </c>
      <c r="K780" s="47">
        <f>MILLI!F$18/1000</f>
        <v>16.236795025810498</v>
      </c>
      <c r="L780" s="47">
        <f>MILLI!G$18/1000</f>
        <v>15.721340209376722</v>
      </c>
      <c r="M780" s="45">
        <f>(L780/I780)^(1/3)-1</f>
        <v>-2.0078057497197155E-2</v>
      </c>
      <c r="N780" s="56"/>
      <c r="O780" s="47"/>
      <c r="P780" s="47"/>
      <c r="Q780" s="47"/>
      <c r="R780" s="47"/>
      <c r="S780" s="169"/>
      <c r="T780" s="46"/>
      <c r="U780" s="48"/>
      <c r="V780" s="44"/>
      <c r="Z780" s="49"/>
    </row>
    <row r="781" spans="1:26">
      <c r="A781" s="5"/>
      <c r="C781" s="48" t="str">
        <f t="shared" si="204"/>
        <v>TIM Participacoes</v>
      </c>
      <c r="D781" s="44" t="str">
        <f t="shared" si="204"/>
        <v>BRL 18.63</v>
      </c>
      <c r="E781" s="44" t="str">
        <f t="shared" si="204"/>
        <v>BRL 23.00</v>
      </c>
      <c r="F781" s="45">
        <f t="shared" si="204"/>
        <v>0.23456790123456805</v>
      </c>
      <c r="G781" s="44" t="str">
        <f t="shared" si="204"/>
        <v>Buy</v>
      </c>
      <c r="H781" s="46"/>
      <c r="I781" s="47">
        <f>TIMP!D$18/Prices!$C$160/1000</f>
        <v>8.3971307868130829</v>
      </c>
      <c r="J781" s="47">
        <f>TIMP!E$18/Prices!$C$160/1000</f>
        <v>7.5339021287677284</v>
      </c>
      <c r="K781" s="47">
        <f>TIMP!F$18/Prices!$C$160/1000</f>
        <v>6.4771345224412586</v>
      </c>
      <c r="L781" s="47">
        <f>TIMP!G$18/Prices!$C$160/1000</f>
        <v>5.1945475337022637</v>
      </c>
      <c r="M781" s="45">
        <f>(L781/I781)^(1/3)-1</f>
        <v>-0.1479358970224679</v>
      </c>
      <c r="N781" s="56"/>
      <c r="O781" s="47"/>
      <c r="P781" s="47"/>
      <c r="Q781" s="47"/>
      <c r="R781" s="47"/>
      <c r="S781" s="45"/>
      <c r="T781" s="46"/>
      <c r="U781" s="48"/>
      <c r="V781" s="44"/>
      <c r="Z781" s="49"/>
    </row>
    <row r="782" spans="1:26">
      <c r="A782" s="5"/>
      <c r="C782" s="51" t="str">
        <f>C720</f>
        <v>Agg. LatAm Cellular</v>
      </c>
      <c r="D782" s="52"/>
      <c r="E782" s="52"/>
      <c r="F782" s="53"/>
      <c r="G782" s="52"/>
      <c r="H782" s="46"/>
      <c r="I782" s="54">
        <f>'LATAM CELLULAR'!D$18/1000</f>
        <v>27.663229544469619</v>
      </c>
      <c r="J782" s="54">
        <f>'LATAM CELLULAR'!$E$18/1000</f>
        <v>26.548191321395183</v>
      </c>
      <c r="K782" s="54">
        <f>'LATAM CELLULAR'!$F$18/1000</f>
        <v>24.842661864445606</v>
      </c>
      <c r="L782" s="54">
        <f>'LATAM CELLULAR'!$G$18/1000</f>
        <v>22.703427884486089</v>
      </c>
      <c r="M782" s="55">
        <f>(L782/I782)^(1/3)-1</f>
        <v>-6.374061386332841E-2</v>
      </c>
      <c r="N782" s="56"/>
      <c r="O782" s="54"/>
      <c r="P782" s="54"/>
      <c r="Q782" s="54"/>
      <c r="R782" s="54"/>
      <c r="S782" s="55"/>
      <c r="T782" s="46"/>
      <c r="U782" s="57"/>
      <c r="V782" s="58"/>
      <c r="Z782" s="49"/>
    </row>
    <row r="783" spans="1:26">
      <c r="C783" s="43"/>
      <c r="D783" s="44"/>
      <c r="E783" s="44"/>
      <c r="F783" s="45"/>
      <c r="G783" s="44"/>
      <c r="H783" s="46"/>
      <c r="I783" s="47"/>
      <c r="J783" s="47"/>
      <c r="K783" s="47"/>
      <c r="L783" s="47"/>
      <c r="M783" s="45"/>
      <c r="N783" s="46"/>
      <c r="O783" s="47"/>
      <c r="P783" s="47"/>
      <c r="Q783" s="47"/>
      <c r="R783" s="47"/>
      <c r="S783" s="45"/>
      <c r="T783" s="46"/>
      <c r="U783" s="48"/>
      <c r="V783" s="50"/>
      <c r="Z783" s="49"/>
    </row>
    <row r="784" spans="1:26">
      <c r="A784" s="5"/>
      <c r="C784" s="48" t="str">
        <f t="shared" ref="C784:G795" si="205">C722</f>
        <v>AIS</v>
      </c>
      <c r="D784" s="44" t="str">
        <f t="shared" si="205"/>
        <v>THB 269.0</v>
      </c>
      <c r="E784" s="44" t="str">
        <f t="shared" si="205"/>
        <v>THB 300.0</v>
      </c>
      <c r="F784" s="45">
        <f t="shared" si="205"/>
        <v>0.11524163568773238</v>
      </c>
      <c r="G784" s="44" t="str">
        <f t="shared" si="205"/>
        <v>Buy</v>
      </c>
      <c r="H784" s="46"/>
      <c r="I784" s="47">
        <f>ADVANCED!D$18/1000/Prices!$C$163</f>
        <v>31.309007255077653</v>
      </c>
      <c r="J784" s="47">
        <f>ADVANCED!E$18/1000/Prices!$C$163</f>
        <v>30.079473534165352</v>
      </c>
      <c r="K784" s="47">
        <f>ADVANCED!F$18/1000/Prices!$C$163</f>
        <v>27.812043922425122</v>
      </c>
      <c r="L784" s="47">
        <f>ADVANCED!G$18/1000/Prices!$C$163</f>
        <v>25.591169859790462</v>
      </c>
      <c r="M784" s="45">
        <f t="shared" ref="M784:M797" si="206">(L784/I784)^(1/3)-1</f>
        <v>-6.5010040026795557E-2</v>
      </c>
      <c r="N784" s="46"/>
      <c r="O784" s="47"/>
      <c r="P784" s="47"/>
      <c r="Q784" s="47"/>
      <c r="R784" s="47"/>
      <c r="S784" s="45"/>
      <c r="T784" s="46"/>
      <c r="U784" s="48"/>
      <c r="V784" s="44"/>
      <c r="Z784" s="49"/>
    </row>
    <row r="785" spans="1:29">
      <c r="C785" s="48" t="str">
        <f t="shared" si="205"/>
        <v>Axiata</v>
      </c>
      <c r="D785" s="44" t="str">
        <f t="shared" si="205"/>
        <v>MYR 2.44</v>
      </c>
      <c r="E785" s="44" t="str">
        <f t="shared" si="205"/>
        <v>MYR 4.50</v>
      </c>
      <c r="F785" s="45">
        <f t="shared" si="205"/>
        <v>0.84426229508196715</v>
      </c>
      <c r="G785" s="44" t="str">
        <f t="shared" si="205"/>
        <v>Buy</v>
      </c>
      <c r="H785" s="46"/>
      <c r="I785" s="47">
        <f>AXI!D$18/Prices!$C$159/1000</f>
        <v>9.9829380964205647</v>
      </c>
      <c r="J785" s="47">
        <f>AXI!E$18/Prices!$C$159/1000</f>
        <v>11.626326947873471</v>
      </c>
      <c r="K785" s="47">
        <f>AXI!F$18/Prices!$C$159/1000</f>
        <v>11.28898317696863</v>
      </c>
      <c r="L785" s="47">
        <f>AXI!G$18/Prices!$C$159/1000</f>
        <v>10.941640885233948</v>
      </c>
      <c r="M785" s="45">
        <f t="shared" si="206"/>
        <v>3.1038049659495748E-2</v>
      </c>
      <c r="N785" s="46"/>
      <c r="O785" s="47"/>
      <c r="P785" s="47"/>
      <c r="Q785" s="47"/>
      <c r="R785" s="47"/>
      <c r="S785" s="45"/>
      <c r="T785" s="46"/>
      <c r="U785" s="48"/>
      <c r="V785" s="44"/>
      <c r="Z785" s="49"/>
    </row>
    <row r="786" spans="1:29">
      <c r="C786" s="48" t="str">
        <f t="shared" si="205"/>
        <v>Bharti Airtel</v>
      </c>
      <c r="D786" s="44" t="str">
        <f t="shared" si="205"/>
        <v>INR 1539</v>
      </c>
      <c r="E786" s="44" t="str">
        <f t="shared" si="205"/>
        <v>INR 1500</v>
      </c>
      <c r="F786" s="45">
        <f t="shared" si="205"/>
        <v>-2.5404457150282611E-2</v>
      </c>
      <c r="G786" s="44" t="str">
        <f t="shared" si="205"/>
        <v>Neutral</v>
      </c>
      <c r="H786" s="46"/>
      <c r="I786" s="47">
        <f>BHART!D$18/1000/Prices!$C$152</f>
        <v>145.90646135246666</v>
      </c>
      <c r="J786" s="47">
        <f>BHART!E$18/1000/Prices!$C$152</f>
        <v>142.91803095031173</v>
      </c>
      <c r="K786" s="47">
        <f>BHART!F$18/1000/Prices!$C$152</f>
        <v>137.7980008194402</v>
      </c>
      <c r="L786" s="47">
        <f>BHART!G$18/1000/Prices!$C$152</f>
        <v>131.77036146994104</v>
      </c>
      <c r="M786" s="45">
        <f t="shared" si="206"/>
        <v>-3.3397892894971304E-2</v>
      </c>
      <c r="N786" s="46"/>
      <c r="O786" s="47"/>
      <c r="P786" s="47"/>
      <c r="Q786" s="47"/>
      <c r="R786" s="47"/>
      <c r="S786" s="45"/>
      <c r="T786" s="46"/>
      <c r="U786" s="48"/>
      <c r="V786" s="44"/>
      <c r="Z786" s="49"/>
    </row>
    <row r="787" spans="1:29">
      <c r="A787" s="5"/>
      <c r="C787" s="48" t="str">
        <f t="shared" si="205"/>
        <v>China Mobile</v>
      </c>
      <c r="D787" s="44" t="str">
        <f t="shared" si="205"/>
        <v>HKD 72.0</v>
      </c>
      <c r="E787" s="44" t="str">
        <f t="shared" si="205"/>
        <v>HKD 115.0</v>
      </c>
      <c r="F787" s="45">
        <f t="shared" si="205"/>
        <v>0.59722222222222232</v>
      </c>
      <c r="G787" s="44" t="str">
        <f t="shared" si="205"/>
        <v>Buy</v>
      </c>
      <c r="H787" s="46"/>
      <c r="I787" s="47">
        <f>_CM!D$18/Prices!$C$175</f>
        <v>172.40470456846896</v>
      </c>
      <c r="J787" s="47">
        <f>_CM!E$18/Prices!$C$175</f>
        <v>167.29755124045161</v>
      </c>
      <c r="K787" s="47">
        <f>_CM!F$18/Prices!$C$175</f>
        <v>146.78665198577596</v>
      </c>
      <c r="L787" s="47">
        <f>_CM!G$18/Prices!$C$175</f>
        <v>125.28675602072806</v>
      </c>
      <c r="M787" s="45">
        <f t="shared" si="206"/>
        <v>-0.10094688396732232</v>
      </c>
      <c r="N787" s="46"/>
      <c r="O787" s="47"/>
      <c r="P787" s="47"/>
      <c r="Q787" s="47"/>
      <c r="R787" s="47"/>
      <c r="S787" s="45"/>
      <c r="T787" s="46"/>
      <c r="U787" s="48"/>
      <c r="V787" s="44"/>
      <c r="Z787" s="49"/>
    </row>
    <row r="788" spans="1:29">
      <c r="A788" s="5"/>
      <c r="C788" s="48" t="str">
        <f t="shared" si="205"/>
        <v>CelcomDigi</v>
      </c>
      <c r="D788" s="44" t="str">
        <f t="shared" si="205"/>
        <v>MYR 3.7</v>
      </c>
      <c r="E788" s="44" t="str">
        <f t="shared" si="205"/>
        <v>MYR 6.0</v>
      </c>
      <c r="F788" s="45">
        <f t="shared" si="205"/>
        <v>0.63934426229508201</v>
      </c>
      <c r="G788" s="44" t="str">
        <f t="shared" si="205"/>
        <v>Buy</v>
      </c>
      <c r="H788" s="46"/>
      <c r="I788" s="47">
        <f>DIGI!D$18/1000/Prices!$C$159</f>
        <v>13.42083125356832</v>
      </c>
      <c r="J788" s="47">
        <f>DIGI!E$18/1000/Prices!$C$159</f>
        <v>13.072790783978943</v>
      </c>
      <c r="K788" s="47">
        <f>DIGI!F$18/1000/Prices!$C$159</f>
        <v>12.238118179235942</v>
      </c>
      <c r="L788" s="47">
        <f>DIGI!G$18/1000/Prices!$C$159</f>
        <v>11.34764350468647</v>
      </c>
      <c r="M788" s="45">
        <f t="shared" si="206"/>
        <v>-5.4397186014431997E-2</v>
      </c>
      <c r="N788" s="46"/>
      <c r="O788" s="47"/>
      <c r="P788" s="47"/>
      <c r="Q788" s="47"/>
      <c r="R788" s="47"/>
      <c r="S788" s="45"/>
      <c r="T788" s="46"/>
      <c r="U788" s="48"/>
      <c r="V788" s="44"/>
      <c r="Z788" s="49"/>
    </row>
    <row r="789" spans="1:29">
      <c r="A789" s="5"/>
      <c r="C789" s="48" t="str">
        <f t="shared" si="205"/>
        <v>Far EasTone</v>
      </c>
      <c r="D789" s="44" t="str">
        <f t="shared" si="205"/>
        <v>TWD 91.9</v>
      </c>
      <c r="E789" s="44" t="str">
        <f t="shared" si="205"/>
        <v>TWD n/r</v>
      </c>
      <c r="F789" s="45" t="str">
        <f t="shared" si="205"/>
        <v>-</v>
      </c>
      <c r="G789" s="44" t="str">
        <f t="shared" si="205"/>
        <v>n/r</v>
      </c>
      <c r="H789" s="46"/>
      <c r="I789" s="47">
        <f>FAR!D$18/1000/Prices!$C$181</f>
        <v>10.353310821926311</v>
      </c>
      <c r="J789" s="47">
        <f>FAR!E$18/1000/Prices!$C$181</f>
        <v>9.9352118556368669</v>
      </c>
      <c r="K789" s="47">
        <f>FAR!F$18/1000/Prices!$C$181</f>
        <v>9.5106182538011392</v>
      </c>
      <c r="L789" s="47">
        <f>FAR!G$18/1000/Prices!$C$181</f>
        <v>9.0788470399310803</v>
      </c>
      <c r="M789" s="45">
        <f t="shared" si="206"/>
        <v>-4.284159879164795E-2</v>
      </c>
      <c r="N789" s="46"/>
      <c r="O789" s="47"/>
      <c r="P789" s="47"/>
      <c r="Q789" s="47"/>
      <c r="R789" s="47"/>
      <c r="S789" s="45"/>
      <c r="T789" s="46"/>
      <c r="U789" s="48"/>
      <c r="V789" s="44"/>
      <c r="Z789" s="49"/>
    </row>
    <row r="790" spans="1:29">
      <c r="A790" s="5"/>
      <c r="C790" s="48" t="str">
        <f t="shared" si="205"/>
        <v>Vodafone IDEA</v>
      </c>
      <c r="D790" s="44" t="str">
        <f t="shared" si="205"/>
        <v>INR 13.4</v>
      </c>
      <c r="E790" s="44" t="str">
        <f t="shared" si="205"/>
        <v>INR 5.0</v>
      </c>
      <c r="F790" s="45">
        <f t="shared" si="205"/>
        <v>-0.62574850299401197</v>
      </c>
      <c r="G790" s="44" t="str">
        <f t="shared" si="205"/>
        <v>Reduce</v>
      </c>
      <c r="H790" s="46"/>
      <c r="I790" s="47">
        <f>IDEA!D$18/1000/Prices!$C$152</f>
        <v>32.690229773190616</v>
      </c>
      <c r="J790" s="47">
        <f>IDEA!E$18/1000/Prices!$C$152</f>
        <v>36.408728311602275</v>
      </c>
      <c r="K790" s="47">
        <f>IDEA!F$18/1000/Prices!$C$152</f>
        <v>39.14137192733066</v>
      </c>
      <c r="L790" s="47">
        <f>IDEA!G$18/1000/Prices!$C$152</f>
        <v>40.753088475173755</v>
      </c>
      <c r="M790" s="45">
        <f t="shared" si="206"/>
        <v>7.6252528391642427E-2</v>
      </c>
      <c r="N790" s="46"/>
      <c r="O790" s="47"/>
      <c r="P790" s="47"/>
      <c r="Q790" s="47"/>
      <c r="R790" s="47"/>
      <c r="S790" s="45"/>
      <c r="T790" s="46"/>
      <c r="U790" s="48"/>
      <c r="V790" s="44"/>
      <c r="Z790" s="49"/>
      <c r="AC790" s="63"/>
    </row>
    <row r="791" spans="1:29">
      <c r="A791" s="5"/>
      <c r="C791" s="48" t="str">
        <f t="shared" si="205"/>
        <v>Indosat</v>
      </c>
      <c r="D791" s="44" t="str">
        <f t="shared" si="205"/>
        <v>IDR 10,900</v>
      </c>
      <c r="E791" s="44" t="str">
        <f t="shared" si="205"/>
        <v>IDR 12,500</v>
      </c>
      <c r="F791" s="45">
        <f t="shared" si="205"/>
        <v>0.14678899082568808</v>
      </c>
      <c r="G791" s="44" t="str">
        <f t="shared" si="205"/>
        <v>Buy</v>
      </c>
      <c r="H791" s="46"/>
      <c r="I791" s="47">
        <f>INDO!D$18/Prices!$C$172</f>
        <v>8.8869192430251065</v>
      </c>
      <c r="J791" s="47">
        <f>INDO!E$18/Prices!$C$172</f>
        <v>8.354211051693234</v>
      </c>
      <c r="K791" s="47">
        <f>INDO!F$18/Prices!$C$172</f>
        <v>7.0934977099520466</v>
      </c>
      <c r="L791" s="47">
        <f>INDO!G$18/Prices!$C$172</f>
        <v>5.5460827833085498</v>
      </c>
      <c r="M791" s="45">
        <f t="shared" si="206"/>
        <v>-0.14543512520575819</v>
      </c>
      <c r="N791" s="46"/>
      <c r="O791" s="47"/>
      <c r="P791" s="47"/>
      <c r="Q791" s="47"/>
      <c r="R791" s="47"/>
      <c r="S791" s="45"/>
      <c r="T791" s="46"/>
      <c r="U791" s="48"/>
      <c r="V791" s="44"/>
      <c r="Z791" s="49"/>
      <c r="AC791" s="63"/>
    </row>
    <row r="792" spans="1:29">
      <c r="A792" s="5"/>
      <c r="C792" s="48" t="str">
        <f t="shared" si="205"/>
        <v>LG Uplus</v>
      </c>
      <c r="D792" s="44" t="str">
        <f t="shared" si="205"/>
        <v>KRW 9,890</v>
      </c>
      <c r="E792" s="44" t="str">
        <f t="shared" si="205"/>
        <v>KRW 21,000</v>
      </c>
      <c r="F792" s="45">
        <f t="shared" si="205"/>
        <v>1.1233569261880687</v>
      </c>
      <c r="G792" s="44" t="str">
        <f t="shared" si="205"/>
        <v>Buy</v>
      </c>
      <c r="H792" s="46"/>
      <c r="I792" s="47">
        <f>_LG!D$18/Prices!$C$173</f>
        <v>9.118795045333556</v>
      </c>
      <c r="J792" s="47">
        <f>_LG!E$18/Prices!$C$173</f>
        <v>9.0724325625692614</v>
      </c>
      <c r="K792" s="47">
        <f>_LG!F$18/Prices!$C$173</f>
        <v>8.8114023530766747</v>
      </c>
      <c r="L792" s="47">
        <f>_LG!G$18/Prices!$C$173</f>
        <v>8.5135616316433147</v>
      </c>
      <c r="M792" s="45">
        <f t="shared" si="206"/>
        <v>-2.2632388075625398E-2</v>
      </c>
      <c r="N792" s="46"/>
      <c r="O792" s="47"/>
      <c r="P792" s="47"/>
      <c r="Q792" s="47"/>
      <c r="R792" s="47"/>
      <c r="S792" s="45"/>
      <c r="T792" s="46"/>
      <c r="U792" s="48"/>
      <c r="V792" s="44"/>
      <c r="Z792" s="49"/>
      <c r="AC792" s="63"/>
    </row>
    <row r="793" spans="1:29">
      <c r="C793" s="48" t="str">
        <f t="shared" si="205"/>
        <v>Maxis</v>
      </c>
      <c r="D793" s="44" t="str">
        <f t="shared" si="205"/>
        <v>MYR 3.82</v>
      </c>
      <c r="E793" s="44" t="str">
        <f t="shared" si="205"/>
        <v>MYR 5.60</v>
      </c>
      <c r="F793" s="45">
        <f t="shared" si="205"/>
        <v>0.46596858638743455</v>
      </c>
      <c r="G793" s="44" t="str">
        <f t="shared" si="205"/>
        <v>Buy</v>
      </c>
      <c r="H793" s="46"/>
      <c r="I793" s="47">
        <f>MAXI!D$18/1000/Prices!$C$159</f>
        <v>9.0303317483013554</v>
      </c>
      <c r="J793" s="47">
        <f>MAXI!E$18/1000/Prices!$C$159</f>
        <v>8.8960386739555446</v>
      </c>
      <c r="K793" s="47">
        <f>MAXI!F$18/1000/Prices!$C$159</f>
        <v>8.4272978616608967</v>
      </c>
      <c r="L793" s="47">
        <f>MAXI!G$18/1000/Prices!$C$159</f>
        <v>7.9412818023278726</v>
      </c>
      <c r="M793" s="45">
        <f t="shared" si="206"/>
        <v>-4.1933545670742478E-2</v>
      </c>
      <c r="N793" s="46"/>
      <c r="O793" s="47"/>
      <c r="P793" s="47"/>
      <c r="Q793" s="47"/>
      <c r="R793" s="47"/>
      <c r="S793" s="45"/>
      <c r="T793" s="46"/>
      <c r="U793" s="48"/>
      <c r="V793" s="44"/>
      <c r="Z793" s="49"/>
    </row>
    <row r="794" spans="1:29">
      <c r="A794" s="5"/>
      <c r="C794" s="48" t="str">
        <f t="shared" si="205"/>
        <v>SK Telecom</v>
      </c>
      <c r="D794" s="44" t="str">
        <f t="shared" si="205"/>
        <v>KRW 57,800</v>
      </c>
      <c r="E794" s="44" t="str">
        <f t="shared" si="205"/>
        <v>KRW 116,000</v>
      </c>
      <c r="F794" s="45">
        <f t="shared" si="205"/>
        <v>1.0069204152249136</v>
      </c>
      <c r="G794" s="44" t="str">
        <f t="shared" si="205"/>
        <v>Buy</v>
      </c>
      <c r="H794" s="46"/>
      <c r="I794" s="47">
        <f>SKT!D$18/Prices!$C$173</f>
        <v>18.492022918109949</v>
      </c>
      <c r="J794" s="47">
        <f>SKT!E$18/Prices!$C$173</f>
        <v>17.520274870712612</v>
      </c>
      <c r="K794" s="47">
        <f>SKT!F$18/Prices!$C$173</f>
        <v>16.740881585497938</v>
      </c>
      <c r="L794" s="47">
        <f>SKT!G$18/Prices!$C$173</f>
        <v>15.706843878146763</v>
      </c>
      <c r="M794" s="45">
        <f t="shared" si="206"/>
        <v>-5.2960337203835306E-2</v>
      </c>
      <c r="N794" s="46"/>
      <c r="O794" s="47"/>
      <c r="P794" s="47"/>
      <c r="Q794" s="47"/>
      <c r="R794" s="47"/>
      <c r="S794" s="45"/>
      <c r="T794" s="46"/>
      <c r="U794" s="48"/>
      <c r="V794" s="44"/>
      <c r="Z794" s="49"/>
    </row>
    <row r="795" spans="1:29">
      <c r="A795" s="5"/>
      <c r="C795" s="48" t="str">
        <f t="shared" si="205"/>
        <v>Taiwan Mobile</v>
      </c>
      <c r="D795" s="44" t="str">
        <f t="shared" si="205"/>
        <v>TWD 115.0</v>
      </c>
      <c r="E795" s="44" t="str">
        <f t="shared" si="205"/>
        <v>TWD n/r</v>
      </c>
      <c r="F795" s="45" t="str">
        <f t="shared" si="205"/>
        <v>-</v>
      </c>
      <c r="G795" s="44" t="str">
        <f t="shared" si="205"/>
        <v>n/r</v>
      </c>
      <c r="H795" s="46"/>
      <c r="I795" s="47">
        <f>TAIWAN!D$18/1000/Prices!$C$181</f>
        <v>10.149318716635786</v>
      </c>
      <c r="J795" s="47">
        <f>TAIWAN!E$18/1000/Prices!$C$181</f>
        <v>9.5514462767648407</v>
      </c>
      <c r="K795" s="47">
        <f>TAIWAN!F$18/1000/Prices!$C$181</f>
        <v>8.940656782358813</v>
      </c>
      <c r="L795" s="47">
        <f>TAIWAN!G$18/1000/Prices!$C$181</f>
        <v>8.2633319841462693</v>
      </c>
      <c r="M795" s="45">
        <f t="shared" si="206"/>
        <v>-6.6231032235767096E-2</v>
      </c>
      <c r="N795" s="46"/>
      <c r="O795" s="47"/>
      <c r="P795" s="47"/>
      <c r="Q795" s="47"/>
      <c r="R795" s="47"/>
      <c r="S795" s="45"/>
      <c r="T795" s="46"/>
      <c r="U795" s="48"/>
      <c r="V795" s="44"/>
      <c r="Z795" s="49"/>
    </row>
    <row r="796" spans="1:29">
      <c r="A796" s="5"/>
      <c r="C796" s="48" t="str">
        <f t="shared" ref="C796:G796" si="207">C734</f>
        <v>True Corp</v>
      </c>
      <c r="D796" s="44" t="str">
        <f t="shared" si="207"/>
        <v>THB 10.7</v>
      </c>
      <c r="E796" s="44" t="str">
        <f t="shared" si="207"/>
        <v>THB 15.0</v>
      </c>
      <c r="F796" s="45">
        <f t="shared" si="207"/>
        <v>0.40186915887850483</v>
      </c>
      <c r="G796" s="44" t="str">
        <f t="shared" si="207"/>
        <v>Buy</v>
      </c>
      <c r="H796" s="46"/>
      <c r="I796" s="47">
        <f>TRUECORP!D$18/1000/Prices!$C$163</f>
        <v>25.789056263766593</v>
      </c>
      <c r="J796" s="47">
        <f>TRUECORP!E$18/1000/Prices!$C$163</f>
        <v>24.700258860103478</v>
      </c>
      <c r="K796" s="47">
        <f>TRUECORP!F$18/1000/Prices!$C$163</f>
        <v>23.557438193359417</v>
      </c>
      <c r="L796" s="47">
        <f>TRUECORP!G$18/1000/Prices!$C$163</f>
        <v>21.950621701782175</v>
      </c>
      <c r="M796" s="45">
        <f>(L796/I796)^(1/3)-1</f>
        <v>-5.2300921143391021E-2</v>
      </c>
      <c r="N796" s="46"/>
      <c r="O796" s="47"/>
      <c r="P796" s="47"/>
      <c r="Q796" s="47"/>
      <c r="R796" s="47"/>
      <c r="S796" s="45"/>
      <c r="T796" s="46"/>
      <c r="U796" s="48"/>
      <c r="V796" s="44"/>
      <c r="Z796" s="49"/>
    </row>
    <row r="797" spans="1:29">
      <c r="A797" s="5"/>
      <c r="C797" s="48" t="str">
        <f t="shared" ref="C797:G797" si="208">C735</f>
        <v>XL Axiata</v>
      </c>
      <c r="D797" s="44" t="str">
        <f t="shared" si="208"/>
        <v>IDR 2,330</v>
      </c>
      <c r="E797" s="44" t="str">
        <f t="shared" si="208"/>
        <v>IDR 5,000</v>
      </c>
      <c r="F797" s="45">
        <f t="shared" si="208"/>
        <v>1.1459227467811157</v>
      </c>
      <c r="G797" s="44" t="str">
        <f t="shared" si="208"/>
        <v>Buy</v>
      </c>
      <c r="H797" s="46"/>
      <c r="I797" s="47">
        <f>XLAX!D$18/Prices!$C$172</f>
        <v>4.9164494326716932</v>
      </c>
      <c r="J797" s="47">
        <f>XLAX!E$18/Prices!$C$172</f>
        <v>4.5618065425729117</v>
      </c>
      <c r="K797" s="47">
        <f>XLAX!F$18/Prices!$C$172</f>
        <v>4.0955527310778024</v>
      </c>
      <c r="L797" s="47">
        <f>XLAX!G$18/Prices!$C$172</f>
        <v>3.5827925380590013</v>
      </c>
      <c r="M797" s="45">
        <f t="shared" si="206"/>
        <v>-0.10010875185236612</v>
      </c>
      <c r="N797" s="56"/>
      <c r="O797" s="47"/>
      <c r="P797" s="47"/>
      <c r="Q797" s="47"/>
      <c r="R797" s="47"/>
      <c r="S797" s="45"/>
      <c r="T797" s="46"/>
      <c r="U797" s="48"/>
      <c r="V797" s="44"/>
      <c r="Z797" s="49"/>
    </row>
    <row r="798" spans="1:29">
      <c r="A798" s="5"/>
      <c r="C798" s="51" t="str">
        <f>C736</f>
        <v>Agg. Emerging Asia Cellular</v>
      </c>
      <c r="D798" s="52"/>
      <c r="E798" s="52"/>
      <c r="F798" s="53"/>
      <c r="G798" s="52"/>
      <c r="H798" s="46"/>
      <c r="I798" s="54">
        <f>'EM ASIA CELLULAR'!D$18/1000</f>
        <v>502.45037648896329</v>
      </c>
      <c r="J798" s="54">
        <f>'EM ASIA CELLULAR'!$E$18/1000</f>
        <v>493.99458246239209</v>
      </c>
      <c r="K798" s="54">
        <f>'EM ASIA CELLULAR'!$F$18/1000</f>
        <v>462.24251548196133</v>
      </c>
      <c r="L798" s="54">
        <f>'EM ASIA CELLULAR'!$G$18/1000</f>
        <v>426.27402357489882</v>
      </c>
      <c r="M798" s="55">
        <f>(L759/I759)^(1/3)-1</f>
        <v>-5.1874829536188161E-2</v>
      </c>
      <c r="N798" s="56"/>
      <c r="O798" s="54"/>
      <c r="P798" s="54"/>
      <c r="Q798" s="54"/>
      <c r="R798" s="54"/>
      <c r="S798" s="55"/>
      <c r="T798" s="46"/>
      <c r="U798" s="57"/>
      <c r="V798" s="58"/>
      <c r="Z798" s="49"/>
    </row>
    <row r="799" spans="1:29">
      <c r="A799" s="5"/>
      <c r="C799" s="43"/>
      <c r="D799" s="44"/>
      <c r="E799" s="44"/>
      <c r="F799" s="68"/>
      <c r="G799" s="44"/>
      <c r="H799" s="46"/>
      <c r="I799" s="62"/>
      <c r="J799" s="62"/>
      <c r="K799" s="62"/>
      <c r="L799" s="62"/>
      <c r="M799" s="61"/>
      <c r="N799" s="46"/>
      <c r="O799" s="62"/>
      <c r="P799" s="62"/>
      <c r="Q799" s="62"/>
      <c r="R799" s="62"/>
      <c r="S799" s="61"/>
      <c r="T799" s="46"/>
      <c r="U799" s="48"/>
      <c r="V799" s="50"/>
      <c r="Z799" s="49"/>
    </row>
    <row r="800" spans="1:29">
      <c r="A800" s="5"/>
      <c r="C800" s="51" t="str">
        <f>C738</f>
        <v>Agg. Emerging  Cellular</v>
      </c>
      <c r="D800" s="52"/>
      <c r="E800" s="52"/>
      <c r="F800" s="53"/>
      <c r="G800" s="52"/>
      <c r="H800" s="46"/>
      <c r="I800" s="54">
        <f>'EM CELLULAR'!D$18/1000</f>
        <v>649.66768159558171</v>
      </c>
      <c r="J800" s="54">
        <f>'EM CELLULAR'!$E$18/1000</f>
        <v>639.01374429586963</v>
      </c>
      <c r="K800" s="54">
        <f>'EM CELLULAR'!$F$18/1000</f>
        <v>602.40666457980433</v>
      </c>
      <c r="L800" s="54">
        <f>'EM CELLULAR'!$G$18/1000</f>
        <v>560.52275253467496</v>
      </c>
      <c r="M800" s="55">
        <f>(L761/I761)^(1/3)-1</f>
        <v>-8.0366989676591616E-2</v>
      </c>
      <c r="N800" s="46"/>
      <c r="O800" s="54"/>
      <c r="P800" s="54"/>
      <c r="Q800" s="54"/>
      <c r="R800" s="54"/>
      <c r="S800" s="55"/>
      <c r="T800" s="46"/>
      <c r="U800" s="57"/>
      <c r="V800" s="58"/>
      <c r="Z800" s="49"/>
    </row>
    <row r="801" spans="1:31">
      <c r="C801" s="43"/>
      <c r="D801" s="44"/>
      <c r="E801" s="44"/>
      <c r="F801" s="45"/>
      <c r="G801" s="44"/>
      <c r="H801" s="46"/>
      <c r="I801" s="47"/>
      <c r="J801" s="47"/>
      <c r="K801" s="47"/>
      <c r="L801" s="47"/>
      <c r="M801" s="45"/>
      <c r="N801" s="46"/>
      <c r="O801" s="47"/>
      <c r="P801" s="47"/>
      <c r="Q801" s="47"/>
      <c r="R801" s="47"/>
      <c r="S801" s="45"/>
      <c r="T801" s="46"/>
      <c r="U801" s="48"/>
      <c r="V801" s="50"/>
      <c r="Z801" s="49"/>
    </row>
    <row r="802" spans="1:31">
      <c r="A802" s="41" t="s">
        <v>503</v>
      </c>
      <c r="B802" s="42" t="s">
        <v>577</v>
      </c>
      <c r="C802" s="48" t="s">
        <v>811</v>
      </c>
      <c r="D802" s="44" t="str">
        <f>'EM Multiples'!B802&amp;TEXT(Prices!C$135,"0.00")</f>
        <v>MXN42.67</v>
      </c>
      <c r="E802" s="44" t="str">
        <f>'EM Multiples'!B802&amp;TEXT(Prices!E$135,"0.00")</f>
        <v>MXN55.00</v>
      </c>
      <c r="F802" s="45">
        <f>Prices!F$135</f>
        <v>0.28896179985938586</v>
      </c>
      <c r="G802" s="44" t="str">
        <f>Prices!D$48</f>
        <v>Buy</v>
      </c>
      <c r="H802" s="46"/>
      <c r="I802" s="47">
        <f>MEGA!D$18/1000/Prices!$C$180</f>
        <v>3.017961287686262</v>
      </c>
      <c r="J802" s="47">
        <f>MEGA!E$18/1000/Prices!$C$180</f>
        <v>3.1134731414809527</v>
      </c>
      <c r="K802" s="47">
        <f>MEGA!F$18/1000/Prices!$C$180</f>
        <v>3.0491225497819685</v>
      </c>
      <c r="L802" s="47">
        <f>MEGA!G$18/1000/Prices!$C$180</f>
        <v>2.8400145908094481</v>
      </c>
      <c r="M802" s="45">
        <f>(L802/I802)^(1/3)-1</f>
        <v>-2.0053644189139019E-2</v>
      </c>
      <c r="N802" s="46"/>
      <c r="O802" s="47"/>
      <c r="P802" s="47"/>
      <c r="Q802" s="47"/>
      <c r="R802" s="47"/>
      <c r="S802" s="45"/>
      <c r="T802" s="46"/>
      <c r="U802" s="48"/>
      <c r="V802" s="44"/>
      <c r="Z802" s="46"/>
      <c r="AE802" s="41"/>
    </row>
    <row r="803" spans="1:31">
      <c r="A803" s="5"/>
      <c r="B803" s="42" t="s">
        <v>406</v>
      </c>
      <c r="C803" s="48" t="s">
        <v>797</v>
      </c>
      <c r="D803" s="44" t="str">
        <f>'EM Multiples'!B803&amp;TEXT(Prices!C$138,"0.00")</f>
        <v>USD9.48</v>
      </c>
      <c r="E803" s="44" t="str">
        <f>'EM Multiples'!B803&amp;TEXT(Prices!E$138,"0.00")</f>
        <v>USD14.00</v>
      </c>
      <c r="F803" s="45">
        <f>Prices!F$138</f>
        <v>0.47679324894514763</v>
      </c>
      <c r="G803" s="44" t="str">
        <f>Prices!D$138</f>
        <v>Buy</v>
      </c>
      <c r="H803" s="46"/>
      <c r="I803" s="47">
        <f>LiLAC!D$18/1000</f>
        <v>8.8227310627357785</v>
      </c>
      <c r="J803" s="47">
        <f>LiLAC!E$18/1000</f>
        <v>8.5419223502392327</v>
      </c>
      <c r="K803" s="47">
        <f>LiLAC!F$18/1000</f>
        <v>9.9363126656886234</v>
      </c>
      <c r="L803" s="47">
        <f>LiLAC!G$18/1000</f>
        <v>9.6478031944595415</v>
      </c>
      <c r="M803" s="45">
        <f>(L803/I803)^(1/3)-1</f>
        <v>3.0248042901969807E-2</v>
      </c>
      <c r="N803" s="46"/>
      <c r="O803" s="47"/>
      <c r="P803" s="47"/>
      <c r="Q803" s="47"/>
      <c r="R803" s="47"/>
      <c r="S803" s="45"/>
      <c r="T803" s="46"/>
      <c r="U803" s="48"/>
      <c r="V803" s="44"/>
      <c r="Z803" s="46"/>
      <c r="AE803" s="41"/>
    </row>
    <row r="804" spans="1:31">
      <c r="A804" s="5"/>
      <c r="C804" s="67" t="s">
        <v>814</v>
      </c>
      <c r="D804" s="52"/>
      <c r="E804" s="52"/>
      <c r="F804" s="53"/>
      <c r="G804" s="52"/>
      <c r="H804" s="46"/>
      <c r="I804" s="54">
        <f>'LATAM ALTNET &amp; CABLE'!$D$18/1000</f>
        <v>11.840692350422039</v>
      </c>
      <c r="J804" s="54">
        <f>'LATAM ALTNET &amp; CABLE'!$E$18/1000</f>
        <v>11.655395491720185</v>
      </c>
      <c r="K804" s="54">
        <f>'LATAM ALTNET &amp; CABLE'!$F$18/1000</f>
        <v>12.985435215470591</v>
      </c>
      <c r="L804" s="54">
        <f>'LATAM ALTNET &amp; CABLE'!$G$18/1000</f>
        <v>12.487817785268991</v>
      </c>
      <c r="M804" s="55">
        <f>(L804/I804)^(1/3)-1</f>
        <v>1.7895400528657568E-2</v>
      </c>
      <c r="N804" s="46"/>
      <c r="O804" s="54"/>
      <c r="P804" s="54"/>
      <c r="Q804" s="54"/>
      <c r="R804" s="54"/>
      <c r="S804" s="55"/>
      <c r="T804" s="46"/>
      <c r="U804" s="57"/>
      <c r="V804" s="58"/>
      <c r="Z804" s="46"/>
      <c r="AE804" s="41"/>
    </row>
    <row r="805" spans="1:31">
      <c r="C805" s="43"/>
      <c r="D805" s="44"/>
      <c r="E805" s="44"/>
      <c r="F805" s="45"/>
      <c r="G805" s="44"/>
      <c r="H805" s="46"/>
      <c r="I805" s="47"/>
      <c r="J805" s="47"/>
      <c r="K805" s="47"/>
      <c r="L805" s="47"/>
      <c r="M805" s="45"/>
      <c r="N805" s="46"/>
      <c r="O805" s="47"/>
      <c r="P805" s="47"/>
      <c r="Q805" s="47"/>
      <c r="R805" s="47"/>
      <c r="S805" s="45"/>
      <c r="T805" s="46"/>
      <c r="U805" s="48"/>
      <c r="V805" s="50"/>
      <c r="Z805" s="49"/>
    </row>
    <row r="806" spans="1:31">
      <c r="C806" s="67" t="str">
        <f>C744</f>
        <v>Agg. EMEA sector</v>
      </c>
      <c r="D806" s="52"/>
      <c r="E806" s="52"/>
      <c r="F806" s="53"/>
      <c r="G806" s="52"/>
      <c r="H806" s="46"/>
      <c r="I806" s="54">
        <f>'EMEA AGG'!$D$18/1000</f>
        <v>120.74795875721455</v>
      </c>
      <c r="J806" s="54">
        <f>'EMEA AGG'!$E$18/1000</f>
        <v>119.49741187437759</v>
      </c>
      <c r="K806" s="54">
        <f>'EMEA AGG'!$F$18/1000</f>
        <v>116.18167872584223</v>
      </c>
      <c r="L806" s="54">
        <f>'EMEA AGG'!$G$18/1000</f>
        <v>112.23839085327498</v>
      </c>
      <c r="M806" s="55">
        <f>(L806/I806)^(1/3)-1</f>
        <v>-2.4065783745059743E-2</v>
      </c>
      <c r="N806" s="56"/>
      <c r="O806" s="54"/>
      <c r="P806" s="54"/>
      <c r="Q806" s="54"/>
      <c r="R806" s="54"/>
      <c r="S806" s="55"/>
      <c r="T806" s="46"/>
      <c r="U806" s="57"/>
      <c r="V806" s="58"/>
      <c r="Z806" s="49"/>
    </row>
    <row r="807" spans="1:31">
      <c r="C807" s="41" t="str">
        <f>C745</f>
        <v>Agg. LatAm sector</v>
      </c>
      <c r="D807" s="44"/>
      <c r="E807" s="44"/>
      <c r="F807" s="45"/>
      <c r="G807" s="44"/>
      <c r="H807" s="46"/>
      <c r="I807" s="60">
        <f>'LATAM AGG'!$D$18/1000</f>
        <v>153.08983441944721</v>
      </c>
      <c r="J807" s="60">
        <f>'LATAM AGG'!$E$18/1000</f>
        <v>147.24059958842699</v>
      </c>
      <c r="K807" s="60">
        <f>'LATAM AGG'!$F$18/1000</f>
        <v>140.48893876718077</v>
      </c>
      <c r="L807" s="60">
        <f>'LATAM AGG'!$G$18/1000</f>
        <v>132.00153098198319</v>
      </c>
      <c r="M807" s="59">
        <f>(L807/I807)^(1/3)-1</f>
        <v>-4.8203277486231766E-2</v>
      </c>
      <c r="N807" s="56"/>
      <c r="O807" s="60"/>
      <c r="P807" s="60"/>
      <c r="Q807" s="60"/>
      <c r="R807" s="60"/>
      <c r="S807" s="59"/>
      <c r="T807" s="46"/>
      <c r="U807" s="48"/>
      <c r="V807" s="50"/>
      <c r="Z807" s="49"/>
    </row>
    <row r="808" spans="1:31">
      <c r="C808" s="67" t="str">
        <f>C746</f>
        <v>Agg. Emerging Asia sector</v>
      </c>
      <c r="D808" s="52"/>
      <c r="E808" s="52"/>
      <c r="F808" s="53"/>
      <c r="G808" s="52"/>
      <c r="H808" s="46"/>
      <c r="I808" s="54">
        <f>'AGG EM ASIA'!$D$18/1000</f>
        <v>618.76444700636296</v>
      </c>
      <c r="J808" s="54">
        <f>'AGG EM ASIA'!$E$18/1000</f>
        <v>603.80829040093045</v>
      </c>
      <c r="K808" s="54">
        <f>'AGG EM ASIA'!$F$18/1000</f>
        <v>562.70080758033407</v>
      </c>
      <c r="L808" s="54">
        <f>'AGG EM ASIA'!$G$18/1000</f>
        <v>517.19596444581441</v>
      </c>
      <c r="M808" s="55">
        <f>(L808/I808)^(1/3)-1</f>
        <v>-5.8016580598496237E-2</v>
      </c>
      <c r="N808" s="56"/>
      <c r="O808" s="54"/>
      <c r="P808" s="54"/>
      <c r="Q808" s="54"/>
      <c r="R808" s="54"/>
      <c r="S808" s="55"/>
      <c r="T808" s="46"/>
      <c r="U808" s="57"/>
      <c r="V808" s="58"/>
      <c r="Z808" s="49"/>
    </row>
    <row r="809" spans="1:31">
      <c r="C809" s="41"/>
      <c r="D809" s="44"/>
      <c r="E809" s="44"/>
      <c r="F809" s="45"/>
      <c r="G809" s="44"/>
      <c r="H809" s="46"/>
      <c r="I809" s="60"/>
      <c r="J809" s="60"/>
      <c r="K809" s="60"/>
      <c r="L809" s="60"/>
      <c r="M809" s="59"/>
      <c r="N809" s="56"/>
      <c r="O809" s="60"/>
      <c r="P809" s="60"/>
      <c r="Q809" s="60"/>
      <c r="R809" s="60"/>
      <c r="S809" s="59"/>
      <c r="T809" s="46"/>
      <c r="U809" s="48"/>
      <c r="V809" s="50"/>
      <c r="Z809" s="49"/>
    </row>
    <row r="810" spans="1:31">
      <c r="C810" s="67" t="str">
        <f>C748</f>
        <v>Agg. Global EM sector (ex-consensus)</v>
      </c>
      <c r="D810" s="52"/>
      <c r="E810" s="52"/>
      <c r="F810" s="53"/>
      <c r="G810" s="52"/>
      <c r="H810" s="46"/>
      <c r="I810" s="54">
        <f>'AGG EM'!$D$18/1000</f>
        <v>892.60224018302472</v>
      </c>
      <c r="J810" s="54">
        <f>'AGG EM'!$E$18/1000</f>
        <v>870.54630186373504</v>
      </c>
      <c r="K810" s="54">
        <f>'AGG EM'!$F$18/1000</f>
        <v>819.37142507335705</v>
      </c>
      <c r="L810" s="54">
        <f>'AGG EM'!$G$18/1000</f>
        <v>761.43588628107273</v>
      </c>
      <c r="M810" s="55">
        <f>(L810/I810)^(1/3)-1</f>
        <v>-5.1599466600908972E-2</v>
      </c>
      <c r="N810" s="56"/>
      <c r="O810" s="54"/>
      <c r="P810" s="54"/>
      <c r="Q810" s="54"/>
      <c r="R810" s="54"/>
      <c r="S810" s="55"/>
      <c r="T810" s="46"/>
      <c r="U810" s="57"/>
      <c r="V810" s="58"/>
      <c r="Z810" s="49"/>
    </row>
    <row r="811" spans="1:31">
      <c r="U811" s="5"/>
      <c r="V811" s="63"/>
      <c r="X811" s="1"/>
      <c r="Z811" s="49"/>
    </row>
    <row r="812" spans="1:31">
      <c r="U812" s="5"/>
      <c r="V812" s="63"/>
      <c r="X812" s="1"/>
      <c r="Z812" s="49"/>
    </row>
  </sheetData>
  <mergeCells count="1">
    <mergeCell ref="I6:M6"/>
  </mergeCells>
  <phoneticPr fontId="7" type="noConversion"/>
  <conditionalFormatting sqref="C8:G66 I8:M66 O8:S66 U8:V66 C70:G128 I70:M128 O70:S128 U70:V128 C132:G190 I132:M190 O132:S190 U132:V190 C194:G252 I194:M252 O194:S252 U194:V252 C256:G314 I256:M314 O256:S314 U256:V314 C318:G376 I318:M376 O318:S376 U318:V376 C380:G438 I380:M438 O380:S438 U380:V438 C442:G500 I442:M500 O442:S500 U442:V500 C504:G562 I504:M562 O504:S562 U504:V562 C566:G624 I566:M624 O566:S624 U566:V624 C628:G686 I628:M686 O628:S686 U628:V686 C690:G748 I690:M748 O690:S748 U690:V748 C752:G810 I752:M810 O752:S810 U752:V810">
    <cfRule type="expression" dxfId="2" priority="52">
      <formula>EVEN(ROW())=ROW()</formula>
    </cfRule>
  </conditionalFormatting>
  <hyperlinks>
    <hyperlink ref="Y1" location="Prices!A1" display="Jump to Prices" xr:uid="{83B29D5B-D30E-4ECA-AAEB-9ED957BF6088}"/>
  </hyperlinks>
  <printOptions horizontalCentered="1" verticalCentered="1"/>
  <pageMargins left="0.31496062992125984" right="0" top="0" bottom="0" header="0" footer="0"/>
  <pageSetup paperSize="9" scale="59" orientation="landscape" copies="3" r:id="rId1"/>
  <headerFooter alignWithMargins="0">
    <oddFooter>&amp;L&amp;"Trebuchet MS,Bold"&amp;8Note: EV's are calculated using rolling net debt and are adjusted for dividends paid. March/June year end companies are aligned with previous calendar year.</oddFooter>
  </headerFooter>
  <rowBreaks count="12" manualBreakCount="12">
    <brk id="67" max="22" man="1"/>
    <brk id="129" max="22" man="1"/>
    <brk id="191" max="22" man="1"/>
    <brk id="253" max="22" man="1"/>
    <brk id="315" max="22" man="1"/>
    <brk id="377" max="22" man="1"/>
    <brk id="439" max="22" man="1"/>
    <brk id="501" max="22" man="1"/>
    <brk id="563" max="22" man="1"/>
    <brk id="625" max="22" man="1"/>
    <brk id="687" max="22" man="1"/>
    <brk id="749" max="2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04">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1044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328</v>
      </c>
      <c r="C9" s="287">
        <f>Prices!C117</f>
        <v>108.2</v>
      </c>
      <c r="D9" s="531">
        <v>0</v>
      </c>
      <c r="E9" s="532">
        <v>0</v>
      </c>
      <c r="F9" s="532">
        <v>0</v>
      </c>
      <c r="G9" s="532">
        <v>0</v>
      </c>
      <c r="H9" s="249"/>
      <c r="I9" s="249"/>
      <c r="J9" s="5" t="s">
        <v>268</v>
      </c>
      <c r="L9" s="525">
        <f>'EMEA CELLULAR'!D37</f>
        <v>3.1810559293853995</v>
      </c>
      <c r="M9" s="525">
        <f>'EMEA CELLULAR'!E37</f>
        <v>3.2323872383219907</v>
      </c>
      <c r="N9" s="525">
        <f>'EMEA CELLULAR'!F37</f>
        <v>2.8967593532646405</v>
      </c>
      <c r="O9" s="525">
        <f>'EMEA CELLULAR'!G37</f>
        <v>2.5822840300404155</v>
      </c>
      <c r="P9" s="286">
        <f>'EMEA CELLULAR'!H37</f>
        <v>4.7493644526533263E-2</v>
      </c>
      <c r="S9" s="88"/>
      <c r="T9" s="42"/>
      <c r="U9" s="42"/>
      <c r="V9" s="42"/>
      <c r="W9" s="42"/>
      <c r="X9" s="42"/>
      <c r="Y9" s="42"/>
      <c r="Z9" s="42"/>
      <c r="AA9" s="42"/>
    </row>
    <row r="10" spans="2:44">
      <c r="B10" s="5" t="s">
        <v>269</v>
      </c>
      <c r="C10" s="5"/>
      <c r="D10" s="527">
        <v>439</v>
      </c>
      <c r="E10" s="527">
        <v>439</v>
      </c>
      <c r="F10" s="527">
        <v>439</v>
      </c>
      <c r="G10" s="527">
        <v>439</v>
      </c>
      <c r="H10" s="247"/>
      <c r="I10" s="247"/>
      <c r="J10" s="5" t="s">
        <v>180</v>
      </c>
      <c r="L10" s="525">
        <f>'EMEA CELLULAR'!D38</f>
        <v>7.7572766871744339</v>
      </c>
      <c r="M10" s="525">
        <f>'EMEA CELLULAR'!E38</f>
        <v>8.095415565986066</v>
      </c>
      <c r="N10" s="525">
        <f>'EMEA CELLULAR'!F38</f>
        <v>7.1463601536743644</v>
      </c>
      <c r="O10" s="525">
        <f>'EMEA CELLULAR'!G38</f>
        <v>6.3123163660270478</v>
      </c>
      <c r="P10" s="286">
        <f>'EMEA CELLULAR'!H38</f>
        <v>4.6652398847596643E-2</v>
      </c>
      <c r="S10" s="88"/>
      <c r="T10" s="42"/>
      <c r="U10" s="42"/>
      <c r="V10" s="42"/>
      <c r="W10" s="288"/>
      <c r="X10" s="288"/>
      <c r="Y10" s="288"/>
      <c r="Z10" s="288"/>
      <c r="AA10" s="42"/>
    </row>
    <row r="11" spans="2:44">
      <c r="B11" s="41" t="s">
        <v>270</v>
      </c>
      <c r="C11" s="5"/>
      <c r="D11" s="528">
        <f>$C$9*D10</f>
        <v>47499.8</v>
      </c>
      <c r="E11" s="528">
        <f>$C$9*E10</f>
        <v>47499.8</v>
      </c>
      <c r="F11" s="528">
        <f>$C$9*F10</f>
        <v>47499.8</v>
      </c>
      <c r="G11" s="528">
        <f>$C$9*G10</f>
        <v>47499.8</v>
      </c>
      <c r="H11" s="249"/>
      <c r="I11" s="249"/>
      <c r="J11" s="5" t="s">
        <v>181</v>
      </c>
      <c r="L11" s="525">
        <f>'EMEA CELLULAR'!D39</f>
        <v>15.605152275252255</v>
      </c>
      <c r="M11" s="525">
        <f>'EMEA CELLULAR'!E39</f>
        <v>14.854063145861112</v>
      </c>
      <c r="N11" s="525">
        <f>'EMEA CELLULAR'!F39</f>
        <v>12.469863163008389</v>
      </c>
      <c r="O11" s="525">
        <f>'EMEA CELLULAR'!G39</f>
        <v>10.733351248281235</v>
      </c>
      <c r="P11" s="286">
        <f>'EMEA CELLULAR'!H39</f>
        <v>0.10698020388173712</v>
      </c>
      <c r="S11" s="88"/>
      <c r="T11" s="42"/>
      <c r="U11" s="42"/>
      <c r="V11" s="42"/>
      <c r="W11" s="288"/>
      <c r="X11" s="288"/>
      <c r="Y11" s="288"/>
      <c r="Z11" s="288"/>
      <c r="AA11" s="42"/>
    </row>
    <row r="12" spans="2:44">
      <c r="B12" s="5" t="s">
        <v>24</v>
      </c>
      <c r="C12" s="249"/>
      <c r="D12" s="529">
        <v>-2908.2580118265978</v>
      </c>
      <c r="E12" s="529">
        <v>-7980.1327838470133</v>
      </c>
      <c r="F12" s="529">
        <v>-13249.823456503033</v>
      </c>
      <c r="G12" s="529">
        <v>-18398.589360301306</v>
      </c>
      <c r="H12" s="247"/>
      <c r="I12" s="247"/>
      <c r="J12" s="5" t="s">
        <v>461</v>
      </c>
      <c r="L12" s="525">
        <f>'EMEA CELLULAR'!D40</f>
        <v>19.965576466556715</v>
      </c>
      <c r="M12" s="525">
        <f>'EMEA CELLULAR'!E40</f>
        <v>18.915055159311862</v>
      </c>
      <c r="N12" s="525">
        <f>'EMEA CELLULAR'!F40</f>
        <v>18.041615049136492</v>
      </c>
      <c r="O12" s="525">
        <f>'EMEA CELLULAR'!G40</f>
        <v>15.593250523045757</v>
      </c>
      <c r="P12" s="286">
        <f>'EMEA CELLULAR'!H40</f>
        <v>6.1069987666233061E-2</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'EMEA CELLULAR'!D41</f>
        <v>2.9187139333758294</v>
      </c>
      <c r="M13" s="525">
        <f>'EMEA CELLULAR'!E41</f>
        <v>2.9515664246277606</v>
      </c>
      <c r="N13" s="525">
        <f>'EMEA CELLULAR'!F41</f>
        <v>2.8267562188907287</v>
      </c>
      <c r="O13" s="525">
        <f>'EMEA CELLULAR'!G41</f>
        <v>2.6673762180421927</v>
      </c>
      <c r="P13" s="286">
        <f>'EMEA CELLULAR'!H41</f>
        <v>6.9271484573356634E-3</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'EMEA CELLULAR'!D42</f>
        <v>4.7109464900339777</v>
      </c>
      <c r="M14" s="525">
        <f>'EMEA CELLULAR'!E42</f>
        <v>4.3550930553623157</v>
      </c>
      <c r="N14" s="525">
        <f>'EMEA CELLULAR'!F42</f>
        <v>4.15717737946275</v>
      </c>
      <c r="O14" s="525">
        <f>'EMEA CELLULAR'!G42</f>
        <v>3.8993389218542824</v>
      </c>
      <c r="P14" s="286">
        <f>'EMEA CELLULAR'!H42</f>
        <v>4.0721900193509741E-2</v>
      </c>
      <c r="S14" s="88"/>
      <c r="T14" s="42"/>
      <c r="U14" s="42"/>
      <c r="V14" s="42"/>
      <c r="W14" s="42"/>
      <c r="X14" s="42"/>
      <c r="Y14" s="42"/>
      <c r="Z14" s="42"/>
      <c r="AA14" s="42"/>
    </row>
    <row r="15" spans="2:44">
      <c r="B15" s="5" t="s">
        <v>526</v>
      </c>
      <c r="C15" s="274"/>
      <c r="D15" s="529">
        <v>23213.426278986153</v>
      </c>
      <c r="E15" s="529">
        <v>23213.426278986153</v>
      </c>
      <c r="F15" s="529">
        <v>23213.426278986153</v>
      </c>
      <c r="G15" s="529">
        <v>23213.426278986153</v>
      </c>
      <c r="H15" s="247"/>
      <c r="I15" s="247"/>
      <c r="J15" s="5" t="s">
        <v>470</v>
      </c>
      <c r="L15" s="525">
        <f>'EMEA CELLULAR'!D43</f>
        <v>44.913387794396655</v>
      </c>
      <c r="M15" s="525">
        <f>'EMEA CELLULAR'!E43</f>
        <v>29.995057672440403</v>
      </c>
      <c r="N15" s="525">
        <f>'EMEA CELLULAR'!F43</f>
        <v>25.064246666873888</v>
      </c>
      <c r="O15" s="525">
        <f>'EMEA CELLULAR'!G43</f>
        <v>21.218892573865638</v>
      </c>
      <c r="P15" s="286">
        <f>'EMEA CELLULAR'!H43</f>
        <v>0.28395863860305148</v>
      </c>
      <c r="S15" s="88"/>
      <c r="T15" s="42"/>
      <c r="U15" s="42"/>
      <c r="V15" s="42"/>
      <c r="W15" s="42"/>
      <c r="X15" s="42"/>
      <c r="Y15" s="42"/>
      <c r="Z15" s="42"/>
      <c r="AA15" s="42"/>
    </row>
    <row r="16" spans="2:44">
      <c r="B16" s="5" t="s">
        <v>529</v>
      </c>
      <c r="C16" s="257"/>
      <c r="D16" s="529">
        <v>15466.681162572979</v>
      </c>
      <c r="E16" s="529">
        <v>21483.503487923535</v>
      </c>
      <c r="F16" s="529">
        <v>28136.54655106974</v>
      </c>
      <c r="G16" s="529">
        <v>0</v>
      </c>
      <c r="H16" s="247"/>
      <c r="I16" s="247"/>
      <c r="J16" s="5" t="s">
        <v>528</v>
      </c>
      <c r="L16" s="525">
        <f>'EMEA CELLULAR'!D44</f>
        <v>29.727847806043954</v>
      </c>
      <c r="M16" s="525">
        <f>'EMEA CELLULAR'!E44</f>
        <v>27.159249380804312</v>
      </c>
      <c r="N16" s="525">
        <f>'EMEA CELLULAR'!F44</f>
        <v>19.560820863413703</v>
      </c>
      <c r="O16" s="525">
        <f>'EMEA CELLULAR'!G44</f>
        <v>16.324783869234651</v>
      </c>
      <c r="P16" s="286">
        <f>'EMEA CELLULAR'!H44</f>
        <v>0.22067184815723828</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'EMEA CELLULAR'!D45</f>
        <v>1.8067342047517077E-2</v>
      </c>
      <c r="M17" s="248">
        <f>'EMEA CELLULAR'!E45</f>
        <v>2.1685197442238385E-2</v>
      </c>
      <c r="N17" s="248">
        <f>'EMEA CELLULAR'!F45</f>
        <v>2.716595241137466E-2</v>
      </c>
      <c r="O17" s="248">
        <f>'EMEA CELLULAR'!G45</f>
        <v>2.9076456344932108E-2</v>
      </c>
      <c r="P17" s="286">
        <f>'EMEA CELLULAR'!H45</f>
        <v>0.17141106606848178</v>
      </c>
      <c r="S17" s="88"/>
      <c r="T17" s="42"/>
      <c r="U17" s="42"/>
      <c r="V17" s="42"/>
      <c r="W17" s="42"/>
      <c r="X17" s="42"/>
      <c r="Y17" s="42"/>
      <c r="Z17" s="42"/>
      <c r="AA17" s="42"/>
    </row>
    <row r="18" spans="2:27" ht="12.6" thickBot="1">
      <c r="B18" s="41" t="s">
        <v>578</v>
      </c>
      <c r="C18" s="249"/>
      <c r="D18" s="530">
        <f>D11+D12+D13-D14+D15-D16-D17</f>
        <v>52338.28710458659</v>
      </c>
      <c r="E18" s="530">
        <f>E11+E12+E13-E14+E15-E16-E17</f>
        <v>41249.590007215607</v>
      </c>
      <c r="F18" s="530">
        <f>F11+F12+F13-F14+F15-F16-F17</f>
        <v>29326.856271413388</v>
      </c>
      <c r="G18" s="530">
        <f>G11+G12+G13-G14+G15-G16-G17</f>
        <v>52314.636918684846</v>
      </c>
      <c r="H18" s="276">
        <f>IF(D18=0,"nm",IF(G18=0,"nm",(G18/D18)^(1/3)-1))</f>
        <v>-1.5064656224816897E-4</v>
      </c>
      <c r="I18" s="254"/>
      <c r="J18" s="5" t="s">
        <v>36</v>
      </c>
      <c r="L18" s="248">
        <f>'EMEA CELLULAR'!D46</f>
        <v>1.9060999328690584E-2</v>
      </c>
      <c r="M18" s="248">
        <f>'EMEA CELLULAR'!E46</f>
        <v>1.6448875575029897E-2</v>
      </c>
      <c r="N18" s="248">
        <f>'EMEA CELLULAR'!F46</f>
        <v>3.2525613186693281E-2</v>
      </c>
      <c r="O18" s="248">
        <f>'EMEA CELLULAR'!G46</f>
        <v>2.8728545035796364E-2</v>
      </c>
      <c r="P18" s="286">
        <f>'EMEA CELLULAR'!H46</f>
        <v>0.14608344960699671</v>
      </c>
      <c r="S18" s="88"/>
      <c r="T18" s="42"/>
      <c r="U18" s="42"/>
      <c r="V18" s="42"/>
      <c r="W18" s="42"/>
      <c r="X18" s="42"/>
      <c r="Y18" s="42"/>
      <c r="Z18" s="42"/>
      <c r="AA18" s="42"/>
    </row>
    <row r="19" spans="2:27" ht="12.6" thickTop="1">
      <c r="B19" s="41"/>
      <c r="C19" s="249"/>
      <c r="D19" s="229"/>
      <c r="E19" s="229"/>
      <c r="F19" s="229"/>
      <c r="G19" s="229"/>
      <c r="H19" s="276"/>
      <c r="I19" s="254"/>
      <c r="J19" s="5" t="s">
        <v>576</v>
      </c>
      <c r="L19" s="248">
        <f>'EMEA CELLULAR'!D47</f>
        <v>2.226507616343203E-2</v>
      </c>
      <c r="M19" s="248">
        <f>'EMEA CELLULAR'!E47</f>
        <v>3.3338825713237569E-2</v>
      </c>
      <c r="N19" s="248">
        <f>'EMEA CELLULAR'!F47</f>
        <v>3.9897468824452963E-2</v>
      </c>
      <c r="O19" s="248">
        <f>'EMEA CELLULAR'!G47</f>
        <v>4.712781293928861E-2</v>
      </c>
      <c r="P19" s="286">
        <f>'EMEA CELLULAR'!H47</f>
        <v>0.28395863860305148</v>
      </c>
      <c r="S19" s="88"/>
      <c r="T19" s="42"/>
      <c r="U19" s="42"/>
      <c r="V19" s="42"/>
      <c r="W19" s="42"/>
      <c r="X19" s="42"/>
      <c r="Y19" s="42"/>
      <c r="Z19" s="42"/>
      <c r="AA19" s="42"/>
    </row>
    <row r="20" spans="2:27">
      <c r="H20" s="277"/>
      <c r="I20" s="17"/>
      <c r="J20" s="5" t="s">
        <v>599</v>
      </c>
      <c r="L20" s="305">
        <f>'EMEA CELLULAR'!D48</f>
        <v>0.86093645070473657</v>
      </c>
      <c r="M20" s="305">
        <f>'EMEA CELLULAR'!E48</f>
        <v>0.6892786925982729</v>
      </c>
      <c r="N20" s="305">
        <f>'EMEA CELLULAR'!F48</f>
        <v>0.72154157991457057</v>
      </c>
      <c r="O20" s="305">
        <f>'EMEA CELLULAR'!G48</f>
        <v>0.65380157418816365</v>
      </c>
      <c r="P20" s="286" t="str">
        <f>'EMEA CELLULAR'!H48</f>
        <v>nm</v>
      </c>
      <c r="S20" s="88"/>
      <c r="T20" s="42"/>
      <c r="U20" s="42"/>
      <c r="V20" s="42"/>
      <c r="W20" s="42"/>
      <c r="X20" s="42"/>
      <c r="Y20" s="42"/>
      <c r="Z20" s="42"/>
      <c r="AA20" s="42"/>
    </row>
    <row r="21" spans="2:27" ht="12.6" thickBot="1">
      <c r="B21" s="306" t="s">
        <v>937</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54459.869894730713</v>
      </c>
      <c r="D23" s="536">
        <v>56540.367057582778</v>
      </c>
      <c r="E23" s="536">
        <v>58394.256821951625</v>
      </c>
      <c r="F23" s="536">
        <v>60092.629031063276</v>
      </c>
      <c r="G23" s="536">
        <v>61765.714555583792</v>
      </c>
      <c r="H23" s="279">
        <f t="shared" ref="H23:H32" si="3">IF(D23=0,"nm",IF(G23=0,"nm",(G23/D23)^(1/3)-1))</f>
        <v>2.990290266409712E-2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14601.989122508645</v>
      </c>
      <c r="D24" s="536">
        <v>15244.096513110087</v>
      </c>
      <c r="E24" s="536">
        <v>15581.78219025806</v>
      </c>
      <c r="F24" s="536">
        <v>15483.951656880565</v>
      </c>
      <c r="G24" s="536">
        <v>15226.250485236525</v>
      </c>
      <c r="H24" s="279">
        <f t="shared" si="3"/>
        <v>-3.9038055188322929E-4</v>
      </c>
      <c r="I24" s="249"/>
      <c r="J24" s="17"/>
      <c r="K24" s="17"/>
      <c r="L24" s="17"/>
      <c r="M24" s="17"/>
      <c r="N24" s="17"/>
      <c r="O24" s="248"/>
      <c r="S24" s="88"/>
      <c r="T24" s="42"/>
      <c r="U24" s="42"/>
      <c r="V24" s="42"/>
      <c r="W24" s="42" t="s">
        <v>1051</v>
      </c>
      <c r="X24" s="42" t="s">
        <v>508</v>
      </c>
      <c r="Y24" s="42"/>
      <c r="Z24" s="42"/>
      <c r="AA24" s="42"/>
    </row>
    <row r="25" spans="2:27">
      <c r="B25" s="5" t="s">
        <v>179</v>
      </c>
      <c r="C25" s="544">
        <v>12968.193025666724</v>
      </c>
      <c r="D25" s="536">
        <v>13547.885501382603</v>
      </c>
      <c r="E25" s="536">
        <v>14121.925769709269</v>
      </c>
      <c r="F25" s="536">
        <v>14282.099076259299</v>
      </c>
      <c r="G25" s="536">
        <v>13990.93619412485</v>
      </c>
      <c r="H25" s="279">
        <f t="shared" si="3"/>
        <v>1.0784141366780631E-2</v>
      </c>
      <c r="I25" s="248"/>
      <c r="J25" s="247" t="s">
        <v>10</v>
      </c>
      <c r="K25" s="247"/>
      <c r="L25" s="321">
        <v>0</v>
      </c>
      <c r="M25" s="321">
        <v>0</v>
      </c>
      <c r="N25" s="321">
        <v>0</v>
      </c>
      <c r="O25" s="321">
        <v>0</v>
      </c>
      <c r="P25" s="279" t="str">
        <f>IF(L25=0,"nm",IF(O25=0,"nm",(O25/L25)^(1/3)-1))</f>
        <v>nm</v>
      </c>
      <c r="S25" s="88"/>
      <c r="T25" s="42"/>
      <c r="U25" s="42"/>
      <c r="V25" s="147" t="s">
        <v>268</v>
      </c>
      <c r="W25" s="288">
        <f>D37/L9</f>
        <v>0.29099771358629883</v>
      </c>
      <c r="X25" s="288">
        <v>1</v>
      </c>
      <c r="Y25" s="42"/>
      <c r="Z25" s="42"/>
      <c r="AA25" s="42"/>
    </row>
    <row r="26" spans="2:27">
      <c r="B26" s="5" t="s">
        <v>581</v>
      </c>
      <c r="C26" s="544">
        <v>8818.3712574533711</v>
      </c>
      <c r="D26" s="536">
        <v>9212.5621409401701</v>
      </c>
      <c r="E26" s="536">
        <v>9602.9095234023025</v>
      </c>
      <c r="F26" s="536">
        <v>9711.8273718563232</v>
      </c>
      <c r="G26" s="536">
        <v>9513.8366120048977</v>
      </c>
      <c r="H26" s="279">
        <f t="shared" si="3"/>
        <v>1.0784141366780631E-2</v>
      </c>
      <c r="I26" s="249"/>
      <c r="J26" s="249" t="s">
        <v>11</v>
      </c>
      <c r="K26" s="249"/>
      <c r="L26" s="281">
        <f>D11+L25</f>
        <v>47499.8</v>
      </c>
      <c r="M26" s="281">
        <f>E11+M25</f>
        <v>47499.8</v>
      </c>
      <c r="N26" s="281">
        <f>F11+N25</f>
        <v>47499.8</v>
      </c>
      <c r="O26" s="281">
        <f>G11+O25</f>
        <v>47499.8</v>
      </c>
      <c r="P26" s="279">
        <f>IF(L26=0,"nm",IF(O26=0,"nm",(O26/L26)^(1/3)-1))</f>
        <v>0</v>
      </c>
      <c r="Q26" s="5"/>
      <c r="S26" s="88"/>
      <c r="T26" s="42"/>
      <c r="U26" s="42"/>
      <c r="V26" s="147" t="s">
        <v>180</v>
      </c>
      <c r="W26" s="288">
        <f t="shared" ref="W26:W33" si="5">D38/L10</f>
        <v>0.44259706874866056</v>
      </c>
      <c r="X26" s="288">
        <v>1</v>
      </c>
      <c r="Y26" s="42"/>
      <c r="Z26" s="42"/>
      <c r="AA26" s="42"/>
    </row>
    <row r="27" spans="2:27">
      <c r="B27" s="5" t="s">
        <v>582</v>
      </c>
      <c r="C27" s="545">
        <v>-757.15848315195171</v>
      </c>
      <c r="D27" s="536">
        <v>-2576.380937023815</v>
      </c>
      <c r="E27" s="536">
        <v>-4527.9118765029089</v>
      </c>
      <c r="F27" s="536">
        <v>-6675.3629245971933</v>
      </c>
      <c r="G27" s="536">
        <v>-8573.9144702931644</v>
      </c>
      <c r="H27" s="279">
        <f t="shared" si="3"/>
        <v>0.49298813586950785</v>
      </c>
      <c r="I27" s="249"/>
      <c r="J27" s="248"/>
      <c r="K27" s="248"/>
      <c r="L27" s="248"/>
      <c r="M27" s="248"/>
      <c r="N27" s="248"/>
      <c r="O27" s="248"/>
      <c r="Q27" s="41"/>
      <c r="S27" s="88"/>
      <c r="T27" s="42"/>
      <c r="U27" s="42"/>
      <c r="V27" s="147" t="s">
        <v>181</v>
      </c>
      <c r="W27" s="288">
        <f t="shared" si="5"/>
        <v>0.24755971654129777</v>
      </c>
      <c r="X27" s="288">
        <v>1</v>
      </c>
      <c r="Y27" s="42"/>
      <c r="Z27" s="42"/>
      <c r="AA27" s="42"/>
    </row>
    <row r="28" spans="2:27" ht="12.6" thickBot="1">
      <c r="B28" s="5" t="s">
        <v>587</v>
      </c>
      <c r="C28" s="544">
        <v>13373.255058020839</v>
      </c>
      <c r="D28" s="536">
        <v>12271.008372001981</v>
      </c>
      <c r="E28" s="536">
        <v>10937.371763793957</v>
      </c>
      <c r="F28" s="536">
        <v>9360.5485887486975</v>
      </c>
      <c r="G28" s="536">
        <v>7821.312530297886</v>
      </c>
      <c r="H28" s="279">
        <f t="shared" si="3"/>
        <v>-0.13940306324233542</v>
      </c>
      <c r="I28" s="248"/>
      <c r="J28" s="306" t="s">
        <v>1352</v>
      </c>
      <c r="K28" s="306"/>
      <c r="L28" s="306"/>
      <c r="M28" s="306"/>
      <c r="N28" s="266"/>
      <c r="O28" s="266"/>
      <c r="P28" s="266"/>
      <c r="Q28" s="5"/>
      <c r="S28" s="88"/>
      <c r="T28" s="42"/>
      <c r="U28" s="42"/>
      <c r="V28" s="147" t="s">
        <v>461</v>
      </c>
      <c r="W28" s="288">
        <f t="shared" si="5"/>
        <v>0.28454910294316194</v>
      </c>
      <c r="X28" s="288">
        <v>1</v>
      </c>
      <c r="Y28" s="42"/>
      <c r="Z28" s="42"/>
      <c r="AA28" s="42"/>
    </row>
    <row r="29" spans="2:27" ht="12.6" thickTop="1">
      <c r="B29" s="5" t="s">
        <v>583</v>
      </c>
      <c r="C29" s="544">
        <v>7592.8836431884974</v>
      </c>
      <c r="D29" s="536">
        <v>8320.7434315102873</v>
      </c>
      <c r="E29" s="536">
        <v>9129.0128218837272</v>
      </c>
      <c r="F29" s="536">
        <v>9650.3747944580718</v>
      </c>
      <c r="G29" s="536">
        <v>9787.1350560652991</v>
      </c>
      <c r="H29" s="279">
        <f t="shared" si="3"/>
        <v>5.5596196804605924E-2</v>
      </c>
      <c r="I29" s="252"/>
      <c r="J29" s="249"/>
      <c r="K29" s="249"/>
      <c r="L29" s="249"/>
      <c r="M29" s="249"/>
      <c r="N29" s="249"/>
      <c r="O29" s="251"/>
      <c r="Q29" s="5"/>
      <c r="S29" s="88"/>
      <c r="T29" s="42"/>
      <c r="U29" s="42"/>
      <c r="V29" s="147" t="s">
        <v>525</v>
      </c>
      <c r="W29" s="288">
        <f t="shared" si="5"/>
        <v>-6.9601387408374089</v>
      </c>
      <c r="X29" s="288">
        <v>1</v>
      </c>
      <c r="Y29" s="42"/>
      <c r="Z29" s="42"/>
      <c r="AA29" s="42"/>
    </row>
    <row r="30" spans="2:27">
      <c r="B30" s="5" t="s">
        <v>584</v>
      </c>
      <c r="C30" s="545">
        <v>6461.2174491618543</v>
      </c>
      <c r="D30" s="536">
        <v>7218.4967454914304</v>
      </c>
      <c r="E30" s="536">
        <v>7795.3762136757032</v>
      </c>
      <c r="F30" s="536">
        <v>8073.551619412814</v>
      </c>
      <c r="G30" s="536">
        <v>8247.8989976144894</v>
      </c>
      <c r="H30" s="279">
        <f t="shared" si="3"/>
        <v>4.5439382645185544E-2</v>
      </c>
      <c r="I30" s="254"/>
      <c r="J30" s="248"/>
      <c r="K30" s="248"/>
      <c r="L30" s="248"/>
      <c r="M30" s="248"/>
      <c r="N30" s="248"/>
      <c r="O30" s="5"/>
      <c r="Q30" s="5"/>
      <c r="S30" s="88"/>
      <c r="T30" s="42"/>
      <c r="U30" s="42"/>
      <c r="V30" s="147" t="s">
        <v>588</v>
      </c>
      <c r="W30" s="288">
        <f t="shared" si="5"/>
        <v>0.90538038548090416</v>
      </c>
      <c r="X30" s="288">
        <v>1</v>
      </c>
      <c r="Y30" s="42"/>
      <c r="Z30" s="42"/>
      <c r="AA30" s="42"/>
    </row>
    <row r="31" spans="2:27">
      <c r="B31" s="5" t="s">
        <v>585</v>
      </c>
      <c r="C31" s="545">
        <v>-4283.7980020270088</v>
      </c>
      <c r="D31" s="536">
        <v>-5244.4399913160732</v>
      </c>
      <c r="E31" s="536">
        <v>-6016.8223253505566</v>
      </c>
      <c r="F31" s="536">
        <v>-6653.0430631462032</v>
      </c>
      <c r="G31" s="536">
        <v>-7051.6176397778099</v>
      </c>
      <c r="H31" s="279">
        <f t="shared" si="3"/>
        <v>0.10373092663087147</v>
      </c>
      <c r="I31" s="254"/>
      <c r="J31" s="252"/>
      <c r="K31" s="252"/>
      <c r="L31" s="252"/>
      <c r="M31" s="252"/>
      <c r="N31" s="252"/>
      <c r="O31" s="5"/>
      <c r="Q31" s="5"/>
      <c r="S31" s="88"/>
      <c r="T31" s="42"/>
      <c r="U31" s="42"/>
      <c r="V31" s="147" t="s">
        <v>470</v>
      </c>
      <c r="W31" s="288">
        <f t="shared" si="5"/>
        <v>0.12710242461542015</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0.22135102994598047</v>
      </c>
      <c r="X32" s="288">
        <v>1</v>
      </c>
      <c r="Y32" s="42"/>
      <c r="Z32" s="42"/>
      <c r="AA32" s="42"/>
    </row>
    <row r="33" spans="2:27">
      <c r="B33" s="5" t="s">
        <v>5</v>
      </c>
      <c r="C33" s="545">
        <v>-1493.5444656559182</v>
      </c>
      <c r="D33" s="536">
        <v>-982.2760482807937</v>
      </c>
      <c r="E33" s="536">
        <v>-435.18733235442676</v>
      </c>
      <c r="F33" s="536">
        <v>144.48942895890536</v>
      </c>
      <c r="G33" s="536">
        <v>754.74349177645888</v>
      </c>
      <c r="H33" s="279">
        <f>IF(D33=0,"nm",IF(G33=0,"nm",(G33/D33)^(1/3)-1))</f>
        <v>-1.9159152163304678</v>
      </c>
      <c r="I33" s="5"/>
      <c r="J33" s="254"/>
      <c r="K33" s="254"/>
      <c r="L33" s="254"/>
      <c r="M33" s="254"/>
      <c r="N33" s="254"/>
      <c r="O33" s="251"/>
      <c r="Q33" s="5"/>
      <c r="S33" s="88"/>
      <c r="T33" s="42"/>
      <c r="U33" s="42"/>
      <c r="V33" s="147" t="s">
        <v>575</v>
      </c>
      <c r="W33" s="288">
        <f t="shared" si="5"/>
        <v>-6.1110111032249517</v>
      </c>
      <c r="X33" s="288">
        <v>1</v>
      </c>
      <c r="Y33" s="42"/>
      <c r="Z33" s="42"/>
      <c r="AA33" s="42"/>
    </row>
    <row r="34" spans="2:27">
      <c r="H34" s="277"/>
      <c r="I34" s="49"/>
      <c r="J34" s="254"/>
      <c r="K34" s="254"/>
      <c r="L34" s="254"/>
      <c r="M34" s="254"/>
      <c r="N34" s="254"/>
      <c r="O34" s="251"/>
      <c r="Q34" s="5"/>
      <c r="S34" s="88"/>
      <c r="T34" s="42"/>
      <c r="U34" s="42"/>
      <c r="V34" s="147" t="s">
        <v>576</v>
      </c>
      <c r="W34" s="288">
        <f>D47/L19</f>
        <v>7.867670526551696</v>
      </c>
      <c r="X34" s="288">
        <v>1</v>
      </c>
      <c r="Y34" s="288"/>
      <c r="Z34" s="288"/>
      <c r="AA34" s="42"/>
    </row>
    <row r="35" spans="2:27" ht="12.6" thickBot="1">
      <c r="B35" s="306" t="s">
        <v>563</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0.9256800022412901</v>
      </c>
      <c r="E37" s="525">
        <f t="shared" ref="E37:G41" si="7">E$18/E23</f>
        <v>0.70639806467592581</v>
      </c>
      <c r="F37" s="525">
        <f t="shared" si="7"/>
        <v>0.48802751259648924</v>
      </c>
      <c r="G37" s="525">
        <f t="shared" si="7"/>
        <v>0.84698505141725844</v>
      </c>
      <c r="H37" s="17">
        <f t="shared" ref="H37:H45" si="8">H23</f>
        <v>2.990290266409712E-2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3.4333479232157247</v>
      </c>
      <c r="E38" s="525">
        <f t="shared" si="7"/>
        <v>2.6472960219534714</v>
      </c>
      <c r="F38" s="525">
        <f t="shared" si="7"/>
        <v>1.8940162641480145</v>
      </c>
      <c r="G38" s="525">
        <f t="shared" si="7"/>
        <v>3.4358187506116145</v>
      </c>
      <c r="H38" s="17">
        <f t="shared" si="8"/>
        <v>-3.9038055188322929E-4</v>
      </c>
      <c r="I38" s="259"/>
      <c r="J38" s="17"/>
      <c r="K38" s="17"/>
      <c r="L38" s="17"/>
      <c r="M38" s="17"/>
      <c r="N38" s="17"/>
      <c r="O38" s="5"/>
      <c r="Q38" s="5"/>
      <c r="R38" s="5"/>
      <c r="S38" s="42"/>
      <c r="T38" s="42"/>
      <c r="U38" s="42"/>
      <c r="V38" s="42"/>
      <c r="W38" s="42"/>
      <c r="X38" s="42"/>
      <c r="Y38" s="42"/>
      <c r="Z38" s="42"/>
      <c r="AA38" s="42"/>
    </row>
    <row r="39" spans="2:27">
      <c r="B39" s="5" t="s">
        <v>181</v>
      </c>
      <c r="C39" s="247"/>
      <c r="D39" s="525">
        <f>D$18/D25</f>
        <v>3.8632070738452362</v>
      </c>
      <c r="E39" s="525">
        <f t="shared" si="7"/>
        <v>2.9209606876488219</v>
      </c>
      <c r="F39" s="525">
        <f t="shared" si="7"/>
        <v>2.0533995818697641</v>
      </c>
      <c r="G39" s="525">
        <f t="shared" si="7"/>
        <v>3.7391805803998373</v>
      </c>
      <c r="H39" s="17">
        <f t="shared" si="8"/>
        <v>1.0784141366780631E-2</v>
      </c>
      <c r="I39" s="17"/>
      <c r="J39" s="5"/>
      <c r="K39" s="5"/>
      <c r="L39" s="5"/>
      <c r="M39" s="5"/>
      <c r="N39" s="5"/>
      <c r="O39" s="5"/>
      <c r="Q39" s="5"/>
      <c r="R39" s="5"/>
      <c r="S39" s="42"/>
      <c r="T39" s="42"/>
      <c r="U39" s="42"/>
      <c r="V39" s="42"/>
      <c r="W39" s="42"/>
      <c r="X39" s="42"/>
      <c r="Y39" s="42"/>
      <c r="Z39" s="42"/>
      <c r="AA39" s="42"/>
    </row>
    <row r="40" spans="2:27">
      <c r="B40" s="5" t="s">
        <v>461</v>
      </c>
      <c r="C40" s="247"/>
      <c r="D40" s="525">
        <f>D$18/D26</f>
        <v>5.6811868733018187</v>
      </c>
      <c r="E40" s="525">
        <f t="shared" si="7"/>
        <v>4.2955304230129734</v>
      </c>
      <c r="F40" s="525">
        <f t="shared" si="7"/>
        <v>3.0197052674555356</v>
      </c>
      <c r="G40" s="525">
        <f t="shared" si="7"/>
        <v>5.4987949711762312</v>
      </c>
      <c r="H40" s="17">
        <f t="shared" si="8"/>
        <v>1.0784141366780631E-2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-20.314653921111045</v>
      </c>
      <c r="E41" s="525">
        <f t="shared" si="7"/>
        <v>-9.1100690853273303</v>
      </c>
      <c r="F41" s="525">
        <f t="shared" si="7"/>
        <v>-4.3932976532782355</v>
      </c>
      <c r="G41" s="525">
        <f t="shared" si="7"/>
        <v>-6.101604710420685</v>
      </c>
      <c r="H41" s="17">
        <f t="shared" si="8"/>
        <v>0.49298813586950785</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4.2651985491268753</v>
      </c>
      <c r="E42" s="525">
        <f>E18/E28</f>
        <v>3.7714353043904345</v>
      </c>
      <c r="F42" s="525">
        <f>F18/F28</f>
        <v>3.1330275136506454</v>
      </c>
      <c r="G42" s="525">
        <f>G18/G28</f>
        <v>6.6887286137755666</v>
      </c>
      <c r="H42" s="17">
        <f t="shared" si="8"/>
        <v>-0.13940306324233542</v>
      </c>
      <c r="I42" s="248"/>
      <c r="J42" s="5"/>
      <c r="K42" s="5"/>
      <c r="L42" s="5"/>
      <c r="M42" s="5"/>
      <c r="N42" s="5"/>
      <c r="O42" s="5"/>
      <c r="Q42" s="5"/>
      <c r="R42" s="5"/>
      <c r="S42" s="42"/>
      <c r="T42" s="42"/>
      <c r="U42" s="42"/>
      <c r="V42" s="42"/>
      <c r="W42" s="288"/>
      <c r="X42" s="288"/>
      <c r="Y42" s="288"/>
      <c r="Z42" s="288"/>
      <c r="AA42" s="42"/>
    </row>
    <row r="43" spans="2:27">
      <c r="B43" s="5" t="s">
        <v>470</v>
      </c>
      <c r="C43" s="247"/>
      <c r="D43" s="525">
        <f>L26/D29</f>
        <v>5.7086004863604325</v>
      </c>
      <c r="E43" s="525">
        <f>M26/E29</f>
        <v>5.203169381703054</v>
      </c>
      <c r="F43" s="525">
        <f>N26/F29</f>
        <v>4.9220679001273346</v>
      </c>
      <c r="G43" s="525">
        <f>O26/G29</f>
        <v>4.8532895201607902</v>
      </c>
      <c r="H43" s="17">
        <f t="shared" si="8"/>
        <v>5.5596196804605924E-2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6.5802897299451848</v>
      </c>
      <c r="E44" s="525">
        <f>E11/E30</f>
        <v>6.0933300328301581</v>
      </c>
      <c r="F44" s="525">
        <f>F11/F30</f>
        <v>5.8833834524308948</v>
      </c>
      <c r="G44" s="525">
        <f>G11/G30</f>
        <v>5.7590181467714627</v>
      </c>
      <c r="H44" s="17">
        <f t="shared" si="8"/>
        <v>4.5439382645185544E-2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-0.11040972785813989</v>
      </c>
      <c r="E45" s="248">
        <f>E31/E11</f>
        <v>-0.12667047704096768</v>
      </c>
      <c r="F45" s="248">
        <f>F31/F11</f>
        <v>-0.14006465423320105</v>
      </c>
      <c r="G45" s="248">
        <f>G31/G11</f>
        <v>-0.14845573328262035</v>
      </c>
      <c r="H45" s="17">
        <f t="shared" si="8"/>
        <v>0.10373092663087147</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-0.11040972785813989</v>
      </c>
      <c r="E46" s="248">
        <f>(E31+E32)/E11</f>
        <v>-0.12667047704096768</v>
      </c>
      <c r="F46" s="248">
        <f>(F31+F32)/F11</f>
        <v>-0.14006465423320105</v>
      </c>
      <c r="G46" s="248">
        <f>(G31+G32)/G11</f>
        <v>-0.14845573328262035</v>
      </c>
      <c r="H46" s="279">
        <f>((G31+G32)/(D31+D32))^(1/3)-1</f>
        <v>0.10373092663087147</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0.17517428350246289</v>
      </c>
      <c r="E47" s="248">
        <f>1/E43</f>
        <v>0.19219055284198516</v>
      </c>
      <c r="F47" s="248">
        <f>1/F43</f>
        <v>0.20316664058497239</v>
      </c>
      <c r="G47" s="248">
        <f>1/G43</f>
        <v>0.20604581611007411</v>
      </c>
      <c r="H47" s="17">
        <f>H29</f>
        <v>5.5596196804605924E-2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-0.63028502614990034</v>
      </c>
      <c r="E48" s="305">
        <f>E31/E29</f>
        <v>-0.65908794770528267</v>
      </c>
      <c r="F48" s="305">
        <f>F31/F29</f>
        <v>-0.6894077385436731</v>
      </c>
      <c r="G48" s="305">
        <f>G31/G29</f>
        <v>-0.72049865454832673</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hyperlinks>
    <hyperlink ref="C2" location="MTNSOP!A1" display="Jump to MTN SOP" xr:uid="{00000000-0004-0000-3C00-000001000000}"/>
  </hyperlinks>
  <pageMargins left="0.75" right="0.75" top="1" bottom="1" header="0.5" footer="0.5"/>
  <pageSetup scale="2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419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440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15</v>
      </c>
      <c r="C9" s="287">
        <f>Prices!C131</f>
        <v>26.63</v>
      </c>
      <c r="D9" s="531">
        <v>0</v>
      </c>
      <c r="E9" s="532">
        <v>0</v>
      </c>
      <c r="F9" s="532">
        <v>0</v>
      </c>
      <c r="G9" s="532">
        <v>0</v>
      </c>
      <c r="H9" s="249"/>
      <c r="I9" s="249"/>
      <c r="J9" s="5" t="s">
        <v>268</v>
      </c>
      <c r="L9" s="525">
        <f>'LATAM CELLULAR'!D37</f>
        <v>2.2232200101777857</v>
      </c>
      <c r="M9" s="525">
        <f>'LATAM CELLULAR'!E37</f>
        <v>2.0589058136016978</v>
      </c>
      <c r="N9" s="525">
        <f>'LATAM CELLULAR'!F37</f>
        <v>1.8608487920845524</v>
      </c>
      <c r="O9" s="525">
        <f>'LATAM CELLULAR'!G37</f>
        <v>1.6475345718618815</v>
      </c>
      <c r="P9" s="286">
        <f>'LATAM CELLULAR'!H37</f>
        <v>3.4615117612012414E-2</v>
      </c>
      <c r="S9" s="88"/>
      <c r="T9" s="42"/>
      <c r="U9" s="42"/>
      <c r="V9" s="42"/>
      <c r="W9" s="42"/>
      <c r="X9" s="42"/>
      <c r="Y9" s="42"/>
      <c r="Z9" s="42"/>
      <c r="AA9" s="42"/>
    </row>
    <row r="10" spans="2:44">
      <c r="B10" s="5" t="s">
        <v>269</v>
      </c>
      <c r="C10" s="5"/>
      <c r="D10" s="527">
        <v>168.95999999999998</v>
      </c>
      <c r="E10" s="527">
        <v>168.95999999999998</v>
      </c>
      <c r="F10" s="527">
        <v>158.95999999999998</v>
      </c>
      <c r="G10" s="527">
        <v>148.95999999999998</v>
      </c>
      <c r="H10" s="247"/>
      <c r="I10" s="247"/>
      <c r="J10" s="5" t="s">
        <v>180</v>
      </c>
      <c r="L10" s="525">
        <f>'LATAM CELLULAR'!D38</f>
        <v>5.5513222442043304</v>
      </c>
      <c r="M10" s="525">
        <f>'LATAM CELLULAR'!E38</f>
        <v>5.0412781171960415</v>
      </c>
      <c r="N10" s="525">
        <f>'LATAM CELLULAR'!F38</f>
        <v>4.4661676121823097</v>
      </c>
      <c r="O10" s="525">
        <f>'LATAM CELLULAR'!G38</f>
        <v>3.9207027473271143</v>
      </c>
      <c r="P10" s="286">
        <f>'LATAM CELLULAR'!H38</f>
        <v>5.1333149380524246E-2</v>
      </c>
      <c r="S10" s="88"/>
      <c r="T10" s="42"/>
      <c r="U10" s="42"/>
      <c r="V10" s="42"/>
      <c r="W10" s="288"/>
      <c r="X10" s="288"/>
      <c r="Y10" s="288"/>
      <c r="Z10" s="288"/>
      <c r="AA10" s="42"/>
    </row>
    <row r="11" spans="2:44">
      <c r="B11" s="41" t="s">
        <v>437</v>
      </c>
      <c r="C11" s="5"/>
      <c r="D11" s="528">
        <f>($C$9*D10)</f>
        <v>4499.4047999999993</v>
      </c>
      <c r="E11" s="528">
        <f t="shared" ref="E11:G11" si="2">($C$9*E10)</f>
        <v>4499.4047999999993</v>
      </c>
      <c r="F11" s="528">
        <f t="shared" si="2"/>
        <v>4233.1047999999992</v>
      </c>
      <c r="G11" s="528">
        <f t="shared" si="2"/>
        <v>3966.8047999999994</v>
      </c>
      <c r="H11" s="249"/>
      <c r="I11" s="249"/>
      <c r="J11" s="5" t="s">
        <v>181</v>
      </c>
      <c r="L11" s="525">
        <f>'LATAM CELLULAR'!D39</f>
        <v>9.646923587005535</v>
      </c>
      <c r="M11" s="525">
        <f>'LATAM CELLULAR'!E39</f>
        <v>8.3754437433760849</v>
      </c>
      <c r="N11" s="525">
        <f>'LATAM CELLULAR'!F39</f>
        <v>7.1399931104472305</v>
      </c>
      <c r="O11" s="525">
        <f>'LATAM CELLULAR'!G39</f>
        <v>6.2110946745245244</v>
      </c>
      <c r="P11" s="286">
        <f>'LATAM CELLULAR'!H39</f>
        <v>8.4267435127213242E-2</v>
      </c>
      <c r="S11" s="88"/>
      <c r="T11" s="42"/>
      <c r="U11" s="42"/>
      <c r="V11" s="42"/>
      <c r="W11" s="288"/>
      <c r="X11" s="288"/>
      <c r="Y11" s="288"/>
      <c r="Z11" s="288"/>
      <c r="AA11" s="42"/>
    </row>
    <row r="12" spans="2:44">
      <c r="B12" s="5" t="s">
        <v>24</v>
      </c>
      <c r="C12" s="249"/>
      <c r="D12" s="529">
        <v>6981.4578161957224</v>
      </c>
      <c r="E12" s="529">
        <v>6899.836414799357</v>
      </c>
      <c r="F12" s="529">
        <v>6776.9124816293106</v>
      </c>
      <c r="G12" s="529">
        <v>6527.7576651955333</v>
      </c>
      <c r="H12" s="247"/>
      <c r="I12" s="247"/>
      <c r="J12" s="5" t="s">
        <v>461</v>
      </c>
      <c r="L12" s="525">
        <f>'LATAM CELLULAR'!D40</f>
        <v>12.09641294846241</v>
      </c>
      <c r="M12" s="525">
        <f>'LATAM CELLULAR'!E40</f>
        <v>10.578357242399944</v>
      </c>
      <c r="N12" s="525">
        <f>'LATAM CELLULAR'!F40</f>
        <v>9.2854568924535332</v>
      </c>
      <c r="O12" s="525">
        <f>'LATAM CELLULAR'!G40</f>
        <v>8.2365912346931154</v>
      </c>
      <c r="P12" s="286">
        <f>'LATAM CELLULAR'!H40</f>
        <v>6.4222773587057747E-2</v>
      </c>
      <c r="S12" s="88"/>
      <c r="T12" s="42"/>
      <c r="U12" s="42"/>
      <c r="V12" s="42"/>
      <c r="W12" s="288"/>
      <c r="X12" s="288"/>
      <c r="Y12" s="288"/>
      <c r="Z12" s="288"/>
      <c r="AA12" s="42"/>
    </row>
    <row r="13" spans="2:44">
      <c r="B13" s="5" t="s">
        <v>524</v>
      </c>
      <c r="C13" s="257"/>
      <c r="D13" s="529">
        <v>2550.7777441811886</v>
      </c>
      <c r="E13" s="529">
        <v>2550.7777441811886</v>
      </c>
      <c r="F13" s="529">
        <v>2550.7777441811886</v>
      </c>
      <c r="G13" s="529">
        <v>2550.7777441811886</v>
      </c>
      <c r="H13" s="247"/>
      <c r="I13" s="247"/>
      <c r="J13" s="5" t="s">
        <v>525</v>
      </c>
      <c r="L13" s="525">
        <f>'LATAM CELLULAR'!D41</f>
        <v>1.913278313401171</v>
      </c>
      <c r="M13" s="525">
        <f>'LATAM CELLULAR'!E41</f>
        <v>1.8419298381889415</v>
      </c>
      <c r="N13" s="525">
        <f>'LATAM CELLULAR'!F41</f>
        <v>1.7245299259805054</v>
      </c>
      <c r="O13" s="525">
        <f>'LATAM CELLULAR'!G41</f>
        <v>1.5682927508454187</v>
      </c>
      <c r="P13" s="286">
        <f>'LATAM CELLULAR'!H41</f>
        <v>4.1421925732731957E-4</v>
      </c>
      <c r="S13" s="88"/>
      <c r="T13" s="42"/>
      <c r="U13" s="42"/>
      <c r="V13" s="42"/>
      <c r="W13" s="42"/>
      <c r="X13" s="42"/>
      <c r="Y13" s="42"/>
      <c r="Z13" s="42"/>
      <c r="AA13" s="42"/>
    </row>
    <row r="14" spans="2:44">
      <c r="B14" s="5" t="s">
        <v>527</v>
      </c>
      <c r="C14" s="257"/>
      <c r="D14" s="529">
        <v>681</v>
      </c>
      <c r="E14" s="529">
        <f t="shared" ref="E14:G14" si="3">D14</f>
        <v>681</v>
      </c>
      <c r="F14" s="529">
        <f t="shared" si="3"/>
        <v>681</v>
      </c>
      <c r="G14" s="529">
        <f t="shared" si="3"/>
        <v>681</v>
      </c>
      <c r="H14" s="247"/>
      <c r="I14" s="247"/>
      <c r="J14" s="5" t="s">
        <v>588</v>
      </c>
      <c r="L14" s="525">
        <f>'LATAM CELLULAR'!D42</f>
        <v>1.4348277635777664</v>
      </c>
      <c r="M14" s="525">
        <f>'LATAM CELLULAR'!E42</f>
        <v>1.368629959068183</v>
      </c>
      <c r="N14" s="525">
        <f>'LATAM CELLULAR'!F42</f>
        <v>1.2739435355271413</v>
      </c>
      <c r="O14" s="525">
        <f>'LATAM CELLULAR'!G42</f>
        <v>1.152261214295307</v>
      </c>
      <c r="P14" s="286">
        <f>'LATAM CELLULAR'!H42</f>
        <v>7.2697555235381461E-3</v>
      </c>
      <c r="S14" s="88"/>
      <c r="T14" s="42"/>
      <c r="U14" s="42"/>
      <c r="V14" s="42"/>
      <c r="W14" s="42"/>
      <c r="X14" s="42"/>
      <c r="Y14" s="42"/>
      <c r="Z14" s="42"/>
      <c r="AA14" s="42"/>
    </row>
    <row r="15" spans="2:44">
      <c r="B15" s="5" t="s">
        <v>526</v>
      </c>
      <c r="C15" s="274"/>
      <c r="D15" s="529">
        <v>3357</v>
      </c>
      <c r="E15" s="529">
        <f>D15</f>
        <v>3357</v>
      </c>
      <c r="F15" s="529">
        <f>E15</f>
        <v>3357</v>
      </c>
      <c r="G15" s="529">
        <f>F15</f>
        <v>3357</v>
      </c>
      <c r="H15" s="247"/>
      <c r="I15" s="247"/>
      <c r="J15" s="5" t="s">
        <v>470</v>
      </c>
      <c r="L15" s="525">
        <f>'LATAM CELLULAR'!D43</f>
        <v>12.696565346959199</v>
      </c>
      <c r="M15" s="525">
        <f>'LATAM CELLULAR'!E43</f>
        <v>9.7389661726429697</v>
      </c>
      <c r="N15" s="525">
        <f>'LATAM CELLULAR'!F43</f>
        <v>7.933488581340792</v>
      </c>
      <c r="O15" s="525">
        <f>'LATAM CELLULAR'!G43</f>
        <v>6.4262071873496796</v>
      </c>
      <c r="P15" s="286">
        <f>'LATAM CELLULAR'!H43</f>
        <v>0.20320186438666643</v>
      </c>
      <c r="S15" s="88"/>
      <c r="T15" s="42"/>
      <c r="U15" s="42"/>
      <c r="V15" s="42"/>
      <c r="W15" s="42"/>
      <c r="X15" s="42"/>
      <c r="Y15" s="42"/>
      <c r="Z15" s="42"/>
      <c r="AA15" s="42"/>
    </row>
    <row r="16" spans="2:44">
      <c r="B16" s="5" t="s">
        <v>529</v>
      </c>
      <c r="C16" s="257"/>
      <c r="D16" s="529">
        <v>0</v>
      </c>
      <c r="E16" s="529">
        <v>0</v>
      </c>
      <c r="F16" s="529">
        <v>0</v>
      </c>
      <c r="G16" s="529">
        <v>0</v>
      </c>
      <c r="H16" s="247"/>
      <c r="I16" s="247"/>
      <c r="J16" s="5" t="s">
        <v>528</v>
      </c>
      <c r="L16" s="525">
        <f>'LATAM CELLULAR'!D44</f>
        <v>12.032481425695035</v>
      </c>
      <c r="M16" s="525">
        <f>'LATAM CELLULAR'!E44</f>
        <v>9.1314970189163951</v>
      </c>
      <c r="N16" s="525">
        <f>'LATAM CELLULAR'!F44</f>
        <v>6.8170283475189164</v>
      </c>
      <c r="O16" s="525">
        <f>'LATAM CELLULAR'!G44</f>
        <v>5.7531932566725024</v>
      </c>
      <c r="P16" s="286">
        <f>'LATAM CELLULAR'!H44</f>
        <v>0.25833924352795901</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'LATAM CELLULAR'!D45</f>
        <v>3.4312714157629799E-2</v>
      </c>
      <c r="M17" s="248">
        <f>'LATAM CELLULAR'!E45</f>
        <v>4.8901958681009668E-2</v>
      </c>
      <c r="N17" s="248">
        <f>'LATAM CELLULAR'!F45</f>
        <v>5.7463028133344397E-2</v>
      </c>
      <c r="O17" s="248">
        <f>'LATAM CELLULAR'!G45</f>
        <v>6.1989139812626819E-2</v>
      </c>
      <c r="P17" s="286">
        <f>'LATAM CELLULAR'!H45</f>
        <v>0.19840195224916335</v>
      </c>
      <c r="S17" s="88"/>
      <c r="T17" s="42"/>
      <c r="U17" s="42"/>
      <c r="V17" s="42"/>
      <c r="W17" s="42"/>
      <c r="X17" s="42"/>
      <c r="Y17" s="42"/>
      <c r="Z17" s="42"/>
      <c r="AA17" s="42"/>
    </row>
    <row r="18" spans="2:27" ht="12.6" thickBot="1">
      <c r="B18" s="41" t="s">
        <v>121</v>
      </c>
      <c r="C18" s="249"/>
      <c r="D18" s="530">
        <f>D11+D12+D13-D14+D15-D16-D17</f>
        <v>16707.64036037691</v>
      </c>
      <c r="E18" s="530">
        <f>E11+E12+E13-E14+E15-E16-E17</f>
        <v>16626.018958980545</v>
      </c>
      <c r="F18" s="530">
        <f>F11+F12+F13-F14+F15-F16-F17</f>
        <v>16236.795025810497</v>
      </c>
      <c r="G18" s="530">
        <f>G11+G12+G13-G14+G15-G16-G17</f>
        <v>15721.340209376722</v>
      </c>
      <c r="H18" s="276">
        <f>IF(D18=0,"nm",IF(G18=0,"nm",(G18/D18)^(1/3)-1))</f>
        <v>-2.0078057497197155E-2</v>
      </c>
      <c r="I18" s="254"/>
      <c r="J18" s="5" t="s">
        <v>36</v>
      </c>
      <c r="L18" s="248">
        <f>'LATAM CELLULAR'!D46</f>
        <v>3.4312714157629799E-2</v>
      </c>
      <c r="M18" s="248">
        <f>'LATAM CELLULAR'!E46</f>
        <v>4.8901958681009668E-2</v>
      </c>
      <c r="N18" s="248">
        <f>'LATAM CELLULAR'!F46</f>
        <v>5.7945694776289053E-2</v>
      </c>
      <c r="O18" s="248">
        <f>'LATAM CELLULAR'!G46</f>
        <v>6.3444003937853016E-2</v>
      </c>
      <c r="P18" s="286">
        <f>'LATAM CELLULAR'!H46</f>
        <v>0.2077049110414857</v>
      </c>
      <c r="S18" s="88"/>
      <c r="T18" s="42"/>
      <c r="U18" s="42"/>
      <c r="V18" s="42"/>
      <c r="W18" s="42"/>
      <c r="X18" s="42"/>
      <c r="Y18" s="42"/>
      <c r="Z18" s="42"/>
      <c r="AA18" s="42"/>
    </row>
    <row r="19" spans="2:27" ht="12.6" thickTop="1">
      <c r="B19" s="41"/>
      <c r="C19" s="249"/>
      <c r="D19" s="229"/>
      <c r="E19" s="229"/>
      <c r="F19" s="229"/>
      <c r="G19" s="229"/>
      <c r="H19" s="276"/>
      <c r="I19" s="254"/>
      <c r="J19" s="5" t="s">
        <v>576</v>
      </c>
      <c r="L19" s="248">
        <f>'LATAM CELLULAR'!D47</f>
        <v>7.8761458132415155E-2</v>
      </c>
      <c r="M19" s="248">
        <f>'LATAM CELLULAR'!E47</f>
        <v>0.10268030325529091</v>
      </c>
      <c r="N19" s="248">
        <f>'LATAM CELLULAR'!F47</f>
        <v>0.12604795352601314</v>
      </c>
      <c r="O19" s="248">
        <f>'LATAM CELLULAR'!G47</f>
        <v>0.15561278540295925</v>
      </c>
      <c r="P19" s="286">
        <f>'LATAM CELLULAR'!H47</f>
        <v>0.20320186438666643</v>
      </c>
      <c r="S19" s="88"/>
      <c r="T19" s="42"/>
      <c r="U19" s="42"/>
      <c r="V19" s="42"/>
      <c r="W19" s="42"/>
      <c r="X19" s="42"/>
      <c r="Y19" s="42"/>
      <c r="Z19" s="42"/>
      <c r="AA19" s="42"/>
    </row>
    <row r="20" spans="2:27">
      <c r="H20" s="277"/>
      <c r="I20" s="17"/>
      <c r="J20" s="5" t="s">
        <v>599</v>
      </c>
      <c r="L20" s="305">
        <f>'LATAM CELLULAR'!D48</f>
        <v>0.3418050824667247</v>
      </c>
      <c r="M20" s="305">
        <f>'LATAM CELLULAR'!E48</f>
        <v>0.37101764015947974</v>
      </c>
      <c r="N20" s="305">
        <f>'LATAM CELLULAR'!F48</f>
        <v>0.35093660459743997</v>
      </c>
      <c r="O20" s="305">
        <f>'LATAM CELLULAR'!G48</f>
        <v>0.3377307085109536</v>
      </c>
      <c r="P20" s="286" t="str">
        <f>'LATAM CELLULAR'!H48</f>
        <v>nm</v>
      </c>
      <c r="S20" s="88"/>
      <c r="T20" s="42"/>
      <c r="U20" s="42"/>
      <c r="V20" s="42"/>
      <c r="W20" s="42"/>
      <c r="X20" s="42"/>
      <c r="Y20" s="42"/>
      <c r="Z20" s="42"/>
      <c r="AA20" s="42"/>
    </row>
    <row r="21" spans="2:27" ht="12.6" thickBot="1">
      <c r="B21" s="306" t="s">
        <v>917</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5624.5300000000007</v>
      </c>
      <c r="D23" s="536">
        <v>5738.8215158358817</v>
      </c>
      <c r="E23" s="536">
        <v>5804.6459271373315</v>
      </c>
      <c r="F23" s="536">
        <v>5908.2951713156444</v>
      </c>
      <c r="G23" s="536">
        <v>6046.9700166661642</v>
      </c>
      <c r="H23" s="279">
        <f t="shared" ref="H23:H32" si="5">IF(D23=0,"nm",IF(G23=0,"nm",(G23/D23)^(1/3)-1))</f>
        <v>1.7587349161343635E-2</v>
      </c>
      <c r="I23" s="247"/>
      <c r="J23" s="306" t="s">
        <v>9</v>
      </c>
      <c r="K23" s="306"/>
      <c r="L23" s="265" t="str">
        <f>D21</f>
        <v>2023E</v>
      </c>
      <c r="M23" s="265" t="str">
        <f t="shared" ref="M23:P23" si="6">E21</f>
        <v>2024E</v>
      </c>
      <c r="N23" s="265" t="str">
        <f t="shared" si="6"/>
        <v>2025E</v>
      </c>
      <c r="O23" s="265" t="str">
        <f t="shared" si="6"/>
        <v>2026E</v>
      </c>
      <c r="P23" s="265" t="str">
        <f t="shared" si="6"/>
        <v>23E-26E</v>
      </c>
      <c r="S23" s="88"/>
      <c r="T23" s="42"/>
      <c r="U23" s="42"/>
      <c r="V23" s="42"/>
      <c r="W23" s="42"/>
      <c r="X23" s="42"/>
      <c r="Y23" s="42"/>
      <c r="Z23" s="42"/>
      <c r="AA23" s="42"/>
    </row>
    <row r="24" spans="2:27" ht="12.6" thickTop="1">
      <c r="B24" s="5" t="s">
        <v>478</v>
      </c>
      <c r="C24" s="545">
        <v>2228.09</v>
      </c>
      <c r="D24" s="536">
        <v>2148.5398851628979</v>
      </c>
      <c r="E24" s="536">
        <v>2177.4875802601055</v>
      </c>
      <c r="F24" s="536">
        <v>2244.7686882868011</v>
      </c>
      <c r="G24" s="536">
        <v>2323.5075351366095</v>
      </c>
      <c r="H24" s="279">
        <f t="shared" si="5"/>
        <v>2.6439969252693762E-2</v>
      </c>
      <c r="I24" s="249"/>
      <c r="J24" s="17"/>
      <c r="K24" s="17"/>
      <c r="L24" s="17"/>
      <c r="M24" s="17"/>
      <c r="N24" s="17"/>
      <c r="O24" s="248"/>
      <c r="S24" s="88"/>
      <c r="T24" s="42"/>
      <c r="U24" s="42"/>
      <c r="V24" s="42"/>
      <c r="W24" s="42" t="s">
        <v>398</v>
      </c>
      <c r="X24" s="42" t="s">
        <v>509</v>
      </c>
      <c r="Y24" s="42"/>
      <c r="Z24" s="42"/>
      <c r="AA24" s="42"/>
    </row>
    <row r="25" spans="2:27">
      <c r="B25" s="5" t="s">
        <v>179</v>
      </c>
      <c r="C25" s="544">
        <v>1255.0900000000001</v>
      </c>
      <c r="D25" s="536">
        <v>1284.4959895640407</v>
      </c>
      <c r="E25" s="536">
        <v>1324.054525975821</v>
      </c>
      <c r="F25" s="536">
        <v>1391.4870833021707</v>
      </c>
      <c r="G25" s="536">
        <v>1455.7812232682261</v>
      </c>
      <c r="H25" s="279">
        <f t="shared" si="5"/>
        <v>4.2608161608423067E-2</v>
      </c>
      <c r="I25" s="248"/>
      <c r="J25" s="247" t="s">
        <v>10</v>
      </c>
      <c r="K25" s="247"/>
      <c r="L25" s="321">
        <v>2901.5554883623772</v>
      </c>
      <c r="M25" s="321">
        <v>2901.5554883623772</v>
      </c>
      <c r="N25" s="321">
        <v>2901.5554883623772</v>
      </c>
      <c r="O25" s="321">
        <v>1450.7777441811886</v>
      </c>
      <c r="P25" s="279">
        <f>IF(L25=0,"nm",IF(O25=0,"nm",(O25/L25)^(1/3)-1))</f>
        <v>-0.20629947401590021</v>
      </c>
      <c r="S25" s="88"/>
      <c r="T25" s="42"/>
      <c r="U25" s="42"/>
      <c r="V25" s="147" t="s">
        <v>268</v>
      </c>
      <c r="W25" s="288">
        <f>D37/L9</f>
        <v>1.3095134329127192</v>
      </c>
      <c r="X25" s="288">
        <v>1</v>
      </c>
      <c r="Y25" s="42"/>
      <c r="Z25" s="42"/>
      <c r="AA25" s="42"/>
    </row>
    <row r="26" spans="2:27">
      <c r="B26" s="5" t="s">
        <v>581</v>
      </c>
      <c r="C26" s="544">
        <v>916.21570000000008</v>
      </c>
      <c r="D26" s="536">
        <v>937.68207238174966</v>
      </c>
      <c r="E26" s="536">
        <v>966.55980396234929</v>
      </c>
      <c r="F26" s="536">
        <v>1015.7855708105847</v>
      </c>
      <c r="G26" s="536">
        <v>1062.7202929858049</v>
      </c>
      <c r="H26" s="279">
        <f t="shared" si="5"/>
        <v>4.2608161608423067E-2</v>
      </c>
      <c r="I26" s="249"/>
      <c r="J26" s="249" t="s">
        <v>11</v>
      </c>
      <c r="K26" s="249"/>
      <c r="L26" s="281">
        <f>D11+L25</f>
        <v>7400.9602883623766</v>
      </c>
      <c r="M26" s="281">
        <f>E11+M25</f>
        <v>7400.9602883623766</v>
      </c>
      <c r="N26" s="281">
        <f>F11+N25</f>
        <v>7134.6602883623764</v>
      </c>
      <c r="O26" s="281">
        <f>G11+O25</f>
        <v>5417.5825441811885</v>
      </c>
      <c r="P26" s="279">
        <f>IF(L26=0,"nm",IF(O26=0,"nm",(O26/L26)^(1/3)-1))</f>
        <v>-9.8762707068453248E-2</v>
      </c>
      <c r="Q26" s="5"/>
      <c r="S26" s="88"/>
      <c r="T26" s="42"/>
      <c r="U26" s="42"/>
      <c r="V26" s="147" t="s">
        <v>180</v>
      </c>
      <c r="W26" s="288">
        <f t="shared" ref="W26:W33" si="7">D38/L10</f>
        <v>1.4007971838139013</v>
      </c>
      <c r="X26" s="288">
        <v>1</v>
      </c>
      <c r="Y26" s="42"/>
      <c r="Z26" s="42"/>
      <c r="AA26" s="42"/>
    </row>
    <row r="27" spans="2:27">
      <c r="B27" s="5" t="s">
        <v>582</v>
      </c>
      <c r="C27" s="545">
        <v>3634</v>
      </c>
      <c r="D27" s="536">
        <v>3646.122621783983</v>
      </c>
      <c r="E27" s="536">
        <v>3681.4980103043458</v>
      </c>
      <c r="F27" s="536">
        <v>3738.7718902002866</v>
      </c>
      <c r="G27" s="536">
        <v>3940.6581436219954</v>
      </c>
      <c r="H27" s="279">
        <f t="shared" si="5"/>
        <v>2.6232655829803386E-2</v>
      </c>
      <c r="I27" s="249"/>
      <c r="J27" s="248"/>
      <c r="K27" s="248"/>
      <c r="L27" s="248"/>
      <c r="M27" s="248"/>
      <c r="N27" s="248"/>
      <c r="O27" s="248"/>
      <c r="Q27" s="41"/>
      <c r="S27" s="88"/>
      <c r="T27" s="42"/>
      <c r="U27" s="42"/>
      <c r="V27" s="147" t="s">
        <v>181</v>
      </c>
      <c r="W27" s="288">
        <f t="shared" si="7"/>
        <v>1.3483217093070101</v>
      </c>
      <c r="X27" s="288">
        <v>1</v>
      </c>
      <c r="Y27" s="42"/>
      <c r="Z27" s="42"/>
      <c r="AA27" s="42"/>
    </row>
    <row r="28" spans="2:27" ht="12.6" thickBot="1">
      <c r="B28" s="5" t="s">
        <v>587</v>
      </c>
      <c r="C28" s="544">
        <v>12133</v>
      </c>
      <c r="D28" s="536">
        <v>12529.710602739251</v>
      </c>
      <c r="E28" s="536">
        <v>12412.764115905044</v>
      </c>
      <c r="F28" s="536">
        <v>12312.251866842842</v>
      </c>
      <c r="G28" s="536">
        <v>12265.767243885246</v>
      </c>
      <c r="H28" s="279">
        <f t="shared" si="5"/>
        <v>-7.0716907447597732E-3</v>
      </c>
      <c r="I28" s="248"/>
      <c r="J28" s="306" t="s">
        <v>1352</v>
      </c>
      <c r="K28" s="306"/>
      <c r="L28" s="306"/>
      <c r="M28" s="306"/>
      <c r="N28" s="266"/>
      <c r="O28" s="266"/>
      <c r="P28" s="266"/>
      <c r="Q28" s="5"/>
      <c r="S28" s="88"/>
      <c r="T28" s="42"/>
      <c r="U28" s="42"/>
      <c r="V28" s="147" t="s">
        <v>461</v>
      </c>
      <c r="W28" s="288">
        <f t="shared" si="7"/>
        <v>1.4730005233107197</v>
      </c>
      <c r="X28" s="288">
        <v>1</v>
      </c>
      <c r="Y28" s="42"/>
      <c r="Z28" s="42"/>
      <c r="AA28" s="42"/>
    </row>
    <row r="29" spans="2:27" ht="12.6" thickTop="1">
      <c r="B29" s="5" t="s">
        <v>583</v>
      </c>
      <c r="C29" s="544">
        <v>351.09000000000015</v>
      </c>
      <c r="D29" s="536">
        <v>371.95700946689254</v>
      </c>
      <c r="E29" s="536">
        <v>459.84403829992635</v>
      </c>
      <c r="F29" s="536">
        <v>538.6013756043227</v>
      </c>
      <c r="G29" s="536">
        <v>590.55391389512965</v>
      </c>
      <c r="H29" s="279">
        <f t="shared" si="5"/>
        <v>0.16660079559050223</v>
      </c>
      <c r="I29" s="252"/>
      <c r="J29" s="249"/>
      <c r="K29" s="249"/>
      <c r="L29" s="249"/>
      <c r="M29" s="249"/>
      <c r="N29" s="249"/>
      <c r="O29" s="251"/>
      <c r="Q29" s="5"/>
      <c r="S29" s="88"/>
      <c r="T29" s="42"/>
      <c r="U29" s="42"/>
      <c r="V29" s="147" t="s">
        <v>525</v>
      </c>
      <c r="W29" s="288">
        <f t="shared" si="7"/>
        <v>2.3950010006314688</v>
      </c>
      <c r="X29" s="288">
        <v>1</v>
      </c>
      <c r="Y29" s="42"/>
      <c r="Z29" s="42"/>
      <c r="AA29" s="42"/>
    </row>
    <row r="30" spans="2:27">
      <c r="B30" s="5" t="s">
        <v>584</v>
      </c>
      <c r="C30" s="545">
        <v>339.09000000000015</v>
      </c>
      <c r="D30" s="536">
        <v>307.56546388690185</v>
      </c>
      <c r="E30" s="536">
        <v>346.0229341626129</v>
      </c>
      <c r="F30" s="536">
        <v>456.25629533453542</v>
      </c>
      <c r="G30" s="536">
        <v>500.71521945886212</v>
      </c>
      <c r="H30" s="279">
        <f t="shared" si="5"/>
        <v>0.17638932495014359</v>
      </c>
      <c r="I30" s="254"/>
      <c r="J30" s="248"/>
      <c r="K30" s="248"/>
      <c r="L30" s="248"/>
      <c r="M30" s="248"/>
      <c r="N30" s="248"/>
      <c r="O30" s="5"/>
      <c r="Q30" s="5"/>
      <c r="S30" s="88"/>
      <c r="T30" s="42"/>
      <c r="U30" s="42"/>
      <c r="V30" s="147" t="s">
        <v>588</v>
      </c>
      <c r="W30" s="288">
        <f t="shared" si="7"/>
        <v>0.92933930734831915</v>
      </c>
      <c r="X30" s="288">
        <v>1</v>
      </c>
      <c r="Y30" s="42"/>
      <c r="Z30" s="42"/>
      <c r="AA30" s="42"/>
    </row>
    <row r="31" spans="2:27">
      <c r="B31" s="5" t="s">
        <v>585</v>
      </c>
      <c r="C31" s="545">
        <v>0</v>
      </c>
      <c r="D31" s="536">
        <v>0</v>
      </c>
      <c r="E31" s="536">
        <v>0</v>
      </c>
      <c r="F31" s="536">
        <v>0</v>
      </c>
      <c r="G31" s="536">
        <v>0</v>
      </c>
      <c r="H31" s="279" t="str">
        <f t="shared" si="5"/>
        <v>nm</v>
      </c>
      <c r="I31" s="254"/>
      <c r="J31" s="252"/>
      <c r="K31" s="252"/>
      <c r="L31" s="252"/>
      <c r="M31" s="252"/>
      <c r="N31" s="252"/>
      <c r="O31" s="5"/>
      <c r="Q31" s="5"/>
      <c r="S31" s="88"/>
      <c r="T31" s="42"/>
      <c r="U31" s="42"/>
      <c r="V31" s="147" t="s">
        <v>470</v>
      </c>
      <c r="W31" s="288">
        <f t="shared" si="7"/>
        <v>1.5671446136395626</v>
      </c>
      <c r="X31" s="288">
        <v>1</v>
      </c>
      <c r="Y31" s="42"/>
      <c r="Z31" s="42"/>
      <c r="AA31" s="42"/>
    </row>
    <row r="32" spans="2:27">
      <c r="B32" s="5" t="s">
        <v>601</v>
      </c>
      <c r="C32" s="546">
        <v>0</v>
      </c>
      <c r="D32" s="536">
        <v>0</v>
      </c>
      <c r="E32" s="536">
        <v>0</v>
      </c>
      <c r="F32" s="536">
        <v>5.3040000000000003</v>
      </c>
      <c r="G32" s="536">
        <v>15.6</v>
      </c>
      <c r="H32" s="279" t="str">
        <f t="shared" si="5"/>
        <v>nm</v>
      </c>
      <c r="I32" s="254"/>
      <c r="J32" s="254"/>
      <c r="K32" s="254"/>
      <c r="L32" s="254"/>
      <c r="M32" s="254"/>
      <c r="N32" s="254"/>
      <c r="O32" s="251"/>
      <c r="Q32" s="5"/>
      <c r="S32" s="88"/>
      <c r="T32" s="42"/>
      <c r="U32" s="42"/>
      <c r="V32" s="147" t="s">
        <v>528</v>
      </c>
      <c r="W32" s="288">
        <f t="shared" si="7"/>
        <v>1.2158004501106314</v>
      </c>
      <c r="X32" s="288">
        <v>1</v>
      </c>
      <c r="Y32" s="42"/>
      <c r="Z32" s="42"/>
      <c r="AA32" s="42"/>
    </row>
    <row r="33" spans="2:27">
      <c r="B33" s="5" t="s">
        <v>5</v>
      </c>
      <c r="C33" s="545">
        <v>599</v>
      </c>
      <c r="D33" s="536">
        <v>652.18389389343088</v>
      </c>
      <c r="E33" s="536">
        <v>627.617512152019</v>
      </c>
      <c r="F33" s="536">
        <v>585.49399523366844</v>
      </c>
      <c r="G33" s="536">
        <v>573.06136676237486</v>
      </c>
      <c r="H33" s="279">
        <f>IF(D33=0,"nm",IF(G33=0,"nm",(G33/D33)^(1/3)-1))</f>
        <v>-4.219517474800405E-2</v>
      </c>
      <c r="I33" s="5"/>
      <c r="J33" s="254"/>
      <c r="K33" s="254"/>
      <c r="L33" s="254"/>
      <c r="M33" s="254"/>
      <c r="N33" s="254"/>
      <c r="O33" s="251"/>
      <c r="Q33" s="5"/>
      <c r="S33" s="88"/>
      <c r="T33" s="42"/>
      <c r="U33" s="42"/>
      <c r="V33" s="147" t="s">
        <v>575</v>
      </c>
      <c r="W33" s="288">
        <f t="shared" si="7"/>
        <v>0</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0.6381032045776448</v>
      </c>
      <c r="X34" s="288">
        <v>1</v>
      </c>
      <c r="Y34" s="288"/>
      <c r="Z34" s="288"/>
      <c r="AA34" s="42"/>
    </row>
    <row r="35" spans="2:27" ht="12.6" thickBot="1">
      <c r="B35" s="306" t="s">
        <v>420</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2.9113364676481628</v>
      </c>
      <c r="E37" s="525">
        <f t="shared" ref="E37:G41" si="9">E$18/E23</f>
        <v>2.8642606573558869</v>
      </c>
      <c r="F37" s="525">
        <f t="shared" si="9"/>
        <v>2.7481353850834993</v>
      </c>
      <c r="G37" s="525">
        <f t="shared" si="9"/>
        <v>2.5998707064938058</v>
      </c>
      <c r="H37" s="17">
        <f t="shared" ref="H37:H45" si="10">H23</f>
        <v>1.7587349161343635E-2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7.776276566124892</v>
      </c>
      <c r="E38" s="525">
        <f t="shared" si="9"/>
        <v>7.635413909912879</v>
      </c>
      <c r="F38" s="525">
        <f t="shared" si="9"/>
        <v>7.2331706649928185</v>
      </c>
      <c r="G38" s="525">
        <f t="shared" si="9"/>
        <v>6.7662101248371433</v>
      </c>
      <c r="H38" s="17">
        <f t="shared" si="10"/>
        <v>2.6439969252693762E-2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13.007156500385417</v>
      </c>
      <c r="E39" s="525">
        <f t="shared" si="9"/>
        <v>12.556899004387496</v>
      </c>
      <c r="F39" s="525">
        <f t="shared" si="9"/>
        <v>11.668663849382328</v>
      </c>
      <c r="G39" s="525">
        <f t="shared" si="9"/>
        <v>10.799246451388035</v>
      </c>
      <c r="H39" s="17">
        <f t="shared" si="10"/>
        <v>4.2608161608423067E-2</v>
      </c>
      <c r="I39" s="17"/>
      <c r="J39" s="5"/>
      <c r="K39" s="5"/>
      <c r="L39" s="5"/>
      <c r="M39" s="5"/>
      <c r="N39" s="5"/>
      <c r="O39" s="5"/>
      <c r="Q39" s="5"/>
      <c r="R39" s="5"/>
      <c r="S39" s="42"/>
      <c r="T39" s="42"/>
      <c r="U39" s="42"/>
      <c r="V39" s="42"/>
      <c r="W39" s="42"/>
      <c r="X39" s="42"/>
      <c r="Y39" s="42"/>
      <c r="Z39" s="42"/>
      <c r="AA39" s="42"/>
    </row>
    <row r="40" spans="2:27">
      <c r="B40" s="5" t="s">
        <v>461</v>
      </c>
      <c r="C40" s="247"/>
      <c r="D40" s="525">
        <f>D$18/D26</f>
        <v>17.818022603267696</v>
      </c>
      <c r="E40" s="525">
        <f t="shared" si="9"/>
        <v>17.201231512859586</v>
      </c>
      <c r="F40" s="525">
        <f t="shared" si="9"/>
        <v>15.984471026551136</v>
      </c>
      <c r="G40" s="525">
        <f t="shared" si="9"/>
        <v>14.79348828957265</v>
      </c>
      <c r="H40" s="17">
        <f t="shared" si="10"/>
        <v>4.2608161608423067E-2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4.582303475082294</v>
      </c>
      <c r="E41" s="525">
        <f t="shared" si="9"/>
        <v>4.5161015739910964</v>
      </c>
      <c r="F41" s="525">
        <f t="shared" si="9"/>
        <v>4.3428151014959857</v>
      </c>
      <c r="G41" s="525">
        <f t="shared" si="9"/>
        <v>3.989521454638715</v>
      </c>
      <c r="H41" s="17">
        <f t="shared" si="10"/>
        <v>2.6232655829803386E-2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1.3334418399674992</v>
      </c>
      <c r="E42" s="525">
        <f>E18/E28</f>
        <v>1.3394292200942468</v>
      </c>
      <c r="F42" s="525">
        <f>F18/F28</f>
        <v>1.3187510458209952</v>
      </c>
      <c r="G42" s="525">
        <f>G18/G28</f>
        <v>1.2817249746210662</v>
      </c>
      <c r="H42" s="17">
        <f t="shared" si="10"/>
        <v>-7.0716907447597732E-3</v>
      </c>
      <c r="I42" s="248"/>
      <c r="J42" s="5"/>
      <c r="K42" s="5"/>
      <c r="L42" s="5"/>
      <c r="M42" s="5"/>
      <c r="N42" s="5"/>
      <c r="O42" s="5"/>
      <c r="Q42" s="5"/>
      <c r="R42" s="5"/>
      <c r="S42" s="42"/>
      <c r="T42" s="42"/>
      <c r="U42" s="42"/>
      <c r="V42" s="42"/>
      <c r="W42" s="288"/>
      <c r="X42" s="288"/>
      <c r="Y42" s="288"/>
      <c r="Z42" s="288"/>
      <c r="AA42" s="42"/>
    </row>
    <row r="43" spans="2:27">
      <c r="B43" s="5" t="s">
        <v>470</v>
      </c>
      <c r="C43" s="247"/>
      <c r="D43" s="525">
        <f>L26/D29</f>
        <v>19.897353995209833</v>
      </c>
      <c r="E43" s="525">
        <f>M26/E29</f>
        <v>16.094500900183927</v>
      </c>
      <c r="F43" s="525">
        <f>N26/F29</f>
        <v>13.246643271857836</v>
      </c>
      <c r="G43" s="525">
        <f>O26/G29</f>
        <v>9.1737306564413714</v>
      </c>
      <c r="H43" s="17">
        <f t="shared" si="10"/>
        <v>0.16660079559050223</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14.629096333307835</v>
      </c>
      <c r="E44" s="525">
        <f>E11/E30</f>
        <v>13.003198215426702</v>
      </c>
      <c r="F44" s="525">
        <f>F11/F30</f>
        <v>9.2779099012676856</v>
      </c>
      <c r="G44" s="525">
        <f>G11/G30</f>
        <v>7.9222772662813083</v>
      </c>
      <c r="H44" s="17">
        <f t="shared" si="10"/>
        <v>0.17638932495014359</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10"/>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0</v>
      </c>
      <c r="F46" s="248">
        <f>(F31+F32)/F11</f>
        <v>1.2529810270702491E-3</v>
      </c>
      <c r="G46" s="248">
        <f>(G31+G32)/G11</f>
        <v>3.9326361609726803E-3</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5.0257938831502112E-2</v>
      </c>
      <c r="E47" s="248">
        <f>1/E43</f>
        <v>6.2133023335229493E-2</v>
      </c>
      <c r="F47" s="248">
        <f>1/F43</f>
        <v>7.549082280523664E-2</v>
      </c>
      <c r="G47" s="248">
        <f>1/G43</f>
        <v>0.10900690650840572</v>
      </c>
      <c r="H47" s="17">
        <f>H29</f>
        <v>0.16660079559050223</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MILLISOP!A1" display="Jump to Milli SOP" xr:uid="{00000000-0004-0000-3D00-000001000000}"/>
  </hyperlinks>
  <pageMargins left="0.75" right="0.75" top="1" bottom="1" header="0.5" footer="0.5"/>
  <pageSetup scale="71"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0E05D-F92A-4C64-8A4C-7F796C37C695}">
  <sheetPr codeName="Sheet159">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1398</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146</v>
      </c>
      <c r="C9" s="285">
        <f>Prices!C101</f>
        <v>660</v>
      </c>
      <c r="D9" s="531"/>
      <c r="E9" s="532"/>
      <c r="F9" s="532"/>
      <c r="G9" s="532"/>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27">
      <c r="B10" s="5" t="s">
        <v>269</v>
      </c>
      <c r="C10" s="5"/>
      <c r="D10" s="527">
        <v>82.619819543999995</v>
      </c>
      <c r="E10" s="527">
        <v>82.619819543999995</v>
      </c>
      <c r="F10" s="527">
        <v>82.619819543999995</v>
      </c>
      <c r="G10" s="527">
        <v>82.619819543999995</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27">
      <c r="B11" s="41" t="s">
        <v>270</v>
      </c>
      <c r="C11" s="5"/>
      <c r="D11" s="528">
        <f>$C$9*D10</f>
        <v>54529.080899039996</v>
      </c>
      <c r="E11" s="528">
        <f t="shared" ref="E11:G11" si="2">$C$9*E10</f>
        <v>54529.080899039996</v>
      </c>
      <c r="F11" s="528">
        <f t="shared" si="2"/>
        <v>54529.080899039996</v>
      </c>
      <c r="G11" s="528">
        <f t="shared" si="2"/>
        <v>54529.080899039996</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27">
      <c r="B12" s="5" t="s">
        <v>24</v>
      </c>
      <c r="C12" s="249"/>
      <c r="D12" s="529">
        <v>16965.008000000002</v>
      </c>
      <c r="E12" s="529">
        <v>19637.963776059001</v>
      </c>
      <c r="F12" s="529">
        <v>19094.785269916461</v>
      </c>
      <c r="G12" s="529">
        <v>18386.534586567606</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27">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27">
      <c r="B14" s="5" t="s">
        <v>527</v>
      </c>
      <c r="C14" s="257"/>
      <c r="D14" s="529"/>
      <c r="E14" s="529"/>
      <c r="F14" s="529"/>
      <c r="G14" s="529"/>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27">
      <c r="B15" s="5" t="s">
        <v>526</v>
      </c>
      <c r="C15" s="274"/>
      <c r="D15" s="529"/>
      <c r="E15" s="529"/>
      <c r="F15" s="529"/>
      <c r="G15" s="529"/>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27">
      <c r="B16" s="5" t="s">
        <v>529</v>
      </c>
      <c r="C16" s="257"/>
      <c r="D16" s="529">
        <v>0</v>
      </c>
      <c r="E16" s="529">
        <v>0</v>
      </c>
      <c r="F16" s="529">
        <v>2851.6121775936913</v>
      </c>
      <c r="G16" s="529">
        <v>6012.5739787776902</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71494.088899039998</v>
      </c>
      <c r="E18" s="530">
        <f>E11+E12+E13-E14+E15-E16-E17</f>
        <v>74167.044675098994</v>
      </c>
      <c r="F18" s="530">
        <f>F11+F12+F13-F14+F15-F16-F17</f>
        <v>70772.25399136277</v>
      </c>
      <c r="G18" s="530">
        <f>G11+G12+G13-G14+G15-G16-G17</f>
        <v>66903.041506829919</v>
      </c>
      <c r="H18" s="276">
        <f>IF(D18=0,"nm",IF(G18=0,"nm",(G18/D18)^(1/3)-1))</f>
        <v>-2.188051928290724E-2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933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7729</v>
      </c>
      <c r="D23" s="536">
        <v>8595</v>
      </c>
      <c r="E23" s="536">
        <v>9552.0119562155051</v>
      </c>
      <c r="F23" s="536">
        <v>10306.356628007885</v>
      </c>
      <c r="G23" s="536">
        <v>11034.366623368365</v>
      </c>
      <c r="H23" s="279">
        <f t="shared" ref="H23:H32" si="4">IF(D23=0,"nm",IF(G23=0,"nm",(G23/D23)^(1/3)-1))</f>
        <v>8.6843909943530306E-2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6142.3865569999998</v>
      </c>
      <c r="D24" s="536">
        <v>6921</v>
      </c>
      <c r="E24" s="536">
        <v>7792.7525115745339</v>
      </c>
      <c r="F24" s="536">
        <v>8408.1643601618725</v>
      </c>
      <c r="G24" s="536">
        <v>9002.0917699894107</v>
      </c>
      <c r="H24" s="279">
        <f t="shared" si="4"/>
        <v>9.1586599528963974E-2</v>
      </c>
      <c r="I24" s="249"/>
      <c r="J24" s="17"/>
      <c r="K24" s="17"/>
      <c r="L24" s="17"/>
      <c r="M24" s="17"/>
      <c r="N24" s="17"/>
      <c r="O24" s="248"/>
      <c r="S24" s="88"/>
      <c r="T24" s="42"/>
      <c r="U24" s="42"/>
      <c r="V24" s="42"/>
      <c r="W24" s="42" t="s">
        <v>1397</v>
      </c>
      <c r="X24" s="42" t="s">
        <v>252</v>
      </c>
      <c r="Y24" s="42"/>
      <c r="Z24" s="42"/>
      <c r="AA24" s="42"/>
    </row>
    <row r="25" spans="2:27">
      <c r="B25" s="5" t="s">
        <v>179</v>
      </c>
      <c r="C25" s="544">
        <v>4872.2498175520004</v>
      </c>
      <c r="D25" s="536">
        <v>-2847.6134430000002</v>
      </c>
      <c r="E25" s="536">
        <v>633.7510000000002</v>
      </c>
      <c r="F25" s="536">
        <v>2192.7525115745339</v>
      </c>
      <c r="G25" s="536">
        <v>5599.1340721120359</v>
      </c>
      <c r="H25" s="279">
        <f t="shared" si="4"/>
        <v>-2.2527948058967429</v>
      </c>
      <c r="I25" s="248"/>
      <c r="J25" s="247" t="s">
        <v>10</v>
      </c>
      <c r="K25" s="247"/>
      <c r="L25" s="321"/>
      <c r="M25" s="321"/>
      <c r="N25" s="321"/>
      <c r="O25" s="321"/>
      <c r="P25" s="279" t="str">
        <f>IF(L25=0,"nm",IF(O25=0,"nm",(O25/L25)^(1/3)-1))</f>
        <v>nm</v>
      </c>
      <c r="S25" s="88"/>
      <c r="T25" s="42"/>
      <c r="U25" s="42"/>
      <c r="V25" s="147" t="s">
        <v>268</v>
      </c>
      <c r="W25" s="288">
        <f>D37/L9</f>
        <v>3.8638111306215981</v>
      </c>
      <c r="X25" s="288">
        <v>1</v>
      </c>
      <c r="Y25" s="42"/>
      <c r="Z25" s="42"/>
      <c r="AA25" s="42"/>
    </row>
    <row r="26" spans="2:27">
      <c r="B26" s="5" t="s">
        <v>581</v>
      </c>
      <c r="C26" s="544">
        <v>3654.1873631640001</v>
      </c>
      <c r="D26" s="536">
        <v>-2135.7100822500001</v>
      </c>
      <c r="E26" s="536">
        <v>475.31325000000015</v>
      </c>
      <c r="F26" s="536">
        <v>1644.5643836809004</v>
      </c>
      <c r="G26" s="536">
        <v>4199.350554084027</v>
      </c>
      <c r="H26" s="279">
        <f t="shared" si="4"/>
        <v>-2.2527948058967429</v>
      </c>
      <c r="I26" s="249"/>
      <c r="J26" s="249" t="s">
        <v>11</v>
      </c>
      <c r="K26" s="249"/>
      <c r="L26" s="281">
        <f>D11+L25</f>
        <v>54529.080899039996</v>
      </c>
      <c r="M26" s="281">
        <f>E11+M25</f>
        <v>54529.080899039996</v>
      </c>
      <c r="N26" s="281">
        <f>F11+N25</f>
        <v>54529.080899039996</v>
      </c>
      <c r="O26" s="281">
        <f>G11+O25</f>
        <v>54529.080899039996</v>
      </c>
      <c r="P26" s="279">
        <f>IF(L26=0,"nm",IF(O26=0,"nm",(O26/L26)^(1/3)-1))</f>
        <v>0</v>
      </c>
      <c r="Q26" s="5"/>
      <c r="S26" s="88"/>
      <c r="T26" s="42"/>
      <c r="U26" s="42"/>
      <c r="V26" s="147" t="s">
        <v>180</v>
      </c>
      <c r="W26" s="288">
        <f t="shared" ref="W26:W33" si="6">D38/L10</f>
        <v>1.5658280275284653</v>
      </c>
      <c r="X26" s="288">
        <v>1</v>
      </c>
      <c r="Y26" s="42"/>
      <c r="Z26" s="42"/>
      <c r="AA26" s="42"/>
    </row>
    <row r="27" spans="2:27">
      <c r="B27" s="5" t="s">
        <v>582</v>
      </c>
      <c r="C27" s="545">
        <v>43435.534166999998</v>
      </c>
      <c r="D27" s="536">
        <v>49228.743000000002</v>
      </c>
      <c r="E27" s="536">
        <v>51901.698776058998</v>
      </c>
      <c r="F27" s="536">
        <v>51358.520269916466</v>
      </c>
      <c r="G27" s="536">
        <v>50650.269586567607</v>
      </c>
      <c r="H27" s="279">
        <f t="shared" si="4"/>
        <v>9.534127287623928E-3</v>
      </c>
      <c r="I27" s="249"/>
      <c r="J27" s="248"/>
      <c r="K27" s="248"/>
      <c r="L27" s="248"/>
      <c r="M27" s="248"/>
      <c r="N27" s="248"/>
      <c r="O27" s="248"/>
      <c r="Q27" s="41"/>
      <c r="S27" s="88"/>
      <c r="T27" s="42"/>
      <c r="U27" s="42"/>
      <c r="V27" s="147" t="s">
        <v>181</v>
      </c>
      <c r="W27" s="288">
        <f t="shared" si="6"/>
        <v>-1.9746531224799051</v>
      </c>
      <c r="X27" s="288">
        <v>1</v>
      </c>
      <c r="Y27" s="42"/>
      <c r="Z27" s="42"/>
      <c r="AA27" s="42"/>
    </row>
    <row r="28" spans="2:27">
      <c r="B28" s="5" t="s">
        <v>587</v>
      </c>
      <c r="C28" s="544">
        <v>29568.385999999999</v>
      </c>
      <c r="D28" s="536">
        <v>29568.385999999999</v>
      </c>
      <c r="E28" s="536">
        <v>29568.385999999999</v>
      </c>
      <c r="F28" s="536">
        <v>29568.385999999999</v>
      </c>
      <c r="G28" s="536">
        <v>29568.385999999999</v>
      </c>
      <c r="H28" s="279">
        <f t="shared" si="4"/>
        <v>0</v>
      </c>
      <c r="I28" s="248"/>
      <c r="Q28" s="5"/>
      <c r="S28" s="88"/>
      <c r="T28" s="42"/>
      <c r="U28" s="42"/>
      <c r="V28" s="147" t="s">
        <v>461</v>
      </c>
      <c r="W28" s="288">
        <f t="shared" si="6"/>
        <v>-2.0221497750658606</v>
      </c>
      <c r="X28" s="288">
        <v>1</v>
      </c>
      <c r="Y28" s="42"/>
      <c r="Z28" s="42"/>
      <c r="AA28" s="42"/>
    </row>
    <row r="29" spans="2:27" ht="12.6" thickBot="1">
      <c r="B29" s="5" t="s">
        <v>583</v>
      </c>
      <c r="C29" s="544">
        <v>-4215.566823000001</v>
      </c>
      <c r="D29" s="536">
        <v>-995.92100000000028</v>
      </c>
      <c r="E29" s="536">
        <v>202.3812433392477</v>
      </c>
      <c r="F29" s="536">
        <v>3239.7212419750854</v>
      </c>
      <c r="G29" s="536">
        <v>3704.6207489101007</v>
      </c>
      <c r="H29" s="279">
        <f t="shared" si="4"/>
        <v>-2.5494335478204144</v>
      </c>
      <c r="I29" s="252"/>
      <c r="J29" s="306" t="s">
        <v>1353</v>
      </c>
      <c r="K29" s="306"/>
      <c r="L29" s="265" t="str">
        <f>L$5</f>
        <v>2023E</v>
      </c>
      <c r="M29" s="265" t="str">
        <f t="shared" ref="M29:P29" si="7">M$5</f>
        <v>2024E</v>
      </c>
      <c r="N29" s="265" t="str">
        <f t="shared" si="7"/>
        <v>2025E</v>
      </c>
      <c r="O29" s="265" t="str">
        <f t="shared" si="7"/>
        <v>2026E</v>
      </c>
      <c r="P29" s="265" t="str">
        <f t="shared" si="7"/>
        <v>23E-26E</v>
      </c>
      <c r="Q29" s="5"/>
      <c r="S29" s="88"/>
      <c r="T29" s="42"/>
      <c r="U29" s="42"/>
      <c r="V29" s="147" t="s">
        <v>525</v>
      </c>
      <c r="W29" s="288">
        <f t="shared" si="6"/>
        <v>0.97937117389324424</v>
      </c>
      <c r="X29" s="288">
        <v>1</v>
      </c>
      <c r="Y29" s="42"/>
      <c r="Z29" s="42"/>
      <c r="AA29" s="42"/>
    </row>
    <row r="30" spans="2:27" ht="12.6" thickTop="1">
      <c r="B30" s="5" t="s">
        <v>584</v>
      </c>
      <c r="C30" s="545">
        <v>1785.4544159999991</v>
      </c>
      <c r="D30" s="536">
        <v>2009.328</v>
      </c>
      <c r="E30" s="536">
        <v>3730.7909633392474</v>
      </c>
      <c r="F30" s="536">
        <v>3802.1495701249214</v>
      </c>
      <c r="G30" s="536">
        <v>4214.6157349119985</v>
      </c>
      <c r="H30" s="279">
        <f t="shared" si="4"/>
        <v>0.28007588474376344</v>
      </c>
      <c r="I30" s="254"/>
      <c r="J30" s="248"/>
      <c r="K30" s="248"/>
      <c r="L30" s="248"/>
      <c r="M30" s="248"/>
      <c r="N30" s="248"/>
      <c r="O30" s="5"/>
      <c r="Q30" s="5"/>
      <c r="S30" s="88"/>
      <c r="T30" s="42"/>
      <c r="U30" s="42"/>
      <c r="V30" s="147" t="s">
        <v>588</v>
      </c>
      <c r="W30" s="288">
        <f t="shared" si="6"/>
        <v>0.7947011728859269</v>
      </c>
      <c r="X30" s="288">
        <v>1</v>
      </c>
      <c r="Y30" s="42"/>
      <c r="Z30" s="42"/>
      <c r="AA30" s="42"/>
    </row>
    <row r="31" spans="2:27">
      <c r="B31" s="5" t="s">
        <v>585</v>
      </c>
      <c r="C31" s="545">
        <v>1780.0000000000002</v>
      </c>
      <c r="D31" s="536">
        <v>1900.0000000000002</v>
      </c>
      <c r="E31" s="536">
        <v>2798.0932225044353</v>
      </c>
      <c r="F31" s="536">
        <v>2851.6121775936913</v>
      </c>
      <c r="G31" s="536">
        <v>3160.9618011839989</v>
      </c>
      <c r="H31" s="279">
        <f t="shared" si="4"/>
        <v>0.18491868762300667</v>
      </c>
      <c r="I31" s="254"/>
      <c r="J31" s="5" t="s">
        <v>731</v>
      </c>
      <c r="K31" s="247"/>
      <c r="L31" s="322">
        <v>38014</v>
      </c>
      <c r="M31" s="322">
        <v>39314</v>
      </c>
      <c r="N31" s="322">
        <v>40314</v>
      </c>
      <c r="O31" s="322">
        <v>41314</v>
      </c>
      <c r="Q31" s="5"/>
      <c r="S31" s="88"/>
      <c r="T31" s="42"/>
      <c r="U31" s="42"/>
      <c r="V31" s="147" t="s">
        <v>470</v>
      </c>
      <c r="W31" s="288">
        <f t="shared" si="6"/>
        <v>-2.7812557312860906</v>
      </c>
      <c r="X31" s="288">
        <v>1</v>
      </c>
      <c r="Y31" s="42"/>
      <c r="Z31" s="42"/>
      <c r="AA31" s="42"/>
    </row>
    <row r="32" spans="2:27">
      <c r="B32" s="5" t="s">
        <v>601</v>
      </c>
      <c r="C32" s="546">
        <v>0</v>
      </c>
      <c r="D32" s="536">
        <v>0</v>
      </c>
      <c r="E32" s="536">
        <v>0</v>
      </c>
      <c r="F32" s="536">
        <v>0</v>
      </c>
      <c r="G32" s="536">
        <v>0</v>
      </c>
      <c r="H32" s="279" t="str">
        <f t="shared" si="4"/>
        <v>nm</v>
      </c>
      <c r="I32" s="254"/>
      <c r="J32" s="5" t="s">
        <v>1351</v>
      </c>
      <c r="K32" s="254"/>
      <c r="L32" s="322">
        <v>57409</v>
      </c>
      <c r="M32" s="322">
        <v>61450.29820355658</v>
      </c>
      <c r="N32" s="322">
        <v>65218.829883512641</v>
      </c>
      <c r="O32" s="322">
        <v>68841.699160134565</v>
      </c>
      <c r="Q32" s="5"/>
      <c r="S32" s="88"/>
      <c r="T32" s="42"/>
      <c r="U32" s="42"/>
      <c r="V32" s="147" t="s">
        <v>528</v>
      </c>
      <c r="W32" s="288">
        <f t="shared" si="6"/>
        <v>1.2682818942534713</v>
      </c>
      <c r="X32" s="288">
        <v>1</v>
      </c>
      <c r="Y32" s="42"/>
      <c r="Z32" s="42"/>
      <c r="AA32" s="42"/>
    </row>
    <row r="33" spans="2:27">
      <c r="B33" s="5" t="s">
        <v>5</v>
      </c>
      <c r="C33" s="545">
        <v>-837.6</v>
      </c>
      <c r="D33" s="536">
        <v>-724.81952700000011</v>
      </c>
      <c r="E33" s="536">
        <v>-1190.1599999999999</v>
      </c>
      <c r="F33" s="536">
        <v>-636.5176031061892</v>
      </c>
      <c r="G33" s="536">
        <v>-979.66409013375096</v>
      </c>
      <c r="H33" s="279">
        <f>IF(D33=0,"nm",IF(G33=0,"nm",(G33/D33)^(1/3)-1))</f>
        <v>0.10564515733095026</v>
      </c>
      <c r="I33" s="5"/>
      <c r="Q33" s="5"/>
      <c r="S33" s="88"/>
      <c r="T33" s="42"/>
      <c r="U33" s="42"/>
      <c r="V33" s="147" t="s">
        <v>575</v>
      </c>
      <c r="W33" s="288">
        <f t="shared" si="6"/>
        <v>0.88355288144108701</v>
      </c>
      <c r="X33" s="288">
        <v>1</v>
      </c>
      <c r="Y33" s="42"/>
      <c r="Z33" s="42"/>
      <c r="AA33" s="42"/>
    </row>
    <row r="34" spans="2:27">
      <c r="H34" s="277"/>
      <c r="I34" s="49"/>
      <c r="Q34" s="5"/>
      <c r="S34" s="88"/>
      <c r="T34" s="42"/>
      <c r="U34" s="42"/>
      <c r="V34" s="147" t="s">
        <v>576</v>
      </c>
      <c r="W34" s="288">
        <f>D47/L19</f>
        <v>-0.35954982087806298</v>
      </c>
      <c r="X34" s="288">
        <v>1</v>
      </c>
      <c r="Y34" s="288"/>
      <c r="Z34" s="288"/>
      <c r="AA34" s="42"/>
    </row>
    <row r="35" spans="2:27" ht="12.6" thickBot="1">
      <c r="B35" s="306" t="s">
        <v>758</v>
      </c>
      <c r="C35" s="265"/>
      <c r="D35" s="265" t="str">
        <f>D5</f>
        <v>2023E</v>
      </c>
      <c r="E35" s="265" t="str">
        <f t="shared" ref="E35:H35" si="8">E5</f>
        <v>2024E</v>
      </c>
      <c r="F35" s="265" t="str">
        <f t="shared" si="8"/>
        <v>2025E</v>
      </c>
      <c r="G35" s="265" t="str">
        <f t="shared" si="8"/>
        <v>2026E</v>
      </c>
      <c r="H35" s="265" t="str">
        <f t="shared" si="8"/>
        <v>23E-26E</v>
      </c>
      <c r="I35" s="254"/>
      <c r="J35" s="306" t="s">
        <v>1352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D$18/D23</f>
        <v>8.3181022570145426</v>
      </c>
      <c r="E37" s="525">
        <f t="shared" ref="E37:G41" si="9">E$18/E23</f>
        <v>7.7645468844747851</v>
      </c>
      <c r="F37" s="525">
        <f t="shared" si="9"/>
        <v>6.8668547524385772</v>
      </c>
      <c r="G37" s="525">
        <f t="shared" si="9"/>
        <v>6.0631519497588533</v>
      </c>
      <c r="H37" s="17">
        <f t="shared" ref="H37:H45" si="10">H23</f>
        <v>8.6843909943530306E-2</v>
      </c>
      <c r="I37" s="5"/>
      <c r="J37" s="248"/>
      <c r="K37" s="248"/>
      <c r="L37" s="248"/>
      <c r="M37" s="248"/>
      <c r="N37" s="248"/>
      <c r="O37" s="5"/>
      <c r="Q37" s="5"/>
      <c r="R37" s="5"/>
      <c r="S37" s="42"/>
      <c r="T37" s="42"/>
      <c r="U37" s="42"/>
      <c r="V37" s="42"/>
      <c r="W37" s="42"/>
      <c r="X37" s="42"/>
      <c r="Y37" s="42"/>
      <c r="Z37" s="42"/>
      <c r="AA37" s="42"/>
    </row>
    <row r="38" spans="2:27">
      <c r="B38" s="5" t="s">
        <v>180</v>
      </c>
      <c r="C38" s="247"/>
      <c r="D38" s="525">
        <f>D$18/D24</f>
        <v>10.330022958971247</v>
      </c>
      <c r="E38" s="525">
        <f>E$18/E24</f>
        <v>9.5174387438763226</v>
      </c>
      <c r="F38" s="525">
        <f t="shared" si="9"/>
        <v>8.4170873641200181</v>
      </c>
      <c r="G38" s="525">
        <f t="shared" si="9"/>
        <v>7.4319439543892383</v>
      </c>
      <c r="H38" s="17">
        <f t="shared" si="10"/>
        <v>9.1586599528963974E-2</v>
      </c>
      <c r="I38" s="259"/>
      <c r="J38" s="252"/>
      <c r="K38" s="252"/>
      <c r="L38" s="252"/>
      <c r="M38" s="252"/>
      <c r="N38" s="252"/>
      <c r="O38" s="5"/>
      <c r="Q38" s="5"/>
      <c r="R38" s="5"/>
      <c r="S38" s="42"/>
      <c r="T38" s="42"/>
      <c r="U38" s="42"/>
      <c r="V38" s="42"/>
      <c r="W38" s="42"/>
      <c r="X38" s="42"/>
      <c r="Y38" s="42"/>
      <c r="Z38" s="42"/>
      <c r="AA38" s="42"/>
    </row>
    <row r="39" spans="2:27">
      <c r="B39" s="5" t="s">
        <v>181</v>
      </c>
      <c r="C39" s="247"/>
      <c r="D39" s="525">
        <f>D$18/D25</f>
        <v>-25.106669261864415</v>
      </c>
      <c r="E39" s="525">
        <f t="shared" si="9"/>
        <v>117.02868267679099</v>
      </c>
      <c r="F39" s="525">
        <f t="shared" si="9"/>
        <v>32.275532062003592</v>
      </c>
      <c r="G39" s="525">
        <f t="shared" si="9"/>
        <v>11.948819343344208</v>
      </c>
      <c r="H39" s="17">
        <f t="shared" si="10"/>
        <v>-2.2527948058967429</v>
      </c>
      <c r="I39" s="17"/>
      <c r="J39" s="259"/>
      <c r="K39" s="259"/>
      <c r="L39" s="259"/>
      <c r="M39" s="259"/>
      <c r="N39" s="259"/>
      <c r="O39" s="18"/>
      <c r="Q39" s="5"/>
      <c r="R39" s="5"/>
      <c r="S39" s="42"/>
      <c r="T39" s="42"/>
      <c r="U39" s="42"/>
      <c r="V39" s="42"/>
      <c r="W39" s="42"/>
      <c r="X39" s="42"/>
      <c r="Y39" s="42"/>
      <c r="Z39" s="42"/>
      <c r="AA39" s="42"/>
    </row>
    <row r="40" spans="2:27">
      <c r="B40" s="5" t="s">
        <v>461</v>
      </c>
      <c r="C40" s="247"/>
      <c r="D40" s="525">
        <f>D$18/D26</f>
        <v>-33.475559015819222</v>
      </c>
      <c r="E40" s="525">
        <f t="shared" si="9"/>
        <v>156.03824356905466</v>
      </c>
      <c r="F40" s="525">
        <f t="shared" si="9"/>
        <v>43.03404274933812</v>
      </c>
      <c r="G40" s="525">
        <f t="shared" si="9"/>
        <v>15.931759124458944</v>
      </c>
      <c r="H40" s="17">
        <f t="shared" si="10"/>
        <v>-2.2527948058967429</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1.4522834535718288</v>
      </c>
      <c r="E41" s="525">
        <f t="shared" si="9"/>
        <v>1.4289906963374861</v>
      </c>
      <c r="F41" s="525">
        <f t="shared" si="9"/>
        <v>1.3780041484726733</v>
      </c>
      <c r="G41" s="525">
        <f t="shared" si="9"/>
        <v>1.3208822391850117</v>
      </c>
      <c r="H41" s="17">
        <f t="shared" si="10"/>
        <v>9.534127287623928E-3</v>
      </c>
      <c r="I41" s="247"/>
      <c r="J41" s="259"/>
      <c r="K41" s="259"/>
      <c r="L41" s="259"/>
      <c r="M41" s="259"/>
      <c r="N41" s="259"/>
      <c r="O41" s="18"/>
      <c r="Q41" s="5"/>
      <c r="R41" s="5"/>
      <c r="S41" s="42"/>
      <c r="T41" s="42"/>
      <c r="U41" s="42"/>
      <c r="V41" s="42"/>
      <c r="W41" s="288"/>
      <c r="X41" s="288"/>
      <c r="Y41" s="288"/>
      <c r="Z41" s="288"/>
      <c r="AA41" s="42"/>
    </row>
    <row r="42" spans="2:27">
      <c r="B42" s="5" t="s">
        <v>588</v>
      </c>
      <c r="C42" s="247"/>
      <c r="D42" s="525">
        <f>D18/D28</f>
        <v>2.4179232812720994</v>
      </c>
      <c r="E42" s="525">
        <f>E18/E28</f>
        <v>2.5083223911883117</v>
      </c>
      <c r="F42" s="525">
        <f>F18/F28</f>
        <v>2.3935108934036093</v>
      </c>
      <c r="G42" s="525">
        <f>G18/G28</f>
        <v>2.2626544954746572</v>
      </c>
      <c r="H42" s="17">
        <f t="shared" si="10"/>
        <v>0</v>
      </c>
      <c r="I42" s="248"/>
      <c r="J42" s="5"/>
      <c r="K42" s="5"/>
      <c r="L42" s="5"/>
      <c r="M42" s="5"/>
      <c r="N42" s="5"/>
      <c r="O42" s="5"/>
      <c r="Q42" s="5"/>
      <c r="R42" s="5"/>
      <c r="S42" s="42"/>
      <c r="T42" s="42"/>
      <c r="U42" s="42"/>
      <c r="V42" s="42"/>
      <c r="W42" s="288"/>
      <c r="X42" s="288"/>
      <c r="Y42" s="288"/>
      <c r="Z42" s="288"/>
      <c r="AA42" s="42"/>
    </row>
    <row r="43" spans="2:27">
      <c r="B43" s="5" t="s">
        <v>470</v>
      </c>
      <c r="C43" s="247"/>
      <c r="D43" s="525">
        <f>L26/D29</f>
        <v>-54.752416003919969</v>
      </c>
      <c r="E43" s="525">
        <f>M26/E29</f>
        <v>269.43742413734441</v>
      </c>
      <c r="F43" s="525">
        <f>N26/F29</f>
        <v>16.831411354946244</v>
      </c>
      <c r="G43" s="525">
        <f>O26/G29</f>
        <v>14.719207334538211</v>
      </c>
      <c r="H43" s="17">
        <f t="shared" si="10"/>
        <v>-2.5494335478204144</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27.137968962279924</v>
      </c>
      <c r="E44" s="525">
        <f>E11/E30</f>
        <v>14.615957161597095</v>
      </c>
      <c r="F44" s="525">
        <f>F11/F30</f>
        <v>14.341645401721642</v>
      </c>
      <c r="G44" s="525">
        <f>G11/G30</f>
        <v>12.938090760527796</v>
      </c>
      <c r="H44" s="17">
        <f t="shared" si="10"/>
        <v>0.28007588474376344</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3.4843792865642272E-2</v>
      </c>
      <c r="E45" s="248">
        <f>E31/E11</f>
        <v>5.1313779296685277E-2</v>
      </c>
      <c r="F45" s="248">
        <f>F31/F11</f>
        <v>5.2295254762746143E-2</v>
      </c>
      <c r="G45" s="248">
        <f>G31/G11</f>
        <v>5.7968367503506715E-2</v>
      </c>
      <c r="H45" s="17">
        <f t="shared" si="10"/>
        <v>0.18491868762300667</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3.4843792865642272E-2</v>
      </c>
      <c r="E46" s="248">
        <f>(E31+E32)/E11</f>
        <v>5.1313779296685277E-2</v>
      </c>
      <c r="F46" s="248">
        <f>(F31+F32)/F11</f>
        <v>5.2295254762746143E-2</v>
      </c>
      <c r="G46" s="248">
        <f>(G31+G32)/G11</f>
        <v>5.7968367503506715E-2</v>
      </c>
      <c r="H46" s="279">
        <f>((G31+G32)/(D31+D32))^(1/3)-1</f>
        <v>0.18491868762300667</v>
      </c>
      <c r="I46" s="247"/>
      <c r="J46" s="5"/>
      <c r="K46" s="5"/>
      <c r="L46" s="5"/>
      <c r="M46" s="5"/>
      <c r="N46" s="5"/>
      <c r="O46" s="5"/>
      <c r="Q46" s="5"/>
      <c r="R46" s="5"/>
      <c r="S46" s="42"/>
      <c r="T46" s="42"/>
      <c r="U46" s="42"/>
      <c r="V46" s="42"/>
      <c r="W46" s="42"/>
      <c r="X46" s="42"/>
      <c r="Y46" s="42"/>
      <c r="Z46" s="42"/>
      <c r="AA46" s="326"/>
    </row>
    <row r="47" spans="2:27">
      <c r="B47" s="5" t="s">
        <v>576</v>
      </c>
      <c r="C47" s="5"/>
      <c r="D47" s="248">
        <f>1/D43</f>
        <v>-1.8264034228707014E-2</v>
      </c>
      <c r="E47" s="248">
        <f>1/E43</f>
        <v>3.7114369067388904E-3</v>
      </c>
      <c r="F47" s="248">
        <f>1/F43</f>
        <v>5.9412724156737463E-2</v>
      </c>
      <c r="G47" s="248">
        <f>1/G43</f>
        <v>6.7938441063570582E-2</v>
      </c>
      <c r="H47" s="17">
        <f>H29</f>
        <v>-2.5494335478204144</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-1.9077818421340647</v>
      </c>
      <c r="E48" s="305">
        <f>E31/E29</f>
        <v>13.825852516451075</v>
      </c>
      <c r="F48" s="305">
        <f>F31/F29</f>
        <v>0.88020294482349204</v>
      </c>
      <c r="G48" s="305">
        <f>G31/G29</f>
        <v>0.85324842012882252</v>
      </c>
      <c r="H48" s="279" t="s">
        <v>602</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399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328</v>
      </c>
      <c r="C9" s="287">
        <f>Prices!C110/100</f>
        <v>92</v>
      </c>
      <c r="D9" s="531">
        <v>0</v>
      </c>
      <c r="E9" s="532">
        <v>0</v>
      </c>
      <c r="F9" s="532">
        <v>0</v>
      </c>
      <c r="G9" s="532">
        <v>0</v>
      </c>
      <c r="H9" s="249"/>
      <c r="I9" s="249"/>
      <c r="J9" s="5" t="s">
        <v>268</v>
      </c>
      <c r="L9" s="525">
        <f>'EMEA CELLULAR'!D37</f>
        <v>3.1810559293853995</v>
      </c>
      <c r="M9" s="525">
        <f>'EMEA CELLULAR'!E37</f>
        <v>3.2323872383219907</v>
      </c>
      <c r="N9" s="525">
        <f>'EMEA CELLULAR'!F37</f>
        <v>2.8967593532646405</v>
      </c>
      <c r="O9" s="525">
        <f>'EMEA CELLULAR'!G37</f>
        <v>2.5822840300404155</v>
      </c>
      <c r="P9" s="286">
        <f>'EMEA CELLULAR'!H37</f>
        <v>4.7493644526533263E-2</v>
      </c>
      <c r="S9" s="88"/>
      <c r="T9" s="42"/>
      <c r="U9" s="42"/>
      <c r="V9" s="42"/>
      <c r="W9" s="42"/>
      <c r="X9" s="42"/>
      <c r="Y9" s="42"/>
      <c r="Z9" s="42"/>
      <c r="AA9" s="42"/>
    </row>
    <row r="10" spans="2:44">
      <c r="B10" s="5" t="s">
        <v>269</v>
      </c>
      <c r="C10" s="5"/>
      <c r="D10" s="527">
        <v>1837.96</v>
      </c>
      <c r="E10" s="527">
        <v>1837.96</v>
      </c>
      <c r="F10" s="527">
        <v>1837.96</v>
      </c>
      <c r="G10" s="527">
        <v>1837.96</v>
      </c>
      <c r="H10" s="247"/>
      <c r="I10" s="247"/>
      <c r="J10" s="5" t="s">
        <v>180</v>
      </c>
      <c r="L10" s="525">
        <f>'EMEA CELLULAR'!D38</f>
        <v>7.7572766871744339</v>
      </c>
      <c r="M10" s="525">
        <f>'EMEA CELLULAR'!E38</f>
        <v>8.095415565986066</v>
      </c>
      <c r="N10" s="525">
        <f>'EMEA CELLULAR'!F38</f>
        <v>7.1463601536743644</v>
      </c>
      <c r="O10" s="525">
        <f>'EMEA CELLULAR'!G38</f>
        <v>6.3123163660270478</v>
      </c>
      <c r="P10" s="286">
        <f>'EMEA CELLULAR'!H38</f>
        <v>4.6652398847596643E-2</v>
      </c>
      <c r="S10" s="88"/>
      <c r="T10" s="42"/>
      <c r="U10" s="42"/>
      <c r="V10" s="42"/>
      <c r="W10" s="288"/>
      <c r="X10" s="288"/>
      <c r="Y10" s="288"/>
      <c r="Z10" s="288"/>
      <c r="AA10" s="42"/>
    </row>
    <row r="11" spans="2:44">
      <c r="B11" s="41" t="s">
        <v>270</v>
      </c>
      <c r="C11" s="5"/>
      <c r="D11" s="528">
        <f>$C$9*D10</f>
        <v>169092.32</v>
      </c>
      <c r="E11" s="528">
        <f>$C$9*E10</f>
        <v>169092.32</v>
      </c>
      <c r="F11" s="528">
        <f>$C$9*F10</f>
        <v>169092.32</v>
      </c>
      <c r="G11" s="528">
        <f>$C$9*G10</f>
        <v>169092.32</v>
      </c>
      <c r="H11" s="249"/>
      <c r="I11" s="249"/>
      <c r="J11" s="5" t="s">
        <v>181</v>
      </c>
      <c r="L11" s="525">
        <f>'EMEA CELLULAR'!D39</f>
        <v>15.605152275252255</v>
      </c>
      <c r="M11" s="525">
        <f>'EMEA CELLULAR'!E39</f>
        <v>14.854063145861112</v>
      </c>
      <c r="N11" s="525">
        <f>'EMEA CELLULAR'!F39</f>
        <v>12.469863163008389</v>
      </c>
      <c r="O11" s="525">
        <f>'EMEA CELLULAR'!G39</f>
        <v>10.733351248281235</v>
      </c>
      <c r="P11" s="286">
        <f>'EMEA CELLULAR'!H39</f>
        <v>0.10698020388173712</v>
      </c>
      <c r="S11" s="88"/>
      <c r="T11" s="42"/>
      <c r="U11" s="42"/>
      <c r="V11" s="42"/>
      <c r="W11" s="288"/>
      <c r="X11" s="288"/>
      <c r="Y11" s="288"/>
      <c r="Z11" s="288"/>
      <c r="AA11" s="42"/>
    </row>
    <row r="12" spans="2:44">
      <c r="B12" s="5" t="s">
        <v>24</v>
      </c>
      <c r="C12" s="249"/>
      <c r="D12" s="529">
        <v>98910</v>
      </c>
      <c r="E12" s="529">
        <v>107608.34013538704</v>
      </c>
      <c r="F12" s="529">
        <v>115547.32398575412</v>
      </c>
      <c r="G12" s="529">
        <v>122636.10422007341</v>
      </c>
      <c r="H12" s="247"/>
      <c r="I12" s="247"/>
      <c r="J12" s="5" t="s">
        <v>461</v>
      </c>
      <c r="L12" s="525">
        <f>'EMEA CELLULAR'!D40</f>
        <v>19.965576466556715</v>
      </c>
      <c r="M12" s="525">
        <f>'EMEA CELLULAR'!E40</f>
        <v>18.915055159311862</v>
      </c>
      <c r="N12" s="525">
        <f>'EMEA CELLULAR'!F40</f>
        <v>18.041615049136492</v>
      </c>
      <c r="O12" s="525">
        <f>'EMEA CELLULAR'!G40</f>
        <v>15.593250523045757</v>
      </c>
      <c r="P12" s="286">
        <f>'EMEA CELLULAR'!H40</f>
        <v>6.1069987666233061E-2</v>
      </c>
      <c r="S12" s="88"/>
      <c r="T12" s="42"/>
      <c r="U12" s="42"/>
      <c r="V12" s="42"/>
      <c r="W12" s="288"/>
      <c r="X12" s="288"/>
      <c r="Y12" s="288"/>
      <c r="Z12" s="288"/>
      <c r="AA12" s="42"/>
    </row>
    <row r="13" spans="2:44">
      <c r="B13" s="5" t="s">
        <v>524</v>
      </c>
      <c r="C13" s="257"/>
      <c r="D13" s="529">
        <v>18281.249999999996</v>
      </c>
      <c r="E13" s="529">
        <v>18281.249999999996</v>
      </c>
      <c r="F13" s="529">
        <v>18281.249999999996</v>
      </c>
      <c r="G13" s="529">
        <v>18281.249999999996</v>
      </c>
      <c r="H13" s="247"/>
      <c r="I13" s="247"/>
      <c r="J13" s="5" t="s">
        <v>525</v>
      </c>
      <c r="L13" s="525">
        <f>'EMEA CELLULAR'!D41</f>
        <v>2.9187139333758294</v>
      </c>
      <c r="M13" s="525">
        <f>'EMEA CELLULAR'!E41</f>
        <v>2.9515664246277606</v>
      </c>
      <c r="N13" s="525">
        <f>'EMEA CELLULAR'!F41</f>
        <v>2.8267562188907287</v>
      </c>
      <c r="O13" s="525">
        <f>'EMEA CELLULAR'!G41</f>
        <v>2.6673762180421927</v>
      </c>
      <c r="P13" s="286">
        <f>'EMEA CELLULAR'!H41</f>
        <v>6.9271484573356634E-3</v>
      </c>
      <c r="S13" s="88"/>
      <c r="T13" s="42"/>
      <c r="U13" s="42"/>
      <c r="V13" s="42"/>
      <c r="W13" s="42"/>
      <c r="X13" s="42"/>
      <c r="Y13" s="42"/>
      <c r="Z13" s="42"/>
      <c r="AA13" s="42"/>
    </row>
    <row r="14" spans="2:44">
      <c r="B14" s="5" t="s">
        <v>527</v>
      </c>
      <c r="C14" s="257"/>
      <c r="D14" s="529">
        <v>19646</v>
      </c>
      <c r="E14" s="529">
        <v>19646</v>
      </c>
      <c r="F14" s="529">
        <v>19646</v>
      </c>
      <c r="G14" s="529">
        <v>19646</v>
      </c>
      <c r="H14" s="247"/>
      <c r="I14" s="247"/>
      <c r="J14" s="5" t="s">
        <v>588</v>
      </c>
      <c r="L14" s="525">
        <f>'EMEA CELLULAR'!D42</f>
        <v>4.7109464900339777</v>
      </c>
      <c r="M14" s="525">
        <f>'EMEA CELLULAR'!E42</f>
        <v>4.3550930553623157</v>
      </c>
      <c r="N14" s="525">
        <f>'EMEA CELLULAR'!F42</f>
        <v>4.15717737946275</v>
      </c>
      <c r="O14" s="525">
        <f>'EMEA CELLULAR'!G42</f>
        <v>3.8993389218542824</v>
      </c>
      <c r="P14" s="286">
        <f>'EMEA CELLULAR'!H42</f>
        <v>4.0721900193509741E-2</v>
      </c>
      <c r="S14" s="88"/>
      <c r="T14" s="42"/>
      <c r="U14" s="42"/>
      <c r="V14" s="42"/>
      <c r="W14" s="42"/>
      <c r="X14" s="42"/>
      <c r="Y14" s="42"/>
      <c r="Z14" s="42"/>
      <c r="AA14" s="42"/>
    </row>
    <row r="15" spans="2:44">
      <c r="B15" s="5" t="s">
        <v>526</v>
      </c>
      <c r="C15" s="274"/>
      <c r="D15" s="529">
        <v>57461</v>
      </c>
      <c r="E15" s="529">
        <v>57461</v>
      </c>
      <c r="F15" s="529">
        <v>57461</v>
      </c>
      <c r="G15" s="529">
        <v>57461</v>
      </c>
      <c r="H15" s="247"/>
      <c r="I15" s="247"/>
      <c r="J15" s="5" t="s">
        <v>470</v>
      </c>
      <c r="L15" s="525">
        <f>'EMEA CELLULAR'!D43</f>
        <v>44.913387794396655</v>
      </c>
      <c r="M15" s="525">
        <f>'EMEA CELLULAR'!E43</f>
        <v>29.995057672440403</v>
      </c>
      <c r="N15" s="525">
        <f>'EMEA CELLULAR'!F43</f>
        <v>25.064246666873888</v>
      </c>
      <c r="O15" s="525">
        <f>'EMEA CELLULAR'!G43</f>
        <v>21.218892573865638</v>
      </c>
      <c r="P15" s="286">
        <f>'EMEA CELLULAR'!H43</f>
        <v>0.28395863860305148</v>
      </c>
      <c r="S15" s="88"/>
      <c r="T15" s="42"/>
      <c r="U15" s="42"/>
      <c r="V15" s="42"/>
      <c r="W15" s="42"/>
      <c r="X15" s="42"/>
      <c r="Y15" s="42"/>
      <c r="Z15" s="42"/>
      <c r="AA15" s="42"/>
    </row>
    <row r="16" spans="2:44">
      <c r="B16" s="5" t="s">
        <v>529</v>
      </c>
      <c r="C16" s="257"/>
      <c r="D16" s="529">
        <v>0</v>
      </c>
      <c r="E16" s="529">
        <v>0</v>
      </c>
      <c r="F16" s="529">
        <v>6065.268</v>
      </c>
      <c r="G16" s="529">
        <v>12737.0628</v>
      </c>
      <c r="H16" s="247"/>
      <c r="I16" s="247"/>
      <c r="J16" s="5" t="s">
        <v>528</v>
      </c>
      <c r="L16" s="525">
        <f>'EMEA CELLULAR'!D44</f>
        <v>29.727847806043954</v>
      </c>
      <c r="M16" s="525">
        <f>'EMEA CELLULAR'!E44</f>
        <v>27.159249380804312</v>
      </c>
      <c r="N16" s="525">
        <f>'EMEA CELLULAR'!F44</f>
        <v>19.560820863413703</v>
      </c>
      <c r="O16" s="525">
        <f>'EMEA CELLULAR'!G44</f>
        <v>16.324783869234651</v>
      </c>
      <c r="P16" s="286">
        <f>'EMEA CELLULAR'!H44</f>
        <v>0.22067184815723828</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'EMEA CELLULAR'!D45</f>
        <v>1.8067342047517077E-2</v>
      </c>
      <c r="M17" s="248">
        <f>'EMEA CELLULAR'!E45</f>
        <v>2.1685197442238385E-2</v>
      </c>
      <c r="N17" s="248">
        <f>'EMEA CELLULAR'!F45</f>
        <v>2.716595241137466E-2</v>
      </c>
      <c r="O17" s="248">
        <f>'EMEA CELLULAR'!G45</f>
        <v>2.9076456344932108E-2</v>
      </c>
      <c r="P17" s="286">
        <f>'EMEA CELLULAR'!H45</f>
        <v>0.17141106606848178</v>
      </c>
      <c r="S17" s="88"/>
      <c r="T17" s="42"/>
      <c r="U17" s="42"/>
      <c r="V17" s="42"/>
      <c r="W17" s="42"/>
      <c r="X17" s="42"/>
      <c r="Y17" s="42"/>
      <c r="Z17" s="42"/>
      <c r="AA17" s="42"/>
    </row>
    <row r="18" spans="2:27" ht="12.6" thickBot="1">
      <c r="B18" s="41" t="s">
        <v>578</v>
      </c>
      <c r="C18" s="249"/>
      <c r="D18" s="530">
        <f>D11+D12+D13-D14+D15-D16-D17</f>
        <v>324098.57</v>
      </c>
      <c r="E18" s="530">
        <f>E11+E12+E13-E14+E15-E16-E17</f>
        <v>332796.91013538704</v>
      </c>
      <c r="F18" s="530">
        <f>F11+F12+F13-F14+F15-F16-F17</f>
        <v>334670.62598575413</v>
      </c>
      <c r="G18" s="530">
        <f>G11+G12+G13-G14+G15-G16-G17</f>
        <v>335087.61142007337</v>
      </c>
      <c r="H18" s="276">
        <f>IF(D18=0,"nm",IF(G18=0,"nm",(G18/D18)^(1/3)-1))</f>
        <v>1.1176774050793759E-2</v>
      </c>
      <c r="I18" s="254"/>
      <c r="J18" s="5" t="s">
        <v>36</v>
      </c>
      <c r="L18" s="248">
        <f>'EMEA CELLULAR'!D46</f>
        <v>1.9060999328690584E-2</v>
      </c>
      <c r="M18" s="248">
        <f>'EMEA CELLULAR'!E46</f>
        <v>1.6448875575029897E-2</v>
      </c>
      <c r="N18" s="248">
        <f>'EMEA CELLULAR'!F46</f>
        <v>3.2525613186693281E-2</v>
      </c>
      <c r="O18" s="248">
        <f>'EMEA CELLULAR'!G46</f>
        <v>2.8728545035796364E-2</v>
      </c>
      <c r="P18" s="286">
        <f>'EMEA CELLULAR'!H46</f>
        <v>0.14608344960699671</v>
      </c>
      <c r="S18" s="88"/>
      <c r="T18" s="42"/>
      <c r="U18" s="42"/>
      <c r="V18" s="42"/>
      <c r="W18" s="42"/>
      <c r="X18" s="42"/>
      <c r="Y18" s="42"/>
      <c r="Z18" s="42"/>
      <c r="AA18" s="42"/>
    </row>
    <row r="19" spans="2:27" ht="12.6" thickTop="1">
      <c r="B19" s="41"/>
      <c r="C19" s="249"/>
      <c r="D19" s="229"/>
      <c r="E19" s="229"/>
      <c r="F19" s="229"/>
      <c r="G19" s="229"/>
      <c r="H19" s="276"/>
      <c r="I19" s="254"/>
      <c r="J19" s="5" t="s">
        <v>576</v>
      </c>
      <c r="L19" s="248">
        <f>'EMEA CELLULAR'!D47</f>
        <v>2.226507616343203E-2</v>
      </c>
      <c r="M19" s="248">
        <f>'EMEA CELLULAR'!E47</f>
        <v>3.3338825713237569E-2</v>
      </c>
      <c r="N19" s="248">
        <f>'EMEA CELLULAR'!F47</f>
        <v>3.9897468824452963E-2</v>
      </c>
      <c r="O19" s="248">
        <f>'EMEA CELLULAR'!G47</f>
        <v>4.712781293928861E-2</v>
      </c>
      <c r="P19" s="286">
        <f>'EMEA CELLULAR'!H47</f>
        <v>0.28395863860305148</v>
      </c>
      <c r="S19" s="88"/>
      <c r="T19" s="42"/>
      <c r="U19" s="42"/>
      <c r="V19" s="42"/>
      <c r="W19" s="42"/>
      <c r="X19" s="42"/>
      <c r="Y19" s="42"/>
      <c r="Z19" s="42"/>
      <c r="AA19" s="42"/>
    </row>
    <row r="20" spans="2:27">
      <c r="H20" s="277"/>
      <c r="I20" s="17"/>
      <c r="J20" s="5" t="s">
        <v>599</v>
      </c>
      <c r="L20" s="305">
        <f>'EMEA CELLULAR'!D48</f>
        <v>0.86093645070473657</v>
      </c>
      <c r="M20" s="305">
        <f>'EMEA CELLULAR'!E48</f>
        <v>0.6892786925982729</v>
      </c>
      <c r="N20" s="305">
        <f>'EMEA CELLULAR'!F48</f>
        <v>0.72154157991457057</v>
      </c>
      <c r="O20" s="305">
        <f>'EMEA CELLULAR'!G48</f>
        <v>0.65380157418816365</v>
      </c>
      <c r="P20" s="286" t="str">
        <f>'EMEA CELLULAR'!H48</f>
        <v>nm</v>
      </c>
      <c r="S20" s="88"/>
      <c r="T20" s="42"/>
      <c r="U20" s="42"/>
      <c r="V20" s="42"/>
      <c r="W20" s="42"/>
      <c r="X20" s="42"/>
      <c r="Y20" s="42"/>
      <c r="Z20" s="42"/>
      <c r="AA20" s="42"/>
    </row>
    <row r="21" spans="2:27" ht="12.6" thickBot="1">
      <c r="B21" s="306" t="s">
        <v>937</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207003</v>
      </c>
      <c r="D23" s="536">
        <v>221056</v>
      </c>
      <c r="E23" s="536">
        <v>193511.99992137964</v>
      </c>
      <c r="F23" s="536">
        <v>212395.31103347964</v>
      </c>
      <c r="G23" s="536">
        <v>238077.60939196491</v>
      </c>
      <c r="H23" s="279">
        <f t="shared" ref="H23:H32" si="3">IF(D23=0,"nm",IF(G23=0,"nm",(G23/D23)^(1/3)-1))</f>
        <v>2.5035127195639495E-2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89838</v>
      </c>
      <c r="D24" s="536">
        <v>88780</v>
      </c>
      <c r="E24" s="536">
        <v>70979.199116251606</v>
      </c>
      <c r="F24" s="536">
        <v>80596.025343121655</v>
      </c>
      <c r="G24" s="536">
        <v>92719.276108432838</v>
      </c>
      <c r="H24" s="279">
        <f t="shared" si="3"/>
        <v>1.4576885597962663E-2</v>
      </c>
      <c r="I24" s="249"/>
      <c r="J24" s="17"/>
      <c r="K24" s="17"/>
      <c r="L24" s="17"/>
      <c r="M24" s="17"/>
      <c r="N24" s="17"/>
      <c r="O24" s="248"/>
      <c r="S24" s="88"/>
      <c r="T24" s="42"/>
      <c r="U24" s="42"/>
      <c r="V24" s="42"/>
      <c r="W24" s="42" t="s">
        <v>399</v>
      </c>
      <c r="X24" s="42" t="s">
        <v>508</v>
      </c>
      <c r="Y24" s="42"/>
      <c r="Z24" s="42"/>
      <c r="AA24" s="42"/>
    </row>
    <row r="25" spans="2:27">
      <c r="B25" s="5" t="s">
        <v>179</v>
      </c>
      <c r="C25" s="544">
        <v>35737</v>
      </c>
      <c r="D25" s="536">
        <v>25158</v>
      </c>
      <c r="E25" s="536">
        <v>30056.167251247527</v>
      </c>
      <c r="F25" s="536">
        <v>38547.720265102034</v>
      </c>
      <c r="G25" s="536">
        <v>45565.419591608843</v>
      </c>
      <c r="H25" s="279">
        <f t="shared" si="3"/>
        <v>0.21895148380249196</v>
      </c>
      <c r="I25" s="248"/>
      <c r="J25" s="247" t="s">
        <v>10</v>
      </c>
      <c r="K25" s="247"/>
      <c r="L25" s="321">
        <v>0</v>
      </c>
      <c r="M25" s="321">
        <v>0</v>
      </c>
      <c r="N25" s="321">
        <v>0</v>
      </c>
      <c r="O25" s="321">
        <v>0</v>
      </c>
      <c r="P25" s="279" t="str">
        <f>IF(L25=0,"nm",IF(O25=0,"nm",(O25/L25)^(1/3)-1))</f>
        <v>nm</v>
      </c>
      <c r="S25" s="88"/>
      <c r="T25" s="42"/>
      <c r="U25" s="42"/>
      <c r="V25" s="147" t="s">
        <v>268</v>
      </c>
      <c r="W25" s="288">
        <f>D37/L9</f>
        <v>0.46089659817896561</v>
      </c>
      <c r="X25" s="288">
        <v>1</v>
      </c>
      <c r="Y25" s="42"/>
      <c r="Z25" s="42"/>
      <c r="AA25" s="42"/>
    </row>
    <row r="26" spans="2:27">
      <c r="B26" s="5" t="s">
        <v>581</v>
      </c>
      <c r="C26" s="544">
        <v>20904.884321799225</v>
      </c>
      <c r="D26" s="536">
        <v>8587.6687627464289</v>
      </c>
      <c r="E26" s="536">
        <v>30056.167251247527</v>
      </c>
      <c r="F26" s="536">
        <v>22357.677753759184</v>
      </c>
      <c r="G26" s="536">
        <v>26427.94336313313</v>
      </c>
      <c r="H26" s="279">
        <f t="shared" si="3"/>
        <v>0.45455236524478071</v>
      </c>
      <c r="I26" s="249"/>
      <c r="J26" s="249" t="s">
        <v>11</v>
      </c>
      <c r="K26" s="249"/>
      <c r="L26" s="281">
        <f>D11+L25</f>
        <v>169092.32</v>
      </c>
      <c r="M26" s="281">
        <f>E11+M25</f>
        <v>169092.32</v>
      </c>
      <c r="N26" s="281">
        <f>F11+N25</f>
        <v>169092.32</v>
      </c>
      <c r="O26" s="281">
        <f>G11+O25</f>
        <v>169092.32</v>
      </c>
      <c r="P26" s="279">
        <f>IF(L26=0,"nm",IF(O26=0,"nm",(O26/L26)^(1/3)-1))</f>
        <v>0</v>
      </c>
      <c r="Q26" s="5"/>
      <c r="S26" s="88"/>
      <c r="T26" s="42"/>
      <c r="U26" s="42"/>
      <c r="V26" s="147" t="s">
        <v>180</v>
      </c>
      <c r="W26" s="288">
        <f t="shared" ref="W26:W33" si="5">D38/L10</f>
        <v>0.47060083342218012</v>
      </c>
      <c r="X26" s="288">
        <v>1</v>
      </c>
      <c r="Y26" s="42"/>
      <c r="Z26" s="42"/>
      <c r="AA26" s="42"/>
    </row>
    <row r="27" spans="2:27">
      <c r="B27" s="5" t="s">
        <v>582</v>
      </c>
      <c r="C27" s="545">
        <v>208092</v>
      </c>
      <c r="D27" s="536">
        <v>249093</v>
      </c>
      <c r="E27" s="536">
        <v>235402.18188078329</v>
      </c>
      <c r="F27" s="536">
        <v>234870.432400441</v>
      </c>
      <c r="G27" s="536">
        <v>240213.51512388533</v>
      </c>
      <c r="H27" s="279">
        <f t="shared" si="3"/>
        <v>-1.2026478972418153E-2</v>
      </c>
      <c r="I27" s="249"/>
      <c r="J27" s="248"/>
      <c r="K27" s="248"/>
      <c r="L27" s="248"/>
      <c r="M27" s="248"/>
      <c r="N27" s="248"/>
      <c r="O27" s="248"/>
      <c r="Q27" s="41"/>
      <c r="S27" s="88"/>
      <c r="T27" s="42"/>
      <c r="U27" s="42"/>
      <c r="V27" s="147" t="s">
        <v>181</v>
      </c>
      <c r="W27" s="288">
        <f t="shared" si="5"/>
        <v>0.82553024880828474</v>
      </c>
      <c r="X27" s="288">
        <v>1</v>
      </c>
      <c r="Y27" s="42"/>
      <c r="Z27" s="42"/>
      <c r="AA27" s="42"/>
    </row>
    <row r="28" spans="2:27" ht="12.6" thickBot="1">
      <c r="B28" s="5" t="s">
        <v>587</v>
      </c>
      <c r="C28" s="544">
        <v>159401</v>
      </c>
      <c r="D28" s="536">
        <v>165404</v>
      </c>
      <c r="E28" s="536">
        <v>197421.95934516384</v>
      </c>
      <c r="F28" s="536">
        <v>200932.40670876694</v>
      </c>
      <c r="G28" s="536">
        <v>207895.22480131633</v>
      </c>
      <c r="H28" s="279">
        <f t="shared" si="3"/>
        <v>7.9193950037332206E-2</v>
      </c>
      <c r="I28" s="248"/>
      <c r="J28" s="306" t="s">
        <v>1352</v>
      </c>
      <c r="K28" s="306"/>
      <c r="L28" s="306"/>
      <c r="M28" s="306"/>
      <c r="N28" s="266"/>
      <c r="O28" s="266"/>
      <c r="P28" s="266"/>
      <c r="Q28" s="5"/>
      <c r="S28" s="88"/>
      <c r="T28" s="42"/>
      <c r="U28" s="42"/>
      <c r="V28" s="147" t="s">
        <v>461</v>
      </c>
      <c r="W28" s="288">
        <f t="shared" si="5"/>
        <v>1.8902531737569062</v>
      </c>
      <c r="X28" s="288">
        <v>1</v>
      </c>
      <c r="Y28" s="42"/>
      <c r="Z28" s="42"/>
      <c r="AA28" s="42"/>
    </row>
    <row r="29" spans="2:27" ht="12.6" thickTop="1">
      <c r="B29" s="5" t="s">
        <v>583</v>
      </c>
      <c r="C29" s="544">
        <v>-1866.8499999999985</v>
      </c>
      <c r="D29" s="536">
        <v>-13176.900000000001</v>
      </c>
      <c r="E29" s="536">
        <v>-1818.7608662857663</v>
      </c>
      <c r="F29" s="536">
        <v>3621.8528725954466</v>
      </c>
      <c r="G29" s="536">
        <v>7196.8128804136832</v>
      </c>
      <c r="H29" s="279">
        <f t="shared" si="3"/>
        <v>-1.8174144679787287</v>
      </c>
      <c r="I29" s="252"/>
      <c r="J29" s="249"/>
      <c r="K29" s="249"/>
      <c r="L29" s="249"/>
      <c r="M29" s="249"/>
      <c r="N29" s="249"/>
      <c r="O29" s="251"/>
      <c r="Q29" s="5"/>
      <c r="S29" s="88"/>
      <c r="T29" s="42"/>
      <c r="U29" s="42"/>
      <c r="V29" s="147" t="s">
        <v>525</v>
      </c>
      <c r="W29" s="288">
        <f t="shared" si="5"/>
        <v>0.44578357246356753</v>
      </c>
      <c r="X29" s="288">
        <v>1</v>
      </c>
      <c r="Y29" s="42"/>
      <c r="Z29" s="42"/>
      <c r="AA29" s="42"/>
    </row>
    <row r="30" spans="2:27">
      <c r="B30" s="5" t="s">
        <v>584</v>
      </c>
      <c r="C30" s="545">
        <v>24944.15</v>
      </c>
      <c r="D30" s="536">
        <v>22301.1</v>
      </c>
      <c r="E30" s="536">
        <v>10229.594567606044</v>
      </c>
      <c r="F30" s="536">
        <v>13997.082133576578</v>
      </c>
      <c r="G30" s="536">
        <v>20842.302200700429</v>
      </c>
      <c r="H30" s="279">
        <f t="shared" si="3"/>
        <v>-2.2298080487964334E-2</v>
      </c>
      <c r="I30" s="254"/>
      <c r="J30" s="248"/>
      <c r="K30" s="248"/>
      <c r="L30" s="248"/>
      <c r="M30" s="248"/>
      <c r="N30" s="248"/>
      <c r="O30" s="5"/>
      <c r="Q30" s="5"/>
      <c r="S30" s="88"/>
      <c r="T30" s="42"/>
      <c r="U30" s="42"/>
      <c r="V30" s="147" t="s">
        <v>588</v>
      </c>
      <c r="W30" s="288">
        <f t="shared" si="5"/>
        <v>0.4159325757783604</v>
      </c>
      <c r="X30" s="288">
        <v>1</v>
      </c>
      <c r="Y30" s="42"/>
      <c r="Z30" s="42"/>
      <c r="AA30" s="42"/>
    </row>
    <row r="31" spans="2:27">
      <c r="B31" s="5" t="s">
        <v>585</v>
      </c>
      <c r="C31" s="545">
        <v>6111.8830805999996</v>
      </c>
      <c r="D31" s="536">
        <v>6065.268</v>
      </c>
      <c r="E31" s="536">
        <v>6065.268</v>
      </c>
      <c r="F31" s="536">
        <v>6671.7947999999997</v>
      </c>
      <c r="G31" s="536">
        <v>7338.9742800000004</v>
      </c>
      <c r="H31" s="279">
        <f t="shared" si="3"/>
        <v>6.56022367666107E-2</v>
      </c>
      <c r="I31" s="254"/>
      <c r="J31" s="252"/>
      <c r="K31" s="252"/>
      <c r="L31" s="252"/>
      <c r="M31" s="252"/>
      <c r="N31" s="252"/>
      <c r="O31" s="5"/>
      <c r="Q31" s="5"/>
      <c r="S31" s="88"/>
      <c r="T31" s="42"/>
      <c r="U31" s="42"/>
      <c r="V31" s="147" t="s">
        <v>470</v>
      </c>
      <c r="W31" s="288">
        <f t="shared" si="5"/>
        <v>-0.2857161687082258</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0.25505516861519179</v>
      </c>
      <c r="X32" s="288">
        <v>1</v>
      </c>
      <c r="Y32" s="42"/>
      <c r="Z32" s="42"/>
      <c r="AA32" s="42"/>
    </row>
    <row r="33" spans="2:27">
      <c r="B33" s="5" t="s">
        <v>5</v>
      </c>
      <c r="C33" s="545">
        <v>-12638</v>
      </c>
      <c r="D33" s="536">
        <v>-15899</v>
      </c>
      <c r="E33" s="536">
        <v>-18098.441846814123</v>
      </c>
      <c r="F33" s="536">
        <v>-17099.698279122083</v>
      </c>
      <c r="G33" s="536">
        <v>-16119.006184708036</v>
      </c>
      <c r="H33" s="279">
        <f>IF(D33=0,"nm",IF(G33=0,"nm",(G33/D33)^(1/3)-1))</f>
        <v>4.5914652685181689E-3</v>
      </c>
      <c r="I33" s="5"/>
      <c r="J33" s="254"/>
      <c r="K33" s="254"/>
      <c r="L33" s="254"/>
      <c r="M33" s="254"/>
      <c r="N33" s="254"/>
      <c r="O33" s="251"/>
      <c r="Q33" s="5"/>
      <c r="S33" s="88"/>
      <c r="T33" s="42"/>
      <c r="U33" s="42"/>
      <c r="V33" s="147" t="s">
        <v>575</v>
      </c>
      <c r="W33" s="288">
        <f t="shared" si="5"/>
        <v>1.9853260719288102</v>
      </c>
      <c r="X33" s="288">
        <v>1</v>
      </c>
      <c r="Y33" s="42"/>
      <c r="Z33" s="42"/>
      <c r="AA33" s="42"/>
    </row>
    <row r="34" spans="2:27">
      <c r="H34" s="277"/>
      <c r="I34" s="49"/>
      <c r="J34" s="254"/>
      <c r="K34" s="254"/>
      <c r="L34" s="254"/>
      <c r="M34" s="254"/>
      <c r="N34" s="254"/>
      <c r="O34" s="251"/>
      <c r="Q34" s="5"/>
      <c r="S34" s="88"/>
      <c r="T34" s="42"/>
      <c r="U34" s="42"/>
      <c r="V34" s="147" t="s">
        <v>576</v>
      </c>
      <c r="W34" s="288">
        <f>D47/L19</f>
        <v>-3.4999769334762529</v>
      </c>
      <c r="X34" s="288">
        <v>1</v>
      </c>
      <c r="Y34" s="288"/>
      <c r="Z34" s="288"/>
      <c r="AA34" s="42"/>
    </row>
    <row r="35" spans="2:27" ht="12.6" thickBot="1">
      <c r="B35" s="306" t="s">
        <v>563</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1.4661378564707586</v>
      </c>
      <c r="E37" s="525">
        <f t="shared" ref="E37:G41" si="7">E$18/E23</f>
        <v>1.7197740205806167</v>
      </c>
      <c r="F37" s="525">
        <f t="shared" si="7"/>
        <v>1.5756968661751689</v>
      </c>
      <c r="G37" s="525">
        <f t="shared" si="7"/>
        <v>1.40747217798375</v>
      </c>
      <c r="H37" s="17">
        <f t="shared" ref="H37:H45" si="8">H23</f>
        <v>2.5035127195639495E-2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3.6505808740707368</v>
      </c>
      <c r="E38" s="525">
        <f t="shared" si="7"/>
        <v>4.688654060330034</v>
      </c>
      <c r="F38" s="525">
        <f t="shared" si="7"/>
        <v>4.1524457882502279</v>
      </c>
      <c r="G38" s="525">
        <f t="shared" si="7"/>
        <v>3.6140015915158452</v>
      </c>
      <c r="H38" s="17">
        <f t="shared" si="8"/>
        <v>1.4576885597962663E-2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12.882525240480165</v>
      </c>
      <c r="E39" s="525">
        <f t="shared" si="7"/>
        <v>11.072499941640888</v>
      </c>
      <c r="F39" s="525">
        <f t="shared" si="7"/>
        <v>8.6819823243538909</v>
      </c>
      <c r="G39" s="525">
        <f t="shared" si="7"/>
        <v>7.353989372277872</v>
      </c>
      <c r="H39" s="17">
        <f t="shared" si="8"/>
        <v>0.21895148380249196</v>
      </c>
      <c r="I39" s="17"/>
      <c r="J39" s="5"/>
      <c r="K39" s="5"/>
      <c r="L39" s="5"/>
      <c r="M39" s="5"/>
      <c r="N39" s="5"/>
      <c r="O39" s="5"/>
      <c r="Q39" s="5"/>
      <c r="R39" s="5"/>
      <c r="S39" s="42"/>
      <c r="T39" s="42"/>
      <c r="U39" s="42"/>
      <c r="V39" s="42"/>
      <c r="W39" s="42"/>
      <c r="X39" s="42"/>
      <c r="Y39" s="42"/>
      <c r="Z39" s="42"/>
      <c r="AA39" s="42"/>
    </row>
    <row r="40" spans="2:27">
      <c r="B40" s="5" t="s">
        <v>461</v>
      </c>
      <c r="C40" s="247"/>
      <c r="D40" s="525">
        <f>D$18/D26</f>
        <v>37.739994281795028</v>
      </c>
      <c r="E40" s="525">
        <f t="shared" si="7"/>
        <v>11.072499941640888</v>
      </c>
      <c r="F40" s="525">
        <f t="shared" si="7"/>
        <v>14.968935041989463</v>
      </c>
      <c r="G40" s="525">
        <f t="shared" si="7"/>
        <v>12.679292021168745</v>
      </c>
      <c r="H40" s="17">
        <f t="shared" si="8"/>
        <v>0.45455236524478071</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1.3011147242194683</v>
      </c>
      <c r="E41" s="525">
        <f t="shared" si="7"/>
        <v>1.4137375765868143</v>
      </c>
      <c r="F41" s="525">
        <f t="shared" si="7"/>
        <v>1.4249159528737929</v>
      </c>
      <c r="G41" s="525">
        <f t="shared" si="7"/>
        <v>1.3949573621919591</v>
      </c>
      <c r="H41" s="17">
        <f t="shared" si="8"/>
        <v>-1.2026478972418153E-2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1.9594361079538585</v>
      </c>
      <c r="E42" s="525">
        <f>E18/E28</f>
        <v>1.6857137434926355</v>
      </c>
      <c r="F42" s="525">
        <f>F18/F28</f>
        <v>1.665588102325517</v>
      </c>
      <c r="G42" s="525">
        <f>G18/G28</f>
        <v>1.6118100439310894</v>
      </c>
      <c r="H42" s="17">
        <f t="shared" si="8"/>
        <v>7.9193950037332206E-2</v>
      </c>
      <c r="I42" s="248"/>
      <c r="J42" s="5"/>
      <c r="K42" s="5"/>
      <c r="L42" s="5"/>
      <c r="M42" s="5"/>
      <c r="N42" s="5"/>
      <c r="O42" s="5"/>
      <c r="Q42" s="5"/>
      <c r="R42" s="5"/>
      <c r="S42" s="42"/>
      <c r="T42" s="42"/>
      <c r="U42" s="42"/>
      <c r="V42" s="42"/>
      <c r="W42" s="288"/>
      <c r="X42" s="288"/>
      <c r="Y42" s="288"/>
      <c r="Z42" s="288"/>
      <c r="AA42" s="42"/>
    </row>
    <row r="43" spans="2:27">
      <c r="B43" s="5" t="s">
        <v>470</v>
      </c>
      <c r="C43" s="247"/>
      <c r="D43" s="525">
        <f>L26/D29</f>
        <v>-12.832481084321804</v>
      </c>
      <c r="E43" s="525">
        <f>M26/E29</f>
        <v>-92.971166872155464</v>
      </c>
      <c r="F43" s="525">
        <f>N26/F29</f>
        <v>46.686689368148521</v>
      </c>
      <c r="G43" s="525">
        <f>O26/G29</f>
        <v>23.495444832279748</v>
      </c>
      <c r="H43" s="17">
        <f t="shared" si="8"/>
        <v>-1.8174144679787287</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7.5822412347373005</v>
      </c>
      <c r="E44" s="525">
        <f>E11/E30</f>
        <v>16.529718639628495</v>
      </c>
      <c r="F44" s="525">
        <f>F11/F30</f>
        <v>12.080540671714486</v>
      </c>
      <c r="G44" s="525">
        <f>G11/G30</f>
        <v>8.1129386941869335</v>
      </c>
      <c r="H44" s="17">
        <f t="shared" si="8"/>
        <v>-2.2298080487964334E-2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3.5869565217391305E-2</v>
      </c>
      <c r="E45" s="248">
        <f>E31/E11</f>
        <v>3.5869565217391305E-2</v>
      </c>
      <c r="F45" s="248">
        <f>F31/F11</f>
        <v>3.9456521739130432E-2</v>
      </c>
      <c r="G45" s="248">
        <f>G31/G11</f>
        <v>4.3402173913043476E-2</v>
      </c>
      <c r="H45" s="17">
        <f t="shared" si="8"/>
        <v>6.56022367666107E-2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3.5869565217391305E-2</v>
      </c>
      <c r="E46" s="248">
        <f>(E31+E32)/E11</f>
        <v>3.5869565217391305E-2</v>
      </c>
      <c r="F46" s="248">
        <f>(F31+F32)/F11</f>
        <v>3.9456521739130432E-2</v>
      </c>
      <c r="G46" s="248">
        <f>(G31+G32)/G11</f>
        <v>4.3402173913043476E-2</v>
      </c>
      <c r="H46" s="279">
        <f>((G31+G32)/(D31+D32))^(1/3)-1</f>
        <v>6.56022367666107E-2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-7.7927252994104051E-2</v>
      </c>
      <c r="E47" s="248">
        <f>1/E43</f>
        <v>-1.0756022900896778E-2</v>
      </c>
      <c r="F47" s="248">
        <f>1/F43</f>
        <v>2.1419381274060501E-2</v>
      </c>
      <c r="G47" s="248">
        <f>1/G43</f>
        <v>4.2561441468268242E-2</v>
      </c>
      <c r="H47" s="17">
        <f>H29</f>
        <v>-1.8174144679787287</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-0.46029551715502126</v>
      </c>
      <c r="E48" s="305">
        <f>E31/E29</f>
        <v>-3.3348353334577503</v>
      </c>
      <c r="F48" s="305">
        <f>F31/F29</f>
        <v>1.8420943739823816</v>
      </c>
      <c r="G48" s="305">
        <f>G31/G29</f>
        <v>1.0197533827749243</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MTNSOP!A1" display="Jump to MTN SOP" xr:uid="{00000000-0004-0000-3E00-000001000000}"/>
  </hyperlinks>
  <pageMargins left="0.75" right="0.75" top="1" bottom="1" header="0.5" footer="0.5"/>
  <pageSetup scale="71"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3">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908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487</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267</v>
      </c>
      <c r="C9" s="267">
        <f>Prices!C28</f>
        <v>14.8</v>
      </c>
      <c r="D9" s="531">
        <v>0</v>
      </c>
      <c r="E9" s="532">
        <v>0</v>
      </c>
      <c r="F9" s="532">
        <v>0</v>
      </c>
      <c r="G9" s="532">
        <v>0</v>
      </c>
      <c r="H9" s="249"/>
      <c r="I9" s="249"/>
      <c r="J9" s="5" t="s">
        <v>268</v>
      </c>
      <c r="L9" s="525">
        <f>'W.EUR OTHER'!D37</f>
        <v>1.9589195361329668</v>
      </c>
      <c r="M9" s="525">
        <f>'W.EUR OTHER'!E37</f>
        <v>1.6383796798063159</v>
      </c>
      <c r="N9" s="525">
        <f>'W.EUR OTHER'!F37</f>
        <v>1.5411744049087741</v>
      </c>
      <c r="O9" s="525">
        <f>'W.EUR OTHER'!G37</f>
        <v>1.4434676732212866</v>
      </c>
      <c r="P9" s="279">
        <f>'W.EUR OTHER'!H37</f>
        <v>1.8004685546411769E-2</v>
      </c>
      <c r="S9" s="88"/>
      <c r="T9" s="42"/>
      <c r="U9" s="42"/>
      <c r="V9" s="42"/>
      <c r="W9" s="42"/>
      <c r="X9" s="42"/>
      <c r="Y9" s="42"/>
      <c r="Z9" s="42"/>
      <c r="AA9" s="42"/>
    </row>
    <row r="10" spans="2:44">
      <c r="B10" s="5" t="s">
        <v>269</v>
      </c>
      <c r="C10" s="5"/>
      <c r="D10" s="527">
        <v>60.014414000000002</v>
      </c>
      <c r="E10" s="527">
        <v>60.014414000000002</v>
      </c>
      <c r="F10" s="527">
        <v>60.014414000000002</v>
      </c>
      <c r="G10" s="527">
        <v>60.014414000000002</v>
      </c>
      <c r="H10" s="247"/>
      <c r="I10" s="247"/>
      <c r="J10" s="5" t="s">
        <v>180</v>
      </c>
      <c r="L10" s="525">
        <f>'W.EUR OTHER'!D38</f>
        <v>4.8812882235325841</v>
      </c>
      <c r="M10" s="525">
        <f>'W.EUR OTHER'!E38</f>
        <v>4.145841728258338</v>
      </c>
      <c r="N10" s="525">
        <f>'W.EUR OTHER'!F38</f>
        <v>3.8271320252352607</v>
      </c>
      <c r="O10" s="525">
        <f>'W.EUR OTHER'!G38</f>
        <v>3.5258553553595839</v>
      </c>
      <c r="P10" s="279">
        <f>'W.EUR OTHER'!H38</f>
        <v>2.4794026477105824E-2</v>
      </c>
      <c r="S10" s="88"/>
      <c r="T10" s="42"/>
      <c r="U10" s="42"/>
      <c r="V10" s="42"/>
      <c r="W10" s="288"/>
      <c r="X10" s="288"/>
      <c r="Y10" s="288"/>
      <c r="Z10" s="288"/>
      <c r="AA10" s="42"/>
    </row>
    <row r="11" spans="2:44">
      <c r="B11" s="41" t="s">
        <v>270</v>
      </c>
      <c r="C11" s="5"/>
      <c r="D11" s="528">
        <f>$C$9*D10</f>
        <v>888.21332720000009</v>
      </c>
      <c r="E11" s="528">
        <f>$C$9*E10</f>
        <v>888.21332720000009</v>
      </c>
      <c r="F11" s="528">
        <f>$C$9*F10</f>
        <v>888.21332720000009</v>
      </c>
      <c r="G11" s="528">
        <f>$C$9*G10</f>
        <v>888.21332720000009</v>
      </c>
      <c r="H11" s="249"/>
      <c r="I11" s="249"/>
      <c r="J11" s="5" t="s">
        <v>181</v>
      </c>
      <c r="L11" s="525">
        <f>'W.EUR OTHER'!D39</f>
        <v>13.16156410853363</v>
      </c>
      <c r="M11" s="525">
        <f>'W.EUR OTHER'!E39</f>
        <v>11.425296433104002</v>
      </c>
      <c r="N11" s="525">
        <f>'W.EUR OTHER'!F39</f>
        <v>9.8430805940601882</v>
      </c>
      <c r="O11" s="525">
        <f>'W.EUR OTHER'!G39</f>
        <v>8.6472666256233168</v>
      </c>
      <c r="P11" s="279">
        <f>'W.EUR OTHER'!H39</f>
        <v>5.7684523659928821E-2</v>
      </c>
      <c r="S11" s="88"/>
      <c r="T11" s="42"/>
      <c r="U11" s="42"/>
      <c r="V11" s="42"/>
      <c r="W11" s="288"/>
      <c r="X11" s="288"/>
      <c r="Y11" s="288"/>
      <c r="Z11" s="288"/>
      <c r="AA11" s="42"/>
    </row>
    <row r="12" spans="2:44">
      <c r="B12" s="5" t="s">
        <v>24</v>
      </c>
      <c r="C12" s="249"/>
      <c r="D12" s="529">
        <v>1802.9450918356797</v>
      </c>
      <c r="E12" s="529">
        <v>1697.9588044467318</v>
      </c>
      <c r="F12" s="529">
        <v>1601.2820059042633</v>
      </c>
      <c r="G12" s="529">
        <v>1495.4508851102214</v>
      </c>
      <c r="H12" s="247"/>
      <c r="I12" s="247"/>
      <c r="J12" s="5" t="s">
        <v>461</v>
      </c>
      <c r="L12" s="525">
        <f>'W.EUR OTHER'!D40</f>
        <v>18.782864415708623</v>
      </c>
      <c r="M12" s="525">
        <f>'W.EUR OTHER'!E40</f>
        <v>16.344811252802039</v>
      </c>
      <c r="N12" s="525">
        <f>'W.EUR OTHER'!F40</f>
        <v>14.257332213491615</v>
      </c>
      <c r="O12" s="525">
        <f>'W.EUR OTHER'!G40</f>
        <v>12.325553609893248</v>
      </c>
      <c r="P12" s="279">
        <f>'W.EUR OTHER'!H40</f>
        <v>5.8112215141036705E-2</v>
      </c>
      <c r="S12" s="88"/>
      <c r="T12" s="42"/>
      <c r="U12" s="42"/>
      <c r="V12" s="42"/>
      <c r="W12" s="288"/>
      <c r="X12" s="288"/>
      <c r="Y12" s="288"/>
      <c r="Z12" s="288"/>
      <c r="AA12" s="42"/>
    </row>
    <row r="13" spans="2:44">
      <c r="B13" s="5" t="s">
        <v>524</v>
      </c>
      <c r="C13" s="257"/>
      <c r="D13" s="529">
        <v>396.07571050256468</v>
      </c>
      <c r="E13" s="529">
        <v>396.07571050256468</v>
      </c>
      <c r="F13" s="529">
        <v>396.07571050256468</v>
      </c>
      <c r="G13" s="529">
        <v>396.07571050256468</v>
      </c>
      <c r="H13" s="247"/>
      <c r="I13" s="247"/>
      <c r="J13" s="5" t="s">
        <v>525</v>
      </c>
      <c r="L13" s="525">
        <f>'W.EUR OTHER'!D41</f>
        <v>0.84442389849965394</v>
      </c>
      <c r="M13" s="525">
        <f>'W.EUR OTHER'!E41</f>
        <v>0.81498961294635097</v>
      </c>
      <c r="N13" s="525">
        <f>'W.EUR OTHER'!F41</f>
        <v>0.77498610757856878</v>
      </c>
      <c r="O13" s="525">
        <f>'W.EUR OTHER'!G41</f>
        <v>0.73281741958307633</v>
      </c>
      <c r="P13" s="279">
        <f>'W.EUR OTHER'!H41</f>
        <v>-3.6019662148356391E-2</v>
      </c>
      <c r="S13" s="88"/>
      <c r="T13" s="42"/>
      <c r="U13" s="42"/>
      <c r="V13" s="42"/>
      <c r="W13" s="42"/>
      <c r="X13" s="42"/>
      <c r="Y13" s="42"/>
      <c r="Z13" s="42"/>
      <c r="AA13" s="42"/>
    </row>
    <row r="14" spans="2:44">
      <c r="B14" s="5" t="s">
        <v>527</v>
      </c>
      <c r="C14" s="257"/>
      <c r="D14" s="529">
        <f>OBELSOP!R17</f>
        <v>0</v>
      </c>
      <c r="E14" s="529">
        <f t="shared" ref="E14:G15" si="2">D14</f>
        <v>0</v>
      </c>
      <c r="F14" s="529">
        <f t="shared" si="2"/>
        <v>0</v>
      </c>
      <c r="G14" s="529">
        <f t="shared" si="2"/>
        <v>0</v>
      </c>
      <c r="H14" s="247"/>
      <c r="I14" s="247"/>
      <c r="J14" s="5" t="s">
        <v>588</v>
      </c>
      <c r="L14" s="525">
        <f>'W.EUR OTHER'!D42</f>
        <v>2.9998062507434589</v>
      </c>
      <c r="M14" s="525">
        <f>'W.EUR OTHER'!E42</f>
        <v>2.5616627697063863</v>
      </c>
      <c r="N14" s="525">
        <f>'W.EUR OTHER'!F42</f>
        <v>2.4320616245212983</v>
      </c>
      <c r="O14" s="525">
        <f>'W.EUR OTHER'!G42</f>
        <v>2.298739291377446</v>
      </c>
      <c r="P14" s="279">
        <f>'W.EUR OTHER'!H42</f>
        <v>4.8033956462567584E-3</v>
      </c>
      <c r="S14" s="88"/>
      <c r="T14" s="42"/>
      <c r="U14" s="42"/>
      <c r="V14" s="42"/>
      <c r="W14" s="42"/>
      <c r="X14" s="42"/>
      <c r="Y14" s="42"/>
      <c r="Z14" s="42"/>
      <c r="AA14" s="42"/>
    </row>
    <row r="15" spans="2:44">
      <c r="B15" s="5" t="s">
        <v>526</v>
      </c>
      <c r="C15" s="274"/>
      <c r="D15" s="529">
        <f>OBELSOP!T14</f>
        <v>199.25540795528309</v>
      </c>
      <c r="E15" s="529">
        <f t="shared" si="2"/>
        <v>199.25540795528309</v>
      </c>
      <c r="F15" s="529">
        <f t="shared" si="2"/>
        <v>199.25540795528309</v>
      </c>
      <c r="G15" s="529">
        <f t="shared" si="2"/>
        <v>199.25540795528309</v>
      </c>
      <c r="H15" s="247"/>
      <c r="I15" s="247"/>
      <c r="J15" s="5" t="s">
        <v>470</v>
      </c>
      <c r="L15" s="525">
        <f>'W.EUR OTHER'!D43</f>
        <v>36.043730510598792</v>
      </c>
      <c r="M15" s="525">
        <f>'W.EUR OTHER'!E43</f>
        <v>34.490732675014193</v>
      </c>
      <c r="N15" s="525">
        <f>'W.EUR OTHER'!F43</f>
        <v>16.287705091950169</v>
      </c>
      <c r="O15" s="525">
        <f>'W.EUR OTHER'!G43</f>
        <v>11.941589892511526</v>
      </c>
      <c r="P15" s="279">
        <f>'W.EUR OTHER'!H43</f>
        <v>0.37754240659126448</v>
      </c>
      <c r="S15" s="88"/>
      <c r="T15" s="42"/>
      <c r="U15" s="42"/>
      <c r="V15" s="42"/>
      <c r="W15" s="42"/>
      <c r="X15" s="42"/>
      <c r="Y15" s="42"/>
      <c r="Z15" s="42"/>
      <c r="AA15" s="42"/>
    </row>
    <row r="16" spans="2:44">
      <c r="B16" s="5" t="s">
        <v>529</v>
      </c>
      <c r="C16" s="257"/>
      <c r="D16" s="529">
        <v>30.007207000000001</v>
      </c>
      <c r="E16" s="529">
        <v>30.007207000000001</v>
      </c>
      <c r="F16" s="529">
        <v>30.007207000000001</v>
      </c>
      <c r="G16" s="529">
        <v>30.007207000000001</v>
      </c>
      <c r="H16" s="247"/>
      <c r="I16" s="247"/>
      <c r="J16" s="5" t="s">
        <v>528</v>
      </c>
      <c r="L16" s="525">
        <f>'W.EUR OTHER'!D44</f>
        <v>18.190653543431651</v>
      </c>
      <c r="M16" s="525">
        <f>'W.EUR OTHER'!E44</f>
        <v>13.647996044938878</v>
      </c>
      <c r="N16" s="525">
        <f>'W.EUR OTHER'!F44</f>
        <v>10.565198529238016</v>
      </c>
      <c r="O16" s="525">
        <f>'W.EUR OTHER'!G44</f>
        <v>9.2374096772312519</v>
      </c>
      <c r="P16" s="279">
        <f>'W.EUR OTHER'!H44</f>
        <v>0.20457659904306258</v>
      </c>
      <c r="S16" s="88"/>
      <c r="T16" s="42"/>
      <c r="U16" s="42"/>
      <c r="V16" s="42"/>
      <c r="W16" s="42"/>
      <c r="X16" s="42"/>
      <c r="Y16" s="42"/>
      <c r="Z16" s="42"/>
      <c r="AA16" s="42"/>
    </row>
    <row r="17" spans="2:27">
      <c r="B17" s="5" t="s">
        <v>6</v>
      </c>
      <c r="C17" s="257"/>
      <c r="D17" s="529">
        <v>14.418642954005875</v>
      </c>
      <c r="E17" s="529">
        <v>14.418642954005875</v>
      </c>
      <c r="F17" s="529">
        <v>14.418642954005875</v>
      </c>
      <c r="G17" s="529">
        <v>14.418642954005875</v>
      </c>
      <c r="H17" s="247"/>
      <c r="I17" s="247"/>
      <c r="J17" s="5" t="s">
        <v>575</v>
      </c>
      <c r="L17" s="248">
        <f>'W.EUR OTHER'!D45</f>
        <v>6.6143118778113894E-2</v>
      </c>
      <c r="M17" s="248">
        <f>'W.EUR OTHER'!E45</f>
        <v>4.3051326641435336E-2</v>
      </c>
      <c r="N17" s="248">
        <f>'W.EUR OTHER'!F45</f>
        <v>4.4102284782265591E-2</v>
      </c>
      <c r="O17" s="248">
        <f>'W.EUR OTHER'!G45</f>
        <v>4.5021641876791196E-2</v>
      </c>
      <c r="P17" s="279">
        <f>'W.EUR OTHER'!H45</f>
        <v>-0.15462913486104612</v>
      </c>
      <c r="S17" s="88"/>
      <c r="T17" s="42"/>
      <c r="U17" s="42"/>
      <c r="V17" s="42"/>
      <c r="W17" s="42"/>
      <c r="X17" s="42"/>
      <c r="Y17" s="42"/>
      <c r="Z17" s="42"/>
      <c r="AA17" s="42"/>
    </row>
    <row r="18" spans="2:27" ht="12.6" thickBot="1">
      <c r="B18" s="41" t="s">
        <v>578</v>
      </c>
      <c r="C18" s="249"/>
      <c r="D18" s="530">
        <f>D11+D12+D13-D14+D15-D16-D17</f>
        <v>3242.0636875395217</v>
      </c>
      <c r="E18" s="530">
        <f>E11+E12+E13-E14+E15-E16-E17</f>
        <v>3137.0774001505738</v>
      </c>
      <c r="F18" s="530">
        <f>F11+F12+F13-F14+F15-F16-F17</f>
        <v>3040.4006016081053</v>
      </c>
      <c r="G18" s="530">
        <f>G11+G12+G13-G14+G15-G16-G17</f>
        <v>2934.5694808140629</v>
      </c>
      <c r="H18" s="276">
        <f>IF(D18=0,"nm",IF(G18=0,"nm",(G18/D18)^(1/3)-1))</f>
        <v>-3.267082846876701E-2</v>
      </c>
      <c r="I18" s="254"/>
      <c r="J18" s="5" t="s">
        <v>36</v>
      </c>
      <c r="L18" s="248">
        <f>'W.EUR OTHER'!D46</f>
        <v>6.6143118778113894E-2</v>
      </c>
      <c r="M18" s="248">
        <f>'W.EUR OTHER'!E46</f>
        <v>4.3051326641435336E-2</v>
      </c>
      <c r="N18" s="248">
        <f>'W.EUR OTHER'!F46</f>
        <v>4.4102284782265591E-2</v>
      </c>
      <c r="O18" s="248">
        <f>'W.EUR OTHER'!G46</f>
        <v>4.5021641876791196E-2</v>
      </c>
      <c r="P18" s="279">
        <f>'W.EUR OTHER'!H46</f>
        <v>-0.15462913486104612</v>
      </c>
      <c r="S18" s="88"/>
      <c r="T18" s="42"/>
      <c r="U18" s="42"/>
      <c r="V18" s="42"/>
      <c r="W18" s="42"/>
      <c r="X18" s="42"/>
      <c r="Y18" s="42"/>
      <c r="Z18" s="42"/>
      <c r="AA18" s="42"/>
    </row>
    <row r="19" spans="2:27" ht="12.6" thickTop="1">
      <c r="B19" s="41"/>
      <c r="C19" s="249"/>
      <c r="D19" s="229"/>
      <c r="E19" s="229"/>
      <c r="F19" s="229"/>
      <c r="G19" s="229"/>
      <c r="H19" s="276"/>
      <c r="I19" s="254"/>
      <c r="J19" s="5" t="s">
        <v>576</v>
      </c>
      <c r="L19" s="248">
        <f>'W.EUR OTHER'!D47</f>
        <v>2.7744076038576149E-2</v>
      </c>
      <c r="M19" s="248">
        <f>'W.EUR OTHER'!E47</f>
        <v>2.8993295370742325E-2</v>
      </c>
      <c r="N19" s="248">
        <f>'W.EUR OTHER'!F47</f>
        <v>6.1396003571689631E-2</v>
      </c>
      <c r="O19" s="248">
        <f>'W.EUR OTHER'!G47</f>
        <v>8.3740943124088682E-2</v>
      </c>
      <c r="P19" s="279">
        <f>'W.EUR OTHER'!H47</f>
        <v>0.37754240659126448</v>
      </c>
      <c r="S19" s="88"/>
      <c r="T19" s="42"/>
      <c r="U19" s="42"/>
      <c r="V19" s="42"/>
      <c r="W19" s="42"/>
      <c r="X19" s="42"/>
      <c r="Y19" s="42"/>
      <c r="Z19" s="42"/>
      <c r="AA19" s="42"/>
    </row>
    <row r="20" spans="2:27">
      <c r="H20" s="277"/>
      <c r="I20" s="17"/>
      <c r="J20" s="5" t="s">
        <v>599</v>
      </c>
      <c r="L20" s="305">
        <f>'W.EUR OTHER'!D48</f>
        <v>2.1773296851754451</v>
      </c>
      <c r="M20" s="305">
        <f>'W.EUR OTHER'!E48</f>
        <v>1.3522122093409186</v>
      </c>
      <c r="N20" s="305">
        <f>'W.EUR OTHER'!F48</f>
        <v>0.65358788133464962</v>
      </c>
      <c r="O20" s="305">
        <f>'W.EUR OTHER'!G48</f>
        <v>0.50321211795021492</v>
      </c>
      <c r="P20" s="279" t="str">
        <f>'W.EUR OTHER'!H48</f>
        <v>nm</v>
      </c>
      <c r="S20" s="88"/>
      <c r="T20" s="42"/>
      <c r="U20" s="42"/>
      <c r="V20" s="42"/>
      <c r="W20" s="42"/>
      <c r="X20" s="42"/>
      <c r="Y20" s="42"/>
      <c r="Z20" s="42"/>
      <c r="AA20" s="42"/>
    </row>
    <row r="21" spans="2:27" ht="12.6" thickBot="1">
      <c r="B21" s="306" t="s">
        <v>918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1721.3142443521056</v>
      </c>
      <c r="D23" s="536">
        <v>1976.2654775459087</v>
      </c>
      <c r="E23" s="536">
        <v>2016.4766624590061</v>
      </c>
      <c r="F23" s="536">
        <v>2055.1462712426946</v>
      </c>
      <c r="G23" s="536">
        <v>2092.372920521851</v>
      </c>
      <c r="H23" s="279">
        <f t="shared" ref="H23:H32" si="4">IF(D23=0,"nm",IF(G23=0,"nm",(G23/D23)^(1/3)-1))</f>
        <v>1.921217333309988E-2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4">
        <v>362.74799999999999</v>
      </c>
      <c r="D24" s="536">
        <v>441.85373979738876</v>
      </c>
      <c r="E24" s="536">
        <v>512.4179550360833</v>
      </c>
      <c r="F24" s="536">
        <v>522.6996048265114</v>
      </c>
      <c r="G24" s="536">
        <v>531.84112390251073</v>
      </c>
      <c r="H24" s="279">
        <f t="shared" si="4"/>
        <v>6.3737476496064982E-2</v>
      </c>
      <c r="I24" s="249"/>
      <c r="J24" s="17"/>
      <c r="K24" s="17"/>
      <c r="L24" s="17"/>
      <c r="M24" s="17"/>
      <c r="N24" s="17"/>
      <c r="O24" s="248"/>
      <c r="S24" s="88"/>
      <c r="T24" s="42"/>
      <c r="U24" s="42"/>
      <c r="V24" s="42"/>
      <c r="W24" s="42" t="s">
        <v>62</v>
      </c>
      <c r="X24" s="42" t="s">
        <v>253</v>
      </c>
      <c r="Y24" s="42"/>
      <c r="Z24" s="42"/>
      <c r="AA24" s="42"/>
    </row>
    <row r="25" spans="2:27">
      <c r="B25" s="5" t="s">
        <v>179</v>
      </c>
      <c r="C25" s="544">
        <v>142.74799999999999</v>
      </c>
      <c r="D25" s="536">
        <v>159.85533029738878</v>
      </c>
      <c r="E25" s="536">
        <v>179.73550125572615</v>
      </c>
      <c r="F25" s="536">
        <v>213.65324696358459</v>
      </c>
      <c r="G25" s="536">
        <v>220.62853884175399</v>
      </c>
      <c r="H25" s="279">
        <f t="shared" si="4"/>
        <v>0.11338369131939996</v>
      </c>
      <c r="I25" s="248"/>
      <c r="J25" s="247" t="s">
        <v>10</v>
      </c>
      <c r="K25" s="247"/>
      <c r="L25" s="321">
        <v>563.38021805018957</v>
      </c>
      <c r="M25" s="321">
        <v>556.15559602767553</v>
      </c>
      <c r="N25" s="321">
        <v>502.18041262681851</v>
      </c>
      <c r="O25" s="321">
        <v>100</v>
      </c>
      <c r="P25" s="279">
        <f>IF(L25=0,"nm",IF(O25=0,"nm",(O25/L25)^(1/3)-1))</f>
        <v>-0.43800454653171261</v>
      </c>
      <c r="S25" s="88"/>
      <c r="T25" s="42"/>
      <c r="U25" s="42"/>
      <c r="V25" s="147" t="s">
        <v>268</v>
      </c>
      <c r="W25" s="288">
        <f>D37/L9</f>
        <v>0.83745149128573926</v>
      </c>
      <c r="X25" s="288">
        <v>1</v>
      </c>
      <c r="Y25" s="42"/>
      <c r="Z25" s="42"/>
      <c r="AA25" s="42"/>
    </row>
    <row r="26" spans="2:27">
      <c r="B26" s="5" t="s">
        <v>581</v>
      </c>
      <c r="C26" s="544">
        <v>107.06099999999999</v>
      </c>
      <c r="D26" s="536">
        <v>119.89149772304158</v>
      </c>
      <c r="E26" s="536">
        <v>134.80162594179461</v>
      </c>
      <c r="F26" s="536">
        <v>160.23993522268844</v>
      </c>
      <c r="G26" s="536">
        <v>165.4714041313155</v>
      </c>
      <c r="H26" s="279">
        <f t="shared" si="4"/>
        <v>0.11338369131939996</v>
      </c>
      <c r="I26" s="249"/>
      <c r="J26" s="249" t="s">
        <v>11</v>
      </c>
      <c r="K26" s="249"/>
      <c r="L26" s="281">
        <f>D11+L25</f>
        <v>1451.5935452501897</v>
      </c>
      <c r="M26" s="281">
        <f>E11+M25</f>
        <v>1444.3689232276756</v>
      </c>
      <c r="N26" s="281">
        <f>F11+N25</f>
        <v>1390.3937398268185</v>
      </c>
      <c r="O26" s="281">
        <f>G11+O25</f>
        <v>988.21332720000009</v>
      </c>
      <c r="P26" s="279">
        <f>IF(L26=0,"nm",IF(O26=0,"nm",(O26/L26)^(1/3)-1))</f>
        <v>-0.12029871559426375</v>
      </c>
      <c r="Q26" s="5"/>
      <c r="S26" s="88"/>
      <c r="T26" s="42"/>
      <c r="U26" s="42"/>
      <c r="V26" s="147" t="s">
        <v>180</v>
      </c>
      <c r="W26" s="288">
        <f t="shared" ref="W26:W33" si="6">D38/L10</f>
        <v>1.5031715753071793</v>
      </c>
      <c r="X26" s="288">
        <v>1</v>
      </c>
      <c r="Y26" s="42"/>
      <c r="Z26" s="42"/>
      <c r="AA26" s="42"/>
    </row>
    <row r="27" spans="2:27">
      <c r="B27" s="5" t="s">
        <v>582</v>
      </c>
      <c r="C27" s="544">
        <v>879.66420719999996</v>
      </c>
      <c r="D27" s="536">
        <v>1171.0483580331897</v>
      </c>
      <c r="E27" s="536">
        <v>1194.6067313564781</v>
      </c>
      <c r="F27" s="536">
        <v>1214.7816765809546</v>
      </c>
      <c r="G27" s="536">
        <v>1230.5181633108464</v>
      </c>
      <c r="H27" s="279">
        <f t="shared" si="4"/>
        <v>1.6649066857119754E-2</v>
      </c>
      <c r="I27" s="249"/>
      <c r="J27" s="248"/>
      <c r="K27" s="248"/>
      <c r="L27" s="248"/>
      <c r="M27" s="248"/>
      <c r="N27" s="248"/>
      <c r="O27" s="248"/>
      <c r="Q27" s="41"/>
      <c r="S27" s="88"/>
      <c r="T27" s="42"/>
      <c r="U27" s="42"/>
      <c r="V27" s="147" t="s">
        <v>181</v>
      </c>
      <c r="W27" s="288">
        <f t="shared" si="6"/>
        <v>1.5409442131878828</v>
      </c>
      <c r="X27" s="288">
        <v>1</v>
      </c>
      <c r="Y27" s="42"/>
      <c r="Z27" s="42"/>
      <c r="AA27" s="42"/>
    </row>
    <row r="28" spans="2:27" ht="12.6" thickBot="1">
      <c r="B28" s="5" t="s">
        <v>587</v>
      </c>
      <c r="C28" s="544">
        <v>644.6</v>
      </c>
      <c r="D28" s="536">
        <v>695.64358413758418</v>
      </c>
      <c r="E28" s="536">
        <v>773.67359687293447</v>
      </c>
      <c r="F28" s="536">
        <v>821.16595037944535</v>
      </c>
      <c r="G28" s="536">
        <v>863.32413875278826</v>
      </c>
      <c r="H28" s="279">
        <f t="shared" si="4"/>
        <v>7.4638428570584781E-2</v>
      </c>
      <c r="I28" s="248"/>
      <c r="J28" s="306" t="s">
        <v>1352</v>
      </c>
      <c r="K28" s="306"/>
      <c r="L28" s="306"/>
      <c r="M28" s="306"/>
      <c r="N28" s="266"/>
      <c r="O28" s="266"/>
      <c r="P28" s="266"/>
      <c r="Q28" s="5"/>
      <c r="S28" s="88"/>
      <c r="T28" s="42"/>
      <c r="U28" s="42"/>
      <c r="V28" s="147" t="s">
        <v>461</v>
      </c>
      <c r="W28" s="288">
        <f t="shared" si="6"/>
        <v>1.4396977727979539</v>
      </c>
      <c r="X28" s="288">
        <v>1</v>
      </c>
      <c r="Y28" s="42"/>
      <c r="Z28" s="42"/>
      <c r="AA28" s="42"/>
    </row>
    <row r="29" spans="2:27" ht="12.6" thickTop="1">
      <c r="B29" s="5" t="s">
        <v>583</v>
      </c>
      <c r="C29" s="544">
        <v>105.52324897959187</v>
      </c>
      <c r="D29" s="536">
        <v>90.665851139390327</v>
      </c>
      <c r="E29" s="536">
        <v>75.537671445792341</v>
      </c>
      <c r="F29" s="536">
        <v>116.12644233152031</v>
      </c>
      <c r="G29" s="536">
        <v>128.40598584895446</v>
      </c>
      <c r="H29" s="279">
        <f t="shared" si="4"/>
        <v>0.12300194610841109</v>
      </c>
      <c r="I29" s="252"/>
      <c r="J29" s="249"/>
      <c r="K29" s="249"/>
      <c r="L29" s="249"/>
      <c r="M29" s="249"/>
      <c r="N29" s="249"/>
      <c r="O29" s="251"/>
      <c r="Q29" s="5"/>
      <c r="S29" s="88"/>
      <c r="T29" s="42"/>
      <c r="U29" s="42"/>
      <c r="V29" s="147" t="s">
        <v>525</v>
      </c>
      <c r="W29" s="288">
        <f t="shared" si="6"/>
        <v>3.2785831040306084</v>
      </c>
      <c r="X29" s="288">
        <v>1</v>
      </c>
      <c r="Y29" s="42"/>
      <c r="Z29" s="42"/>
      <c r="AA29" s="42"/>
    </row>
    <row r="30" spans="2:27">
      <c r="B30" s="5" t="s">
        <v>584</v>
      </c>
      <c r="C30" s="544">
        <v>109.4649156462585</v>
      </c>
      <c r="D30" s="536">
        <v>166.75062479364115</v>
      </c>
      <c r="E30" s="536">
        <v>193.81408698191638</v>
      </c>
      <c r="F30" s="536">
        <v>196.77436986357603</v>
      </c>
      <c r="G30" s="536">
        <v>204.36961640719124</v>
      </c>
      <c r="H30" s="279">
        <f t="shared" si="4"/>
        <v>7.0162232310911898E-2</v>
      </c>
      <c r="I30" s="254"/>
      <c r="J30" s="248"/>
      <c r="K30" s="248"/>
      <c r="L30" s="248"/>
      <c r="M30" s="248"/>
      <c r="N30" s="248"/>
      <c r="O30" s="5"/>
      <c r="Q30" s="5"/>
      <c r="S30" s="88"/>
      <c r="T30" s="42"/>
      <c r="U30" s="42"/>
      <c r="V30" s="147" t="s">
        <v>588</v>
      </c>
      <c r="W30" s="288">
        <f t="shared" si="6"/>
        <v>1.5536083695114762</v>
      </c>
      <c r="X30" s="288">
        <v>1</v>
      </c>
      <c r="Y30" s="42"/>
      <c r="Z30" s="42"/>
      <c r="AA30" s="42"/>
    </row>
    <row r="31" spans="2:27">
      <c r="B31" s="5" t="s">
        <v>585</v>
      </c>
      <c r="C31" s="544">
        <v>0</v>
      </c>
      <c r="D31" s="536">
        <v>0</v>
      </c>
      <c r="E31" s="536">
        <v>0</v>
      </c>
      <c r="F31" s="536">
        <v>0</v>
      </c>
      <c r="G31" s="536">
        <v>0</v>
      </c>
      <c r="H31" s="279" t="str">
        <f t="shared" si="4"/>
        <v>nm</v>
      </c>
      <c r="I31" s="254"/>
      <c r="J31" s="252"/>
      <c r="K31" s="252"/>
      <c r="L31" s="252"/>
      <c r="M31" s="252"/>
      <c r="N31" s="252"/>
      <c r="O31" s="5"/>
      <c r="Q31" s="5"/>
      <c r="S31" s="88"/>
      <c r="T31" s="42"/>
      <c r="U31" s="42"/>
      <c r="V31" s="147" t="s">
        <v>470</v>
      </c>
      <c r="W31" s="288">
        <f t="shared" si="6"/>
        <v>0.44419283766069101</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0.29282052368220285</v>
      </c>
      <c r="X32" s="288">
        <v>1</v>
      </c>
      <c r="Y32" s="42"/>
      <c r="Z32" s="42"/>
      <c r="AA32" s="42"/>
    </row>
    <row r="33" spans="2:27">
      <c r="B33" s="5" t="s">
        <v>5</v>
      </c>
      <c r="C33" s="544">
        <v>14.1</v>
      </c>
      <c r="D33" s="536">
        <v>39.872541836713594</v>
      </c>
      <c r="E33" s="536">
        <v>70.018077925648228</v>
      </c>
      <c r="F33" s="536">
        <v>65.984816207019904</v>
      </c>
      <c r="G33" s="536">
        <v>61.934657820289694</v>
      </c>
      <c r="H33" s="279">
        <f>IF(D33=0,"nm",IF(G33=0,"nm",(G33/D33)^(1/3)-1))</f>
        <v>0.15811923120926075</v>
      </c>
      <c r="I33" s="5"/>
      <c r="J33" s="254"/>
      <c r="K33" s="254"/>
      <c r="L33" s="254"/>
      <c r="M33" s="254"/>
      <c r="N33" s="254"/>
      <c r="O33" s="251"/>
      <c r="Q33" s="5"/>
      <c r="S33" s="88"/>
      <c r="T33" s="42"/>
      <c r="U33" s="42"/>
      <c r="V33" s="147" t="s">
        <v>575</v>
      </c>
      <c r="W33" s="288">
        <f t="shared" si="6"/>
        <v>0</v>
      </c>
      <c r="X33" s="288">
        <v>1</v>
      </c>
      <c r="Y33" s="42"/>
      <c r="Z33" s="42"/>
      <c r="AA33" s="42"/>
    </row>
    <row r="34" spans="2:27">
      <c r="B34" s="5"/>
      <c r="C34" s="247"/>
      <c r="D34" s="17"/>
      <c r="E34" s="17"/>
      <c r="F34" s="17"/>
      <c r="G34" s="17"/>
      <c r="H34" s="277"/>
      <c r="I34" s="49"/>
      <c r="J34" s="254"/>
      <c r="K34" s="254"/>
      <c r="L34" s="254"/>
      <c r="M34" s="254"/>
      <c r="N34" s="254"/>
      <c r="O34" s="251"/>
      <c r="Q34" s="5"/>
      <c r="S34" s="88"/>
      <c r="T34" s="42"/>
      <c r="U34" s="42"/>
      <c r="V34" s="147" t="s">
        <v>576</v>
      </c>
      <c r="W34" s="288">
        <f>D47/L19</f>
        <v>2.2512744808458112</v>
      </c>
      <c r="X34" s="288">
        <v>1</v>
      </c>
      <c r="Y34" s="288"/>
      <c r="Z34" s="288"/>
      <c r="AA34" s="42"/>
    </row>
    <row r="35" spans="2:27" ht="12.6" thickBot="1">
      <c r="B35" s="306" t="s">
        <v>417</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1.6405000868433217</v>
      </c>
      <c r="E37" s="525">
        <f t="shared" ref="E37:G41" si="8">E$18/E23</f>
        <v>1.5557221457376271</v>
      </c>
      <c r="F37" s="525">
        <f t="shared" si="8"/>
        <v>1.4794083730933918</v>
      </c>
      <c r="G37" s="525">
        <f t="shared" si="8"/>
        <v>1.4025078665624111</v>
      </c>
      <c r="H37" s="17">
        <f t="shared" ref="H37:H46" si="9">H23</f>
        <v>1.921217333309988E-2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7.3374137084958573</v>
      </c>
      <c r="E38" s="525">
        <f t="shared" si="8"/>
        <v>6.1221067086333223</v>
      </c>
      <c r="F38" s="525">
        <f t="shared" si="8"/>
        <v>5.8167264209377789</v>
      </c>
      <c r="G38" s="525">
        <f t="shared" si="8"/>
        <v>5.51775586528729</v>
      </c>
      <c r="H38" s="17">
        <f t="shared" si="9"/>
        <v>6.3737476496064982E-2</v>
      </c>
      <c r="I38" s="259"/>
      <c r="J38" s="17"/>
      <c r="K38" s="17"/>
      <c r="L38" s="17"/>
      <c r="M38" s="17"/>
      <c r="N38" s="17"/>
      <c r="O38" s="5"/>
      <c r="Q38" s="5"/>
      <c r="R38" s="5"/>
      <c r="S38" s="42"/>
      <c r="T38" s="42"/>
      <c r="U38" s="42"/>
      <c r="V38" s="42"/>
      <c r="W38" s="42"/>
      <c r="X38" s="42"/>
      <c r="Y38" s="42"/>
      <c r="Z38" s="42"/>
      <c r="AA38" s="42"/>
    </row>
    <row r="39" spans="2:27">
      <c r="B39" s="5" t="s">
        <v>181</v>
      </c>
      <c r="C39" s="247"/>
      <c r="D39" s="525">
        <f>D$18/D25</f>
        <v>20.281236049546234</v>
      </c>
      <c r="E39" s="525">
        <f t="shared" si="8"/>
        <v>17.453855127302685</v>
      </c>
      <c r="F39" s="525">
        <f t="shared" si="8"/>
        <v>14.230537774725773</v>
      </c>
      <c r="G39" s="525">
        <f t="shared" si="8"/>
        <v>13.300951437288379</v>
      </c>
      <c r="H39" s="17">
        <f t="shared" si="9"/>
        <v>0.11338369131939996</v>
      </c>
      <c r="I39" s="17"/>
      <c r="J39" s="5"/>
      <c r="K39" s="5"/>
      <c r="L39" s="5"/>
      <c r="M39" s="5"/>
      <c r="N39" s="5"/>
      <c r="O39" s="5"/>
      <c r="Q39" s="5"/>
      <c r="R39" s="5"/>
      <c r="S39" s="42"/>
      <c r="T39" s="42"/>
      <c r="U39" s="42"/>
      <c r="V39" s="42"/>
      <c r="W39" s="42"/>
      <c r="X39" s="42"/>
      <c r="Y39" s="42"/>
      <c r="Z39" s="42"/>
      <c r="AA39" s="42"/>
    </row>
    <row r="40" spans="2:27">
      <c r="B40" s="5" t="s">
        <v>461</v>
      </c>
      <c r="C40" s="247"/>
      <c r="D40" s="525">
        <f>D$18/D26</f>
        <v>27.041648066061647</v>
      </c>
      <c r="E40" s="525">
        <f t="shared" si="8"/>
        <v>23.271806836403577</v>
      </c>
      <c r="F40" s="525">
        <f t="shared" si="8"/>
        <v>18.974050366301032</v>
      </c>
      <c r="G40" s="525">
        <f t="shared" si="8"/>
        <v>17.734601916384506</v>
      </c>
      <c r="H40" s="17">
        <f t="shared" si="9"/>
        <v>0.11338369131939996</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2.7685139262606229</v>
      </c>
      <c r="E41" s="525">
        <f t="shared" si="8"/>
        <v>2.6260335872948053</v>
      </c>
      <c r="F41" s="525">
        <f t="shared" si="8"/>
        <v>2.5028370613602098</v>
      </c>
      <c r="G41" s="525">
        <f t="shared" si="8"/>
        <v>2.3848241889565256</v>
      </c>
      <c r="H41" s="17">
        <f t="shared" si="9"/>
        <v>1.6649066857119754E-2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4.6605240980678797</v>
      </c>
      <c r="E42" s="525">
        <f>E18/E28</f>
        <v>4.0547815161718601</v>
      </c>
      <c r="F42" s="525">
        <f>F18/F28</f>
        <v>3.7025410030739745</v>
      </c>
      <c r="G42" s="525">
        <f>G18/G28</f>
        <v>3.3991514300220129</v>
      </c>
      <c r="H42" s="17">
        <f t="shared" si="9"/>
        <v>7.4638428570584781E-2</v>
      </c>
      <c r="I42" s="248"/>
      <c r="J42" s="5"/>
      <c r="K42" s="5"/>
      <c r="L42" s="5"/>
      <c r="M42" s="5"/>
      <c r="N42" s="5"/>
      <c r="O42" s="5"/>
      <c r="Q42" s="5"/>
      <c r="R42" s="5"/>
      <c r="S42" s="42"/>
      <c r="T42" s="42"/>
      <c r="U42" s="42"/>
      <c r="V42" s="42"/>
      <c r="W42" s="288"/>
      <c r="X42" s="288"/>
      <c r="Y42" s="288"/>
      <c r="Z42" s="288"/>
      <c r="AA42" s="42"/>
    </row>
    <row r="43" spans="2:27">
      <c r="B43" s="5" t="s">
        <v>470</v>
      </c>
      <c r="C43" s="247"/>
      <c r="D43" s="525">
        <f>L26/D29</f>
        <v>16.010366935380105</v>
      </c>
      <c r="E43" s="525">
        <f>M26/E29</f>
        <v>19.121173522858587</v>
      </c>
      <c r="F43" s="525">
        <f>N26/F29</f>
        <v>11.973102007702019</v>
      </c>
      <c r="G43" s="525">
        <f>O26/G29</f>
        <v>7.6960066983360695</v>
      </c>
      <c r="H43" s="17">
        <f t="shared" si="9"/>
        <v>0.12300194610841109</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5.3265966967091751</v>
      </c>
      <c r="E44" s="525">
        <f>E11/E30</f>
        <v>4.5828109867105473</v>
      </c>
      <c r="F44" s="525">
        <f>F11/F30</f>
        <v>4.5138669625307388</v>
      </c>
      <c r="G44" s="525">
        <f>G11/G30</f>
        <v>4.3461124154106212</v>
      </c>
      <c r="H44" s="17">
        <f t="shared" si="9"/>
        <v>7.0162232310911898E-2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0</v>
      </c>
      <c r="F46" s="248">
        <f>(F31+F32)/F11</f>
        <v>0</v>
      </c>
      <c r="G46" s="248">
        <f>(G31+G32)/G11</f>
        <v>0</v>
      </c>
      <c r="H46" s="17" t="str">
        <f t="shared" si="9"/>
        <v>nm</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6.2459530380292234E-2</v>
      </c>
      <c r="E47" s="248">
        <f>1/E43</f>
        <v>5.2298045347715746E-2</v>
      </c>
      <c r="F47" s="248">
        <f>1/F43</f>
        <v>8.3520544580403908E-2</v>
      </c>
      <c r="G47" s="248">
        <f>1/G43</f>
        <v>0.12993751684444441</v>
      </c>
      <c r="H47" s="17">
        <f>H29</f>
        <v>0.12300194610841109</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MOBBSOP!A1" display="Jump to Mobistar SOP" xr:uid="{00000000-0004-0000-3F00-000001000000}"/>
  </hyperlinks>
  <pageMargins left="0.75" right="0.75" top="1" bottom="1" header="0.5" footer="0.5"/>
  <pageSetup scale="71"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3">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422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15</v>
      </c>
      <c r="C9" s="287">
        <f>Prices!C109</f>
        <v>10</v>
      </c>
      <c r="D9" s="531">
        <v>0</v>
      </c>
      <c r="E9" s="532">
        <v>0</v>
      </c>
      <c r="F9" s="532">
        <v>0</v>
      </c>
      <c r="G9" s="532">
        <v>0</v>
      </c>
      <c r="H9" s="249"/>
      <c r="I9" s="249"/>
      <c r="J9" s="5" t="s">
        <v>268</v>
      </c>
      <c r="L9" s="525">
        <f>'EMEA CELLULAR'!D37</f>
        <v>3.1810559293853995</v>
      </c>
      <c r="M9" s="525">
        <f>'EMEA CELLULAR'!E37</f>
        <v>3.2323872383219907</v>
      </c>
      <c r="N9" s="525">
        <f>'EMEA CELLULAR'!F37</f>
        <v>2.8967593532646405</v>
      </c>
      <c r="O9" s="525">
        <f>'EMEA CELLULAR'!G37</f>
        <v>2.5822840300404155</v>
      </c>
      <c r="P9" s="286">
        <f>'EMEA CELLULAR'!H37</f>
        <v>4.7493644526533263E-2</v>
      </c>
      <c r="S9" s="88"/>
      <c r="T9" s="42"/>
      <c r="U9" s="42"/>
      <c r="V9" s="42"/>
      <c r="W9" s="42"/>
      <c r="X9" s="42"/>
      <c r="Y9" s="42"/>
      <c r="Z9" s="42"/>
      <c r="AA9" s="42"/>
    </row>
    <row r="10" spans="2:44">
      <c r="B10" s="5" t="s">
        <v>269</v>
      </c>
      <c r="C10" s="5"/>
      <c r="D10" s="527">
        <v>995.93128649999994</v>
      </c>
      <c r="E10" s="527">
        <v>995.93128649999994</v>
      </c>
      <c r="F10" s="527">
        <v>995.93128649999994</v>
      </c>
      <c r="G10" s="527">
        <v>995.93128649999994</v>
      </c>
      <c r="H10" s="247"/>
      <c r="I10" s="247"/>
      <c r="J10" s="5" t="s">
        <v>180</v>
      </c>
      <c r="L10" s="525">
        <f>'EMEA CELLULAR'!D38</f>
        <v>7.7572766871744339</v>
      </c>
      <c r="M10" s="525">
        <f>'EMEA CELLULAR'!E38</f>
        <v>8.095415565986066</v>
      </c>
      <c r="N10" s="525">
        <f>'EMEA CELLULAR'!F38</f>
        <v>7.1463601536743644</v>
      </c>
      <c r="O10" s="525">
        <f>'EMEA CELLULAR'!G38</f>
        <v>6.3123163660270478</v>
      </c>
      <c r="P10" s="286">
        <f>'EMEA CELLULAR'!H38</f>
        <v>4.6652398847596643E-2</v>
      </c>
      <c r="S10" s="88"/>
      <c r="T10" s="42"/>
      <c r="U10" s="42"/>
      <c r="V10" s="42"/>
      <c r="W10" s="288"/>
      <c r="X10" s="288"/>
      <c r="Y10" s="288"/>
      <c r="Z10" s="288"/>
      <c r="AA10" s="42"/>
    </row>
    <row r="11" spans="2:44">
      <c r="B11" s="41" t="s">
        <v>270</v>
      </c>
      <c r="C11" s="5"/>
      <c r="D11" s="528">
        <f>$C$9*D10</f>
        <v>9959.3128649999999</v>
      </c>
      <c r="E11" s="528">
        <f>$C$9*E10</f>
        <v>9959.3128649999999</v>
      </c>
      <c r="F11" s="528">
        <f>$C$9*F10</f>
        <v>9959.3128649999999</v>
      </c>
      <c r="G11" s="528">
        <f>$C$9*G10</f>
        <v>9959.3128649999999</v>
      </c>
      <c r="H11" s="249"/>
      <c r="I11" s="249"/>
      <c r="J11" s="5" t="s">
        <v>181</v>
      </c>
      <c r="L11" s="525">
        <f>'EMEA CELLULAR'!D39</f>
        <v>15.605152275252255</v>
      </c>
      <c r="M11" s="525">
        <f>'EMEA CELLULAR'!E39</f>
        <v>14.854063145861112</v>
      </c>
      <c r="N11" s="525">
        <f>'EMEA CELLULAR'!F39</f>
        <v>12.469863163008389</v>
      </c>
      <c r="O11" s="525">
        <f>'EMEA CELLULAR'!G39</f>
        <v>10.733351248281235</v>
      </c>
      <c r="P11" s="286">
        <f>'EMEA CELLULAR'!H39</f>
        <v>0.10698020388173712</v>
      </c>
      <c r="S11" s="88"/>
      <c r="T11" s="42"/>
      <c r="U11" s="42"/>
      <c r="V11" s="42"/>
      <c r="W11" s="288"/>
      <c r="X11" s="288"/>
      <c r="Y11" s="288"/>
      <c r="Z11" s="288"/>
      <c r="AA11" s="42"/>
    </row>
    <row r="12" spans="2:44">
      <c r="B12" s="5" t="s">
        <v>24</v>
      </c>
      <c r="C12" s="249"/>
      <c r="D12" s="529">
        <v>5004.4780127577533</v>
      </c>
      <c r="E12" s="529">
        <v>5047.513808816022</v>
      </c>
      <c r="F12" s="529">
        <v>5117.7776179407592</v>
      </c>
      <c r="G12" s="529">
        <v>5216.8542237297734</v>
      </c>
      <c r="H12" s="247"/>
      <c r="I12" s="247"/>
      <c r="J12" s="5" t="s">
        <v>461</v>
      </c>
      <c r="L12" s="525">
        <f>'EMEA CELLULAR'!D40</f>
        <v>19.965576466556715</v>
      </c>
      <c r="M12" s="525">
        <f>'EMEA CELLULAR'!E40</f>
        <v>18.915055159311862</v>
      </c>
      <c r="N12" s="525">
        <f>'EMEA CELLULAR'!F40</f>
        <v>18.041615049136492</v>
      </c>
      <c r="O12" s="525">
        <f>'EMEA CELLULAR'!G40</f>
        <v>15.593250523045757</v>
      </c>
      <c r="P12" s="286">
        <f>'EMEA CELLULAR'!H40</f>
        <v>6.1069987666233061E-2</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'EMEA CELLULAR'!D41</f>
        <v>2.9187139333758294</v>
      </c>
      <c r="M13" s="525">
        <f>'EMEA CELLULAR'!E41</f>
        <v>2.9515664246277606</v>
      </c>
      <c r="N13" s="525">
        <f>'EMEA CELLULAR'!F41</f>
        <v>2.8267562188907287</v>
      </c>
      <c r="O13" s="525">
        <f>'EMEA CELLULAR'!G41</f>
        <v>2.6673762180421927</v>
      </c>
      <c r="P13" s="286">
        <f>'EMEA CELLULAR'!H41</f>
        <v>6.9271484573356634E-3</v>
      </c>
      <c r="S13" s="88"/>
      <c r="T13" s="42"/>
      <c r="U13" s="42"/>
      <c r="V13" s="42"/>
      <c r="W13" s="42"/>
      <c r="X13" s="42"/>
      <c r="Y13" s="42"/>
      <c r="Z13" s="42"/>
      <c r="AA13" s="42"/>
    </row>
    <row r="14" spans="2:44">
      <c r="B14" s="5" t="s">
        <v>527</v>
      </c>
      <c r="C14" s="257"/>
      <c r="D14" s="529">
        <v>509.88470648787768</v>
      </c>
      <c r="E14" s="529">
        <v>509.88470648787768</v>
      </c>
      <c r="F14" s="529">
        <v>509.88470648787768</v>
      </c>
      <c r="G14" s="529">
        <v>509.88470648787768</v>
      </c>
      <c r="H14" s="247"/>
      <c r="I14" s="247"/>
      <c r="J14" s="5" t="s">
        <v>588</v>
      </c>
      <c r="L14" s="525">
        <f>'EMEA CELLULAR'!D42</f>
        <v>4.7109464900339777</v>
      </c>
      <c r="M14" s="525">
        <f>'EMEA CELLULAR'!E42</f>
        <v>4.3550930553623157</v>
      </c>
      <c r="N14" s="525">
        <f>'EMEA CELLULAR'!F42</f>
        <v>4.15717737946275</v>
      </c>
      <c r="O14" s="525">
        <f>'EMEA CELLULAR'!G42</f>
        <v>3.8993389218542824</v>
      </c>
      <c r="P14" s="286">
        <f>'EMEA CELLULAR'!H42</f>
        <v>4.0721900193509741E-2</v>
      </c>
      <c r="S14" s="88"/>
      <c r="T14" s="42"/>
      <c r="U14" s="42"/>
      <c r="V14" s="42"/>
      <c r="W14" s="42"/>
      <c r="X14" s="42"/>
      <c r="Y14" s="42"/>
      <c r="Z14" s="42"/>
      <c r="AA14" s="42"/>
    </row>
    <row r="15" spans="2:44">
      <c r="B15" s="5" t="s">
        <v>526</v>
      </c>
      <c r="C15" s="274"/>
      <c r="D15" s="529">
        <v>29.321419290680868</v>
      </c>
      <c r="E15" s="529">
        <v>29.321419290680868</v>
      </c>
      <c r="F15" s="529">
        <v>29.321419290680868</v>
      </c>
      <c r="G15" s="529">
        <v>29.321419290680868</v>
      </c>
      <c r="H15" s="247"/>
      <c r="I15" s="247"/>
      <c r="J15" s="5" t="s">
        <v>470</v>
      </c>
      <c r="L15" s="525">
        <f>'EMEA CELLULAR'!D43</f>
        <v>44.913387794396655</v>
      </c>
      <c r="M15" s="525">
        <f>'EMEA CELLULAR'!E43</f>
        <v>29.995057672440403</v>
      </c>
      <c r="N15" s="525">
        <f>'EMEA CELLULAR'!F43</f>
        <v>25.064246666873888</v>
      </c>
      <c r="O15" s="525">
        <f>'EMEA CELLULAR'!G43</f>
        <v>21.218892573865638</v>
      </c>
      <c r="P15" s="286">
        <f>'EMEA CELLULAR'!H43</f>
        <v>0.28395863860305148</v>
      </c>
      <c r="S15" s="88"/>
      <c r="T15" s="42"/>
      <c r="U15" s="42"/>
      <c r="V15" s="42"/>
      <c r="W15" s="42"/>
      <c r="X15" s="42"/>
      <c r="Y15" s="42"/>
      <c r="Z15" s="42"/>
      <c r="AA15" s="42"/>
    </row>
    <row r="16" spans="2:44">
      <c r="B16" s="5" t="s">
        <v>529</v>
      </c>
      <c r="C16" s="257"/>
      <c r="D16" s="529">
        <v>1875.6098967592534</v>
      </c>
      <c r="E16" s="529">
        <v>2375.4973954213983</v>
      </c>
      <c r="F16" s="529">
        <v>2885.8002531827537</v>
      </c>
      <c r="G16" s="529">
        <v>3406.7354782810858</v>
      </c>
      <c r="H16" s="247"/>
      <c r="I16" s="247"/>
      <c r="J16" s="5" t="s">
        <v>528</v>
      </c>
      <c r="L16" s="525">
        <f>'EMEA CELLULAR'!D44</f>
        <v>29.727847806043954</v>
      </c>
      <c r="M16" s="525">
        <f>'EMEA CELLULAR'!E44</f>
        <v>27.159249380804312</v>
      </c>
      <c r="N16" s="525">
        <f>'EMEA CELLULAR'!F44</f>
        <v>19.560820863413703</v>
      </c>
      <c r="O16" s="525">
        <f>'EMEA CELLULAR'!G44</f>
        <v>16.324783869234651</v>
      </c>
      <c r="P16" s="286">
        <f>'EMEA CELLULAR'!H44</f>
        <v>0.22067184815723828</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'EMEA CELLULAR'!D45</f>
        <v>1.8067342047517077E-2</v>
      </c>
      <c r="M17" s="248">
        <f>'EMEA CELLULAR'!E45</f>
        <v>2.1685197442238385E-2</v>
      </c>
      <c r="N17" s="248">
        <f>'EMEA CELLULAR'!F45</f>
        <v>2.716595241137466E-2</v>
      </c>
      <c r="O17" s="248">
        <f>'EMEA CELLULAR'!G45</f>
        <v>2.9076456344932108E-2</v>
      </c>
      <c r="P17" s="286">
        <f>'EMEA CELLULAR'!H45</f>
        <v>0.17141106606848178</v>
      </c>
      <c r="S17" s="88"/>
      <c r="T17" s="42"/>
      <c r="U17" s="42"/>
      <c r="V17" s="42"/>
      <c r="W17" s="42"/>
      <c r="X17" s="42"/>
      <c r="Y17" s="42"/>
      <c r="Z17" s="42"/>
      <c r="AA17" s="42"/>
    </row>
    <row r="18" spans="2:27" ht="12.6" thickBot="1">
      <c r="B18" s="41" t="s">
        <v>578</v>
      </c>
      <c r="C18" s="249"/>
      <c r="D18" s="530">
        <f>D11+D12+D13-D14+D15-D16-D17</f>
        <v>12607.617693801305</v>
      </c>
      <c r="E18" s="530">
        <f>E11+E12+E13-E14+E15-E16-E17</f>
        <v>12150.765991197428</v>
      </c>
      <c r="F18" s="530">
        <f>F11+F12+F13-F14+F15-F16-F17</f>
        <v>11710.72694256081</v>
      </c>
      <c r="G18" s="530">
        <f>G11+G12+G13-G14+G15-G16-G17</f>
        <v>11288.868323251492</v>
      </c>
      <c r="H18" s="276">
        <f>IF(D18=0,"nm",IF(G18=0,"nm",(G18/D18)^(1/3)-1))</f>
        <v>-3.6158121906753493E-2</v>
      </c>
      <c r="I18" s="254"/>
      <c r="J18" s="5" t="s">
        <v>36</v>
      </c>
      <c r="L18" s="248">
        <f>'EMEA CELLULAR'!D46</f>
        <v>1.9060999328690584E-2</v>
      </c>
      <c r="M18" s="248">
        <f>'EMEA CELLULAR'!E46</f>
        <v>1.6448875575029897E-2</v>
      </c>
      <c r="N18" s="248">
        <f>'EMEA CELLULAR'!F46</f>
        <v>3.2525613186693281E-2</v>
      </c>
      <c r="O18" s="248">
        <f>'EMEA CELLULAR'!G46</f>
        <v>2.8728545035796364E-2</v>
      </c>
      <c r="P18" s="286">
        <f>'EMEA CELLULAR'!H46</f>
        <v>0.14608344960699671</v>
      </c>
      <c r="S18" s="88"/>
      <c r="T18" s="42"/>
      <c r="U18" s="42"/>
      <c r="V18" s="42"/>
      <c r="W18" s="42"/>
      <c r="X18" s="42"/>
      <c r="Y18" s="42"/>
      <c r="Z18" s="42"/>
      <c r="AA18" s="42"/>
    </row>
    <row r="19" spans="2:27" ht="12.6" thickTop="1">
      <c r="B19" s="41"/>
      <c r="C19" s="249"/>
      <c r="D19" s="229"/>
      <c r="E19" s="229"/>
      <c r="F19" s="229"/>
      <c r="G19" s="229"/>
      <c r="H19" s="276"/>
      <c r="I19" s="254"/>
      <c r="J19" s="5" t="s">
        <v>576</v>
      </c>
      <c r="L19" s="248">
        <f>'EMEA CELLULAR'!D47</f>
        <v>2.226507616343203E-2</v>
      </c>
      <c r="M19" s="248">
        <f>'EMEA CELLULAR'!E47</f>
        <v>3.3338825713237569E-2</v>
      </c>
      <c r="N19" s="248">
        <f>'EMEA CELLULAR'!F47</f>
        <v>3.9897468824452963E-2</v>
      </c>
      <c r="O19" s="248">
        <f>'EMEA CELLULAR'!G47</f>
        <v>4.712781293928861E-2</v>
      </c>
      <c r="P19" s="286">
        <f>'EMEA CELLULAR'!H47</f>
        <v>0.28395863860305148</v>
      </c>
      <c r="S19" s="88"/>
      <c r="T19" s="42"/>
      <c r="U19" s="42"/>
      <c r="V19" s="42"/>
      <c r="W19" s="42"/>
      <c r="X19" s="42"/>
      <c r="Y19" s="42"/>
      <c r="Z19" s="42"/>
      <c r="AA19" s="42"/>
    </row>
    <row r="20" spans="2:27">
      <c r="H20" s="277"/>
      <c r="I20" s="17"/>
      <c r="J20" s="5" t="s">
        <v>599</v>
      </c>
      <c r="L20" s="305">
        <f>'EMEA CELLULAR'!D48</f>
        <v>0.86093645070473657</v>
      </c>
      <c r="M20" s="305">
        <f>'EMEA CELLULAR'!E48</f>
        <v>0.6892786925982729</v>
      </c>
      <c r="N20" s="305">
        <f>'EMEA CELLULAR'!F48</f>
        <v>0.72154157991457057</v>
      </c>
      <c r="O20" s="305">
        <f>'EMEA CELLULAR'!G48</f>
        <v>0.65380157418816365</v>
      </c>
      <c r="P20" s="286" t="str">
        <f>'EMEA CELLULAR'!H48</f>
        <v>nm</v>
      </c>
      <c r="S20" s="88"/>
      <c r="T20" s="42"/>
      <c r="U20" s="42"/>
      <c r="V20" s="42"/>
      <c r="W20" s="42"/>
      <c r="X20" s="42"/>
      <c r="Y20" s="42"/>
      <c r="Z20" s="42"/>
      <c r="AA20" s="42"/>
    </row>
    <row r="21" spans="2:27" ht="12.6" thickBot="1">
      <c r="B21" s="306" t="s">
        <v>917</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4277.8708008360782</v>
      </c>
      <c r="D23" s="536">
        <v>4370.7139526141882</v>
      </c>
      <c r="E23" s="536">
        <v>4463.4737903598598</v>
      </c>
      <c r="F23" s="536">
        <v>4557.0285734396157</v>
      </c>
      <c r="G23" s="536">
        <v>4651.8746590520987</v>
      </c>
      <c r="H23" s="279">
        <f t="shared" ref="H23:H32" si="3">IF(D23=0,"nm",IF(G23=0,"nm",(G23/D23)^(1/3)-1))</f>
        <v>2.0998741327123316E-2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1839.7132796879309</v>
      </c>
      <c r="D24" s="536">
        <v>1841.6027485511452</v>
      </c>
      <c r="E24" s="536">
        <v>1841.8596347262699</v>
      </c>
      <c r="F24" s="536">
        <v>1847.3351687128634</v>
      </c>
      <c r="G24" s="536">
        <v>1851.9764656700286</v>
      </c>
      <c r="H24" s="279">
        <f t="shared" si="3"/>
        <v>1.8741464069604863E-3</v>
      </c>
      <c r="I24" s="249"/>
      <c r="J24" s="17"/>
      <c r="K24" s="17"/>
      <c r="L24" s="17"/>
      <c r="M24" s="17"/>
      <c r="N24" s="17"/>
      <c r="O24" s="248"/>
      <c r="S24" s="88"/>
      <c r="T24" s="42"/>
      <c r="U24" s="42"/>
      <c r="V24" s="42"/>
      <c r="W24" s="42" t="s">
        <v>236</v>
      </c>
      <c r="X24" s="42" t="s">
        <v>508</v>
      </c>
      <c r="Y24" s="42"/>
      <c r="Z24" s="42"/>
      <c r="AA24" s="42"/>
    </row>
    <row r="25" spans="2:27">
      <c r="B25" s="5" t="s">
        <v>179</v>
      </c>
      <c r="C25" s="544">
        <v>1064.8801182702778</v>
      </c>
      <c r="D25" s="536">
        <v>1071.569564626802</v>
      </c>
      <c r="E25" s="536">
        <v>1121.5346942792476</v>
      </c>
      <c r="F25" s="536">
        <v>1111.904085256657</v>
      </c>
      <c r="G25" s="536">
        <v>1101.2308509168754</v>
      </c>
      <c r="H25" s="279">
        <f t="shared" si="3"/>
        <v>9.1428942790983125E-3</v>
      </c>
      <c r="I25" s="248"/>
      <c r="J25" s="247" t="s">
        <v>10</v>
      </c>
      <c r="K25" s="247"/>
      <c r="L25" s="321">
        <v>0</v>
      </c>
      <c r="M25" s="321">
        <v>0</v>
      </c>
      <c r="N25" s="321">
        <v>0</v>
      </c>
      <c r="O25" s="321">
        <v>0</v>
      </c>
      <c r="P25" s="279" t="str">
        <f>IF(L25=0,"nm",IF(O25=0,"nm",(O25/L25)^(1/3)-1))</f>
        <v>nm</v>
      </c>
      <c r="S25" s="88"/>
      <c r="T25" s="42"/>
      <c r="U25" s="42"/>
      <c r="V25" s="147" t="s">
        <v>268</v>
      </c>
      <c r="W25" s="288">
        <f>D37/L9</f>
        <v>0.9067954695544751</v>
      </c>
      <c r="X25" s="288">
        <v>1</v>
      </c>
      <c r="Y25" s="42"/>
      <c r="Z25" s="42"/>
      <c r="AA25" s="42"/>
    </row>
    <row r="26" spans="2:27">
      <c r="B26" s="5" t="s">
        <v>581</v>
      </c>
      <c r="C26" s="544">
        <v>805.9232133224358</v>
      </c>
      <c r="D26" s="536">
        <v>810.98592414828454</v>
      </c>
      <c r="E26" s="536">
        <v>848.80056370506395</v>
      </c>
      <c r="F26" s="536">
        <v>841.51192037651208</v>
      </c>
      <c r="G26" s="536">
        <v>833.43419672661196</v>
      </c>
      <c r="H26" s="279">
        <f t="shared" si="3"/>
        <v>9.1428942790983125E-3</v>
      </c>
      <c r="I26" s="249"/>
      <c r="J26" s="249" t="s">
        <v>11</v>
      </c>
      <c r="K26" s="249"/>
      <c r="L26" s="281">
        <f>D11+L25</f>
        <v>9959.3128649999999</v>
      </c>
      <c r="M26" s="281">
        <f>E11+M25</f>
        <v>9959.3128649999999</v>
      </c>
      <c r="N26" s="281">
        <f>F11+N25</f>
        <v>9959.3128649999999</v>
      </c>
      <c r="O26" s="281">
        <f>G11+O25</f>
        <v>9959.3128649999999</v>
      </c>
      <c r="P26" s="279">
        <f>IF(L26=0,"nm",IF(O26=0,"nm",(O26/L26)^(1/3)-1))</f>
        <v>0</v>
      </c>
      <c r="Q26" s="5"/>
      <c r="S26" s="88"/>
      <c r="T26" s="42"/>
      <c r="U26" s="42"/>
      <c r="V26" s="147" t="s">
        <v>180</v>
      </c>
      <c r="W26" s="288">
        <f t="shared" ref="W26:W33" si="5">D38/L10</f>
        <v>0.88252658009186014</v>
      </c>
      <c r="X26" s="288">
        <v>1</v>
      </c>
      <c r="Y26" s="42"/>
      <c r="Z26" s="42"/>
      <c r="AA26" s="42"/>
    </row>
    <row r="27" spans="2:27">
      <c r="B27" s="5" t="s">
        <v>582</v>
      </c>
      <c r="C27" s="545">
        <v>4942.1968759427509</v>
      </c>
      <c r="D27" s="536">
        <v>4923.7254671007504</v>
      </c>
      <c r="E27" s="536">
        <v>4851.2794570648266</v>
      </c>
      <c r="F27" s="536">
        <v>4806.6835661723235</v>
      </c>
      <c r="G27" s="536">
        <v>4782.128651637513</v>
      </c>
      <c r="H27" s="279">
        <f t="shared" si="3"/>
        <v>-9.6794102526188697E-3</v>
      </c>
      <c r="I27" s="249"/>
      <c r="J27" s="248"/>
      <c r="K27" s="248"/>
      <c r="L27" s="248"/>
      <c r="M27" s="248"/>
      <c r="N27" s="248"/>
      <c r="O27" s="248"/>
      <c r="Q27" s="41"/>
      <c r="S27" s="88"/>
      <c r="T27" s="42"/>
      <c r="U27" s="42"/>
      <c r="V27" s="147" t="s">
        <v>181</v>
      </c>
      <c r="W27" s="288">
        <f t="shared" si="5"/>
        <v>0.75395365369134415</v>
      </c>
      <c r="X27" s="288">
        <v>1</v>
      </c>
      <c r="Y27" s="42"/>
      <c r="Z27" s="42"/>
      <c r="AA27" s="42"/>
    </row>
    <row r="28" spans="2:27" ht="12.6" thickBot="1">
      <c r="B28" s="5" t="s">
        <v>587</v>
      </c>
      <c r="C28" s="544">
        <v>2139.1140717402927</v>
      </c>
      <c r="D28" s="536">
        <v>2110.4552847979876</v>
      </c>
      <c r="E28" s="536">
        <v>2034.9416948246771</v>
      </c>
      <c r="F28" s="536">
        <v>1983.3436444525912</v>
      </c>
      <c r="G28" s="536">
        <v>1948.4614207580769</v>
      </c>
      <c r="H28" s="279">
        <f t="shared" si="3"/>
        <v>-2.6269996550228214E-2</v>
      </c>
      <c r="I28" s="248"/>
      <c r="J28" s="306" t="s">
        <v>1352</v>
      </c>
      <c r="K28" s="306"/>
      <c r="L28" s="306"/>
      <c r="M28" s="306"/>
      <c r="N28" s="266"/>
      <c r="O28" s="266"/>
      <c r="P28" s="266"/>
      <c r="Q28" s="5"/>
      <c r="S28" s="88"/>
      <c r="T28" s="42"/>
      <c r="U28" s="42"/>
      <c r="V28" s="147" t="s">
        <v>461</v>
      </c>
      <c r="W28" s="288">
        <f t="shared" si="5"/>
        <v>0.77864206202795827</v>
      </c>
      <c r="X28" s="288">
        <v>1</v>
      </c>
      <c r="Y28" s="42"/>
      <c r="Z28" s="42"/>
      <c r="AA28" s="42"/>
    </row>
    <row r="29" spans="2:27" ht="12.6" thickTop="1">
      <c r="B29" s="5" t="s">
        <v>583</v>
      </c>
      <c r="C29" s="544">
        <v>395.6111763303889</v>
      </c>
      <c r="D29" s="536">
        <v>402.00394015122231</v>
      </c>
      <c r="E29" s="536">
        <v>451.1496226395189</v>
      </c>
      <c r="F29" s="536">
        <v>435.45685430914949</v>
      </c>
      <c r="G29" s="536">
        <v>421.59481423269119</v>
      </c>
      <c r="H29" s="279">
        <f t="shared" si="3"/>
        <v>1.5987387973576794E-2</v>
      </c>
      <c r="I29" s="252"/>
      <c r="J29" s="249"/>
      <c r="K29" s="249"/>
      <c r="L29" s="249"/>
      <c r="M29" s="249"/>
      <c r="N29" s="249"/>
      <c r="O29" s="251"/>
      <c r="Q29" s="5"/>
      <c r="S29" s="88"/>
      <c r="T29" s="42"/>
      <c r="U29" s="42"/>
      <c r="V29" s="147" t="s">
        <v>525</v>
      </c>
      <c r="W29" s="288">
        <f t="shared" si="5"/>
        <v>0.87729907162602383</v>
      </c>
      <c r="X29" s="288">
        <v>1</v>
      </c>
      <c r="Y29" s="42"/>
      <c r="Z29" s="42"/>
      <c r="AA29" s="42"/>
    </row>
    <row r="30" spans="2:27">
      <c r="B30" s="5" t="s">
        <v>584</v>
      </c>
      <c r="C30" s="545">
        <v>510.28277935046913</v>
      </c>
      <c r="D30" s="536">
        <v>505.003436221931</v>
      </c>
      <c r="E30" s="536">
        <v>501.89260627638276</v>
      </c>
      <c r="F30" s="536">
        <v>515.83239535194889</v>
      </c>
      <c r="G30" s="536">
        <v>523.83480818218675</v>
      </c>
      <c r="H30" s="279">
        <f t="shared" si="3"/>
        <v>1.2278485660941918E-2</v>
      </c>
      <c r="I30" s="254"/>
      <c r="J30" s="248"/>
      <c r="K30" s="248"/>
      <c r="L30" s="248"/>
      <c r="M30" s="248"/>
      <c r="N30" s="248"/>
      <c r="O30" s="5"/>
      <c r="Q30" s="5"/>
      <c r="S30" s="88"/>
      <c r="T30" s="42"/>
      <c r="U30" s="42"/>
      <c r="V30" s="147" t="s">
        <v>588</v>
      </c>
      <c r="W30" s="288">
        <f t="shared" si="5"/>
        <v>1.2680859910621076</v>
      </c>
      <c r="X30" s="288">
        <v>1</v>
      </c>
      <c r="Y30" s="42"/>
      <c r="Z30" s="42"/>
      <c r="AA30" s="42"/>
    </row>
    <row r="31" spans="2:27">
      <c r="B31" s="5" t="s">
        <v>585</v>
      </c>
      <c r="C31" s="545">
        <v>489.68471862949286</v>
      </c>
      <c r="D31" s="536">
        <v>499.88749866214454</v>
      </c>
      <c r="E31" s="536">
        <v>510.3028577613556</v>
      </c>
      <c r="F31" s="536">
        <v>520.9352250983319</v>
      </c>
      <c r="G31" s="536">
        <v>531.78912212786042</v>
      </c>
      <c r="H31" s="279">
        <f t="shared" si="3"/>
        <v>2.083540622057134E-2</v>
      </c>
      <c r="I31" s="254"/>
      <c r="J31" s="252"/>
      <c r="K31" s="252"/>
      <c r="L31" s="252"/>
      <c r="M31" s="252"/>
      <c r="N31" s="252"/>
      <c r="O31" s="5"/>
      <c r="Q31" s="5"/>
      <c r="S31" s="88"/>
      <c r="T31" s="42"/>
      <c r="U31" s="42"/>
      <c r="V31" s="147" t="s">
        <v>470</v>
      </c>
      <c r="W31" s="288">
        <f t="shared" si="5"/>
        <v>0.55159872162262746</v>
      </c>
      <c r="X31" s="288">
        <v>1</v>
      </c>
      <c r="Y31" s="42"/>
      <c r="Z31" s="42"/>
      <c r="AA31" s="42"/>
    </row>
    <row r="32" spans="2:27">
      <c r="B32" s="5" t="s">
        <v>601</v>
      </c>
      <c r="C32" s="546">
        <v>184.48135681757864</v>
      </c>
      <c r="D32" s="536">
        <v>190.87619376608714</v>
      </c>
      <c r="E32" s="536">
        <v>134.14834505158419</v>
      </c>
      <c r="F32" s="536">
        <v>349.6518226127838</v>
      </c>
      <c r="G32" s="536">
        <v>0</v>
      </c>
      <c r="H32" s="279" t="str">
        <f t="shared" si="3"/>
        <v>nm</v>
      </c>
      <c r="I32" s="254"/>
      <c r="J32" s="254"/>
      <c r="K32" s="254"/>
      <c r="L32" s="254"/>
      <c r="M32" s="254"/>
      <c r="N32" s="254"/>
      <c r="O32" s="251"/>
      <c r="Q32" s="5"/>
      <c r="S32" s="88"/>
      <c r="T32" s="42"/>
      <c r="U32" s="42"/>
      <c r="V32" s="147" t="s">
        <v>528</v>
      </c>
      <c r="W32" s="288">
        <f t="shared" si="5"/>
        <v>0.66339405230655357</v>
      </c>
      <c r="X32" s="288">
        <v>1</v>
      </c>
      <c r="Y32" s="42"/>
      <c r="Z32" s="42"/>
      <c r="AA32" s="42"/>
    </row>
    <row r="33" spans="2:27">
      <c r="B33" s="5" t="s">
        <v>5</v>
      </c>
      <c r="C33" s="545">
        <v>-348.12299075214537</v>
      </c>
      <c r="D33" s="536">
        <v>-345.79129435583724</v>
      </c>
      <c r="E33" s="536">
        <v>-344.19422520995272</v>
      </c>
      <c r="F33" s="536">
        <v>-343.52893292849438</v>
      </c>
      <c r="G33" s="536">
        <v>-346.07070391840961</v>
      </c>
      <c r="H33" s="279">
        <f>IF(D33=0,"nm",IF(G33=0,"nm",(G33/D33)^(1/3)-1))</f>
        <v>2.6927064951376423E-4</v>
      </c>
      <c r="I33" s="5"/>
      <c r="J33" s="254"/>
      <c r="K33" s="254"/>
      <c r="L33" s="254"/>
      <c r="M33" s="254"/>
      <c r="N33" s="254"/>
      <c r="O33" s="251"/>
      <c r="Q33" s="5"/>
      <c r="S33" s="88"/>
      <c r="T33" s="42"/>
      <c r="U33" s="42"/>
      <c r="V33" s="147" t="s">
        <v>575</v>
      </c>
      <c r="W33" s="288">
        <f t="shared" si="5"/>
        <v>2.7781048563553323</v>
      </c>
      <c r="X33" s="288">
        <v>1</v>
      </c>
      <c r="Y33" s="42"/>
      <c r="Z33" s="42"/>
      <c r="AA33" s="42"/>
    </row>
    <row r="34" spans="2:27">
      <c r="H34" s="277"/>
      <c r="I34" s="49"/>
      <c r="J34" s="254"/>
      <c r="K34" s="254"/>
      <c r="L34" s="254"/>
      <c r="M34" s="254"/>
      <c r="N34" s="254"/>
      <c r="O34" s="251"/>
      <c r="Q34" s="5"/>
      <c r="S34" s="88"/>
      <c r="T34" s="42"/>
      <c r="U34" s="42"/>
      <c r="V34" s="147" t="s">
        <v>576</v>
      </c>
      <c r="W34" s="288">
        <f>D47/L19</f>
        <v>1.8129121058481048</v>
      </c>
      <c r="X34" s="288">
        <v>1</v>
      </c>
      <c r="Y34" s="288"/>
      <c r="Z34" s="288"/>
      <c r="AA34" s="42"/>
    </row>
    <row r="35" spans="2:27" ht="12.6" thickBot="1">
      <c r="B35" s="306" t="s">
        <v>313</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2.8845671051660804</v>
      </c>
      <c r="E37" s="525">
        <f t="shared" ref="E37:G41" si="7">E$18/E23</f>
        <v>2.7222666832816316</v>
      </c>
      <c r="F37" s="525">
        <f t="shared" si="7"/>
        <v>2.5698164393385907</v>
      </c>
      <c r="G37" s="525">
        <f t="shared" si="7"/>
        <v>2.4267352735492227</v>
      </c>
      <c r="H37" s="17">
        <f t="shared" ref="H37:H45" si="8">H23</f>
        <v>2.0998741327123316E-2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6.8460028655583676</v>
      </c>
      <c r="E38" s="525">
        <f>E$18/E24</f>
        <v>6.5970097623661905</v>
      </c>
      <c r="F38" s="525">
        <f t="shared" si="7"/>
        <v>6.3392540459890103</v>
      </c>
      <c r="G38" s="525">
        <f t="shared" si="7"/>
        <v>6.0955787141535192</v>
      </c>
      <c r="H38" s="17">
        <f t="shared" si="8"/>
        <v>1.8741464069604863E-3</v>
      </c>
      <c r="I38" s="259"/>
      <c r="J38" s="17"/>
      <c r="K38" s="17"/>
      <c r="L38" s="17"/>
      <c r="M38" s="17"/>
      <c r="N38" s="17"/>
      <c r="O38" s="5"/>
      <c r="Q38" s="5"/>
      <c r="R38" s="5"/>
      <c r="S38" s="42"/>
      <c r="T38" s="42"/>
      <c r="U38" s="42"/>
      <c r="V38" s="42"/>
      <c r="W38" s="42"/>
      <c r="X38" s="42"/>
      <c r="Y38" s="42"/>
      <c r="Z38" s="42"/>
      <c r="AA38" s="42"/>
    </row>
    <row r="39" spans="2:27">
      <c r="B39" s="5" t="s">
        <v>181</v>
      </c>
      <c r="C39" s="247"/>
      <c r="D39" s="525">
        <f>D$18/D25</f>
        <v>11.76556157433623</v>
      </c>
      <c r="E39" s="525">
        <f t="shared" si="7"/>
        <v>10.834052707576824</v>
      </c>
      <c r="F39" s="525">
        <f t="shared" si="7"/>
        <v>10.532137706695863</v>
      </c>
      <c r="G39" s="525">
        <f t="shared" si="7"/>
        <v>10.251137001703572</v>
      </c>
      <c r="H39" s="17">
        <f t="shared" si="8"/>
        <v>9.1428942790983125E-3</v>
      </c>
      <c r="I39" s="17"/>
      <c r="J39" s="5"/>
      <c r="K39" s="5"/>
      <c r="L39" s="5"/>
      <c r="M39" s="5"/>
      <c r="N39" s="5"/>
      <c r="O39" s="5"/>
      <c r="Q39" s="5"/>
      <c r="R39" s="5"/>
      <c r="S39" s="42"/>
      <c r="T39" s="42"/>
      <c r="U39" s="42"/>
      <c r="V39" s="42"/>
      <c r="W39" s="42"/>
      <c r="X39" s="42"/>
      <c r="Y39" s="42"/>
      <c r="Z39" s="42"/>
      <c r="AA39" s="42"/>
    </row>
    <row r="40" spans="2:27">
      <c r="B40" s="5" t="s">
        <v>461</v>
      </c>
      <c r="C40" s="247"/>
      <c r="D40" s="525">
        <f>D$18/D26</f>
        <v>15.546037629496597</v>
      </c>
      <c r="E40" s="525">
        <f t="shared" si="7"/>
        <v>14.315219040570174</v>
      </c>
      <c r="F40" s="525">
        <f t="shared" si="7"/>
        <v>13.916293588950181</v>
      </c>
      <c r="G40" s="525">
        <f t="shared" si="7"/>
        <v>13.545002553998314</v>
      </c>
      <c r="H40" s="17">
        <f t="shared" si="8"/>
        <v>9.1428942790983125E-3</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2.5605850240925556</v>
      </c>
      <c r="E41" s="525">
        <f t="shared" si="7"/>
        <v>2.5046518343738158</v>
      </c>
      <c r="F41" s="525">
        <f t="shared" si="7"/>
        <v>2.436342393116246</v>
      </c>
      <c r="G41" s="525">
        <f t="shared" si="7"/>
        <v>2.360636684123067</v>
      </c>
      <c r="H41" s="17">
        <f t="shared" si="8"/>
        <v>-9.6794102526188697E-3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5.9738852486552938</v>
      </c>
      <c r="E42" s="525">
        <f>E18/E28</f>
        <v>5.9710634570511818</v>
      </c>
      <c r="F42" s="525">
        <f>F18/F28</f>
        <v>5.9045375093296082</v>
      </c>
      <c r="G42" s="525">
        <f>G18/G28</f>
        <v>5.7937345861635769</v>
      </c>
      <c r="H42" s="17">
        <f t="shared" si="8"/>
        <v>-2.6269996550228214E-2</v>
      </c>
      <c r="I42" s="248"/>
      <c r="J42" s="5"/>
      <c r="K42" s="5"/>
      <c r="L42" s="5"/>
      <c r="M42" s="5"/>
      <c r="N42" s="5"/>
      <c r="O42" s="5"/>
      <c r="Q42" s="5"/>
      <c r="R42" s="5"/>
      <c r="S42" s="42"/>
      <c r="T42" s="42"/>
      <c r="U42" s="42"/>
      <c r="V42" s="42"/>
      <c r="W42" s="288"/>
      <c r="X42" s="288"/>
      <c r="Y42" s="288"/>
      <c r="Z42" s="288"/>
      <c r="AA42" s="42"/>
    </row>
    <row r="43" spans="2:27">
      <c r="B43" s="5" t="s">
        <v>470</v>
      </c>
      <c r="C43" s="247"/>
      <c r="D43" s="525">
        <f>L26/D29</f>
        <v>24.774167291130514</v>
      </c>
      <c r="E43" s="525">
        <f>M26/E29</f>
        <v>22.07540994211973</v>
      </c>
      <c r="F43" s="525">
        <f>N26/F29</f>
        <v>22.87095211947096</v>
      </c>
      <c r="G43" s="525">
        <f>O26/G29</f>
        <v>23.622949165364133</v>
      </c>
      <c r="H43" s="17">
        <f t="shared" si="8"/>
        <v>1.5987387973576794E-2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19.721277422403986</v>
      </c>
      <c r="E44" s="525">
        <f>E11/E30</f>
        <v>19.843513812426227</v>
      </c>
      <c r="F44" s="525">
        <f>F11/F30</f>
        <v>19.307265217813296</v>
      </c>
      <c r="G44" s="525">
        <f>G11/G30</f>
        <v>19.012315923718088</v>
      </c>
      <c r="H44" s="17">
        <f t="shared" si="8"/>
        <v>1.2278485660941918E-2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5.0192970683640085E-2</v>
      </c>
      <c r="E45" s="248">
        <f>E31/E11</f>
        <v>5.1238761617250952E-2</v>
      </c>
      <c r="F45" s="248">
        <f>F31/F11</f>
        <v>5.2306342029785395E-2</v>
      </c>
      <c r="G45" s="248">
        <f>G31/G11</f>
        <v>5.339616591388812E-2</v>
      </c>
      <c r="H45" s="17">
        <f t="shared" si="8"/>
        <v>2.083540622057134E-2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6.9358569390442756E-2</v>
      </c>
      <c r="E46" s="248">
        <f>(E31+E32)/E11</f>
        <v>6.4708400222844062E-2</v>
      </c>
      <c r="F46" s="248">
        <f>(F31+F32)/F11</f>
        <v>8.7414368793515732E-2</v>
      </c>
      <c r="G46" s="248">
        <f>(G31+G32)/G11</f>
        <v>5.339616591388812E-2</v>
      </c>
      <c r="H46" s="279">
        <f>((G31+G32)/(D31+D32))^(1/3)-1</f>
        <v>-8.3491179338755828E-2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4.0364626114316002E-2</v>
      </c>
      <c r="E47" s="248">
        <f>1/E43</f>
        <v>4.529927202357438E-2</v>
      </c>
      <c r="F47" s="248">
        <f>1/F43</f>
        <v>4.3723584168088039E-2</v>
      </c>
      <c r="G47" s="248">
        <f>1/G43</f>
        <v>4.2331717051916434E-2</v>
      </c>
      <c r="H47" s="17">
        <f>H29</f>
        <v>1.5987387973576794E-2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1.2434890525553088</v>
      </c>
      <c r="E48" s="305">
        <f>E31/E29</f>
        <v>1.1311166676273645</v>
      </c>
      <c r="F48" s="305">
        <f>F31/F29</f>
        <v>1.1962958441078932</v>
      </c>
      <c r="G48" s="305">
        <f>G31/G29</f>
        <v>1.2613749130091283</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MTSSOP!A1" display="Jump to MTS SOP" xr:uid="{00000000-0004-0000-4000-000001000000}"/>
  </hyperlinks>
  <pageMargins left="0.75" right="0.75" top="1" bottom="1" header="0.5" footer="0.5"/>
  <pageSetup scale="71"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8">
    <pageSetUpPr fitToPage="1"/>
  </sheetPr>
  <dimension ref="B1:AR168"/>
  <sheetViews>
    <sheetView showGridLines="0" zoomScale="80" zoomScaleNormal="80" workbookViewId="0">
      <selection activeCell="D16" sqref="D16:G17"/>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762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1377</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267</v>
      </c>
      <c r="C9" s="287">
        <f>Prices!C27</f>
        <v>3.5750000000000002</v>
      </c>
      <c r="D9" s="531">
        <v>0</v>
      </c>
      <c r="E9" s="532">
        <v>0</v>
      </c>
      <c r="F9" s="532">
        <v>0</v>
      </c>
      <c r="G9" s="532">
        <v>0</v>
      </c>
      <c r="H9" s="249"/>
      <c r="I9" s="249"/>
      <c r="J9" s="5" t="s">
        <v>268</v>
      </c>
      <c r="L9" s="525">
        <f>'W.EUR OTHER'!D37</f>
        <v>1.9589195361329668</v>
      </c>
      <c r="M9" s="525">
        <f>'W.EUR OTHER'!E37</f>
        <v>1.6383796798063159</v>
      </c>
      <c r="N9" s="525">
        <f>'W.EUR OTHER'!F37</f>
        <v>1.5411744049087741</v>
      </c>
      <c r="O9" s="525">
        <f>'W.EUR OTHER'!G37</f>
        <v>1.4434676732212866</v>
      </c>
      <c r="P9" s="279">
        <f>'W.EUR OTHER'!H37</f>
        <v>1.8004685546411769E-2</v>
      </c>
      <c r="S9" s="88"/>
      <c r="T9" s="42"/>
      <c r="U9" s="42"/>
      <c r="V9" s="42"/>
      <c r="W9" s="42"/>
      <c r="X9" s="42"/>
      <c r="Y9" s="42"/>
      <c r="Z9" s="42"/>
      <c r="AA9" s="42"/>
    </row>
    <row r="10" spans="2:44">
      <c r="B10" s="5" t="s">
        <v>269</v>
      </c>
      <c r="C10" s="5"/>
      <c r="D10" s="527">
        <v>513.16314199999999</v>
      </c>
      <c r="E10" s="527">
        <v>513.16314199999999</v>
      </c>
      <c r="F10" s="527">
        <v>513.16314199999999</v>
      </c>
      <c r="G10" s="527">
        <v>513.16314199999999</v>
      </c>
      <c r="H10" s="247"/>
      <c r="I10" s="247"/>
      <c r="J10" s="5" t="s">
        <v>180</v>
      </c>
      <c r="L10" s="525">
        <f>'W.EUR OTHER'!D38</f>
        <v>4.8812882235325841</v>
      </c>
      <c r="M10" s="525">
        <f>'W.EUR OTHER'!E38</f>
        <v>4.145841728258338</v>
      </c>
      <c r="N10" s="525">
        <f>'W.EUR OTHER'!F38</f>
        <v>3.8271320252352607</v>
      </c>
      <c r="O10" s="525">
        <f>'W.EUR OTHER'!G38</f>
        <v>3.5258553553595839</v>
      </c>
      <c r="P10" s="279">
        <f>'W.EUR OTHER'!H38</f>
        <v>2.4794026477105824E-2</v>
      </c>
      <c r="S10" s="88"/>
      <c r="T10" s="42"/>
      <c r="U10" s="42"/>
      <c r="V10" s="42"/>
      <c r="W10" s="288"/>
      <c r="X10" s="288"/>
      <c r="Y10" s="288"/>
      <c r="Z10" s="288"/>
      <c r="AA10" s="42"/>
    </row>
    <row r="11" spans="2:44">
      <c r="B11" s="41" t="s">
        <v>270</v>
      </c>
      <c r="C11" s="5"/>
      <c r="D11" s="528">
        <f>$C$9*D10</f>
        <v>1834.55823265</v>
      </c>
      <c r="E11" s="528">
        <f>$C$9*E10</f>
        <v>1834.55823265</v>
      </c>
      <c r="F11" s="528">
        <f>$C$9*F10</f>
        <v>1834.55823265</v>
      </c>
      <c r="G11" s="528">
        <f>$C$9*G10</f>
        <v>1834.55823265</v>
      </c>
      <c r="H11" s="249"/>
      <c r="I11" s="249"/>
      <c r="J11" s="5" t="s">
        <v>181</v>
      </c>
      <c r="L11" s="525">
        <f>'W.EUR OTHER'!D39</f>
        <v>13.16156410853363</v>
      </c>
      <c r="M11" s="525">
        <f>'W.EUR OTHER'!E39</f>
        <v>11.425296433104002</v>
      </c>
      <c r="N11" s="525">
        <f>'W.EUR OTHER'!F39</f>
        <v>9.8430805940601882</v>
      </c>
      <c r="O11" s="525">
        <f>'W.EUR OTHER'!G39</f>
        <v>8.6472666256233168</v>
      </c>
      <c r="P11" s="279">
        <f>'W.EUR OTHER'!H39</f>
        <v>5.7684523659928821E-2</v>
      </c>
      <c r="S11" s="88"/>
      <c r="T11" s="42"/>
      <c r="U11" s="42"/>
      <c r="V11" s="42"/>
      <c r="W11" s="288"/>
      <c r="X11" s="288"/>
      <c r="Y11" s="288"/>
      <c r="Z11" s="288"/>
      <c r="AA11" s="42"/>
    </row>
    <row r="12" spans="2:44">
      <c r="B12" s="5" t="s">
        <v>24</v>
      </c>
      <c r="C12" s="249"/>
      <c r="D12" s="529">
        <v>1089.3484581995144</v>
      </c>
      <c r="E12" s="529">
        <v>1034.2002583209401</v>
      </c>
      <c r="F12" s="529">
        <v>1106.3632987019914</v>
      </c>
      <c r="G12" s="529">
        <v>1095.7185131013491</v>
      </c>
      <c r="H12" s="247"/>
      <c r="I12" s="247"/>
      <c r="J12" s="5" t="s">
        <v>461</v>
      </c>
      <c r="L12" s="525">
        <f>'W.EUR OTHER'!D40</f>
        <v>18.782864415708623</v>
      </c>
      <c r="M12" s="525">
        <f>'W.EUR OTHER'!E40</f>
        <v>16.344811252802039</v>
      </c>
      <c r="N12" s="525">
        <f>'W.EUR OTHER'!F40</f>
        <v>14.257332213491615</v>
      </c>
      <c r="O12" s="525">
        <f>'W.EUR OTHER'!G40</f>
        <v>12.325553609893248</v>
      </c>
      <c r="P12" s="279">
        <f>'W.EUR OTHER'!H40</f>
        <v>5.8112215141036705E-2</v>
      </c>
      <c r="S12" s="88"/>
      <c r="T12" s="42"/>
      <c r="U12" s="42"/>
      <c r="V12" s="42"/>
      <c r="W12" s="288"/>
      <c r="X12" s="288"/>
      <c r="Y12" s="288"/>
      <c r="Z12" s="288"/>
      <c r="AA12" s="42"/>
    </row>
    <row r="13" spans="2:44">
      <c r="B13" s="5" t="s">
        <v>524</v>
      </c>
      <c r="C13" s="257"/>
      <c r="D13" s="529">
        <v>503.79563523213608</v>
      </c>
      <c r="E13" s="529">
        <v>543.01256066246776</v>
      </c>
      <c r="F13" s="529">
        <v>363.40546096246777</v>
      </c>
      <c r="G13" s="529">
        <v>231.29836126246778</v>
      </c>
      <c r="H13" s="247"/>
      <c r="I13" s="247"/>
      <c r="J13" s="5" t="s">
        <v>525</v>
      </c>
      <c r="L13" s="525">
        <f>'W.EUR OTHER'!D41</f>
        <v>0.84442389849965394</v>
      </c>
      <c r="M13" s="525">
        <f>'W.EUR OTHER'!E41</f>
        <v>0.81498961294635097</v>
      </c>
      <c r="N13" s="525">
        <f>'W.EUR OTHER'!F41</f>
        <v>0.77498610757856878</v>
      </c>
      <c r="O13" s="525">
        <f>'W.EUR OTHER'!G41</f>
        <v>0.73281741958307633</v>
      </c>
      <c r="P13" s="279">
        <f>'W.EUR OTHER'!H41</f>
        <v>-3.6019662148356391E-2</v>
      </c>
      <c r="S13" s="88"/>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7"/>
      <c r="I14" s="247"/>
      <c r="J14" s="5" t="s">
        <v>588</v>
      </c>
      <c r="L14" s="525">
        <f>'W.EUR OTHER'!D42</f>
        <v>2.9998062507434589</v>
      </c>
      <c r="M14" s="525">
        <f>'W.EUR OTHER'!E42</f>
        <v>2.5616627697063863</v>
      </c>
      <c r="N14" s="525">
        <f>'W.EUR OTHER'!F42</f>
        <v>2.4320616245212983</v>
      </c>
      <c r="O14" s="525">
        <f>'W.EUR OTHER'!G42</f>
        <v>2.298739291377446</v>
      </c>
      <c r="P14" s="279">
        <f>'W.EUR OTHER'!H42</f>
        <v>4.8033956462567584E-3</v>
      </c>
      <c r="S14" s="88"/>
      <c r="T14" s="42"/>
      <c r="U14" s="42"/>
      <c r="V14" s="42"/>
      <c r="W14" s="42"/>
      <c r="X14" s="42"/>
      <c r="Y14" s="42"/>
      <c r="Z14" s="42"/>
      <c r="AA14" s="42"/>
    </row>
    <row r="15" spans="2:44">
      <c r="B15" s="5" t="s">
        <v>526</v>
      </c>
      <c r="C15" s="274"/>
      <c r="D15" s="529">
        <v>0</v>
      </c>
      <c r="E15" s="529">
        <f t="shared" si="2"/>
        <v>0</v>
      </c>
      <c r="F15" s="529">
        <f t="shared" si="2"/>
        <v>0</v>
      </c>
      <c r="G15" s="529">
        <f t="shared" si="2"/>
        <v>0</v>
      </c>
      <c r="H15" s="247"/>
      <c r="I15" s="247"/>
      <c r="J15" s="5" t="s">
        <v>470</v>
      </c>
      <c r="L15" s="525">
        <f>'W.EUR OTHER'!D43</f>
        <v>36.043730510598792</v>
      </c>
      <c r="M15" s="525">
        <f>'W.EUR OTHER'!E43</f>
        <v>34.490732675014193</v>
      </c>
      <c r="N15" s="525">
        <f>'W.EUR OTHER'!F43</f>
        <v>16.287705091950169</v>
      </c>
      <c r="O15" s="525">
        <f>'W.EUR OTHER'!G43</f>
        <v>11.941589892511526</v>
      </c>
      <c r="P15" s="279">
        <f>'W.EUR OTHER'!H43</f>
        <v>0.37754240659126448</v>
      </c>
      <c r="S15" s="88"/>
      <c r="T15" s="42"/>
      <c r="U15" s="42"/>
      <c r="V15" s="42"/>
      <c r="W15" s="42"/>
      <c r="X15" s="42"/>
      <c r="Y15" s="42"/>
      <c r="Z15" s="42"/>
      <c r="AA15" s="42"/>
      <c r="AB15" s="39"/>
      <c r="AC15" s="39"/>
      <c r="AD15" s="39"/>
      <c r="AE15" s="39"/>
      <c r="AF15" s="39"/>
      <c r="AG15" s="39"/>
      <c r="AH15" s="39"/>
      <c r="AI15" s="39"/>
      <c r="AJ15" s="39"/>
      <c r="AK15" s="39"/>
      <c r="AL15" s="39"/>
      <c r="AM15" s="39"/>
      <c r="AN15" s="39"/>
      <c r="AO15" s="39"/>
      <c r="AP15" s="39"/>
      <c r="AQ15" s="39"/>
      <c r="AR15" s="39"/>
    </row>
    <row r="16" spans="2:44">
      <c r="B16" s="5" t="s">
        <v>529</v>
      </c>
      <c r="C16" s="257"/>
      <c r="D16" s="529">
        <v>0</v>
      </c>
      <c r="E16" s="529">
        <v>0</v>
      </c>
      <c r="F16" s="529">
        <v>179.60709969999999</v>
      </c>
      <c r="G16" s="529">
        <v>359.21419939999998</v>
      </c>
      <c r="H16" s="247"/>
      <c r="I16" s="247"/>
      <c r="J16" s="5" t="s">
        <v>528</v>
      </c>
      <c r="L16" s="525">
        <f>'W.EUR OTHER'!D44</f>
        <v>18.190653543431651</v>
      </c>
      <c r="M16" s="525">
        <f>'W.EUR OTHER'!E44</f>
        <v>13.647996044938878</v>
      </c>
      <c r="N16" s="525">
        <f>'W.EUR OTHER'!F44</f>
        <v>10.565198529238016</v>
      </c>
      <c r="O16" s="525">
        <f>'W.EUR OTHER'!G44</f>
        <v>9.2374096772312519</v>
      </c>
      <c r="P16" s="279">
        <f>'W.EUR OTHER'!H44</f>
        <v>0.20457659904306258</v>
      </c>
      <c r="S16" s="88"/>
      <c r="T16" s="42"/>
      <c r="U16" s="42"/>
      <c r="V16" s="42"/>
      <c r="W16" s="42"/>
      <c r="X16" s="42"/>
      <c r="Y16" s="42"/>
      <c r="Z16" s="42"/>
      <c r="AA16" s="42"/>
      <c r="AB16" s="39"/>
      <c r="AC16" s="39"/>
      <c r="AD16" s="39"/>
      <c r="AE16" s="39"/>
      <c r="AF16" s="39"/>
      <c r="AG16" s="39"/>
      <c r="AH16" s="39"/>
      <c r="AI16" s="39"/>
      <c r="AJ16" s="39"/>
      <c r="AK16" s="39"/>
      <c r="AL16" s="39"/>
      <c r="AM16" s="39"/>
      <c r="AN16" s="39"/>
      <c r="AO16" s="39"/>
      <c r="AP16" s="39"/>
      <c r="AQ16" s="39"/>
      <c r="AR16" s="39"/>
    </row>
    <row r="17" spans="2:44">
      <c r="B17" s="5" t="s">
        <v>6</v>
      </c>
      <c r="C17" s="257"/>
      <c r="D17" s="529">
        <v>0</v>
      </c>
      <c r="E17" s="529">
        <v>0</v>
      </c>
      <c r="F17" s="529">
        <v>0</v>
      </c>
      <c r="G17" s="529">
        <v>0</v>
      </c>
      <c r="H17" s="247"/>
      <c r="I17" s="247"/>
      <c r="J17" s="5" t="s">
        <v>575</v>
      </c>
      <c r="L17" s="248">
        <f>'W.EUR OTHER'!D45</f>
        <v>6.6143118778113894E-2</v>
      </c>
      <c r="M17" s="248">
        <f>'W.EUR OTHER'!E45</f>
        <v>4.3051326641435336E-2</v>
      </c>
      <c r="N17" s="248">
        <f>'W.EUR OTHER'!F45</f>
        <v>4.4102284782265591E-2</v>
      </c>
      <c r="O17" s="248">
        <f>'W.EUR OTHER'!G45</f>
        <v>4.5021641876791196E-2</v>
      </c>
      <c r="P17" s="279">
        <f>'W.EUR OTHER'!H45</f>
        <v>-0.15462913486104612</v>
      </c>
      <c r="S17" s="88"/>
      <c r="T17" s="42"/>
      <c r="U17" s="42"/>
      <c r="V17" s="42"/>
      <c r="W17" s="42"/>
      <c r="X17" s="42"/>
      <c r="Y17" s="42"/>
      <c r="Z17" s="42"/>
      <c r="AA17" s="42"/>
      <c r="AB17" s="39"/>
      <c r="AC17" s="39"/>
      <c r="AD17" s="39"/>
      <c r="AE17" s="39"/>
      <c r="AF17" s="39"/>
      <c r="AG17" s="39"/>
      <c r="AH17" s="39"/>
      <c r="AI17" s="39"/>
      <c r="AJ17" s="39"/>
      <c r="AK17" s="39"/>
      <c r="AL17" s="39"/>
      <c r="AM17" s="39"/>
      <c r="AN17" s="39"/>
      <c r="AO17" s="39"/>
      <c r="AP17" s="39"/>
      <c r="AQ17" s="39"/>
      <c r="AR17" s="39"/>
    </row>
    <row r="18" spans="2:44" ht="12.6" thickBot="1">
      <c r="B18" s="41" t="s">
        <v>578</v>
      </c>
      <c r="C18" s="249"/>
      <c r="D18" s="530">
        <f>D11+D12+D13-D14+D15-D16-D17</f>
        <v>3427.7023260816504</v>
      </c>
      <c r="E18" s="530">
        <f>E11+E12+E13-E14+E15-E16-E17</f>
        <v>3411.7710516334082</v>
      </c>
      <c r="F18" s="530">
        <f>F11+F12+F13-F14+F15-F16-F17</f>
        <v>3124.7198926144592</v>
      </c>
      <c r="G18" s="530">
        <f>G11+G12+G13-G14+G15-G16-G17</f>
        <v>2802.3609076138168</v>
      </c>
      <c r="H18" s="276">
        <f>IF(D18=0,"nm",IF(G18=0,"nm",(G18/D18)^(1/3)-1))</f>
        <v>-6.4938184688561718E-2</v>
      </c>
      <c r="I18" s="254"/>
      <c r="J18" s="5" t="s">
        <v>36</v>
      </c>
      <c r="L18" s="248">
        <f>'W.EUR OTHER'!D46</f>
        <v>6.6143118778113894E-2</v>
      </c>
      <c r="M18" s="248">
        <f>'W.EUR OTHER'!E46</f>
        <v>4.3051326641435336E-2</v>
      </c>
      <c r="N18" s="248">
        <f>'W.EUR OTHER'!F46</f>
        <v>4.4102284782265591E-2</v>
      </c>
      <c r="O18" s="248">
        <f>'W.EUR OTHER'!G46</f>
        <v>4.5021641876791196E-2</v>
      </c>
      <c r="P18" s="279">
        <f>'W.EUR OTHER'!H46</f>
        <v>-0.15462913486104612</v>
      </c>
      <c r="S18" s="88"/>
      <c r="T18" s="42"/>
      <c r="U18" s="42"/>
      <c r="V18" s="42"/>
      <c r="W18" s="42"/>
      <c r="X18" s="42"/>
      <c r="Y18" s="42"/>
      <c r="Z18" s="42"/>
      <c r="AA18" s="42"/>
      <c r="AB18" s="39"/>
      <c r="AC18" s="39"/>
      <c r="AD18" s="39"/>
      <c r="AE18" s="39"/>
      <c r="AF18" s="39"/>
      <c r="AG18" s="39"/>
      <c r="AH18" s="39"/>
      <c r="AI18" s="39"/>
      <c r="AJ18" s="39"/>
      <c r="AK18" s="39"/>
      <c r="AL18" s="39"/>
      <c r="AM18" s="39"/>
      <c r="AN18" s="39"/>
      <c r="AO18" s="39"/>
      <c r="AP18" s="39"/>
      <c r="AQ18" s="39"/>
      <c r="AR18" s="39"/>
    </row>
    <row r="19" spans="2:44" ht="12.6" thickTop="1">
      <c r="B19" s="41"/>
      <c r="C19" s="249"/>
      <c r="D19" s="229"/>
      <c r="E19" s="229"/>
      <c r="F19" s="229"/>
      <c r="G19" s="229"/>
      <c r="H19" s="276"/>
      <c r="I19" s="254"/>
      <c r="J19" s="5" t="s">
        <v>576</v>
      </c>
      <c r="L19" s="248">
        <f>'W.EUR OTHER'!D47</f>
        <v>2.7744076038576149E-2</v>
      </c>
      <c r="M19" s="248">
        <f>'W.EUR OTHER'!E47</f>
        <v>2.8993295370742325E-2</v>
      </c>
      <c r="N19" s="248">
        <f>'W.EUR OTHER'!F47</f>
        <v>6.1396003571689631E-2</v>
      </c>
      <c r="O19" s="248">
        <f>'W.EUR OTHER'!G47</f>
        <v>8.3740943124088682E-2</v>
      </c>
      <c r="P19" s="279">
        <f>'W.EUR OTHER'!H47</f>
        <v>0.37754240659126448</v>
      </c>
      <c r="S19" s="88"/>
      <c r="T19" s="42"/>
      <c r="U19" s="42"/>
      <c r="V19" s="42"/>
      <c r="W19" s="42"/>
      <c r="X19" s="42"/>
      <c r="Y19" s="42"/>
      <c r="Z19" s="42"/>
      <c r="AA19" s="42"/>
      <c r="AB19" s="39"/>
      <c r="AC19" s="39"/>
      <c r="AD19" s="39"/>
      <c r="AE19" s="39"/>
      <c r="AF19" s="39"/>
      <c r="AG19" s="39"/>
      <c r="AH19" s="39"/>
      <c r="AI19" s="39"/>
      <c r="AJ19" s="39"/>
      <c r="AK19" s="39"/>
      <c r="AL19" s="39"/>
      <c r="AM19" s="39"/>
      <c r="AN19" s="39"/>
      <c r="AO19" s="39"/>
      <c r="AP19" s="39"/>
      <c r="AQ19" s="39"/>
      <c r="AR19" s="39"/>
    </row>
    <row r="20" spans="2:44">
      <c r="H20" s="277"/>
      <c r="I20" s="17"/>
      <c r="J20" s="5" t="s">
        <v>599</v>
      </c>
      <c r="L20" s="305">
        <f>'W.EUR OTHER'!D48</f>
        <v>2.1773296851754451</v>
      </c>
      <c r="M20" s="305">
        <f>'W.EUR OTHER'!E48</f>
        <v>1.3522122093409186</v>
      </c>
      <c r="N20" s="305">
        <f>'W.EUR OTHER'!F48</f>
        <v>0.65358788133464962</v>
      </c>
      <c r="O20" s="305">
        <f>'W.EUR OTHER'!G48</f>
        <v>0.50321211795021492</v>
      </c>
      <c r="P20" s="279" t="str">
        <f>'W.EUR OTHER'!H48</f>
        <v>nm</v>
      </c>
      <c r="S20" s="88"/>
      <c r="T20" s="42"/>
      <c r="U20" s="42"/>
      <c r="V20" s="42"/>
      <c r="W20" s="42"/>
      <c r="X20" s="42"/>
      <c r="Y20" s="42"/>
      <c r="Z20" s="42"/>
      <c r="AA20" s="42"/>
      <c r="AB20" s="39"/>
      <c r="AC20" s="39"/>
      <c r="AD20" s="39"/>
      <c r="AE20" s="39"/>
      <c r="AF20" s="39"/>
      <c r="AG20" s="39"/>
      <c r="AH20" s="39"/>
      <c r="AI20" s="39"/>
      <c r="AJ20" s="39"/>
      <c r="AK20" s="39"/>
      <c r="AL20" s="39"/>
      <c r="AM20" s="39"/>
      <c r="AN20" s="39"/>
      <c r="AO20" s="39"/>
      <c r="AP20" s="39"/>
      <c r="AQ20" s="39"/>
      <c r="AR20" s="39"/>
    </row>
    <row r="21" spans="2:44" ht="12.6" thickBot="1">
      <c r="B21" s="306" t="s">
        <v>918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c r="AB21" s="39"/>
      <c r="AC21" s="39"/>
      <c r="AD21" s="39"/>
      <c r="AE21" s="39"/>
      <c r="AF21" s="39"/>
      <c r="AG21" s="39"/>
      <c r="AH21" s="39"/>
      <c r="AI21" s="39"/>
      <c r="AJ21" s="39"/>
      <c r="AK21" s="39"/>
      <c r="AL21" s="39"/>
      <c r="AM21" s="39"/>
      <c r="AN21" s="39"/>
      <c r="AO21" s="39"/>
      <c r="AP21" s="39"/>
      <c r="AQ21" s="39"/>
      <c r="AR21" s="39"/>
    </row>
    <row r="22" spans="2:44" ht="12.6" thickTop="1">
      <c r="B22" s="5"/>
      <c r="C22" s="257"/>
      <c r="D22" s="17"/>
      <c r="E22" s="17"/>
      <c r="F22" s="17"/>
      <c r="G22" s="17"/>
      <c r="H22" s="17"/>
      <c r="I22" s="17"/>
      <c r="P22" s="277"/>
      <c r="S22" s="88"/>
      <c r="T22" s="42"/>
      <c r="U22" s="42"/>
      <c r="V22" s="42"/>
      <c r="W22" s="42"/>
      <c r="X22" s="42"/>
      <c r="Y22" s="42"/>
      <c r="Z22" s="42"/>
      <c r="AA22" s="42"/>
      <c r="AB22" s="39"/>
      <c r="AC22" s="39"/>
      <c r="AD22" s="39"/>
      <c r="AE22" s="39"/>
      <c r="AF22" s="39"/>
      <c r="AG22" s="39"/>
      <c r="AH22" s="39"/>
      <c r="AI22" s="39"/>
      <c r="AJ22" s="39"/>
      <c r="AK22" s="39"/>
      <c r="AL22" s="39"/>
      <c r="AM22" s="39"/>
      <c r="AN22" s="39"/>
      <c r="AO22" s="39"/>
      <c r="AP22" s="39"/>
      <c r="AQ22" s="39"/>
      <c r="AR22" s="39"/>
    </row>
    <row r="23" spans="2:44" ht="12.6" thickBot="1">
      <c r="B23" s="5" t="s">
        <v>579</v>
      </c>
      <c r="C23" s="544">
        <v>1597.4540754469558</v>
      </c>
      <c r="D23" s="536">
        <v>1649.6768415783724</v>
      </c>
      <c r="E23" s="536">
        <v>1649.6582302611082</v>
      </c>
      <c r="F23" s="536">
        <v>1624.5217409555596</v>
      </c>
      <c r="G23" s="536">
        <v>1608.904209873406</v>
      </c>
      <c r="H23" s="279">
        <f t="shared" ref="H23:H33" si="4">IF(D23=0,"nm",IF(G23=0,"nm",(G23/D23)^(1/3)-1))</f>
        <v>-8.307329457125201E-3</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c r="AB23" s="39"/>
      <c r="AC23" s="39"/>
      <c r="AD23" s="39"/>
      <c r="AE23" s="39"/>
      <c r="AF23" s="39"/>
      <c r="AG23" s="39"/>
      <c r="AH23" s="39"/>
      <c r="AI23" s="39"/>
      <c r="AJ23" s="39"/>
      <c r="AK23" s="39"/>
      <c r="AL23" s="39"/>
      <c r="AM23" s="39"/>
      <c r="AN23" s="39"/>
      <c r="AO23" s="39"/>
      <c r="AP23" s="39"/>
      <c r="AQ23" s="39"/>
      <c r="AR23" s="39"/>
    </row>
    <row r="24" spans="2:44" ht="12.6" thickTop="1">
      <c r="B24" s="5" t="s">
        <v>481</v>
      </c>
      <c r="C24" s="544">
        <v>651.06085125151162</v>
      </c>
      <c r="D24" s="536">
        <v>716.66926536304186</v>
      </c>
      <c r="E24" s="536">
        <v>744.41042644270294</v>
      </c>
      <c r="F24" s="536">
        <v>731.41046136496493</v>
      </c>
      <c r="G24" s="536">
        <v>722.12456172461157</v>
      </c>
      <c r="H24" s="279">
        <f t="shared" si="4"/>
        <v>2.5309269490563224E-3</v>
      </c>
      <c r="I24" s="249"/>
      <c r="J24" s="17"/>
      <c r="K24" s="17"/>
      <c r="L24" s="17"/>
      <c r="M24" s="17"/>
      <c r="N24" s="17"/>
      <c r="O24" s="248"/>
      <c r="S24" s="88"/>
      <c r="T24" s="42"/>
      <c r="U24" s="42"/>
      <c r="V24" s="42"/>
      <c r="W24" s="42" t="s">
        <v>760</v>
      </c>
      <c r="X24" s="42" t="s">
        <v>249</v>
      </c>
      <c r="Y24" s="42"/>
      <c r="Z24" s="42"/>
      <c r="AA24" s="42"/>
      <c r="AB24" s="39"/>
      <c r="AC24" s="39"/>
      <c r="AD24" s="39"/>
      <c r="AE24" s="39"/>
      <c r="AF24" s="39"/>
      <c r="AG24" s="39"/>
      <c r="AH24" s="39"/>
      <c r="AI24" s="39"/>
      <c r="AJ24" s="39"/>
      <c r="AK24" s="39"/>
      <c r="AL24" s="39"/>
      <c r="AM24" s="39"/>
      <c r="AN24" s="39"/>
      <c r="AO24" s="39"/>
      <c r="AP24" s="39"/>
      <c r="AQ24" s="39"/>
      <c r="AR24" s="39"/>
    </row>
    <row r="25" spans="2:44">
      <c r="B25" s="5" t="s">
        <v>410</v>
      </c>
      <c r="C25" s="544">
        <v>155.13017691151163</v>
      </c>
      <c r="D25" s="536">
        <v>329.08045703303941</v>
      </c>
      <c r="E25" s="536">
        <v>367.58588635670293</v>
      </c>
      <c r="F25" s="536">
        <v>365.66943047724493</v>
      </c>
      <c r="G25" s="536">
        <v>367.38371021913719</v>
      </c>
      <c r="H25" s="279">
        <f t="shared" si="4"/>
        <v>3.7383337371192926E-2</v>
      </c>
      <c r="I25" s="248"/>
      <c r="J25" s="247" t="s">
        <v>10</v>
      </c>
      <c r="K25" s="247"/>
      <c r="L25" s="321">
        <v>491.89615160519702</v>
      </c>
      <c r="M25" s="321">
        <v>388.45389778957349</v>
      </c>
      <c r="N25" s="321">
        <v>238.66157663977344</v>
      </c>
      <c r="O25" s="321">
        <v>0</v>
      </c>
      <c r="P25" s="279" t="str">
        <f>IF(L25=0,"nm",IF(O25=0,"nm",(O25/L25)^(1/3)-1))</f>
        <v>nm</v>
      </c>
      <c r="S25" s="88"/>
      <c r="T25" s="42"/>
      <c r="U25" s="42"/>
      <c r="V25" s="147" t="s">
        <v>268</v>
      </c>
      <c r="W25" s="288">
        <f>D37/L9</f>
        <v>1.060687923036582</v>
      </c>
      <c r="X25" s="288">
        <v>1</v>
      </c>
      <c r="Y25" s="42"/>
      <c r="Z25" s="42"/>
      <c r="AA25" s="42"/>
      <c r="AB25" s="39"/>
      <c r="AC25" s="39"/>
      <c r="AD25" s="39"/>
      <c r="AE25" s="39"/>
      <c r="AF25" s="39"/>
      <c r="AG25" s="39"/>
      <c r="AH25" s="39"/>
      <c r="AI25" s="39"/>
      <c r="AJ25" s="39"/>
      <c r="AK25" s="39"/>
      <c r="AL25" s="39"/>
      <c r="AM25" s="39"/>
      <c r="AN25" s="39"/>
      <c r="AO25" s="39"/>
      <c r="AP25" s="39"/>
      <c r="AQ25" s="39"/>
      <c r="AR25" s="39"/>
    </row>
    <row r="26" spans="2:44">
      <c r="B26" s="5" t="s">
        <v>411</v>
      </c>
      <c r="C26" s="544">
        <v>109.3667747226157</v>
      </c>
      <c r="D26" s="536">
        <v>232.00172220829282</v>
      </c>
      <c r="E26" s="536">
        <v>259.14804988147557</v>
      </c>
      <c r="F26" s="536">
        <v>257.79694848645772</v>
      </c>
      <c r="G26" s="536">
        <v>259.00551570449176</v>
      </c>
      <c r="H26" s="279">
        <f t="shared" si="4"/>
        <v>3.7383337371192926E-2</v>
      </c>
      <c r="I26" s="249"/>
      <c r="J26" s="249" t="s">
        <v>11</v>
      </c>
      <c r="K26" s="249"/>
      <c r="L26" s="281">
        <f>D11+L25</f>
        <v>2326.4543842551971</v>
      </c>
      <c r="M26" s="281">
        <f>E11+M25</f>
        <v>2223.0121304395734</v>
      </c>
      <c r="N26" s="281">
        <f>F11+N25</f>
        <v>2073.2198092897734</v>
      </c>
      <c r="O26" s="281">
        <f>G11+O25</f>
        <v>1834.55823265</v>
      </c>
      <c r="P26" s="279">
        <f>IF(L26=0,"nm",IF(O26=0,"nm",(O26/L26)^(1/3)-1))</f>
        <v>-7.6126904437220477E-2</v>
      </c>
      <c r="Q26" s="5"/>
      <c r="S26" s="88"/>
      <c r="T26" s="42"/>
      <c r="U26" s="42"/>
      <c r="V26" s="147" t="s">
        <v>180</v>
      </c>
      <c r="W26" s="288">
        <f t="shared" ref="W26:W33" si="6">D38/L10</f>
        <v>0.97982804805551904</v>
      </c>
      <c r="X26" s="288">
        <v>1</v>
      </c>
      <c r="Y26" s="42"/>
      <c r="Z26" s="42"/>
      <c r="AA26" s="42"/>
      <c r="AB26" s="39"/>
      <c r="AC26" s="39"/>
      <c r="AD26" s="39"/>
      <c r="AE26" s="39"/>
      <c r="AF26" s="39"/>
      <c r="AG26" s="39"/>
      <c r="AH26" s="39"/>
      <c r="AI26" s="39"/>
      <c r="AJ26" s="39"/>
      <c r="AK26" s="39"/>
      <c r="AL26" s="39"/>
      <c r="AM26" s="39"/>
      <c r="AN26" s="39"/>
      <c r="AO26" s="39"/>
      <c r="AP26" s="39"/>
      <c r="AQ26" s="39"/>
      <c r="AR26" s="39"/>
    </row>
    <row r="27" spans="2:44">
      <c r="B27" s="5" t="s">
        <v>582</v>
      </c>
      <c r="C27" s="544">
        <v>2078.7618470547286</v>
      </c>
      <c r="D27" s="536">
        <v>2138.2058278515769</v>
      </c>
      <c r="E27" s="536">
        <v>2083.2911363538115</v>
      </c>
      <c r="F27" s="536">
        <v>2143.6759228500196</v>
      </c>
      <c r="G27" s="536">
        <v>2174.5702237088153</v>
      </c>
      <c r="H27" s="279">
        <f t="shared" si="4"/>
        <v>5.6371517931639303E-3</v>
      </c>
      <c r="I27" s="249"/>
      <c r="J27" s="248"/>
      <c r="K27" s="248"/>
      <c r="L27" s="248"/>
      <c r="M27" s="248"/>
      <c r="N27" s="248"/>
      <c r="O27" s="248"/>
      <c r="Q27" s="41"/>
      <c r="S27" s="88"/>
      <c r="T27" s="42"/>
      <c r="U27" s="42"/>
      <c r="V27" s="147" t="s">
        <v>181</v>
      </c>
      <c r="W27" s="288">
        <f t="shared" si="6"/>
        <v>0.79139536775852626</v>
      </c>
      <c r="X27" s="288">
        <v>1</v>
      </c>
      <c r="Y27" s="42"/>
      <c r="Z27" s="42"/>
      <c r="AA27" s="42"/>
      <c r="AB27" s="39"/>
      <c r="AC27" s="39"/>
      <c r="AD27" s="39"/>
      <c r="AE27" s="39"/>
      <c r="AF27" s="39"/>
      <c r="AG27" s="39"/>
      <c r="AH27" s="39"/>
      <c r="AI27" s="39"/>
      <c r="AJ27" s="39"/>
      <c r="AK27" s="39"/>
      <c r="AL27" s="39"/>
      <c r="AM27" s="39"/>
      <c r="AN27" s="39"/>
      <c r="AO27" s="39"/>
      <c r="AP27" s="39"/>
      <c r="AQ27" s="39"/>
      <c r="AR27" s="39"/>
    </row>
    <row r="28" spans="2:44" ht="12.6" thickBot="1">
      <c r="B28" s="5" t="s">
        <v>587</v>
      </c>
      <c r="C28" s="544">
        <v>1898.8789999999999</v>
      </c>
      <c r="D28" s="536">
        <v>1848.8789999999999</v>
      </c>
      <c r="E28" s="536">
        <v>1742.0658160156199</v>
      </c>
      <c r="F28" s="536">
        <v>1652.1097750892282</v>
      </c>
      <c r="G28" s="536">
        <v>1574.6846430238029</v>
      </c>
      <c r="H28" s="279">
        <f t="shared" si="4"/>
        <v>-5.2101795111544891E-2</v>
      </c>
      <c r="I28" s="248"/>
      <c r="J28" s="306" t="s">
        <v>1352</v>
      </c>
      <c r="K28" s="306"/>
      <c r="L28" s="306"/>
      <c r="M28" s="306"/>
      <c r="N28" s="266"/>
      <c r="O28" s="266"/>
      <c r="P28" s="266"/>
      <c r="Q28" s="5"/>
      <c r="S28" s="88"/>
      <c r="T28" s="42"/>
      <c r="U28" s="42"/>
      <c r="V28" s="147" t="s">
        <v>461</v>
      </c>
      <c r="W28" s="288">
        <f t="shared" si="6"/>
        <v>0.78659298120074794</v>
      </c>
      <c r="X28" s="288">
        <v>1</v>
      </c>
      <c r="Y28" s="42"/>
      <c r="Z28" s="42"/>
      <c r="AA28" s="42"/>
      <c r="AB28" s="39"/>
      <c r="AC28" s="39"/>
      <c r="AD28" s="39"/>
      <c r="AE28" s="39"/>
      <c r="AF28" s="39"/>
      <c r="AG28" s="39"/>
      <c r="AH28" s="39"/>
      <c r="AI28" s="39"/>
      <c r="AJ28" s="39"/>
      <c r="AK28" s="39"/>
      <c r="AL28" s="39"/>
      <c r="AM28" s="39"/>
      <c r="AN28" s="39"/>
      <c r="AO28" s="39"/>
      <c r="AP28" s="39"/>
      <c r="AQ28" s="39"/>
      <c r="AR28" s="39"/>
    </row>
    <row r="29" spans="2:44" ht="12.6" thickTop="1">
      <c r="B29" s="5" t="s">
        <v>583</v>
      </c>
      <c r="C29" s="544">
        <v>87.243014711520573</v>
      </c>
      <c r="D29" s="536">
        <v>241.12220262810928</v>
      </c>
      <c r="E29" s="536">
        <v>245.47355131002922</v>
      </c>
      <c r="F29" s="536">
        <v>264.10464598638822</v>
      </c>
      <c r="G29" s="536">
        <v>257.39107746970348</v>
      </c>
      <c r="H29" s="279">
        <f t="shared" si="4"/>
        <v>2.2002822539026301E-2</v>
      </c>
      <c r="I29" s="252"/>
      <c r="J29" s="249"/>
      <c r="K29" s="249"/>
      <c r="L29" s="249"/>
      <c r="M29" s="249"/>
      <c r="N29" s="249"/>
      <c r="O29" s="251"/>
      <c r="Q29" s="5"/>
      <c r="S29" s="88"/>
      <c r="T29" s="42"/>
      <c r="U29" s="42"/>
      <c r="V29" s="147" t="s">
        <v>525</v>
      </c>
      <c r="W29" s="288">
        <f t="shared" si="6"/>
        <v>1.8984233821222001</v>
      </c>
      <c r="X29" s="288">
        <v>1</v>
      </c>
      <c r="Y29" s="42"/>
      <c r="Z29" s="42"/>
      <c r="AA29" s="42"/>
      <c r="AB29" s="39"/>
      <c r="AC29" s="39"/>
      <c r="AD29" s="39"/>
      <c r="AE29" s="39"/>
      <c r="AF29" s="39"/>
      <c r="AG29" s="39"/>
      <c r="AH29" s="39"/>
      <c r="AI29" s="39"/>
      <c r="AJ29" s="39"/>
      <c r="AK29" s="39"/>
      <c r="AL29" s="39"/>
      <c r="AM29" s="39"/>
      <c r="AN29" s="39"/>
      <c r="AO29" s="39"/>
      <c r="AP29" s="39"/>
      <c r="AQ29" s="39"/>
      <c r="AR29" s="39"/>
    </row>
    <row r="30" spans="2:44">
      <c r="B30" s="5" t="s">
        <v>584</v>
      </c>
      <c r="C30" s="544">
        <v>102.28658631450577</v>
      </c>
      <c r="D30" s="536">
        <v>145.0732868877318</v>
      </c>
      <c r="E30" s="536">
        <v>138.6603673256493</v>
      </c>
      <c r="F30" s="536">
        <v>174.14860505999621</v>
      </c>
      <c r="G30" s="536">
        <v>179.96594540427805</v>
      </c>
      <c r="H30" s="279">
        <f t="shared" si="4"/>
        <v>7.4486492883492295E-2</v>
      </c>
      <c r="I30" s="254"/>
      <c r="J30" s="248"/>
      <c r="K30" s="248"/>
      <c r="L30" s="248"/>
      <c r="M30" s="248"/>
      <c r="N30" s="248"/>
      <c r="O30" s="5"/>
      <c r="Q30" s="5"/>
      <c r="S30" s="88"/>
      <c r="T30" s="42"/>
      <c r="U30" s="42"/>
      <c r="V30" s="147" t="s">
        <v>588</v>
      </c>
      <c r="W30" s="288">
        <f t="shared" si="6"/>
        <v>0.61801839780967738</v>
      </c>
      <c r="X30" s="288">
        <v>1</v>
      </c>
      <c r="Y30" s="42"/>
      <c r="Z30" s="42"/>
      <c r="AA30" s="42"/>
      <c r="AB30" s="39"/>
      <c r="AC30" s="39"/>
      <c r="AD30" s="39"/>
      <c r="AE30" s="39"/>
      <c r="AF30" s="39"/>
      <c r="AG30" s="39"/>
      <c r="AH30" s="39"/>
      <c r="AI30" s="39"/>
      <c r="AJ30" s="39"/>
      <c r="AK30" s="39"/>
      <c r="AL30" s="39"/>
      <c r="AM30" s="39"/>
      <c r="AN30" s="39"/>
      <c r="AO30" s="39"/>
      <c r="AP30" s="39"/>
      <c r="AQ30" s="39"/>
      <c r="AR30" s="39"/>
    </row>
    <row r="31" spans="2:44">
      <c r="B31" s="5" t="s">
        <v>585</v>
      </c>
      <c r="C31" s="544">
        <v>142.65935347600001</v>
      </c>
      <c r="D31" s="536">
        <v>179.60709969999999</v>
      </c>
      <c r="E31" s="536">
        <v>179.60709969999999</v>
      </c>
      <c r="F31" s="536">
        <v>179.60709969999999</v>
      </c>
      <c r="G31" s="536">
        <v>179.60709969999999</v>
      </c>
      <c r="H31" s="279">
        <f t="shared" si="4"/>
        <v>0</v>
      </c>
      <c r="I31" s="254"/>
      <c r="J31" s="252"/>
      <c r="K31" s="252"/>
      <c r="L31" s="252"/>
      <c r="M31" s="252"/>
      <c r="N31" s="252"/>
      <c r="O31" s="5"/>
      <c r="Q31" s="5"/>
      <c r="S31" s="88"/>
      <c r="T31" s="42"/>
      <c r="U31" s="42"/>
      <c r="V31" s="147" t="s">
        <v>470</v>
      </c>
      <c r="W31" s="288">
        <f t="shared" si="6"/>
        <v>0.26768720023931364</v>
      </c>
      <c r="X31" s="288">
        <v>1</v>
      </c>
      <c r="Y31" s="42"/>
      <c r="Z31" s="42"/>
      <c r="AA31" s="42"/>
      <c r="AB31" s="39"/>
      <c r="AC31" s="39"/>
      <c r="AD31" s="39"/>
      <c r="AE31" s="39"/>
      <c r="AF31" s="39"/>
      <c r="AG31" s="39"/>
      <c r="AH31" s="39"/>
      <c r="AI31" s="39"/>
      <c r="AJ31" s="39"/>
      <c r="AK31" s="39"/>
      <c r="AL31" s="39"/>
      <c r="AM31" s="39"/>
      <c r="AN31" s="39"/>
      <c r="AO31" s="39"/>
      <c r="AP31" s="39"/>
      <c r="AQ31" s="39"/>
      <c r="AR31" s="39"/>
    </row>
    <row r="32" spans="2:44">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0.69517756572488132</v>
      </c>
      <c r="X32" s="288">
        <v>1</v>
      </c>
      <c r="Y32" s="42"/>
      <c r="Z32" s="42"/>
      <c r="AA32" s="42"/>
      <c r="AB32" s="39"/>
      <c r="AC32" s="39"/>
      <c r="AD32" s="39"/>
      <c r="AE32" s="39"/>
      <c r="AF32" s="39"/>
      <c r="AG32" s="39"/>
      <c r="AH32" s="39"/>
      <c r="AI32" s="39"/>
      <c r="AJ32" s="39"/>
      <c r="AK32" s="39"/>
      <c r="AL32" s="39"/>
      <c r="AM32" s="39"/>
      <c r="AN32" s="39"/>
      <c r="AO32" s="39"/>
      <c r="AP32" s="39"/>
      <c r="AQ32" s="39"/>
      <c r="AR32" s="39"/>
    </row>
    <row r="33" spans="2:44">
      <c r="B33" s="5" t="s">
        <v>5</v>
      </c>
      <c r="C33" s="544">
        <v>35.224014767974346</v>
      </c>
      <c r="D33" s="536">
        <v>69.204691014893982</v>
      </c>
      <c r="E33" s="536">
        <v>80</v>
      </c>
      <c r="F33" s="536">
        <v>46.780682450674981</v>
      </c>
      <c r="G33" s="536">
        <v>49.895465281464951</v>
      </c>
      <c r="H33" s="279">
        <f t="shared" si="4"/>
        <v>-0.10331098868663824</v>
      </c>
      <c r="I33" s="5"/>
      <c r="J33" s="254"/>
      <c r="K33" s="254"/>
      <c r="L33" s="254"/>
      <c r="M33" s="254"/>
      <c r="N33" s="254"/>
      <c r="O33" s="251"/>
      <c r="Q33" s="5"/>
      <c r="S33" s="88"/>
      <c r="T33" s="42"/>
      <c r="U33" s="42"/>
      <c r="V33" s="147" t="s">
        <v>575</v>
      </c>
      <c r="W33" s="288">
        <f t="shared" si="6"/>
        <v>1.4801554524594436</v>
      </c>
      <c r="X33" s="288">
        <v>1</v>
      </c>
      <c r="Y33" s="42"/>
      <c r="Z33" s="42"/>
      <c r="AA33" s="42"/>
      <c r="AB33" s="39"/>
      <c r="AC33" s="39"/>
      <c r="AD33" s="39"/>
      <c r="AE33" s="39"/>
      <c r="AF33" s="39"/>
      <c r="AG33" s="39"/>
      <c r="AH33" s="39"/>
      <c r="AI33" s="39"/>
      <c r="AJ33" s="39"/>
      <c r="AK33" s="39"/>
      <c r="AL33" s="39"/>
      <c r="AM33" s="39"/>
      <c r="AN33" s="39"/>
      <c r="AO33" s="39"/>
      <c r="AP33" s="39"/>
      <c r="AQ33" s="39"/>
      <c r="AR33" s="39"/>
    </row>
    <row r="34" spans="2:44">
      <c r="B34" s="5"/>
      <c r="C34" s="247"/>
      <c r="D34" s="17"/>
      <c r="E34" s="17"/>
      <c r="F34" s="17"/>
      <c r="G34" s="17"/>
      <c r="H34" s="277"/>
      <c r="I34" s="49"/>
      <c r="J34" s="254"/>
      <c r="K34" s="254"/>
      <c r="L34" s="254"/>
      <c r="M34" s="254"/>
      <c r="N34" s="254"/>
      <c r="O34" s="251"/>
      <c r="Q34" s="5"/>
      <c r="S34" s="88"/>
      <c r="T34" s="42"/>
      <c r="U34" s="42"/>
      <c r="V34" s="147" t="s">
        <v>576</v>
      </c>
      <c r="W34" s="288">
        <f>D47/L19</f>
        <v>3.7357034595079455</v>
      </c>
      <c r="X34" s="288">
        <v>1</v>
      </c>
      <c r="Y34" s="288"/>
      <c r="Z34" s="288"/>
      <c r="AA34" s="42"/>
      <c r="AB34" s="39"/>
      <c r="AC34" s="39"/>
      <c r="AD34" s="39"/>
      <c r="AE34" s="39"/>
      <c r="AF34" s="39"/>
      <c r="AG34" s="39"/>
      <c r="AH34" s="39"/>
      <c r="AI34" s="39"/>
      <c r="AJ34" s="39"/>
      <c r="AK34" s="39"/>
      <c r="AL34" s="39"/>
      <c r="AM34" s="39"/>
      <c r="AN34" s="39"/>
      <c r="AO34" s="39"/>
      <c r="AP34" s="39"/>
      <c r="AQ34" s="39"/>
      <c r="AR34" s="39"/>
    </row>
    <row r="35" spans="2:44" ht="12.6" thickBot="1">
      <c r="B35" s="306" t="s">
        <v>761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c r="AB35" s="39"/>
      <c r="AC35" s="39"/>
      <c r="AD35" s="39"/>
      <c r="AE35" s="39"/>
      <c r="AF35" s="39"/>
      <c r="AG35" s="39"/>
      <c r="AH35" s="39"/>
      <c r="AI35" s="39"/>
      <c r="AJ35" s="39"/>
      <c r="AK35" s="39"/>
      <c r="AL35" s="39"/>
      <c r="AM35" s="39"/>
      <c r="AN35" s="39"/>
      <c r="AO35" s="39"/>
      <c r="AP35" s="39"/>
      <c r="AQ35" s="39"/>
      <c r="AR35" s="39"/>
    </row>
    <row r="36" spans="2:44"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c r="AB36" s="39"/>
      <c r="AC36" s="39"/>
      <c r="AD36" s="39"/>
      <c r="AE36" s="39"/>
      <c r="AF36" s="39"/>
      <c r="AG36" s="39"/>
      <c r="AH36" s="39"/>
      <c r="AI36" s="39"/>
      <c r="AJ36" s="39"/>
      <c r="AK36" s="39"/>
      <c r="AL36" s="39"/>
      <c r="AM36" s="39"/>
      <c r="AN36" s="39"/>
      <c r="AO36" s="39"/>
      <c r="AP36" s="39"/>
      <c r="AQ36" s="39"/>
      <c r="AR36" s="39"/>
    </row>
    <row r="37" spans="2:44">
      <c r="B37" s="5" t="s">
        <v>268</v>
      </c>
      <c r="C37" s="247"/>
      <c r="D37" s="525">
        <f t="shared" ref="D37:G41" si="8">D$18/D23</f>
        <v>2.077802294176661</v>
      </c>
      <c r="E37" s="525">
        <f t="shared" si="8"/>
        <v>2.0681684175839212</v>
      </c>
      <c r="F37" s="525">
        <f t="shared" si="8"/>
        <v>1.9234706522157521</v>
      </c>
      <c r="G37" s="525">
        <f t="shared" si="8"/>
        <v>1.7417823201757401</v>
      </c>
      <c r="H37" s="17">
        <f t="shared" ref="H37:H45" si="9">H23</f>
        <v>-8.307329457125201E-3</v>
      </c>
      <c r="I37" s="5"/>
      <c r="J37" s="259"/>
      <c r="K37" s="259"/>
      <c r="L37" s="259"/>
      <c r="M37" s="259"/>
      <c r="N37" s="259"/>
      <c r="O37" s="18"/>
      <c r="Q37" s="5"/>
      <c r="R37" s="5"/>
      <c r="S37" s="42"/>
      <c r="T37" s="42"/>
      <c r="U37" s="42"/>
      <c r="V37" s="42"/>
      <c r="W37" s="42"/>
      <c r="X37" s="42"/>
      <c r="Y37" s="42"/>
      <c r="Z37" s="42"/>
      <c r="AA37" s="42"/>
      <c r="AB37" s="39"/>
      <c r="AC37" s="39"/>
      <c r="AD37" s="39"/>
      <c r="AE37" s="39"/>
      <c r="AF37" s="39"/>
      <c r="AG37" s="39"/>
      <c r="AH37" s="39"/>
      <c r="AI37" s="39"/>
      <c r="AJ37" s="39"/>
      <c r="AK37" s="39"/>
      <c r="AL37" s="39"/>
      <c r="AM37" s="39"/>
      <c r="AN37" s="39"/>
      <c r="AO37" s="39"/>
      <c r="AP37" s="39"/>
      <c r="AQ37" s="39"/>
      <c r="AR37" s="39"/>
    </row>
    <row r="38" spans="2:44">
      <c r="B38" s="5" t="s">
        <v>412</v>
      </c>
      <c r="C38" s="247"/>
      <c r="D38" s="525">
        <f t="shared" si="8"/>
        <v>4.7828231120603242</v>
      </c>
      <c r="E38" s="525">
        <f t="shared" si="8"/>
        <v>4.5831854719407419</v>
      </c>
      <c r="F38" s="525">
        <f t="shared" si="8"/>
        <v>4.2721837568238747</v>
      </c>
      <c r="G38" s="525">
        <f t="shared" si="8"/>
        <v>3.8807167850946489</v>
      </c>
      <c r="H38" s="17">
        <f t="shared" si="9"/>
        <v>2.5309269490563224E-3</v>
      </c>
      <c r="I38" s="259"/>
      <c r="J38" s="17"/>
      <c r="K38" s="17"/>
      <c r="L38" s="17"/>
      <c r="M38" s="17"/>
      <c r="N38" s="17"/>
      <c r="O38" s="5"/>
      <c r="Q38" s="5"/>
      <c r="R38" s="5"/>
      <c r="S38" s="42"/>
      <c r="T38" s="42"/>
      <c r="U38" s="42"/>
      <c r="V38" s="42"/>
      <c r="W38" s="42"/>
      <c r="X38" s="42"/>
      <c r="Y38" s="42"/>
      <c r="Z38" s="42"/>
      <c r="AA38" s="42"/>
      <c r="AB38" s="39"/>
      <c r="AC38" s="39"/>
      <c r="AD38" s="39"/>
      <c r="AE38" s="39"/>
      <c r="AF38" s="39"/>
      <c r="AG38" s="39"/>
      <c r="AH38" s="39"/>
      <c r="AI38" s="39"/>
      <c r="AJ38" s="39"/>
      <c r="AK38" s="39"/>
      <c r="AL38" s="39"/>
      <c r="AM38" s="39"/>
      <c r="AN38" s="39"/>
      <c r="AO38" s="39"/>
      <c r="AP38" s="39"/>
      <c r="AQ38" s="39"/>
      <c r="AR38" s="39"/>
    </row>
    <row r="39" spans="2:44">
      <c r="B39" s="5" t="s">
        <v>413</v>
      </c>
      <c r="C39" s="247"/>
      <c r="D39" s="525">
        <f t="shared" si="8"/>
        <v>10.416000867950393</v>
      </c>
      <c r="E39" s="525">
        <f t="shared" si="8"/>
        <v>9.2815616112166186</v>
      </c>
      <c r="F39" s="525">
        <f t="shared" si="8"/>
        <v>8.5452040345191111</v>
      </c>
      <c r="G39" s="525">
        <f t="shared" si="8"/>
        <v>7.6278855857334102</v>
      </c>
      <c r="H39" s="17">
        <f t="shared" si="9"/>
        <v>3.7383337371192926E-2</v>
      </c>
      <c r="I39" s="17"/>
      <c r="J39" s="5"/>
      <c r="K39" s="5"/>
      <c r="L39" s="5"/>
      <c r="M39" s="5"/>
      <c r="N39" s="5"/>
      <c r="O39" s="5"/>
      <c r="Q39" s="5"/>
      <c r="R39" s="5"/>
      <c r="S39" s="42"/>
      <c r="T39" s="42"/>
      <c r="U39" s="42"/>
      <c r="V39" s="42"/>
      <c r="W39" s="42"/>
      <c r="X39" s="42"/>
      <c r="Y39" s="42"/>
      <c r="Z39" s="42"/>
      <c r="AA39" s="42"/>
      <c r="AB39" s="39"/>
      <c r="AC39" s="39"/>
      <c r="AD39" s="39"/>
      <c r="AE39" s="39"/>
      <c r="AF39" s="39"/>
      <c r="AG39" s="39"/>
      <c r="AH39" s="39"/>
      <c r="AI39" s="39"/>
      <c r="AJ39" s="39"/>
      <c r="AK39" s="39"/>
      <c r="AL39" s="39"/>
      <c r="AM39" s="39"/>
      <c r="AN39" s="39"/>
      <c r="AO39" s="39"/>
      <c r="AP39" s="39"/>
      <c r="AQ39" s="39"/>
      <c r="AR39" s="39"/>
    </row>
    <row r="40" spans="2:44">
      <c r="B40" s="5" t="s">
        <v>414</v>
      </c>
      <c r="C40" s="247"/>
      <c r="D40" s="525">
        <f t="shared" si="8"/>
        <v>14.77446931624169</v>
      </c>
      <c r="E40" s="525">
        <f t="shared" si="8"/>
        <v>13.165335618746976</v>
      </c>
      <c r="F40" s="525">
        <f t="shared" si="8"/>
        <v>12.120856786551929</v>
      </c>
      <c r="G40" s="525">
        <f t="shared" si="8"/>
        <v>10.819695866288525</v>
      </c>
      <c r="H40" s="17">
        <f t="shared" si="9"/>
        <v>3.7383337371192926E-2</v>
      </c>
      <c r="I40" s="5"/>
      <c r="J40" s="259"/>
      <c r="K40" s="259"/>
      <c r="L40" s="259"/>
      <c r="M40" s="259"/>
      <c r="N40" s="259"/>
      <c r="O40" s="18"/>
      <c r="Q40" s="5"/>
      <c r="R40" s="5"/>
      <c r="S40" s="42"/>
      <c r="T40" s="42"/>
      <c r="U40" s="42"/>
      <c r="V40" s="42"/>
      <c r="W40" s="288"/>
      <c r="X40" s="288"/>
      <c r="Y40" s="42"/>
      <c r="Z40" s="42"/>
      <c r="AA40" s="42"/>
      <c r="AB40" s="39"/>
      <c r="AC40" s="39"/>
      <c r="AD40" s="39"/>
      <c r="AE40" s="39"/>
      <c r="AF40" s="39"/>
      <c r="AG40" s="39"/>
      <c r="AH40" s="39"/>
      <c r="AI40" s="39"/>
      <c r="AJ40" s="39"/>
      <c r="AK40" s="39"/>
      <c r="AL40" s="39"/>
      <c r="AM40" s="39"/>
      <c r="AN40" s="39"/>
      <c r="AO40" s="39"/>
      <c r="AP40" s="39"/>
      <c r="AQ40" s="39"/>
      <c r="AR40" s="39"/>
    </row>
    <row r="41" spans="2:44">
      <c r="B41" s="5" t="s">
        <v>525</v>
      </c>
      <c r="C41" s="247"/>
      <c r="D41" s="525">
        <f t="shared" si="8"/>
        <v>1.6030740733345263</v>
      </c>
      <c r="E41" s="525">
        <f t="shared" si="8"/>
        <v>1.6376832753220993</v>
      </c>
      <c r="F41" s="525">
        <f t="shared" si="8"/>
        <v>1.457645654040906</v>
      </c>
      <c r="G41" s="525">
        <f t="shared" si="8"/>
        <v>1.2886964408232722</v>
      </c>
      <c r="H41" s="17">
        <f t="shared" si="9"/>
        <v>5.6371517931639303E-3</v>
      </c>
      <c r="I41" s="247"/>
      <c r="J41" s="17"/>
      <c r="K41" s="17"/>
      <c r="L41" s="17"/>
      <c r="M41" s="17"/>
      <c r="N41" s="17"/>
      <c r="O41" s="5"/>
      <c r="Q41" s="5"/>
      <c r="R41" s="5"/>
      <c r="S41" s="42"/>
      <c r="T41" s="42"/>
      <c r="U41" s="42"/>
      <c r="V41" s="42"/>
      <c r="W41" s="288"/>
      <c r="X41" s="288"/>
      <c r="Y41" s="288"/>
      <c r="Z41" s="288"/>
      <c r="AA41" s="42"/>
      <c r="AB41" s="39"/>
      <c r="AC41" s="39"/>
      <c r="AD41" s="39"/>
      <c r="AE41" s="39"/>
      <c r="AF41" s="39"/>
      <c r="AG41" s="39"/>
      <c r="AH41" s="39"/>
      <c r="AI41" s="39"/>
      <c r="AJ41" s="39"/>
      <c r="AK41" s="39"/>
      <c r="AL41" s="39"/>
      <c r="AM41" s="39"/>
      <c r="AN41" s="39"/>
      <c r="AO41" s="39"/>
      <c r="AP41" s="39"/>
      <c r="AQ41" s="39"/>
      <c r="AR41" s="39"/>
    </row>
    <row r="42" spans="2:44">
      <c r="B42" s="5" t="s">
        <v>588</v>
      </c>
      <c r="C42" s="247"/>
      <c r="D42" s="525">
        <f>D18/D28</f>
        <v>1.8539354528239278</v>
      </c>
      <c r="E42" s="525">
        <f>E18/E28</f>
        <v>1.9584627746365337</v>
      </c>
      <c r="F42" s="525">
        <f>F18/F28</f>
        <v>1.8913512526403988</v>
      </c>
      <c r="G42" s="525">
        <f>G18/G28</f>
        <v>1.7796330967148808</v>
      </c>
      <c r="H42" s="17">
        <f t="shared" si="9"/>
        <v>-5.2101795111544891E-2</v>
      </c>
      <c r="I42" s="248"/>
      <c r="J42" s="5"/>
      <c r="K42" s="5"/>
      <c r="L42" s="5"/>
      <c r="M42" s="5"/>
      <c r="N42" s="5"/>
      <c r="O42" s="5"/>
      <c r="Q42" s="5"/>
      <c r="R42" s="5"/>
      <c r="S42" s="42"/>
      <c r="T42" s="42"/>
      <c r="U42" s="42"/>
      <c r="V42" s="42"/>
      <c r="W42" s="288"/>
      <c r="X42" s="288"/>
      <c r="Y42" s="288"/>
      <c r="Z42" s="288"/>
      <c r="AA42" s="42"/>
      <c r="AB42" s="39"/>
      <c r="AC42" s="39"/>
      <c r="AD42" s="39"/>
      <c r="AE42" s="39"/>
      <c r="AF42" s="39"/>
      <c r="AG42" s="39"/>
      <c r="AH42" s="39"/>
      <c r="AI42" s="39"/>
      <c r="AJ42" s="39"/>
      <c r="AK42" s="39"/>
      <c r="AL42" s="39"/>
      <c r="AM42" s="39"/>
      <c r="AN42" s="39"/>
      <c r="AO42" s="39"/>
      <c r="AP42" s="39"/>
      <c r="AQ42" s="39"/>
      <c r="AR42" s="39"/>
    </row>
    <row r="43" spans="2:44">
      <c r="B43" s="5" t="s">
        <v>470</v>
      </c>
      <c r="C43" s="247"/>
      <c r="D43" s="525">
        <f>L26/D29</f>
        <v>9.6484453065625164</v>
      </c>
      <c r="E43" s="525">
        <f>M26/E29</f>
        <v>9.0560148683062973</v>
      </c>
      <c r="F43" s="525">
        <f>N26/F29</f>
        <v>7.8499937081630353</v>
      </c>
      <c r="G43" s="525">
        <f>O26/G29</f>
        <v>7.1275129296816395</v>
      </c>
      <c r="H43" s="17">
        <f t="shared" si="9"/>
        <v>2.2002822539026301E-2</v>
      </c>
      <c r="I43" s="247"/>
      <c r="J43" s="247"/>
      <c r="K43" s="247"/>
      <c r="L43" s="247"/>
      <c r="M43" s="247"/>
      <c r="N43" s="247"/>
      <c r="O43" s="18"/>
      <c r="Q43" s="5"/>
      <c r="R43" s="5"/>
      <c r="S43" s="42"/>
      <c r="T43" s="42"/>
      <c r="U43" s="42"/>
      <c r="V43" s="42"/>
      <c r="W43" s="288"/>
      <c r="X43" s="288"/>
      <c r="Y43" s="288"/>
      <c r="Z43" s="288"/>
      <c r="AA43" s="42"/>
      <c r="AB43" s="39"/>
      <c r="AC43" s="39"/>
      <c r="AD43" s="39"/>
      <c r="AE43" s="39"/>
      <c r="AF43" s="39"/>
      <c r="AG43" s="39"/>
      <c r="AH43" s="39"/>
      <c r="AI43" s="39"/>
      <c r="AJ43" s="39"/>
      <c r="AK43" s="39"/>
      <c r="AL43" s="39"/>
      <c r="AM43" s="39"/>
      <c r="AN43" s="39"/>
      <c r="AO43" s="39"/>
      <c r="AP43" s="39"/>
      <c r="AQ43" s="39"/>
      <c r="AR43" s="39"/>
    </row>
    <row r="44" spans="2:44">
      <c r="B44" s="5" t="s">
        <v>528</v>
      </c>
      <c r="C44" s="69"/>
      <c r="D44" s="525">
        <f>D11/D30</f>
        <v>12.645734249267502</v>
      </c>
      <c r="E44" s="525">
        <f>E11/E30</f>
        <v>13.230588293059027</v>
      </c>
      <c r="F44" s="525">
        <f>F11/F30</f>
        <v>10.534441157412507</v>
      </c>
      <c r="G44" s="525">
        <f>G11/G30</f>
        <v>10.193918791295889</v>
      </c>
      <c r="H44" s="17">
        <f t="shared" si="9"/>
        <v>7.4486492883492295E-2</v>
      </c>
      <c r="I44" s="247"/>
      <c r="J44" s="248"/>
      <c r="K44" s="248"/>
      <c r="L44" s="248"/>
      <c r="M44" s="248"/>
      <c r="N44" s="248"/>
      <c r="O44" s="248"/>
      <c r="Q44" s="5"/>
      <c r="R44" s="5"/>
      <c r="S44" s="42"/>
      <c r="T44" s="42"/>
      <c r="U44" s="42"/>
      <c r="V44" s="42"/>
      <c r="W44" s="325"/>
      <c r="X44" s="325"/>
      <c r="Y44" s="288"/>
      <c r="Z44" s="288"/>
      <c r="AA44" s="42"/>
      <c r="AB44" s="39"/>
      <c r="AC44" s="39"/>
      <c r="AD44" s="39"/>
      <c r="AE44" s="39"/>
      <c r="AF44" s="39"/>
      <c r="AG44" s="39"/>
      <c r="AH44" s="39"/>
      <c r="AI44" s="39"/>
      <c r="AJ44" s="39"/>
      <c r="AK44" s="39"/>
      <c r="AL44" s="39"/>
      <c r="AM44" s="39"/>
      <c r="AN44" s="39"/>
      <c r="AO44" s="39"/>
      <c r="AP44" s="39"/>
      <c r="AQ44" s="39"/>
      <c r="AR44" s="39"/>
    </row>
    <row r="45" spans="2:44">
      <c r="B45" s="5" t="s">
        <v>575</v>
      </c>
      <c r="C45" s="247"/>
      <c r="D45" s="248">
        <f>D31/D11</f>
        <v>9.790209790209789E-2</v>
      </c>
      <c r="E45" s="248">
        <f>E31/E11</f>
        <v>9.790209790209789E-2</v>
      </c>
      <c r="F45" s="248">
        <f>F31/F11</f>
        <v>9.790209790209789E-2</v>
      </c>
      <c r="G45" s="248">
        <f>G31/G11</f>
        <v>9.790209790209789E-2</v>
      </c>
      <c r="H45" s="17">
        <f t="shared" si="9"/>
        <v>0</v>
      </c>
      <c r="I45" s="248"/>
      <c r="J45" s="247"/>
      <c r="K45" s="247"/>
      <c r="L45" s="247"/>
      <c r="M45" s="247"/>
      <c r="N45" s="247"/>
      <c r="O45" s="248"/>
      <c r="Q45" s="5"/>
      <c r="R45" s="5"/>
      <c r="S45" s="42"/>
      <c r="T45" s="42"/>
      <c r="U45" s="42"/>
      <c r="V45" s="42"/>
      <c r="W45" s="42"/>
      <c r="X45" s="42"/>
      <c r="Y45" s="325"/>
      <c r="Z45" s="325"/>
      <c r="AA45" s="42"/>
      <c r="AB45" s="39"/>
      <c r="AC45" s="39"/>
      <c r="AD45" s="39"/>
      <c r="AE45" s="39"/>
      <c r="AF45" s="39"/>
      <c r="AG45" s="39"/>
      <c r="AH45" s="39"/>
      <c r="AI45" s="39"/>
      <c r="AJ45" s="39"/>
      <c r="AK45" s="39"/>
      <c r="AL45" s="39"/>
      <c r="AM45" s="39"/>
      <c r="AN45" s="39"/>
      <c r="AO45" s="39"/>
      <c r="AP45" s="39"/>
      <c r="AQ45" s="39"/>
      <c r="AR45" s="39"/>
    </row>
    <row r="46" spans="2:44">
      <c r="B46" s="5" t="s">
        <v>600</v>
      </c>
      <c r="C46" s="247"/>
      <c r="D46" s="248">
        <f>(D31+D32)/D11</f>
        <v>9.790209790209789E-2</v>
      </c>
      <c r="E46" s="248">
        <f>(E31+E32)/E11</f>
        <v>9.790209790209789E-2</v>
      </c>
      <c r="F46" s="248">
        <f>(F31+F32)/F11</f>
        <v>9.790209790209789E-2</v>
      </c>
      <c r="G46" s="248">
        <f>(G31+G32)/G11</f>
        <v>9.790209790209789E-2</v>
      </c>
      <c r="H46" s="279">
        <f>((G31+G32)/(D31+D32))^(1/3)-1</f>
        <v>0</v>
      </c>
      <c r="I46" s="247"/>
      <c r="J46" s="247"/>
      <c r="K46" s="247"/>
      <c r="L46" s="247"/>
      <c r="M46" s="247"/>
      <c r="N46" s="247"/>
      <c r="O46" s="18"/>
      <c r="Q46" s="5"/>
      <c r="R46" s="5"/>
      <c r="S46" s="42"/>
      <c r="T46" s="42"/>
      <c r="U46" s="42"/>
      <c r="V46" s="42"/>
      <c r="W46" s="42"/>
      <c r="X46" s="42"/>
      <c r="Y46" s="42"/>
      <c r="Z46" s="42"/>
      <c r="AA46" s="326"/>
      <c r="AB46" s="39"/>
      <c r="AC46" s="39"/>
      <c r="AD46" s="39"/>
      <c r="AE46" s="39"/>
      <c r="AF46" s="39"/>
      <c r="AG46" s="39"/>
      <c r="AH46" s="39"/>
      <c r="AI46" s="39"/>
      <c r="AJ46" s="39"/>
      <c r="AK46" s="39"/>
      <c r="AL46" s="39"/>
      <c r="AM46" s="39"/>
      <c r="AN46" s="39"/>
      <c r="AO46" s="39"/>
      <c r="AP46" s="39"/>
      <c r="AQ46" s="39"/>
      <c r="AR46" s="39"/>
    </row>
    <row r="47" spans="2:44">
      <c r="B47" s="5" t="s">
        <v>576</v>
      </c>
      <c r="C47" s="5"/>
      <c r="D47" s="248">
        <f>1/D43</f>
        <v>0.10364364083816041</v>
      </c>
      <c r="E47" s="248">
        <f>1/E43</f>
        <v>0.11042384697266129</v>
      </c>
      <c r="F47" s="248">
        <f>1/F43</f>
        <v>0.12738863713484536</v>
      </c>
      <c r="G47" s="248">
        <f>1/G43</f>
        <v>0.14030139402983396</v>
      </c>
      <c r="H47" s="17">
        <f>H29</f>
        <v>2.2002822539026301E-2</v>
      </c>
      <c r="I47" s="17"/>
      <c r="J47" s="248"/>
      <c r="K47" s="248"/>
      <c r="L47" s="248"/>
      <c r="M47" s="248"/>
      <c r="N47" s="248"/>
      <c r="O47" s="248"/>
      <c r="Q47" s="5"/>
      <c r="R47" s="5"/>
      <c r="S47" s="42"/>
      <c r="T47" s="42"/>
      <c r="U47" s="42"/>
      <c r="V47" s="42"/>
      <c r="W47" s="42"/>
      <c r="X47" s="42"/>
      <c r="Y47" s="42"/>
      <c r="Z47" s="42"/>
      <c r="AA47" s="326"/>
      <c r="AB47" s="39"/>
      <c r="AC47" s="39"/>
      <c r="AD47" s="39"/>
      <c r="AE47" s="39"/>
      <c r="AF47" s="39"/>
      <c r="AG47" s="39"/>
      <c r="AH47" s="39"/>
      <c r="AI47" s="39"/>
      <c r="AJ47" s="39"/>
      <c r="AK47" s="39"/>
      <c r="AL47" s="39"/>
      <c r="AM47" s="39"/>
      <c r="AN47" s="39"/>
      <c r="AO47" s="39"/>
      <c r="AP47" s="39"/>
      <c r="AQ47" s="39"/>
      <c r="AR47" s="39"/>
    </row>
    <row r="48" spans="2:44">
      <c r="B48" s="5" t="s">
        <v>613</v>
      </c>
      <c r="C48" s="5"/>
      <c r="D48" s="305">
        <f>D31/D29</f>
        <v>0.74487997265442185</v>
      </c>
      <c r="E48" s="305">
        <f>E31/E29</f>
        <v>0.73167597381258831</v>
      </c>
      <c r="F48" s="305">
        <f>F31/F29</f>
        <v>0.68006035648936225</v>
      </c>
      <c r="G48" s="305">
        <f>G31/G29</f>
        <v>0.69779846864016049</v>
      </c>
      <c r="H48" s="279" t="s">
        <v>602</v>
      </c>
      <c r="I48" s="247"/>
      <c r="J48" s="247"/>
      <c r="K48" s="247"/>
      <c r="L48" s="247"/>
      <c r="M48" s="247"/>
      <c r="N48" s="247"/>
      <c r="O48" s="248"/>
      <c r="Q48" s="5"/>
      <c r="R48" s="5"/>
      <c r="S48" s="42"/>
      <c r="T48" s="42"/>
      <c r="U48" s="42"/>
      <c r="V48" s="42"/>
      <c r="W48" s="42"/>
      <c r="X48" s="42"/>
      <c r="Y48" s="42"/>
      <c r="Z48" s="42"/>
      <c r="AA48" s="326"/>
      <c r="AB48" s="39"/>
      <c r="AC48" s="39"/>
      <c r="AD48" s="39"/>
      <c r="AE48" s="39"/>
      <c r="AF48" s="39"/>
      <c r="AG48" s="39"/>
      <c r="AH48" s="39"/>
      <c r="AI48" s="39"/>
      <c r="AJ48" s="39"/>
      <c r="AK48" s="39"/>
      <c r="AL48" s="39"/>
      <c r="AM48" s="39"/>
      <c r="AN48" s="39"/>
      <c r="AO48" s="39"/>
      <c r="AP48" s="39"/>
      <c r="AQ48" s="39"/>
      <c r="AR48" s="39"/>
    </row>
    <row r="49" spans="2:44">
      <c r="B49" s="41"/>
      <c r="C49" s="17"/>
      <c r="D49" s="17"/>
      <c r="E49" s="17"/>
      <c r="F49" s="17"/>
      <c r="G49" s="17"/>
      <c r="H49" s="17"/>
      <c r="I49" s="254"/>
      <c r="J49" s="17"/>
      <c r="K49" s="17"/>
      <c r="L49" s="17"/>
      <c r="M49" s="17"/>
      <c r="N49" s="17"/>
      <c r="O49" s="248"/>
      <c r="Q49" s="5"/>
      <c r="R49" s="5"/>
      <c r="S49" s="42"/>
      <c r="T49" s="42"/>
      <c r="U49" s="42"/>
      <c r="V49" s="42"/>
      <c r="W49" s="42"/>
      <c r="X49" s="42"/>
      <c r="Y49" s="42"/>
      <c r="Z49" s="42"/>
      <c r="AA49" s="326"/>
      <c r="AB49" s="39"/>
      <c r="AC49" s="39"/>
      <c r="AD49" s="39"/>
      <c r="AE49" s="39"/>
      <c r="AF49" s="39"/>
      <c r="AG49" s="39"/>
      <c r="AH49" s="39"/>
      <c r="AI49" s="39"/>
      <c r="AJ49" s="39"/>
      <c r="AK49" s="39"/>
      <c r="AL49" s="39"/>
      <c r="AM49" s="39"/>
      <c r="AN49" s="39"/>
      <c r="AO49" s="39"/>
      <c r="AP49" s="39"/>
      <c r="AQ49" s="39"/>
      <c r="AR49" s="39"/>
    </row>
    <row r="50" spans="2:44">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c r="AB50" s="39"/>
      <c r="AC50" s="39"/>
      <c r="AD50" s="39"/>
      <c r="AE50" s="39"/>
      <c r="AF50" s="39"/>
      <c r="AG50" s="39"/>
      <c r="AH50" s="39"/>
      <c r="AI50" s="39"/>
      <c r="AJ50" s="39"/>
      <c r="AK50" s="39"/>
      <c r="AL50" s="39"/>
      <c r="AM50" s="39"/>
      <c r="AN50" s="39"/>
      <c r="AO50" s="39"/>
      <c r="AP50" s="39"/>
      <c r="AQ50" s="39"/>
      <c r="AR50" s="39"/>
    </row>
    <row r="51" spans="2:44">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c r="AB51" s="39"/>
      <c r="AC51" s="39"/>
      <c r="AD51" s="39"/>
      <c r="AE51" s="39"/>
      <c r="AF51" s="39"/>
      <c r="AG51" s="39"/>
      <c r="AH51" s="39"/>
      <c r="AI51" s="39"/>
      <c r="AJ51" s="39"/>
      <c r="AK51" s="39"/>
      <c r="AL51" s="39"/>
      <c r="AM51" s="39"/>
      <c r="AN51" s="39"/>
      <c r="AO51" s="39"/>
      <c r="AP51" s="39"/>
      <c r="AQ51" s="39"/>
      <c r="AR51" s="39"/>
    </row>
    <row r="52" spans="2:44">
      <c r="B52" s="5"/>
      <c r="C52" s="257"/>
      <c r="D52" s="17"/>
      <c r="E52" s="17"/>
      <c r="F52" s="17"/>
      <c r="G52" s="17"/>
      <c r="H52" s="17"/>
      <c r="I52" s="254"/>
      <c r="J52" s="17"/>
      <c r="K52" s="17"/>
      <c r="L52" s="17"/>
      <c r="M52" s="17"/>
      <c r="N52" s="17"/>
      <c r="O52" s="248"/>
      <c r="Q52" s="5"/>
      <c r="R52" s="5"/>
      <c r="S52" s="5"/>
      <c r="Y52" s="10"/>
      <c r="Z52" s="10"/>
      <c r="AB52" s="39"/>
      <c r="AC52" s="39"/>
      <c r="AD52" s="39"/>
      <c r="AE52" s="39"/>
      <c r="AF52" s="39"/>
      <c r="AG52" s="39"/>
      <c r="AH52" s="39"/>
      <c r="AI52" s="39"/>
      <c r="AJ52" s="39"/>
      <c r="AK52" s="39"/>
      <c r="AL52" s="39"/>
      <c r="AM52" s="39"/>
      <c r="AN52" s="39"/>
      <c r="AO52" s="39"/>
      <c r="AP52" s="39"/>
      <c r="AQ52" s="39"/>
      <c r="AR52" s="39"/>
    </row>
    <row r="53" spans="2:44">
      <c r="B53" s="5"/>
      <c r="C53" s="257"/>
      <c r="D53" s="257"/>
      <c r="E53" s="257"/>
      <c r="F53" s="5"/>
      <c r="G53" s="5"/>
      <c r="H53" s="259"/>
      <c r="I53" s="17"/>
      <c r="J53" s="259"/>
      <c r="K53" s="259"/>
      <c r="L53" s="259"/>
      <c r="M53" s="259"/>
      <c r="N53" s="259"/>
      <c r="O53" s="18"/>
      <c r="Q53" s="5"/>
      <c r="R53" s="5"/>
      <c r="S53" s="5"/>
      <c r="AB53" s="39"/>
      <c r="AC53" s="39"/>
      <c r="AD53" s="39"/>
      <c r="AE53" s="39"/>
      <c r="AF53" s="39"/>
      <c r="AG53" s="39"/>
      <c r="AH53" s="39"/>
      <c r="AI53" s="39"/>
      <c r="AJ53" s="39"/>
      <c r="AK53" s="39"/>
      <c r="AL53" s="39"/>
      <c r="AM53" s="39"/>
      <c r="AN53" s="39"/>
      <c r="AO53" s="39"/>
      <c r="AP53" s="39"/>
      <c r="AQ53" s="39"/>
      <c r="AR53" s="39"/>
    </row>
    <row r="54" spans="2:44">
      <c r="B54" s="41"/>
      <c r="C54" s="249"/>
      <c r="D54" s="254"/>
      <c r="E54" s="254"/>
      <c r="F54" s="254"/>
      <c r="G54" s="254"/>
      <c r="H54" s="254"/>
      <c r="I54" s="259"/>
      <c r="J54" s="254"/>
      <c r="K54" s="254"/>
      <c r="L54" s="254"/>
      <c r="M54" s="254"/>
      <c r="N54" s="254"/>
      <c r="O54" s="251"/>
      <c r="Q54" s="5"/>
      <c r="R54" s="5"/>
      <c r="S54" s="5"/>
      <c r="AB54" s="39"/>
      <c r="AC54" s="39"/>
      <c r="AD54" s="39"/>
      <c r="AE54" s="39"/>
      <c r="AF54" s="39"/>
      <c r="AG54" s="39"/>
      <c r="AH54" s="39"/>
      <c r="AI54" s="39"/>
      <c r="AJ54" s="39"/>
      <c r="AK54" s="39"/>
      <c r="AL54" s="39"/>
      <c r="AM54" s="39"/>
      <c r="AN54" s="39"/>
      <c r="AO54" s="39"/>
      <c r="AP54" s="39"/>
      <c r="AQ54" s="39"/>
      <c r="AR54" s="39"/>
    </row>
    <row r="55" spans="2:44">
      <c r="B55" s="5"/>
      <c r="C55" s="257"/>
      <c r="D55" s="17"/>
      <c r="E55" s="17"/>
      <c r="F55" s="17"/>
      <c r="G55" s="17"/>
      <c r="H55" s="17"/>
      <c r="I55" s="249"/>
      <c r="J55" s="17"/>
      <c r="K55" s="17"/>
      <c r="L55" s="17"/>
      <c r="M55" s="17"/>
      <c r="N55" s="17"/>
      <c r="O55" s="18"/>
      <c r="Q55" s="5"/>
      <c r="R55" s="5"/>
      <c r="S55" s="5"/>
      <c r="AB55" s="39"/>
      <c r="AC55" s="39"/>
      <c r="AD55" s="39"/>
      <c r="AE55" s="39"/>
      <c r="AF55" s="39"/>
      <c r="AG55" s="39"/>
      <c r="AH55" s="39"/>
      <c r="AI55" s="39"/>
      <c r="AJ55" s="39"/>
      <c r="AK55" s="39"/>
      <c r="AL55" s="39"/>
      <c r="AM55" s="39"/>
      <c r="AN55" s="39"/>
      <c r="AO55" s="39"/>
      <c r="AP55" s="39"/>
      <c r="AQ55" s="39"/>
      <c r="AR55" s="39"/>
    </row>
    <row r="56" spans="2:44">
      <c r="B56" s="5"/>
      <c r="C56" s="248"/>
      <c r="D56" s="248"/>
      <c r="E56" s="248"/>
      <c r="F56" s="5"/>
      <c r="G56" s="5"/>
      <c r="H56" s="259"/>
      <c r="I56" s="248"/>
      <c r="J56" s="259"/>
      <c r="K56" s="259"/>
      <c r="L56" s="259"/>
      <c r="M56" s="259"/>
      <c r="N56" s="259"/>
      <c r="O56" s="18"/>
      <c r="Q56" s="5"/>
      <c r="R56" s="5"/>
      <c r="S56" s="5"/>
      <c r="AB56" s="39"/>
      <c r="AC56" s="39"/>
      <c r="AD56" s="39"/>
      <c r="AE56" s="39"/>
      <c r="AF56" s="39"/>
      <c r="AG56" s="39"/>
      <c r="AH56" s="39"/>
      <c r="AI56" s="39"/>
      <c r="AJ56" s="39"/>
      <c r="AK56" s="39"/>
      <c r="AL56" s="39"/>
      <c r="AM56" s="39"/>
      <c r="AN56" s="39"/>
      <c r="AO56" s="39"/>
      <c r="AP56" s="39"/>
      <c r="AQ56" s="39"/>
      <c r="AR56" s="39"/>
    </row>
    <row r="57" spans="2:44">
      <c r="B57" s="41"/>
      <c r="C57" s="249"/>
      <c r="D57" s="249"/>
      <c r="E57" s="249"/>
      <c r="F57" s="249"/>
      <c r="G57" s="249"/>
      <c r="H57" s="249"/>
      <c r="I57" s="5"/>
      <c r="J57" s="249"/>
      <c r="K57" s="249"/>
      <c r="L57" s="249"/>
      <c r="M57" s="249"/>
      <c r="N57" s="249"/>
      <c r="O57" s="251"/>
      <c r="Q57" s="5"/>
      <c r="R57" s="5"/>
      <c r="S57" s="5"/>
      <c r="AB57" s="39"/>
      <c r="AC57" s="39"/>
      <c r="AD57" s="39"/>
      <c r="AE57" s="39"/>
      <c r="AF57" s="39"/>
      <c r="AG57" s="39"/>
      <c r="AH57" s="39"/>
      <c r="AI57" s="39"/>
      <c r="AJ57" s="39"/>
      <c r="AK57" s="39"/>
      <c r="AL57" s="39"/>
      <c r="AM57" s="39"/>
      <c r="AN57" s="39"/>
      <c r="AO57" s="39"/>
      <c r="AP57" s="39"/>
      <c r="AQ57" s="39"/>
      <c r="AR57" s="39"/>
    </row>
    <row r="58" spans="2:44">
      <c r="B58" s="5"/>
      <c r="C58" s="5"/>
      <c r="D58" s="248"/>
      <c r="E58" s="248"/>
      <c r="F58" s="248"/>
      <c r="G58" s="248"/>
      <c r="H58" s="248"/>
      <c r="I58" s="17"/>
      <c r="J58" s="248"/>
      <c r="K58" s="248"/>
      <c r="L58" s="248"/>
      <c r="M58" s="248"/>
      <c r="N58" s="248"/>
      <c r="O58" s="18"/>
      <c r="Q58" s="5"/>
      <c r="R58" s="5"/>
      <c r="S58" s="5"/>
      <c r="AB58" s="39"/>
      <c r="AC58" s="39"/>
      <c r="AD58" s="39"/>
      <c r="AE58" s="39"/>
      <c r="AF58" s="39"/>
      <c r="AG58" s="39"/>
      <c r="AH58" s="39"/>
      <c r="AI58" s="39"/>
      <c r="AJ58" s="39"/>
      <c r="AK58" s="39"/>
      <c r="AL58" s="39"/>
      <c r="AM58" s="39"/>
      <c r="AN58" s="39"/>
      <c r="AO58" s="39"/>
      <c r="AP58" s="39"/>
      <c r="AQ58" s="39"/>
      <c r="AR58" s="39"/>
    </row>
    <row r="59" spans="2:44">
      <c r="B59" s="5"/>
      <c r="C59" s="5"/>
      <c r="D59" s="5"/>
      <c r="E59" s="5"/>
      <c r="F59" s="5"/>
      <c r="G59" s="5"/>
      <c r="H59" s="5"/>
      <c r="I59" s="5"/>
      <c r="J59" s="5"/>
      <c r="K59" s="5"/>
      <c r="L59" s="5"/>
      <c r="M59" s="5"/>
      <c r="N59" s="5"/>
      <c r="O59" s="5"/>
      <c r="Q59" s="5"/>
      <c r="R59" s="5"/>
      <c r="S59" s="5"/>
      <c r="AB59" s="39"/>
      <c r="AC59" s="39"/>
      <c r="AD59" s="39"/>
      <c r="AE59" s="39"/>
      <c r="AF59" s="39"/>
      <c r="AG59" s="39"/>
      <c r="AH59" s="39"/>
      <c r="AI59" s="39"/>
      <c r="AJ59" s="39"/>
      <c r="AK59" s="39"/>
      <c r="AL59" s="39"/>
      <c r="AM59" s="39"/>
      <c r="AN59" s="39"/>
      <c r="AO59" s="39"/>
      <c r="AP59" s="39"/>
      <c r="AQ59" s="39"/>
      <c r="AR59" s="39"/>
    </row>
    <row r="60" spans="2:44">
      <c r="B60" s="41"/>
      <c r="C60" s="17"/>
      <c r="D60" s="17"/>
      <c r="E60" s="17"/>
      <c r="F60" s="17"/>
      <c r="G60" s="17"/>
      <c r="H60" s="17"/>
      <c r="I60" s="249"/>
      <c r="J60" s="17"/>
      <c r="K60" s="17"/>
      <c r="L60" s="17"/>
      <c r="M60" s="17"/>
      <c r="N60" s="17"/>
      <c r="O60" s="251"/>
      <c r="Q60" s="5"/>
      <c r="R60" s="5"/>
      <c r="S60" s="5"/>
      <c r="AB60" s="39"/>
      <c r="AC60" s="39"/>
      <c r="AD60" s="39"/>
      <c r="AE60" s="39"/>
      <c r="AF60" s="39"/>
      <c r="AG60" s="39"/>
      <c r="AH60" s="39"/>
      <c r="AI60" s="39"/>
      <c r="AJ60" s="39"/>
      <c r="AK60" s="39"/>
      <c r="AL60" s="39"/>
      <c r="AM60" s="39"/>
      <c r="AN60" s="39"/>
      <c r="AO60" s="39"/>
      <c r="AP60" s="39"/>
      <c r="AQ60" s="39"/>
      <c r="AR60" s="39"/>
    </row>
    <row r="61" spans="2:44">
      <c r="B61" s="5"/>
      <c r="C61" s="5"/>
      <c r="D61" s="5"/>
      <c r="E61" s="5"/>
      <c r="F61" s="5"/>
      <c r="G61" s="5"/>
      <c r="H61" s="5"/>
      <c r="I61" s="5"/>
      <c r="J61" s="5"/>
      <c r="K61" s="5"/>
      <c r="L61" s="5"/>
      <c r="M61" s="5"/>
      <c r="N61" s="5"/>
      <c r="O61" s="5"/>
      <c r="Q61" s="41"/>
      <c r="R61" s="5"/>
      <c r="S61" s="5"/>
      <c r="AB61" s="39"/>
      <c r="AC61" s="39"/>
      <c r="AD61" s="39"/>
      <c r="AE61" s="39"/>
      <c r="AF61" s="39"/>
      <c r="AG61" s="39"/>
      <c r="AH61" s="39"/>
      <c r="AI61" s="39"/>
      <c r="AJ61" s="39"/>
      <c r="AK61" s="39"/>
      <c r="AL61" s="39"/>
      <c r="AM61" s="39"/>
      <c r="AN61" s="39"/>
      <c r="AO61" s="39"/>
      <c r="AP61" s="39"/>
      <c r="AQ61" s="39"/>
      <c r="AR61" s="39"/>
    </row>
    <row r="62" spans="2:44">
      <c r="B62" s="41"/>
      <c r="C62" s="249"/>
      <c r="D62" s="249"/>
      <c r="E62" s="249"/>
      <c r="F62" s="249"/>
      <c r="G62" s="249"/>
      <c r="H62" s="249"/>
      <c r="I62" s="5"/>
      <c r="J62" s="249"/>
      <c r="K62" s="249"/>
      <c r="L62" s="249"/>
      <c r="M62" s="249"/>
      <c r="N62" s="249"/>
      <c r="O62" s="251"/>
      <c r="Q62" s="5"/>
      <c r="R62" s="5"/>
      <c r="S62" s="5"/>
      <c r="AB62" s="39"/>
      <c r="AC62" s="39"/>
      <c r="AD62" s="39"/>
      <c r="AE62" s="39"/>
      <c r="AF62" s="39"/>
      <c r="AG62" s="39"/>
      <c r="AH62" s="39"/>
      <c r="AI62" s="39"/>
      <c r="AJ62" s="39"/>
      <c r="AK62" s="39"/>
      <c r="AL62" s="39"/>
      <c r="AM62" s="39"/>
      <c r="AN62" s="39"/>
      <c r="AO62" s="39"/>
      <c r="AP62" s="39"/>
      <c r="AQ62" s="39"/>
      <c r="AR62" s="39"/>
    </row>
    <row r="63" spans="2:44">
      <c r="B63" s="5"/>
      <c r="C63" s="5"/>
      <c r="D63" s="5"/>
      <c r="E63" s="5"/>
      <c r="F63" s="5"/>
      <c r="G63" s="5"/>
      <c r="H63" s="5"/>
      <c r="I63" s="254"/>
      <c r="J63" s="5"/>
      <c r="K63" s="5"/>
      <c r="L63" s="5"/>
      <c r="M63" s="5"/>
      <c r="N63" s="5"/>
      <c r="O63" s="5"/>
      <c r="Q63" s="5"/>
      <c r="R63" s="5"/>
      <c r="S63" s="5"/>
      <c r="AA63" s="39"/>
      <c r="AB63" s="39"/>
      <c r="AC63" s="39"/>
      <c r="AD63" s="39"/>
      <c r="AE63" s="39"/>
      <c r="AF63" s="39"/>
      <c r="AG63" s="39"/>
      <c r="AH63" s="39"/>
      <c r="AI63" s="39"/>
      <c r="AJ63" s="39"/>
      <c r="AK63" s="39"/>
      <c r="AL63" s="39"/>
      <c r="AM63" s="39"/>
      <c r="AN63" s="39"/>
      <c r="AO63" s="39"/>
      <c r="AP63" s="39"/>
      <c r="AQ63" s="39"/>
      <c r="AR63" s="39"/>
    </row>
    <row r="64" spans="2:44">
      <c r="B64" s="5"/>
      <c r="C64" s="5"/>
      <c r="D64" s="5"/>
      <c r="E64" s="5"/>
      <c r="F64" s="5"/>
      <c r="G64" s="5"/>
      <c r="H64" s="5"/>
      <c r="I64" s="17"/>
      <c r="J64" s="5"/>
      <c r="K64" s="5"/>
      <c r="L64" s="5"/>
      <c r="M64" s="5"/>
      <c r="N64" s="5"/>
      <c r="O64" s="5"/>
      <c r="Q64" s="5"/>
      <c r="R64" s="5"/>
      <c r="S64" s="5"/>
      <c r="AA64" s="39"/>
      <c r="AB64" s="39"/>
      <c r="AC64" s="39"/>
      <c r="AD64" s="39"/>
      <c r="AE64" s="39"/>
      <c r="AF64" s="39"/>
      <c r="AG64" s="39"/>
      <c r="AH64" s="39"/>
      <c r="AI64" s="39"/>
      <c r="AJ64" s="39"/>
      <c r="AK64" s="39"/>
      <c r="AL64" s="39"/>
      <c r="AM64" s="39"/>
      <c r="AN64" s="39"/>
      <c r="AO64" s="39"/>
      <c r="AP64" s="39"/>
      <c r="AQ64" s="39"/>
      <c r="AR64" s="39"/>
    </row>
    <row r="65" spans="2:44">
      <c r="B65" s="41"/>
      <c r="C65" s="249"/>
      <c r="D65" s="254"/>
      <c r="E65" s="254"/>
      <c r="F65" s="254"/>
      <c r="G65" s="254"/>
      <c r="H65" s="254"/>
      <c r="I65" s="254"/>
      <c r="J65" s="254"/>
      <c r="K65" s="254"/>
      <c r="L65" s="254"/>
      <c r="M65" s="254"/>
      <c r="N65" s="254"/>
      <c r="O65" s="251"/>
      <c r="Q65" s="5"/>
      <c r="R65" s="5"/>
      <c r="S65" s="5"/>
      <c r="AA65" s="39"/>
      <c r="AB65" s="39"/>
      <c r="AC65" s="39"/>
      <c r="AD65" s="39"/>
      <c r="AE65" s="39"/>
      <c r="AF65" s="39"/>
      <c r="AG65" s="39"/>
      <c r="AH65" s="39"/>
      <c r="AI65" s="39"/>
      <c r="AJ65" s="39"/>
      <c r="AK65" s="39"/>
      <c r="AL65" s="39"/>
      <c r="AM65" s="39"/>
      <c r="AN65" s="39"/>
      <c r="AO65" s="39"/>
      <c r="AP65" s="39"/>
      <c r="AQ65" s="39"/>
      <c r="AR65" s="39"/>
    </row>
    <row r="66" spans="2:44">
      <c r="B66" s="5"/>
      <c r="C66" s="5"/>
      <c r="D66" s="17"/>
      <c r="E66" s="17"/>
      <c r="F66" s="17"/>
      <c r="G66" s="17"/>
      <c r="H66" s="17"/>
      <c r="I66" s="248"/>
      <c r="J66" s="17"/>
      <c r="K66" s="17"/>
      <c r="L66" s="17"/>
      <c r="M66" s="17"/>
      <c r="N66" s="17"/>
      <c r="O66" s="5"/>
      <c r="Q66" s="5"/>
      <c r="R66" s="5"/>
      <c r="S66" s="5"/>
      <c r="AA66" s="39"/>
      <c r="AB66" s="39"/>
      <c r="AC66" s="39"/>
      <c r="AD66" s="39"/>
      <c r="AE66" s="39"/>
      <c r="AF66" s="39"/>
      <c r="AG66" s="39"/>
      <c r="AH66" s="39"/>
      <c r="AI66" s="39"/>
      <c r="AJ66" s="39"/>
      <c r="AK66" s="39"/>
      <c r="AL66" s="39"/>
      <c r="AM66" s="39"/>
      <c r="AN66" s="39"/>
      <c r="AO66" s="39"/>
      <c r="AP66" s="39"/>
      <c r="AQ66" s="39"/>
      <c r="AR66" s="39"/>
    </row>
    <row r="67" spans="2:44">
      <c r="B67" s="41"/>
      <c r="C67" s="249"/>
      <c r="D67" s="254"/>
      <c r="E67" s="254"/>
      <c r="F67" s="254"/>
      <c r="G67" s="254"/>
      <c r="H67" s="254"/>
      <c r="I67" s="5"/>
      <c r="J67" s="254"/>
      <c r="K67" s="254"/>
      <c r="L67" s="254"/>
      <c r="M67" s="254"/>
      <c r="N67" s="254"/>
      <c r="O67" s="251"/>
      <c r="Q67" s="41"/>
      <c r="R67" s="5"/>
      <c r="S67" s="5"/>
      <c r="AA67" s="39"/>
      <c r="AB67" s="39"/>
      <c r="AC67" s="39"/>
      <c r="AD67" s="39"/>
      <c r="AE67" s="39"/>
      <c r="AF67" s="39"/>
      <c r="AG67" s="39"/>
      <c r="AH67" s="39"/>
      <c r="AI67" s="39"/>
      <c r="AJ67" s="39"/>
      <c r="AK67" s="39"/>
      <c r="AL67" s="39"/>
      <c r="AM67" s="39"/>
      <c r="AN67" s="39"/>
      <c r="AO67" s="39"/>
      <c r="AP67" s="39"/>
      <c r="AQ67" s="39"/>
      <c r="AR67" s="39"/>
    </row>
    <row r="68" spans="2:44">
      <c r="B68" s="5"/>
      <c r="C68" s="5"/>
      <c r="D68" s="248"/>
      <c r="E68" s="248"/>
      <c r="F68" s="248"/>
      <c r="G68" s="248"/>
      <c r="H68" s="248"/>
      <c r="I68" s="245"/>
      <c r="J68" s="248"/>
      <c r="K68" s="248"/>
      <c r="L68" s="248"/>
      <c r="M68" s="248"/>
      <c r="N68" s="248"/>
      <c r="O68" s="5"/>
      <c r="Q68" s="5"/>
      <c r="R68" s="5"/>
      <c r="S68" s="5"/>
      <c r="AA68" s="39"/>
      <c r="AB68" s="39"/>
      <c r="AC68" s="39"/>
      <c r="AD68" s="39"/>
      <c r="AE68" s="39"/>
      <c r="AF68" s="39"/>
      <c r="AG68" s="39"/>
      <c r="AH68" s="39"/>
      <c r="AI68" s="39"/>
      <c r="AJ68" s="39"/>
      <c r="AK68" s="39"/>
      <c r="AL68" s="39"/>
      <c r="AM68" s="39"/>
      <c r="AN68" s="39"/>
      <c r="AO68" s="39"/>
      <c r="AP68" s="39"/>
      <c r="AQ68" s="39"/>
      <c r="AR68" s="39"/>
    </row>
    <row r="69" spans="2:44">
      <c r="B69" s="41"/>
      <c r="C69" s="5"/>
      <c r="D69" s="5"/>
      <c r="E69" s="5"/>
      <c r="F69" s="5"/>
      <c r="G69" s="5"/>
      <c r="H69" s="5"/>
      <c r="I69" s="248"/>
      <c r="J69" s="5"/>
      <c r="K69" s="5"/>
      <c r="L69" s="5"/>
      <c r="M69" s="5"/>
      <c r="N69" s="5"/>
      <c r="O69" s="5"/>
      <c r="Q69" s="5"/>
      <c r="R69" s="5"/>
      <c r="S69" s="5"/>
      <c r="AA69" s="39"/>
      <c r="AB69" s="39"/>
      <c r="AC69" s="39"/>
      <c r="AD69" s="39"/>
      <c r="AE69" s="39"/>
      <c r="AF69" s="39"/>
      <c r="AG69" s="39"/>
      <c r="AH69" s="39"/>
      <c r="AI69" s="39"/>
      <c r="AJ69" s="39"/>
      <c r="AK69" s="39"/>
      <c r="AL69" s="39"/>
      <c r="AM69" s="39"/>
      <c r="AN69" s="39"/>
      <c r="AO69" s="39"/>
      <c r="AP69" s="39"/>
      <c r="AQ69" s="39"/>
      <c r="AR69" s="39"/>
    </row>
    <row r="70" spans="2:44">
      <c r="B70" s="41"/>
      <c r="C70" s="245"/>
      <c r="D70" s="245"/>
      <c r="E70" s="245"/>
      <c r="F70" s="245"/>
      <c r="G70" s="245"/>
      <c r="H70" s="245"/>
      <c r="I70" s="5"/>
      <c r="J70" s="245"/>
      <c r="K70" s="245"/>
      <c r="L70" s="245"/>
      <c r="M70" s="245"/>
      <c r="N70" s="245"/>
      <c r="O70" s="251"/>
      <c r="Q70" s="5"/>
      <c r="R70" s="5"/>
      <c r="S70" s="5"/>
      <c r="W70" s="76"/>
      <c r="X70" s="76"/>
      <c r="AA70" s="39"/>
      <c r="AB70" s="39"/>
      <c r="AC70" s="39"/>
      <c r="AD70" s="39"/>
      <c r="AE70" s="39"/>
      <c r="AF70" s="39"/>
      <c r="AG70" s="39"/>
      <c r="AH70" s="39"/>
      <c r="AI70" s="39"/>
      <c r="AJ70" s="39"/>
      <c r="AK70" s="39"/>
      <c r="AL70" s="39"/>
      <c r="AM70" s="39"/>
      <c r="AN70" s="39"/>
      <c r="AO70" s="39"/>
      <c r="AP70" s="39"/>
      <c r="AQ70" s="39"/>
      <c r="AR70" s="39"/>
    </row>
    <row r="71" spans="2:44">
      <c r="B71" s="5"/>
      <c r="C71" s="5"/>
      <c r="D71" s="248"/>
      <c r="E71" s="248"/>
      <c r="F71" s="248"/>
      <c r="G71" s="248"/>
      <c r="H71" s="248"/>
      <c r="I71" s="245"/>
      <c r="J71" s="248"/>
      <c r="K71" s="248"/>
      <c r="L71" s="248"/>
      <c r="M71" s="248"/>
      <c r="N71" s="248"/>
      <c r="O71" s="5"/>
      <c r="Q71" s="5"/>
      <c r="R71" s="5"/>
      <c r="S71" s="5"/>
      <c r="W71" s="76"/>
      <c r="X71" s="76"/>
      <c r="Y71" s="76"/>
      <c r="Z71" s="76"/>
      <c r="AA71" s="39"/>
      <c r="AB71" s="39"/>
      <c r="AC71" s="39"/>
      <c r="AD71" s="39"/>
      <c r="AE71" s="39"/>
      <c r="AF71" s="39"/>
      <c r="AG71" s="39"/>
      <c r="AH71" s="39"/>
      <c r="AI71" s="39"/>
      <c r="AJ71" s="39"/>
      <c r="AK71" s="39"/>
      <c r="AL71" s="39"/>
      <c r="AM71" s="39"/>
      <c r="AN71" s="39"/>
      <c r="AO71" s="39"/>
      <c r="AP71" s="39"/>
      <c r="AQ71" s="39"/>
      <c r="AR71" s="39"/>
    </row>
    <row r="72" spans="2:44">
      <c r="B72" s="41"/>
      <c r="C72" s="5"/>
      <c r="D72" s="5"/>
      <c r="E72" s="5"/>
      <c r="F72" s="5"/>
      <c r="G72" s="5"/>
      <c r="H72" s="5"/>
      <c r="I72" s="18"/>
      <c r="J72" s="5"/>
      <c r="K72" s="5"/>
      <c r="L72" s="5"/>
      <c r="M72" s="5"/>
      <c r="N72" s="5"/>
      <c r="O72" s="5"/>
      <c r="Q72" s="5"/>
      <c r="R72" s="5"/>
      <c r="S72" s="5"/>
      <c r="Y72" s="76"/>
      <c r="Z72" s="76"/>
      <c r="AA72" s="39"/>
      <c r="AB72" s="39"/>
      <c r="AC72" s="39"/>
      <c r="AD72" s="39"/>
      <c r="AE72" s="39"/>
      <c r="AF72" s="39"/>
      <c r="AG72" s="39"/>
      <c r="AH72" s="39"/>
      <c r="AI72" s="39"/>
      <c r="AJ72" s="39"/>
      <c r="AK72" s="39"/>
      <c r="AL72" s="39"/>
      <c r="AM72" s="39"/>
      <c r="AN72" s="39"/>
      <c r="AO72" s="39"/>
      <c r="AP72" s="39"/>
      <c r="AQ72" s="39"/>
      <c r="AR72" s="39"/>
    </row>
    <row r="73" spans="2:44">
      <c r="B73" s="41"/>
      <c r="C73" s="245"/>
      <c r="D73" s="245"/>
      <c r="E73" s="245"/>
      <c r="F73" s="245"/>
      <c r="G73" s="245"/>
      <c r="H73" s="245"/>
      <c r="I73" s="5"/>
      <c r="J73" s="245"/>
      <c r="K73" s="245"/>
      <c r="L73" s="245"/>
      <c r="M73" s="245"/>
      <c r="N73" s="245"/>
      <c r="O73" s="251"/>
      <c r="Q73" s="5"/>
      <c r="R73" s="5"/>
      <c r="S73" s="5"/>
      <c r="AA73" s="39"/>
      <c r="AB73" s="39"/>
      <c r="AC73" s="39"/>
      <c r="AD73" s="39"/>
      <c r="AE73" s="39"/>
      <c r="AF73" s="39"/>
      <c r="AG73" s="39"/>
      <c r="AH73" s="39"/>
      <c r="AI73" s="39"/>
      <c r="AJ73" s="39"/>
      <c r="AK73" s="39"/>
      <c r="AL73" s="39"/>
      <c r="AM73" s="39"/>
      <c r="AN73" s="39"/>
      <c r="AO73" s="39"/>
      <c r="AP73" s="39"/>
      <c r="AQ73" s="39"/>
      <c r="AR73" s="39"/>
    </row>
    <row r="74" spans="2:44">
      <c r="B74" s="5"/>
      <c r="C74" s="5"/>
      <c r="D74" s="18"/>
      <c r="E74" s="18"/>
      <c r="F74" s="18"/>
      <c r="G74" s="18"/>
      <c r="H74" s="18"/>
      <c r="I74" s="249"/>
      <c r="J74" s="18"/>
      <c r="K74" s="18"/>
      <c r="L74" s="18"/>
      <c r="M74" s="18"/>
      <c r="N74" s="18"/>
      <c r="O74" s="5"/>
      <c r="Q74" s="5"/>
      <c r="R74" s="5"/>
      <c r="S74" s="5"/>
      <c r="AA74" s="39"/>
      <c r="AB74" s="39"/>
      <c r="AC74" s="39"/>
      <c r="AD74" s="39"/>
      <c r="AE74" s="39"/>
      <c r="AF74" s="39"/>
      <c r="AG74" s="39"/>
      <c r="AH74" s="39"/>
      <c r="AI74" s="39"/>
      <c r="AJ74" s="39"/>
      <c r="AK74" s="39"/>
      <c r="AL74" s="39"/>
      <c r="AM74" s="39"/>
      <c r="AN74" s="39"/>
      <c r="AO74" s="39"/>
      <c r="AP74" s="39"/>
      <c r="AQ74" s="39"/>
      <c r="AR74" s="39"/>
    </row>
    <row r="75" spans="2:44">
      <c r="B75" s="41"/>
      <c r="C75" s="5"/>
      <c r="D75" s="5"/>
      <c r="E75" s="5"/>
      <c r="F75" s="5"/>
      <c r="G75" s="5"/>
      <c r="H75" s="5"/>
      <c r="I75" s="248"/>
      <c r="J75" s="5"/>
      <c r="K75" s="5"/>
      <c r="L75" s="5"/>
      <c r="M75" s="5"/>
      <c r="N75" s="5"/>
      <c r="O75" s="5"/>
      <c r="Q75" s="5"/>
      <c r="R75" s="5"/>
      <c r="S75" s="5"/>
      <c r="AA75" s="39"/>
      <c r="AB75" s="39"/>
      <c r="AC75" s="39"/>
      <c r="AD75" s="39"/>
      <c r="AE75" s="39"/>
      <c r="AF75" s="39"/>
      <c r="AG75" s="39"/>
      <c r="AH75" s="39"/>
      <c r="AI75" s="39"/>
      <c r="AJ75" s="39"/>
      <c r="AK75" s="39"/>
      <c r="AL75" s="39"/>
      <c r="AM75" s="39"/>
      <c r="AN75" s="39"/>
      <c r="AO75" s="39"/>
      <c r="AP75" s="39"/>
      <c r="AQ75" s="39"/>
      <c r="AR75" s="39"/>
    </row>
    <row r="76" spans="2:44">
      <c r="B76" s="41"/>
      <c r="C76" s="249"/>
      <c r="D76" s="249"/>
      <c r="E76" s="249"/>
      <c r="F76" s="249"/>
      <c r="G76" s="249"/>
      <c r="H76" s="249"/>
      <c r="I76" s="5"/>
      <c r="J76" s="249"/>
      <c r="K76" s="249"/>
      <c r="L76" s="249"/>
      <c r="M76" s="249"/>
      <c r="N76" s="249"/>
      <c r="O76" s="251"/>
      <c r="Q76" s="5"/>
      <c r="R76" s="5"/>
      <c r="S76" s="5"/>
      <c r="AA76" s="39"/>
      <c r="AB76" s="39"/>
      <c r="AC76" s="39"/>
      <c r="AD76" s="39"/>
      <c r="AE76" s="39"/>
      <c r="AF76" s="39"/>
      <c r="AG76" s="39"/>
      <c r="AH76" s="39"/>
      <c r="AI76" s="39"/>
      <c r="AJ76" s="39"/>
      <c r="AK76" s="39"/>
      <c r="AL76" s="39"/>
      <c r="AM76" s="39"/>
      <c r="AN76" s="39"/>
      <c r="AO76" s="39"/>
      <c r="AP76" s="39"/>
      <c r="AQ76" s="39"/>
      <c r="AR76" s="39"/>
    </row>
    <row r="77" spans="2:44">
      <c r="B77" s="5"/>
      <c r="C77" s="5"/>
      <c r="D77" s="248"/>
      <c r="E77" s="248"/>
      <c r="F77" s="248"/>
      <c r="G77" s="248"/>
      <c r="H77" s="248"/>
      <c r="I77" s="245"/>
      <c r="J77" s="248"/>
      <c r="K77" s="248"/>
      <c r="L77" s="248"/>
      <c r="M77" s="248"/>
      <c r="N77" s="248"/>
      <c r="O77" s="5"/>
      <c r="Q77" s="5"/>
      <c r="R77" s="5"/>
      <c r="S77" s="5"/>
      <c r="AA77" s="39"/>
      <c r="AB77" s="39"/>
      <c r="AC77" s="39"/>
      <c r="AD77" s="39"/>
      <c r="AE77" s="39"/>
      <c r="AF77" s="39"/>
      <c r="AG77" s="39"/>
      <c r="AH77" s="39"/>
      <c r="AI77" s="39"/>
      <c r="AJ77" s="39"/>
      <c r="AK77" s="39"/>
      <c r="AL77" s="39"/>
      <c r="AM77" s="39"/>
      <c r="AN77" s="39"/>
      <c r="AO77" s="39"/>
      <c r="AP77" s="39"/>
      <c r="AQ77" s="39"/>
      <c r="AR77" s="39"/>
    </row>
    <row r="78" spans="2:44">
      <c r="B78" s="41"/>
      <c r="C78" s="5"/>
      <c r="D78" s="5"/>
      <c r="E78" s="5"/>
      <c r="F78" s="5"/>
      <c r="G78" s="5"/>
      <c r="H78" s="5"/>
      <c r="I78" s="248"/>
      <c r="J78" s="5"/>
      <c r="K78" s="5"/>
      <c r="L78" s="5"/>
      <c r="M78" s="5"/>
      <c r="N78" s="5"/>
      <c r="O78" s="5"/>
      <c r="Q78" s="5"/>
      <c r="R78" s="5"/>
      <c r="S78" s="5"/>
      <c r="AA78" s="39"/>
      <c r="AB78" s="39"/>
      <c r="AC78" s="39"/>
      <c r="AD78" s="39"/>
      <c r="AE78" s="39"/>
      <c r="AF78" s="39"/>
      <c r="AG78" s="39"/>
      <c r="AH78" s="39"/>
      <c r="AI78" s="39"/>
      <c r="AJ78" s="39"/>
      <c r="AK78" s="39"/>
      <c r="AL78" s="39"/>
      <c r="AM78" s="39"/>
      <c r="AN78" s="39"/>
      <c r="AO78" s="39"/>
      <c r="AP78" s="39"/>
      <c r="AQ78" s="39"/>
      <c r="AR78" s="39"/>
    </row>
    <row r="79" spans="2:44">
      <c r="B79" s="41"/>
      <c r="C79" s="245"/>
      <c r="D79" s="245"/>
      <c r="E79" s="245"/>
      <c r="F79" s="245"/>
      <c r="G79" s="245"/>
      <c r="H79" s="245"/>
      <c r="I79" s="5"/>
      <c r="J79" s="245"/>
      <c r="K79" s="245"/>
      <c r="L79" s="245"/>
      <c r="M79" s="245"/>
      <c r="N79" s="245"/>
      <c r="O79" s="251"/>
      <c r="Q79" s="5"/>
      <c r="R79" s="5"/>
      <c r="S79" s="5"/>
      <c r="AA79" s="39"/>
      <c r="AB79" s="39"/>
      <c r="AC79" s="39"/>
      <c r="AD79" s="39"/>
      <c r="AE79" s="39"/>
      <c r="AF79" s="39"/>
      <c r="AG79" s="39"/>
      <c r="AH79" s="39"/>
      <c r="AI79" s="39"/>
      <c r="AJ79" s="39"/>
      <c r="AK79" s="39"/>
      <c r="AL79" s="39"/>
      <c r="AM79" s="39"/>
      <c r="AN79" s="39"/>
      <c r="AO79" s="39"/>
      <c r="AP79" s="39"/>
      <c r="AQ79" s="39"/>
      <c r="AR79" s="39"/>
    </row>
    <row r="80" spans="2:44">
      <c r="B80" s="5"/>
      <c r="C80" s="5"/>
      <c r="D80" s="248"/>
      <c r="E80" s="248"/>
      <c r="F80" s="248"/>
      <c r="G80" s="248"/>
      <c r="H80" s="248"/>
      <c r="I80" s="249"/>
      <c r="J80" s="248"/>
      <c r="K80" s="248"/>
      <c r="L80" s="248"/>
      <c r="M80" s="248"/>
      <c r="N80" s="248"/>
      <c r="O80" s="5"/>
      <c r="Q80" s="5"/>
      <c r="R80" s="5"/>
      <c r="S80" s="5"/>
      <c r="AA80" s="39"/>
      <c r="AB80" s="39"/>
      <c r="AC80" s="39"/>
      <c r="AD80" s="39"/>
      <c r="AE80" s="39"/>
      <c r="AF80" s="39"/>
      <c r="AG80" s="39"/>
      <c r="AH80" s="39"/>
      <c r="AI80" s="39"/>
      <c r="AJ80" s="39"/>
      <c r="AK80" s="39"/>
      <c r="AL80" s="39"/>
      <c r="AM80" s="39"/>
      <c r="AN80" s="39"/>
      <c r="AO80" s="39"/>
      <c r="AP80" s="39"/>
      <c r="AQ80" s="39"/>
      <c r="AR80" s="39"/>
    </row>
    <row r="81" spans="2:44">
      <c r="B81" s="41"/>
      <c r="C81" s="5"/>
      <c r="D81" s="5"/>
      <c r="E81" s="5"/>
      <c r="F81" s="5"/>
      <c r="G81" s="5"/>
      <c r="H81" s="5"/>
      <c r="I81" s="248"/>
      <c r="J81" s="5"/>
      <c r="K81" s="5"/>
      <c r="L81" s="5"/>
      <c r="M81" s="5"/>
      <c r="N81" s="5"/>
      <c r="O81" s="5"/>
      <c r="Q81" s="5"/>
      <c r="R81" s="5"/>
      <c r="S81" s="5"/>
      <c r="AA81" s="39"/>
      <c r="AB81" s="39"/>
      <c r="AC81" s="39"/>
      <c r="AD81" s="39"/>
      <c r="AE81" s="39"/>
      <c r="AF81" s="39"/>
      <c r="AG81" s="39"/>
      <c r="AH81" s="39"/>
      <c r="AI81" s="39"/>
      <c r="AJ81" s="39"/>
      <c r="AK81" s="39"/>
      <c r="AL81" s="39"/>
      <c r="AM81" s="39"/>
      <c r="AN81" s="39"/>
      <c r="AO81" s="39"/>
      <c r="AP81" s="39"/>
      <c r="AQ81" s="39"/>
      <c r="AR81" s="39"/>
    </row>
    <row r="82" spans="2:44">
      <c r="B82" s="41"/>
      <c r="C82" s="249"/>
      <c r="D82" s="249"/>
      <c r="E82" s="249"/>
      <c r="F82" s="249"/>
      <c r="G82" s="249"/>
      <c r="H82" s="249"/>
      <c r="I82" s="259"/>
      <c r="J82" s="249"/>
      <c r="K82" s="249"/>
      <c r="L82" s="249"/>
      <c r="M82" s="249"/>
      <c r="N82" s="249"/>
      <c r="O82" s="251"/>
      <c r="Q82" s="5"/>
      <c r="R82" s="5"/>
      <c r="S82" s="5"/>
      <c r="AA82" s="39"/>
      <c r="AB82" s="39"/>
      <c r="AC82" s="39"/>
      <c r="AD82" s="39"/>
      <c r="AE82" s="39"/>
      <c r="AF82" s="39"/>
      <c r="AG82" s="39"/>
      <c r="AH82" s="39"/>
      <c r="AI82" s="39"/>
      <c r="AJ82" s="39"/>
      <c r="AK82" s="39"/>
      <c r="AL82" s="39"/>
      <c r="AM82" s="39"/>
      <c r="AN82" s="39"/>
      <c r="AO82" s="39"/>
      <c r="AP82" s="39"/>
      <c r="AQ82" s="39"/>
      <c r="AR82" s="39"/>
    </row>
    <row r="83" spans="2:44">
      <c r="B83" s="5"/>
      <c r="C83" s="5"/>
      <c r="D83" s="248"/>
      <c r="E83" s="248"/>
      <c r="F83" s="248"/>
      <c r="G83" s="248"/>
      <c r="H83" s="248"/>
      <c r="I83" s="5"/>
      <c r="J83" s="248"/>
      <c r="K83" s="248"/>
      <c r="L83" s="248"/>
      <c r="M83" s="248"/>
      <c r="N83" s="248"/>
      <c r="O83" s="5"/>
      <c r="Q83" s="5"/>
      <c r="R83" s="5"/>
      <c r="S83" s="5"/>
      <c r="AA83" s="39"/>
      <c r="AB83" s="39"/>
      <c r="AC83" s="39"/>
      <c r="AD83" s="39"/>
      <c r="AE83" s="39"/>
      <c r="AF83" s="39"/>
      <c r="AG83" s="39"/>
      <c r="AH83" s="39"/>
      <c r="AI83" s="39"/>
      <c r="AJ83" s="39"/>
      <c r="AK83" s="39"/>
      <c r="AL83" s="39"/>
      <c r="AM83" s="39"/>
      <c r="AN83" s="39"/>
      <c r="AO83" s="39"/>
      <c r="AP83" s="39"/>
      <c r="AQ83" s="39"/>
      <c r="AR83" s="39"/>
    </row>
    <row r="84" spans="2:44">
      <c r="B84" s="5"/>
      <c r="C84" s="259"/>
      <c r="D84" s="259"/>
      <c r="E84" s="259"/>
      <c r="F84" s="259"/>
      <c r="G84" s="259"/>
      <c r="H84" s="259"/>
      <c r="I84" s="245"/>
      <c r="J84" s="259"/>
      <c r="K84" s="259"/>
      <c r="L84" s="259"/>
      <c r="M84" s="259"/>
      <c r="N84" s="259"/>
      <c r="O84" s="251"/>
      <c r="Q84" s="5"/>
      <c r="R84" s="5"/>
      <c r="S84" s="5"/>
      <c r="AA84" s="39"/>
      <c r="AB84" s="39"/>
      <c r="AC84" s="39"/>
      <c r="AD84" s="39"/>
      <c r="AE84" s="39"/>
      <c r="AF84" s="39"/>
      <c r="AG84" s="39"/>
      <c r="AH84" s="39"/>
      <c r="AI84" s="39"/>
      <c r="AJ84" s="39"/>
      <c r="AK84" s="39"/>
      <c r="AL84" s="39"/>
      <c r="AM84" s="39"/>
      <c r="AN84" s="39"/>
      <c r="AO84" s="39"/>
      <c r="AP84" s="39"/>
      <c r="AQ84" s="39"/>
      <c r="AR84" s="39"/>
    </row>
    <row r="85" spans="2:44">
      <c r="B85" s="41"/>
      <c r="C85" s="5"/>
      <c r="D85" s="5"/>
      <c r="E85" s="5"/>
      <c r="F85" s="5"/>
      <c r="G85" s="5"/>
      <c r="H85" s="5"/>
      <c r="I85" s="248"/>
      <c r="J85" s="5"/>
      <c r="K85" s="5"/>
      <c r="L85" s="5"/>
      <c r="M85" s="5"/>
      <c r="N85" s="5"/>
      <c r="O85" s="5"/>
      <c r="Q85" s="5"/>
      <c r="R85" s="5"/>
      <c r="S85" s="5"/>
      <c r="AA85" s="39"/>
      <c r="AB85" s="39"/>
      <c r="AC85" s="39"/>
      <c r="AD85" s="39"/>
      <c r="AE85" s="39"/>
      <c r="AF85" s="39"/>
      <c r="AG85" s="39"/>
      <c r="AH85" s="39"/>
      <c r="AI85" s="39"/>
      <c r="AJ85" s="39"/>
      <c r="AK85" s="39"/>
      <c r="AL85" s="39"/>
      <c r="AM85" s="39"/>
      <c r="AN85" s="39"/>
      <c r="AO85" s="39"/>
      <c r="AP85" s="39"/>
      <c r="AQ85" s="39"/>
      <c r="AR85" s="39"/>
    </row>
    <row r="86" spans="2:44">
      <c r="B86" s="41"/>
      <c r="C86" s="245"/>
      <c r="D86" s="245"/>
      <c r="E86" s="245"/>
      <c r="F86" s="245"/>
      <c r="G86" s="245"/>
      <c r="H86" s="245"/>
      <c r="I86" s="5"/>
      <c r="J86" s="245"/>
      <c r="K86" s="245"/>
      <c r="L86" s="245"/>
      <c r="M86" s="245"/>
      <c r="N86" s="245"/>
      <c r="O86" s="251"/>
      <c r="Q86" s="5"/>
      <c r="R86" s="5"/>
      <c r="S86" s="5"/>
      <c r="AA86" s="39"/>
      <c r="AB86" s="39"/>
      <c r="AC86" s="39"/>
      <c r="AD86" s="39"/>
      <c r="AE86" s="39"/>
      <c r="AF86" s="39"/>
      <c r="AG86" s="39"/>
      <c r="AH86" s="39"/>
      <c r="AI86" s="39"/>
      <c r="AJ86" s="39"/>
      <c r="AK86" s="39"/>
      <c r="AL86" s="39"/>
      <c r="AM86" s="39"/>
      <c r="AN86" s="39"/>
      <c r="AO86" s="39"/>
      <c r="AP86" s="39"/>
      <c r="AQ86" s="39"/>
      <c r="AR86" s="39"/>
    </row>
    <row r="87" spans="2:44">
      <c r="B87" s="5"/>
      <c r="C87" s="5"/>
      <c r="D87" s="248"/>
      <c r="E87" s="248"/>
      <c r="F87" s="248"/>
      <c r="G87" s="248"/>
      <c r="H87" s="248"/>
      <c r="I87" s="5"/>
      <c r="J87" s="248"/>
      <c r="K87" s="248"/>
      <c r="L87" s="248"/>
      <c r="M87" s="248"/>
      <c r="N87" s="248"/>
      <c r="O87" s="5"/>
      <c r="Q87" s="5"/>
      <c r="R87" s="5"/>
      <c r="S87" s="5"/>
      <c r="AA87" s="39"/>
      <c r="AB87" s="39"/>
      <c r="AC87" s="39"/>
      <c r="AD87" s="39"/>
      <c r="AE87" s="39"/>
      <c r="AF87" s="39"/>
      <c r="AG87" s="39"/>
      <c r="AH87" s="39"/>
      <c r="AI87" s="39"/>
      <c r="AJ87" s="39"/>
      <c r="AK87" s="39"/>
      <c r="AL87" s="39"/>
      <c r="AM87" s="39"/>
      <c r="AN87" s="39"/>
      <c r="AO87" s="39"/>
      <c r="AP87" s="39"/>
      <c r="AQ87" s="39"/>
      <c r="AR87" s="39"/>
    </row>
    <row r="88" spans="2:44">
      <c r="B88" s="41"/>
      <c r="C88" s="5"/>
      <c r="D88" s="5"/>
      <c r="E88" s="5"/>
      <c r="F88" s="5"/>
      <c r="G88" s="5"/>
      <c r="H88" s="5"/>
      <c r="I88" s="5"/>
      <c r="J88" s="5"/>
      <c r="K88" s="5"/>
      <c r="L88" s="5"/>
      <c r="M88" s="5"/>
      <c r="N88" s="5"/>
      <c r="O88" s="5"/>
      <c r="Q88" s="5"/>
      <c r="R88" s="5"/>
      <c r="S88" s="5"/>
      <c r="AA88" s="39"/>
      <c r="AB88" s="39"/>
      <c r="AC88" s="39"/>
      <c r="AD88" s="39"/>
      <c r="AE88" s="39"/>
      <c r="AF88" s="39"/>
      <c r="AG88" s="39"/>
      <c r="AH88" s="39"/>
      <c r="AI88" s="39"/>
      <c r="AJ88" s="39"/>
      <c r="AK88" s="39"/>
      <c r="AL88" s="39"/>
      <c r="AM88" s="39"/>
      <c r="AN88" s="39"/>
      <c r="AO88" s="39"/>
      <c r="AP88" s="39"/>
      <c r="AQ88" s="39"/>
      <c r="AR88" s="39"/>
    </row>
    <row r="89" spans="2:44">
      <c r="B89" s="41"/>
      <c r="C89" s="5"/>
      <c r="D89" s="5"/>
      <c r="E89" s="5"/>
      <c r="F89" s="5"/>
      <c r="G89" s="5"/>
      <c r="H89" s="5"/>
      <c r="I89" s="5"/>
      <c r="J89" s="5"/>
      <c r="K89" s="5"/>
      <c r="L89" s="5"/>
      <c r="M89" s="5"/>
      <c r="N89" s="5"/>
      <c r="O89" s="5"/>
      <c r="Q89" s="5"/>
      <c r="R89" s="5"/>
      <c r="S89" s="5"/>
      <c r="AA89" s="39"/>
      <c r="AB89" s="39"/>
      <c r="AC89" s="39"/>
      <c r="AD89" s="39"/>
      <c r="AE89" s="39"/>
      <c r="AF89" s="39"/>
      <c r="AG89" s="39"/>
      <c r="AH89" s="39"/>
      <c r="AI89" s="39"/>
      <c r="AJ89" s="39"/>
      <c r="AK89" s="39"/>
      <c r="AL89" s="39"/>
      <c r="AM89" s="39"/>
      <c r="AN89" s="39"/>
      <c r="AO89" s="39"/>
      <c r="AP89" s="39"/>
      <c r="AQ89" s="39"/>
      <c r="AR89" s="39"/>
    </row>
    <row r="90" spans="2:44">
      <c r="B90" s="41"/>
      <c r="C90" s="5"/>
      <c r="D90" s="5"/>
      <c r="E90" s="5"/>
      <c r="F90" s="5"/>
      <c r="G90" s="5"/>
      <c r="H90" s="5"/>
      <c r="I90" s="49"/>
      <c r="J90" s="5"/>
      <c r="K90" s="5"/>
      <c r="L90" s="5"/>
      <c r="M90" s="5"/>
      <c r="N90" s="5"/>
      <c r="O90" s="5"/>
      <c r="Q90" s="41"/>
      <c r="R90" s="5"/>
      <c r="S90" s="5"/>
      <c r="AA90" s="39"/>
      <c r="AB90" s="39"/>
      <c r="AC90" s="39"/>
      <c r="AD90" s="39"/>
      <c r="AE90" s="39"/>
      <c r="AF90" s="39"/>
      <c r="AG90" s="39"/>
      <c r="AH90" s="39"/>
      <c r="AI90" s="39"/>
      <c r="AJ90" s="39"/>
      <c r="AK90" s="39"/>
      <c r="AL90" s="39"/>
      <c r="AM90" s="39"/>
      <c r="AN90" s="39"/>
      <c r="AO90" s="39"/>
      <c r="AP90" s="39"/>
      <c r="AQ90" s="39"/>
      <c r="AR90" s="39"/>
    </row>
    <row r="91" spans="2:44">
      <c r="B91" s="5"/>
      <c r="C91" s="5"/>
      <c r="D91" s="5"/>
      <c r="E91" s="5"/>
      <c r="F91" s="5"/>
      <c r="G91" s="5"/>
      <c r="H91" s="5"/>
      <c r="I91" s="5"/>
      <c r="J91" s="5"/>
      <c r="K91" s="5"/>
      <c r="L91" s="5"/>
      <c r="M91" s="5"/>
      <c r="N91" s="5"/>
      <c r="O91" s="5"/>
      <c r="Q91" s="5"/>
      <c r="R91" s="5"/>
      <c r="S91" s="5"/>
      <c r="AA91" s="39"/>
      <c r="AB91" s="39"/>
      <c r="AC91" s="39"/>
      <c r="AD91" s="39"/>
      <c r="AE91" s="39"/>
      <c r="AF91" s="39"/>
      <c r="AG91" s="39"/>
      <c r="AH91" s="39"/>
      <c r="AI91" s="39"/>
      <c r="AJ91" s="39"/>
      <c r="AK91" s="39"/>
      <c r="AL91" s="39"/>
      <c r="AM91" s="39"/>
      <c r="AN91" s="39"/>
      <c r="AO91" s="39"/>
      <c r="AP91" s="39"/>
      <c r="AQ91" s="39"/>
      <c r="AR91" s="39"/>
    </row>
    <row r="92" spans="2:44">
      <c r="B92" s="41"/>
      <c r="C92" s="49"/>
      <c r="D92" s="49"/>
      <c r="E92" s="49"/>
      <c r="F92" s="49"/>
      <c r="G92" s="49"/>
      <c r="H92" s="49"/>
      <c r="I92" s="247"/>
      <c r="J92" s="49"/>
      <c r="K92" s="49"/>
      <c r="L92" s="49"/>
      <c r="M92" s="49"/>
      <c r="N92" s="49"/>
      <c r="O92" s="49"/>
      <c r="Q92" s="5"/>
      <c r="R92" s="5"/>
      <c r="S92" s="5"/>
      <c r="W92" s="21"/>
      <c r="X92" s="21"/>
      <c r="AA92" s="39"/>
      <c r="AB92" s="39"/>
      <c r="AC92" s="39"/>
      <c r="AD92" s="39"/>
      <c r="AE92" s="39"/>
      <c r="AF92" s="39"/>
      <c r="AG92" s="39"/>
      <c r="AH92" s="39"/>
      <c r="AI92" s="39"/>
      <c r="AJ92" s="39"/>
      <c r="AK92" s="39"/>
      <c r="AL92" s="39"/>
      <c r="AM92" s="39"/>
      <c r="AN92" s="39"/>
      <c r="AO92" s="39"/>
      <c r="AP92" s="39"/>
      <c r="AQ92" s="39"/>
      <c r="AR92" s="39"/>
    </row>
    <row r="93" spans="2:44">
      <c r="B93" s="5"/>
      <c r="C93" s="5"/>
      <c r="D93" s="5"/>
      <c r="E93" s="5"/>
      <c r="F93" s="5"/>
      <c r="G93" s="5"/>
      <c r="H93" s="5"/>
      <c r="I93" s="247"/>
      <c r="J93" s="5"/>
      <c r="K93" s="5"/>
      <c r="L93" s="5"/>
      <c r="M93" s="5"/>
      <c r="N93" s="5"/>
      <c r="O93" s="5"/>
      <c r="Q93" s="5"/>
      <c r="R93" s="5"/>
      <c r="S93" s="5"/>
      <c r="W93" s="21"/>
      <c r="X93" s="21"/>
      <c r="Y93" s="21"/>
      <c r="Z93" s="21"/>
      <c r="AA93" s="39"/>
      <c r="AB93" s="39"/>
      <c r="AC93" s="39"/>
      <c r="AD93" s="39"/>
      <c r="AE93" s="39"/>
      <c r="AF93" s="39"/>
      <c r="AG93" s="39"/>
      <c r="AH93" s="39"/>
      <c r="AI93" s="39"/>
      <c r="AJ93" s="39"/>
      <c r="AK93" s="39"/>
      <c r="AL93" s="39"/>
      <c r="AM93" s="39"/>
      <c r="AN93" s="39"/>
      <c r="AO93" s="39"/>
      <c r="AP93" s="39"/>
      <c r="AQ93" s="39"/>
      <c r="AR93" s="39"/>
    </row>
    <row r="94" spans="2:44">
      <c r="B94" s="5"/>
      <c r="C94" s="259"/>
      <c r="D94" s="247"/>
      <c r="E94" s="247"/>
      <c r="F94" s="247"/>
      <c r="G94" s="247"/>
      <c r="H94" s="247"/>
      <c r="I94" s="247"/>
      <c r="J94" s="247"/>
      <c r="K94" s="247"/>
      <c r="L94" s="247"/>
      <c r="M94" s="247"/>
      <c r="N94" s="247"/>
      <c r="O94" s="248"/>
      <c r="Q94" s="5"/>
      <c r="R94" s="5"/>
      <c r="S94" s="5"/>
      <c r="Y94" s="21"/>
      <c r="Z94" s="21"/>
      <c r="AA94" s="39"/>
      <c r="AB94" s="39"/>
      <c r="AC94" s="39"/>
      <c r="AD94" s="39"/>
      <c r="AE94" s="39"/>
      <c r="AF94" s="39"/>
      <c r="AG94" s="39"/>
      <c r="AH94" s="39"/>
      <c r="AI94" s="39"/>
      <c r="AJ94" s="39"/>
      <c r="AK94" s="39"/>
      <c r="AL94" s="39"/>
      <c r="AM94" s="39"/>
      <c r="AN94" s="39"/>
      <c r="AO94" s="39"/>
      <c r="AP94" s="39"/>
      <c r="AQ94" s="39"/>
      <c r="AR94" s="39"/>
    </row>
    <row r="95" spans="2:44">
      <c r="B95" s="5"/>
      <c r="C95" s="259"/>
      <c r="D95" s="247"/>
      <c r="E95" s="247"/>
      <c r="F95" s="247"/>
      <c r="G95" s="247"/>
      <c r="H95" s="247"/>
      <c r="I95" s="248"/>
      <c r="J95" s="247"/>
      <c r="K95" s="247"/>
      <c r="L95" s="247"/>
      <c r="M95" s="247"/>
      <c r="N95" s="247"/>
      <c r="O95" s="248"/>
      <c r="Q95" s="5"/>
      <c r="R95" s="5"/>
      <c r="S95" s="5"/>
    </row>
    <row r="96" spans="2:44">
      <c r="B96" s="5"/>
      <c r="C96" s="259"/>
      <c r="D96" s="247"/>
      <c r="E96" s="247"/>
      <c r="F96" s="247"/>
      <c r="G96" s="247"/>
      <c r="H96" s="247"/>
      <c r="I96" s="247"/>
      <c r="J96" s="247"/>
      <c r="K96" s="247"/>
      <c r="L96" s="247"/>
      <c r="M96" s="247"/>
      <c r="N96" s="247"/>
      <c r="O96" s="248"/>
      <c r="Q96" s="5"/>
      <c r="R96" s="5"/>
      <c r="S96" s="5"/>
    </row>
    <row r="97" spans="2:44">
      <c r="B97" s="5"/>
      <c r="C97" s="259"/>
      <c r="D97" s="248"/>
      <c r="E97" s="248"/>
      <c r="F97" s="248"/>
      <c r="G97" s="248"/>
      <c r="H97" s="248"/>
      <c r="I97" s="249"/>
      <c r="J97" s="248"/>
      <c r="K97" s="248"/>
      <c r="L97" s="248"/>
      <c r="M97" s="248"/>
      <c r="N97" s="248"/>
      <c r="O97" s="248"/>
      <c r="Q97" s="5"/>
      <c r="R97" s="5"/>
      <c r="S97" s="5"/>
    </row>
    <row r="98" spans="2:44">
      <c r="B98" s="5"/>
      <c r="C98" s="259"/>
      <c r="D98" s="247"/>
      <c r="E98" s="247"/>
      <c r="F98" s="247"/>
      <c r="G98" s="247"/>
      <c r="H98" s="247"/>
      <c r="I98" s="248"/>
      <c r="J98" s="247"/>
      <c r="K98" s="247"/>
      <c r="L98" s="247"/>
      <c r="M98" s="247"/>
      <c r="N98" s="247"/>
      <c r="O98" s="248"/>
      <c r="Q98" s="5"/>
      <c r="R98" s="5"/>
      <c r="S98" s="5"/>
    </row>
    <row r="99" spans="2:44">
      <c r="B99" s="41"/>
      <c r="C99" s="249"/>
      <c r="D99" s="249"/>
      <c r="E99" s="249"/>
      <c r="F99" s="249"/>
      <c r="G99" s="249"/>
      <c r="H99" s="249"/>
      <c r="I99" s="5"/>
      <c r="J99" s="249"/>
      <c r="K99" s="249"/>
      <c r="L99" s="249"/>
      <c r="M99" s="249"/>
      <c r="N99" s="249"/>
      <c r="O99" s="248"/>
      <c r="Q99" s="5"/>
      <c r="R99" s="5"/>
      <c r="S99" s="5"/>
    </row>
    <row r="100" spans="2:44">
      <c r="B100" s="41"/>
      <c r="C100" s="257"/>
      <c r="D100" s="248"/>
      <c r="E100" s="248"/>
      <c r="F100" s="248"/>
      <c r="G100" s="248"/>
      <c r="H100" s="248"/>
      <c r="I100" s="259"/>
      <c r="J100" s="248"/>
      <c r="K100" s="248"/>
      <c r="L100" s="248"/>
      <c r="M100" s="248"/>
      <c r="N100" s="248"/>
      <c r="O100" s="248"/>
      <c r="Q100" s="5"/>
      <c r="R100" s="5"/>
      <c r="S100" s="5"/>
    </row>
    <row r="101" spans="2:44" s="5" customFormat="1">
      <c r="B101" s="41"/>
      <c r="I101" s="259"/>
      <c r="O101" s="248"/>
      <c r="P101" s="39"/>
    </row>
    <row r="102" spans="2:44">
      <c r="B102" s="5"/>
      <c r="C102" s="259"/>
      <c r="D102" s="259"/>
      <c r="E102" s="259"/>
      <c r="F102" s="259"/>
      <c r="G102" s="259"/>
      <c r="H102" s="259"/>
      <c r="I102" s="247"/>
      <c r="J102" s="259"/>
      <c r="K102" s="259"/>
      <c r="L102" s="259"/>
      <c r="M102" s="259"/>
      <c r="N102" s="259"/>
      <c r="O102" s="5"/>
      <c r="Q102" s="5"/>
      <c r="R102" s="5"/>
      <c r="S102" s="5"/>
    </row>
    <row r="103" spans="2:44">
      <c r="B103" s="5"/>
      <c r="C103" s="259"/>
      <c r="D103" s="259"/>
      <c r="E103" s="259"/>
      <c r="F103" s="259"/>
      <c r="G103" s="259"/>
      <c r="H103" s="259"/>
      <c r="I103" s="5"/>
      <c r="J103" s="259"/>
      <c r="K103" s="259"/>
      <c r="L103" s="259"/>
      <c r="M103" s="259"/>
      <c r="N103" s="259"/>
      <c r="O103" s="5"/>
      <c r="P103" s="5"/>
      <c r="Q103" s="5"/>
      <c r="R103" s="5"/>
      <c r="S103" s="5"/>
    </row>
    <row r="104" spans="2:44">
      <c r="B104" s="5"/>
      <c r="C104" s="247"/>
      <c r="D104" s="247"/>
      <c r="E104" s="247"/>
      <c r="F104" s="247"/>
      <c r="G104" s="247"/>
      <c r="H104" s="247"/>
      <c r="I104" s="247"/>
      <c r="J104" s="247"/>
      <c r="K104" s="247"/>
      <c r="L104" s="247"/>
      <c r="M104" s="247"/>
      <c r="N104" s="247"/>
      <c r="O104" s="5"/>
      <c r="Q104" s="5"/>
      <c r="R104" s="5"/>
      <c r="S104" s="5"/>
    </row>
    <row r="105" spans="2:44" s="5" customFormat="1">
      <c r="P105" s="39"/>
    </row>
    <row r="106" spans="2:44" s="5" customFormat="1">
      <c r="C106" s="259"/>
      <c r="D106" s="247"/>
      <c r="E106" s="247"/>
      <c r="F106" s="247"/>
      <c r="G106" s="247"/>
      <c r="H106" s="247"/>
      <c r="I106" s="259"/>
      <c r="J106" s="247"/>
      <c r="K106" s="247"/>
      <c r="L106" s="247"/>
      <c r="M106" s="247"/>
      <c r="N106" s="247"/>
      <c r="P106" s="39"/>
    </row>
    <row r="107" spans="2:44">
      <c r="B107" s="5"/>
      <c r="C107" s="259"/>
      <c r="D107" s="5"/>
      <c r="E107" s="5"/>
      <c r="F107" s="5"/>
      <c r="G107" s="5"/>
      <c r="H107" s="5"/>
      <c r="I107" s="247"/>
      <c r="J107" s="5"/>
      <c r="K107" s="5"/>
      <c r="L107" s="5"/>
      <c r="M107" s="5"/>
      <c r="N107" s="5"/>
      <c r="O107" s="5"/>
      <c r="P107" s="5"/>
      <c r="Q107" s="5"/>
      <c r="R107" s="5"/>
      <c r="S107" s="5"/>
    </row>
    <row r="108" spans="2:44">
      <c r="B108" s="5"/>
      <c r="C108" s="259"/>
      <c r="D108" s="259"/>
      <c r="E108" s="259"/>
      <c r="F108" s="259"/>
      <c r="G108" s="259"/>
      <c r="H108" s="259"/>
      <c r="I108" s="249"/>
      <c r="J108" s="259"/>
      <c r="K108" s="259"/>
      <c r="L108" s="259"/>
      <c r="M108" s="259"/>
      <c r="N108" s="259"/>
      <c r="O108" s="5"/>
      <c r="P108" s="5"/>
      <c r="Q108" s="5"/>
      <c r="R108" s="5"/>
      <c r="S108" s="5"/>
    </row>
    <row r="109" spans="2:44">
      <c r="B109" s="5"/>
      <c r="C109" s="247"/>
      <c r="D109" s="247"/>
      <c r="E109" s="247"/>
      <c r="F109" s="247"/>
      <c r="G109" s="247"/>
      <c r="H109" s="247"/>
      <c r="I109" s="249"/>
      <c r="J109" s="247"/>
      <c r="K109" s="247"/>
      <c r="L109" s="247"/>
      <c r="M109" s="247"/>
      <c r="N109" s="247"/>
      <c r="O109" s="5"/>
      <c r="Q109" s="5"/>
      <c r="R109" s="5"/>
      <c r="S109" s="5"/>
    </row>
    <row r="110" spans="2:44">
      <c r="B110" s="41"/>
      <c r="C110" s="249"/>
      <c r="D110" s="249"/>
      <c r="E110" s="249"/>
      <c r="F110" s="249"/>
      <c r="G110" s="249"/>
      <c r="H110" s="249"/>
      <c r="I110" s="247"/>
      <c r="J110" s="249"/>
      <c r="K110" s="249"/>
      <c r="L110" s="249"/>
      <c r="M110" s="249"/>
      <c r="N110" s="249"/>
      <c r="O110" s="5"/>
      <c r="Q110" s="5"/>
      <c r="R110" s="5"/>
      <c r="S110" s="5"/>
    </row>
    <row r="111" spans="2:44">
      <c r="B111" s="5"/>
      <c r="C111" s="249"/>
      <c r="D111" s="249"/>
      <c r="E111" s="249"/>
      <c r="F111" s="249"/>
      <c r="G111" s="249"/>
      <c r="H111" s="249"/>
      <c r="I111" s="5"/>
      <c r="J111" s="249"/>
      <c r="K111" s="249"/>
      <c r="L111" s="249"/>
      <c r="M111" s="249"/>
      <c r="N111" s="249"/>
      <c r="O111" s="5"/>
      <c r="Q111" s="5"/>
      <c r="R111" s="5"/>
      <c r="S111" s="5"/>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2:44">
      <c r="B112" s="5"/>
      <c r="C112" s="247"/>
      <c r="D112" s="247"/>
      <c r="E112" s="247"/>
      <c r="F112" s="247"/>
      <c r="G112" s="247"/>
      <c r="H112" s="247"/>
      <c r="I112" s="5"/>
      <c r="J112" s="247"/>
      <c r="K112" s="247"/>
      <c r="L112" s="247"/>
      <c r="M112" s="247"/>
      <c r="N112" s="247"/>
      <c r="O112" s="5"/>
      <c r="Q112" s="5"/>
      <c r="R112" s="5"/>
      <c r="S112" s="5"/>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2:44">
      <c r="B113" s="5"/>
      <c r="C113" s="5"/>
      <c r="D113" s="5"/>
      <c r="E113" s="5"/>
      <c r="F113" s="5"/>
      <c r="G113" s="5"/>
      <c r="H113" s="5"/>
      <c r="I113" s="5"/>
      <c r="J113" s="5"/>
      <c r="K113" s="5"/>
      <c r="L113" s="5"/>
      <c r="M113" s="5"/>
      <c r="N113" s="5"/>
      <c r="O113" s="5"/>
      <c r="Q113" s="5"/>
      <c r="R113" s="5"/>
      <c r="S113" s="5"/>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2:44">
      <c r="B114" s="5"/>
      <c r="C114" s="5"/>
      <c r="D114" s="5"/>
      <c r="E114" s="5"/>
      <c r="F114" s="5"/>
      <c r="G114" s="5"/>
      <c r="H114" s="5"/>
      <c r="I114" s="5"/>
      <c r="J114" s="5"/>
      <c r="K114" s="5"/>
      <c r="L114" s="5"/>
      <c r="M114" s="5"/>
      <c r="N114" s="5"/>
      <c r="O114" s="5"/>
      <c r="Q114" s="5"/>
      <c r="R114" s="5"/>
      <c r="S114" s="5"/>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2:44">
      <c r="B115" s="5"/>
      <c r="C115" s="5"/>
      <c r="D115" s="5"/>
      <c r="E115" s="5"/>
      <c r="F115" s="5"/>
      <c r="G115" s="5"/>
      <c r="H115" s="5"/>
      <c r="I115" s="49"/>
      <c r="J115" s="5"/>
      <c r="K115" s="5"/>
      <c r="L115" s="5"/>
      <c r="M115" s="5"/>
      <c r="N115" s="5"/>
      <c r="O115" s="5"/>
      <c r="Q115" s="41"/>
      <c r="R115" s="5"/>
      <c r="S115" s="5"/>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2:44">
      <c r="B116" s="5"/>
      <c r="C116" s="5"/>
      <c r="D116" s="5"/>
      <c r="E116" s="5"/>
      <c r="F116" s="5"/>
      <c r="G116" s="5"/>
      <c r="H116" s="5"/>
      <c r="I116" s="5"/>
      <c r="J116" s="5"/>
      <c r="K116" s="5"/>
      <c r="L116" s="5"/>
      <c r="M116" s="5"/>
      <c r="N116" s="5"/>
      <c r="O116" s="5"/>
      <c r="Q116" s="5"/>
      <c r="R116" s="5"/>
      <c r="S116" s="5"/>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2:44">
      <c r="B117" s="41"/>
      <c r="C117" s="49"/>
      <c r="D117" s="49"/>
      <c r="E117" s="49"/>
      <c r="F117" s="49"/>
      <c r="G117" s="49"/>
      <c r="H117" s="49"/>
      <c r="I117" s="254"/>
      <c r="J117" s="49"/>
      <c r="K117" s="49"/>
      <c r="L117" s="49"/>
      <c r="M117" s="49"/>
      <c r="N117" s="49"/>
      <c r="O117" s="49"/>
      <c r="Q117" s="5"/>
      <c r="R117" s="5"/>
      <c r="S117" s="5"/>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2:44">
      <c r="B118" s="5"/>
      <c r="C118" s="5"/>
      <c r="D118" s="5"/>
      <c r="E118" s="5"/>
      <c r="F118" s="5"/>
      <c r="G118" s="5"/>
      <c r="H118" s="5"/>
      <c r="I118" s="249"/>
      <c r="J118" s="5"/>
      <c r="K118" s="5"/>
      <c r="L118" s="5"/>
      <c r="M118" s="5"/>
      <c r="N118" s="5"/>
      <c r="O118" s="5"/>
      <c r="Q118" s="5"/>
      <c r="R118" s="5"/>
      <c r="S118" s="5"/>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2:44">
      <c r="B119" s="41"/>
      <c r="C119" s="254"/>
      <c r="D119" s="254"/>
      <c r="E119" s="254"/>
      <c r="F119" s="254"/>
      <c r="G119" s="254"/>
      <c r="H119" s="254"/>
      <c r="I119" s="254"/>
      <c r="J119" s="254"/>
      <c r="K119" s="254"/>
      <c r="L119" s="254"/>
      <c r="M119" s="254"/>
      <c r="N119" s="254"/>
      <c r="O119" s="248"/>
      <c r="Q119" s="5"/>
      <c r="R119" s="5"/>
      <c r="S119" s="5"/>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2:44">
      <c r="B120" s="41"/>
      <c r="C120" s="254"/>
      <c r="D120" s="249"/>
      <c r="E120" s="249"/>
      <c r="F120" s="249"/>
      <c r="G120" s="249"/>
      <c r="H120" s="249"/>
      <c r="I120" s="254"/>
      <c r="J120" s="249"/>
      <c r="K120" s="249"/>
      <c r="L120" s="249"/>
      <c r="M120" s="249"/>
      <c r="N120" s="249"/>
      <c r="O120" s="248"/>
      <c r="Q120" s="5"/>
      <c r="R120" s="5"/>
      <c r="S120" s="5"/>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2:44">
      <c r="B121" s="41"/>
      <c r="C121" s="254"/>
      <c r="D121" s="254"/>
      <c r="E121" s="254"/>
      <c r="F121" s="254"/>
      <c r="G121" s="254"/>
      <c r="H121" s="254"/>
      <c r="I121" s="254"/>
      <c r="J121" s="254"/>
      <c r="K121" s="254"/>
      <c r="L121" s="254"/>
      <c r="M121" s="254"/>
      <c r="N121" s="254"/>
      <c r="O121" s="248"/>
      <c r="Q121" s="5"/>
      <c r="R121" s="5"/>
      <c r="S121" s="5"/>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2:44">
      <c r="B122" s="41"/>
      <c r="C122" s="254"/>
      <c r="D122" s="254"/>
      <c r="E122" s="254"/>
      <c r="F122" s="254"/>
      <c r="G122" s="254"/>
      <c r="H122" s="254"/>
      <c r="I122" s="254"/>
      <c r="J122" s="254"/>
      <c r="K122" s="254"/>
      <c r="L122" s="254"/>
      <c r="M122" s="254"/>
      <c r="N122" s="254"/>
      <c r="O122" s="248"/>
      <c r="Q122" s="5"/>
      <c r="R122" s="5"/>
      <c r="S122" s="5"/>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2:44">
      <c r="B123" s="41"/>
      <c r="C123" s="254"/>
      <c r="D123" s="254"/>
      <c r="E123" s="254"/>
      <c r="F123" s="254"/>
      <c r="G123" s="254"/>
      <c r="H123" s="254"/>
      <c r="I123" s="254"/>
      <c r="J123" s="254"/>
      <c r="K123" s="254"/>
      <c r="L123" s="254"/>
      <c r="M123" s="254"/>
      <c r="N123" s="254"/>
      <c r="O123" s="248"/>
      <c r="Q123" s="5"/>
      <c r="R123" s="5"/>
      <c r="S123" s="5"/>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2:44">
      <c r="B124" s="41"/>
      <c r="C124" s="254"/>
      <c r="D124" s="254"/>
      <c r="E124" s="254"/>
      <c r="F124" s="254"/>
      <c r="G124" s="254"/>
      <c r="H124" s="254"/>
      <c r="I124" s="254"/>
      <c r="J124" s="254"/>
      <c r="K124" s="254"/>
      <c r="L124" s="254"/>
      <c r="M124" s="254"/>
      <c r="N124" s="254"/>
      <c r="O124" s="248"/>
      <c r="Q124" s="5"/>
      <c r="R124" s="5"/>
      <c r="S124" s="5"/>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2:44">
      <c r="B125" s="41"/>
      <c r="C125" s="254"/>
      <c r="D125" s="254"/>
      <c r="E125" s="254"/>
      <c r="F125" s="254"/>
      <c r="G125" s="254"/>
      <c r="H125" s="254"/>
      <c r="I125" s="254"/>
      <c r="J125" s="254"/>
      <c r="K125" s="254"/>
      <c r="L125" s="254"/>
      <c r="M125" s="254"/>
      <c r="N125" s="254"/>
      <c r="O125" s="5"/>
      <c r="Q125" s="5"/>
      <c r="R125" s="5"/>
      <c r="S125" s="5"/>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2:44">
      <c r="B126" s="41"/>
      <c r="C126" s="254"/>
      <c r="D126" s="254"/>
      <c r="E126" s="254"/>
      <c r="F126" s="254"/>
      <c r="G126" s="254"/>
      <c r="H126" s="254"/>
      <c r="I126" s="254"/>
      <c r="J126" s="254"/>
      <c r="K126" s="254"/>
      <c r="L126" s="254"/>
      <c r="M126" s="254"/>
      <c r="N126" s="254"/>
      <c r="O126" s="5"/>
      <c r="Q126" s="5"/>
      <c r="R126" s="5"/>
      <c r="S126" s="5"/>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2:44">
      <c r="B127" s="41"/>
      <c r="C127" s="254"/>
      <c r="D127" s="254"/>
      <c r="E127" s="254"/>
      <c r="F127" s="254"/>
      <c r="G127" s="254"/>
      <c r="H127" s="254"/>
      <c r="I127" s="18"/>
      <c r="J127" s="254"/>
      <c r="K127" s="254"/>
      <c r="L127" s="254"/>
      <c r="M127" s="254"/>
      <c r="N127" s="254"/>
      <c r="O127" s="5"/>
      <c r="Q127" s="5"/>
      <c r="R127" s="5"/>
      <c r="S127" s="5"/>
      <c r="AB127" s="39"/>
      <c r="AC127" s="39"/>
      <c r="AD127" s="39"/>
      <c r="AE127" s="39"/>
      <c r="AF127" s="39"/>
      <c r="AG127" s="39"/>
      <c r="AH127" s="39"/>
      <c r="AI127" s="39"/>
      <c r="AJ127" s="39"/>
      <c r="AK127" s="39"/>
      <c r="AL127" s="39"/>
      <c r="AM127" s="39"/>
      <c r="AN127" s="39"/>
      <c r="AO127" s="39"/>
      <c r="AP127" s="39"/>
      <c r="AQ127" s="39"/>
      <c r="AR127" s="39"/>
    </row>
    <row r="128" spans="2:44">
      <c r="B128" s="41"/>
      <c r="C128" s="254"/>
      <c r="D128" s="254"/>
      <c r="E128" s="254"/>
      <c r="F128" s="254"/>
      <c r="G128" s="254"/>
      <c r="H128" s="254"/>
      <c r="I128" s="5"/>
      <c r="J128" s="254"/>
      <c r="K128" s="254"/>
      <c r="L128" s="254"/>
      <c r="M128" s="254"/>
      <c r="N128" s="254"/>
      <c r="O128" s="5"/>
      <c r="Q128" s="5"/>
      <c r="R128" s="5"/>
      <c r="S128" s="5"/>
      <c r="AB128" s="39"/>
      <c r="AC128" s="39"/>
      <c r="AD128" s="39"/>
      <c r="AE128" s="39"/>
      <c r="AF128" s="39"/>
      <c r="AG128" s="39"/>
      <c r="AH128" s="39"/>
      <c r="AI128" s="39"/>
      <c r="AJ128" s="39"/>
      <c r="AK128" s="39"/>
      <c r="AL128" s="39"/>
      <c r="AM128" s="39"/>
      <c r="AN128" s="39"/>
      <c r="AO128" s="39"/>
      <c r="AP128" s="39"/>
      <c r="AQ128" s="39"/>
      <c r="AR128" s="39"/>
    </row>
    <row r="129" spans="2:44">
      <c r="B129" s="5"/>
      <c r="C129" s="5"/>
      <c r="D129" s="18"/>
      <c r="E129" s="18"/>
      <c r="F129" s="18"/>
      <c r="G129" s="18"/>
      <c r="H129" s="18"/>
      <c r="I129" s="254"/>
      <c r="J129" s="18"/>
      <c r="K129" s="18"/>
      <c r="L129" s="18"/>
      <c r="M129" s="18"/>
      <c r="N129" s="18"/>
      <c r="O129" s="5"/>
      <c r="Q129" s="5"/>
      <c r="R129" s="5"/>
      <c r="S129" s="5"/>
      <c r="AB129" s="39"/>
      <c r="AC129" s="39"/>
      <c r="AD129" s="39"/>
      <c r="AE129" s="39"/>
      <c r="AF129" s="39"/>
      <c r="AG129" s="39"/>
      <c r="AH129" s="39"/>
      <c r="AI129" s="39"/>
      <c r="AJ129" s="39"/>
      <c r="AK129" s="39"/>
      <c r="AL129" s="39"/>
      <c r="AM129" s="39"/>
      <c r="AN129" s="39"/>
      <c r="AO129" s="39"/>
      <c r="AP129" s="39"/>
      <c r="AQ129" s="39"/>
      <c r="AR129" s="39"/>
    </row>
    <row r="130" spans="2:44">
      <c r="B130" s="5"/>
      <c r="C130" s="5"/>
      <c r="D130" s="5"/>
      <c r="E130" s="5"/>
      <c r="F130" s="5"/>
      <c r="G130" s="5"/>
      <c r="H130" s="5"/>
      <c r="I130" s="18"/>
      <c r="J130" s="5"/>
      <c r="K130" s="5"/>
      <c r="L130" s="5"/>
      <c r="M130" s="5"/>
      <c r="N130" s="5"/>
      <c r="O130" s="5"/>
      <c r="Q130" s="5"/>
      <c r="R130" s="5"/>
      <c r="S130" s="5"/>
      <c r="AB130" s="39"/>
      <c r="AC130" s="39"/>
      <c r="AD130" s="39"/>
      <c r="AE130" s="39"/>
      <c r="AF130" s="39"/>
      <c r="AG130" s="39"/>
      <c r="AH130" s="39"/>
      <c r="AI130" s="39"/>
      <c r="AJ130" s="39"/>
      <c r="AK130" s="39"/>
      <c r="AL130" s="39"/>
      <c r="AM130" s="39"/>
      <c r="AN130" s="39"/>
      <c r="AO130" s="39"/>
      <c r="AP130" s="39"/>
      <c r="AQ130" s="39"/>
      <c r="AR130" s="39"/>
    </row>
    <row r="131" spans="2:44">
      <c r="B131" s="41"/>
      <c r="C131" s="254"/>
      <c r="D131" s="254"/>
      <c r="E131" s="254"/>
      <c r="F131" s="254"/>
      <c r="G131" s="254"/>
      <c r="H131" s="254"/>
      <c r="I131" s="5"/>
      <c r="J131" s="254"/>
      <c r="K131" s="254"/>
      <c r="L131" s="254"/>
      <c r="M131" s="254"/>
      <c r="N131" s="254"/>
      <c r="O131" s="5"/>
      <c r="Q131" s="5"/>
      <c r="R131" s="5"/>
      <c r="S131" s="5"/>
      <c r="AB131" s="39"/>
      <c r="AC131" s="39"/>
      <c r="AD131" s="39"/>
      <c r="AE131" s="39"/>
      <c r="AF131" s="39"/>
      <c r="AG131" s="39"/>
      <c r="AH131" s="39"/>
      <c r="AI131" s="39"/>
      <c r="AJ131" s="39"/>
      <c r="AK131" s="39"/>
      <c r="AL131" s="39"/>
      <c r="AM131" s="39"/>
      <c r="AN131" s="39"/>
      <c r="AO131" s="39"/>
      <c r="AP131" s="39"/>
      <c r="AQ131" s="39"/>
      <c r="AR131" s="39"/>
    </row>
    <row r="132" spans="2:44">
      <c r="B132" s="5"/>
      <c r="C132" s="259"/>
      <c r="D132" s="18"/>
      <c r="E132" s="18"/>
      <c r="F132" s="18"/>
      <c r="G132" s="18"/>
      <c r="H132" s="18"/>
      <c r="I132" s="5"/>
      <c r="J132" s="18"/>
      <c r="K132" s="18"/>
      <c r="L132" s="18"/>
      <c r="M132" s="18"/>
      <c r="N132" s="18"/>
      <c r="O132" s="5"/>
      <c r="Q132" s="5"/>
      <c r="R132" s="5"/>
      <c r="S132" s="5"/>
      <c r="AB132" s="39"/>
      <c r="AC132" s="39"/>
      <c r="AD132" s="39"/>
      <c r="AE132" s="39"/>
      <c r="AF132" s="39"/>
      <c r="AG132" s="39"/>
      <c r="AH132" s="39"/>
      <c r="AI132" s="39"/>
      <c r="AJ132" s="39"/>
      <c r="AK132" s="39"/>
      <c r="AL132" s="39"/>
      <c r="AM132" s="39"/>
      <c r="AN132" s="39"/>
      <c r="AO132" s="39"/>
      <c r="AP132" s="39"/>
      <c r="AQ132" s="39"/>
      <c r="AR132" s="39"/>
    </row>
    <row r="133" spans="2:44">
      <c r="B133" s="5"/>
      <c r="C133" s="5"/>
      <c r="D133" s="5"/>
      <c r="E133" s="5"/>
      <c r="F133" s="5"/>
      <c r="G133" s="5"/>
      <c r="H133" s="5"/>
      <c r="I133" s="17"/>
      <c r="J133" s="5"/>
      <c r="K133" s="5"/>
      <c r="L133" s="5"/>
      <c r="M133" s="5"/>
      <c r="N133" s="5"/>
      <c r="O133" s="5"/>
      <c r="Q133" s="5"/>
      <c r="R133" s="5"/>
      <c r="S133" s="5"/>
      <c r="AB133" s="39"/>
      <c r="AC133" s="39"/>
      <c r="AD133" s="39"/>
      <c r="AE133" s="39"/>
      <c r="AF133" s="39"/>
      <c r="AG133" s="39"/>
      <c r="AH133" s="39"/>
      <c r="AI133" s="39"/>
      <c r="AJ133" s="39"/>
      <c r="AK133" s="39"/>
      <c r="AL133" s="39"/>
      <c r="AM133" s="39"/>
      <c r="AN133" s="39"/>
      <c r="AO133" s="39"/>
      <c r="AP133" s="39"/>
      <c r="AQ133" s="39"/>
      <c r="AR133" s="39"/>
    </row>
    <row r="134" spans="2:44">
      <c r="B134" s="41"/>
      <c r="C134" s="5"/>
      <c r="D134" s="5"/>
      <c r="E134" s="5"/>
      <c r="F134" s="5"/>
      <c r="G134" s="5"/>
      <c r="H134" s="5"/>
      <c r="I134" s="17"/>
      <c r="J134" s="5"/>
      <c r="K134" s="5"/>
      <c r="L134" s="5"/>
      <c r="M134" s="5"/>
      <c r="N134" s="5"/>
      <c r="O134" s="5"/>
      <c r="Q134" s="5"/>
      <c r="R134" s="5"/>
      <c r="S134" s="5"/>
      <c r="AB134" s="39"/>
      <c r="AC134" s="39"/>
      <c r="AD134" s="39"/>
      <c r="AE134" s="39"/>
      <c r="AF134" s="39"/>
      <c r="AG134" s="39"/>
      <c r="AH134" s="39"/>
      <c r="AI134" s="39"/>
      <c r="AJ134" s="39"/>
      <c r="AK134" s="39"/>
      <c r="AL134" s="39"/>
      <c r="AM134" s="39"/>
      <c r="AN134" s="39"/>
      <c r="AO134" s="39"/>
      <c r="AP134" s="39"/>
      <c r="AQ134" s="39"/>
      <c r="AR134" s="39"/>
    </row>
    <row r="135" spans="2:44">
      <c r="B135" s="5"/>
      <c r="C135" s="17"/>
      <c r="D135" s="17"/>
      <c r="E135" s="17"/>
      <c r="F135" s="17"/>
      <c r="G135" s="17"/>
      <c r="H135" s="17"/>
      <c r="I135" s="17"/>
      <c r="J135" s="17"/>
      <c r="K135" s="17"/>
      <c r="L135" s="17"/>
      <c r="M135" s="17"/>
      <c r="N135" s="17"/>
      <c r="O135" s="5"/>
      <c r="Q135" s="41"/>
      <c r="R135" s="5"/>
      <c r="S135" s="5"/>
      <c r="AB135" s="39"/>
      <c r="AC135" s="39"/>
      <c r="AD135" s="39"/>
      <c r="AE135" s="39"/>
      <c r="AF135" s="39"/>
      <c r="AG135" s="39"/>
      <c r="AH135" s="39"/>
      <c r="AI135" s="39"/>
      <c r="AJ135" s="39"/>
      <c r="AK135" s="39"/>
      <c r="AL135" s="39"/>
      <c r="AM135" s="39"/>
      <c r="AN135" s="39"/>
      <c r="AO135" s="39"/>
      <c r="AP135" s="39"/>
      <c r="AQ135" s="39"/>
      <c r="AR135" s="39"/>
    </row>
    <row r="136" spans="2:44">
      <c r="B136" s="5"/>
      <c r="C136" s="17"/>
      <c r="D136" s="17"/>
      <c r="E136" s="17"/>
      <c r="F136" s="17"/>
      <c r="G136" s="17"/>
      <c r="H136" s="17"/>
      <c r="I136" s="17"/>
      <c r="J136" s="17"/>
      <c r="K136" s="17"/>
      <c r="L136" s="17"/>
      <c r="M136" s="17"/>
      <c r="N136" s="17"/>
      <c r="O136" s="5"/>
      <c r="Q136" s="5"/>
      <c r="R136" s="5"/>
      <c r="S136" s="5"/>
      <c r="X136" s="304"/>
      <c r="AB136" s="39"/>
      <c r="AC136" s="39"/>
      <c r="AD136" s="39"/>
      <c r="AE136" s="39"/>
      <c r="AF136" s="39"/>
      <c r="AG136" s="39"/>
      <c r="AH136" s="39"/>
      <c r="AI136" s="39"/>
      <c r="AJ136" s="39"/>
      <c r="AK136" s="39"/>
      <c r="AL136" s="39"/>
      <c r="AM136" s="39"/>
      <c r="AN136" s="39"/>
      <c r="AO136" s="39"/>
      <c r="AP136" s="39"/>
      <c r="AQ136" s="39"/>
      <c r="AR136" s="39"/>
    </row>
    <row r="137" spans="2:44">
      <c r="B137" s="5"/>
      <c r="C137" s="5"/>
      <c r="D137" s="17"/>
      <c r="E137" s="17"/>
      <c r="F137" s="17"/>
      <c r="G137" s="17"/>
      <c r="H137" s="17"/>
      <c r="I137" s="17"/>
      <c r="J137" s="17"/>
      <c r="K137" s="17"/>
      <c r="L137" s="17"/>
      <c r="M137" s="17"/>
      <c r="N137" s="17"/>
      <c r="O137" s="5"/>
      <c r="Q137" s="5"/>
      <c r="R137" s="5"/>
      <c r="S137" s="5"/>
      <c r="X137" s="10"/>
      <c r="Y137" s="304"/>
      <c r="Z137" s="304"/>
      <c r="AA137" s="304"/>
      <c r="AB137" s="39"/>
      <c r="AC137" s="39"/>
      <c r="AD137" s="39"/>
      <c r="AE137" s="39"/>
      <c r="AF137" s="39"/>
      <c r="AG137" s="39"/>
      <c r="AH137" s="39"/>
      <c r="AI137" s="39"/>
      <c r="AJ137" s="39"/>
      <c r="AK137" s="39"/>
      <c r="AL137" s="39"/>
      <c r="AM137" s="39"/>
      <c r="AN137" s="39"/>
      <c r="AO137" s="39"/>
      <c r="AP137" s="39"/>
      <c r="AQ137" s="39"/>
      <c r="AR137" s="39"/>
    </row>
    <row r="138" spans="2:44">
      <c r="B138" s="5"/>
      <c r="C138" s="5"/>
      <c r="D138" s="17"/>
      <c r="E138" s="17"/>
      <c r="F138" s="17"/>
      <c r="G138" s="17"/>
      <c r="H138" s="17"/>
      <c r="I138" s="17"/>
      <c r="J138" s="17"/>
      <c r="K138" s="17"/>
      <c r="L138" s="17"/>
      <c r="M138" s="17"/>
      <c r="N138" s="17"/>
      <c r="O138" s="5"/>
      <c r="Q138" s="5"/>
      <c r="R138" s="5"/>
      <c r="S138" s="5"/>
      <c r="Y138" s="10"/>
      <c r="Z138" s="10"/>
      <c r="AA138" s="10"/>
      <c r="AB138" s="39"/>
      <c r="AC138" s="39"/>
      <c r="AD138" s="39"/>
      <c r="AE138" s="39"/>
      <c r="AF138" s="39"/>
      <c r="AG138" s="39"/>
      <c r="AH138" s="39"/>
      <c r="AI138" s="39"/>
      <c r="AJ138" s="39"/>
      <c r="AK138" s="39"/>
      <c r="AL138" s="39"/>
      <c r="AM138" s="39"/>
      <c r="AN138" s="39"/>
      <c r="AO138" s="39"/>
      <c r="AP138" s="39"/>
      <c r="AQ138" s="39"/>
      <c r="AR138" s="39"/>
    </row>
    <row r="139" spans="2:44">
      <c r="B139" s="5"/>
      <c r="C139" s="5"/>
      <c r="D139" s="17"/>
      <c r="E139" s="17"/>
      <c r="F139" s="17"/>
      <c r="G139" s="17"/>
      <c r="H139" s="17"/>
      <c r="I139" s="5"/>
      <c r="J139" s="17"/>
      <c r="K139" s="17"/>
      <c r="L139" s="17"/>
      <c r="M139" s="17"/>
      <c r="N139" s="17"/>
      <c r="O139" s="5"/>
      <c r="Q139" s="5"/>
      <c r="R139" s="5"/>
      <c r="S139" s="5"/>
      <c r="AB139" s="39"/>
      <c r="AC139" s="39"/>
      <c r="AD139" s="39"/>
      <c r="AE139" s="39"/>
      <c r="AF139" s="39"/>
      <c r="AG139" s="39"/>
      <c r="AH139" s="39"/>
      <c r="AI139" s="39"/>
      <c r="AJ139" s="39"/>
      <c r="AK139" s="39"/>
      <c r="AL139" s="39"/>
      <c r="AM139" s="39"/>
      <c r="AN139" s="39"/>
      <c r="AO139" s="39"/>
      <c r="AP139" s="39"/>
      <c r="AQ139" s="39"/>
      <c r="AR139" s="39"/>
    </row>
    <row r="140" spans="2:44">
      <c r="B140" s="5"/>
      <c r="C140" s="17"/>
      <c r="D140" s="17"/>
      <c r="E140" s="17"/>
      <c r="F140" s="17"/>
      <c r="G140" s="17"/>
      <c r="H140" s="17"/>
      <c r="I140" s="5"/>
      <c r="J140" s="17"/>
      <c r="K140" s="17"/>
      <c r="L140" s="17"/>
      <c r="M140" s="17"/>
      <c r="N140" s="17"/>
      <c r="O140" s="5"/>
      <c r="Q140" s="5"/>
      <c r="R140" s="5"/>
      <c r="S140" s="5"/>
      <c r="AB140" s="39"/>
      <c r="AC140" s="39"/>
      <c r="AD140" s="39"/>
      <c r="AE140" s="39"/>
      <c r="AF140" s="39"/>
      <c r="AG140" s="39"/>
      <c r="AH140" s="39"/>
      <c r="AI140" s="39"/>
      <c r="AJ140" s="39"/>
      <c r="AK140" s="39"/>
      <c r="AL140" s="39"/>
      <c r="AM140" s="39"/>
      <c r="AN140" s="39"/>
      <c r="AO140" s="39"/>
      <c r="AP140" s="39"/>
      <c r="AQ140" s="39"/>
      <c r="AR140" s="39"/>
    </row>
    <row r="141" spans="2:44">
      <c r="B141" s="5"/>
      <c r="C141" s="5"/>
      <c r="D141" s="5"/>
      <c r="E141" s="5"/>
      <c r="F141" s="5"/>
      <c r="G141" s="5"/>
      <c r="H141" s="5"/>
      <c r="I141" s="5"/>
      <c r="J141" s="5"/>
      <c r="K141" s="5"/>
      <c r="L141" s="5"/>
      <c r="M141" s="5"/>
      <c r="N141" s="5"/>
      <c r="O141" s="5"/>
      <c r="Q141" s="5"/>
      <c r="R141" s="5"/>
      <c r="S141" s="5"/>
      <c r="AB141" s="39"/>
      <c r="AC141" s="39"/>
      <c r="AD141" s="39"/>
      <c r="AE141" s="39"/>
      <c r="AF141" s="39"/>
      <c r="AG141" s="39"/>
      <c r="AH141" s="39"/>
      <c r="AI141" s="39"/>
      <c r="AJ141" s="39"/>
      <c r="AK141" s="39"/>
      <c r="AL141" s="39"/>
      <c r="AM141" s="39"/>
      <c r="AN141" s="39"/>
      <c r="AO141" s="39"/>
      <c r="AP141" s="39"/>
      <c r="AQ141" s="39"/>
      <c r="AR141" s="39"/>
    </row>
    <row r="142" spans="2:44">
      <c r="B142" s="5"/>
      <c r="C142" s="5"/>
      <c r="D142" s="5"/>
      <c r="E142" s="5"/>
      <c r="F142" s="5"/>
      <c r="G142" s="5"/>
      <c r="H142" s="5"/>
      <c r="I142" s="5"/>
      <c r="J142" s="5"/>
      <c r="K142" s="5"/>
      <c r="L142" s="5"/>
      <c r="M142" s="5"/>
      <c r="N142" s="5"/>
      <c r="O142" s="5"/>
      <c r="Q142" s="5"/>
      <c r="R142" s="5"/>
      <c r="S142" s="5"/>
      <c r="AB142" s="39"/>
      <c r="AC142" s="39"/>
      <c r="AD142" s="39"/>
      <c r="AE142" s="39"/>
      <c r="AF142" s="39"/>
      <c r="AG142" s="39"/>
      <c r="AH142" s="39"/>
      <c r="AI142" s="39"/>
      <c r="AJ142" s="39"/>
      <c r="AK142" s="39"/>
      <c r="AL142" s="39"/>
      <c r="AM142" s="39"/>
      <c r="AN142" s="39"/>
      <c r="AO142" s="39"/>
      <c r="AP142" s="39"/>
      <c r="AQ142" s="39"/>
      <c r="AR142" s="39"/>
    </row>
    <row r="143" spans="2:44">
      <c r="B143" s="5"/>
      <c r="C143" s="5"/>
      <c r="D143" s="5"/>
      <c r="E143" s="5"/>
      <c r="F143" s="5"/>
      <c r="G143" s="5"/>
      <c r="H143" s="5"/>
      <c r="I143" s="5"/>
      <c r="J143" s="5"/>
      <c r="K143" s="5"/>
      <c r="L143" s="5"/>
      <c r="M143" s="5"/>
      <c r="N143" s="5"/>
      <c r="O143" s="5"/>
      <c r="Q143" s="5"/>
      <c r="R143" s="5"/>
      <c r="S143" s="5"/>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2:44">
      <c r="B144" s="5"/>
      <c r="C144" s="5"/>
      <c r="D144" s="5"/>
      <c r="E144" s="5"/>
      <c r="F144" s="5"/>
      <c r="G144" s="5"/>
      <c r="H144" s="5"/>
      <c r="I144" s="5"/>
      <c r="J144" s="5"/>
      <c r="K144" s="5"/>
      <c r="L144" s="5"/>
      <c r="M144" s="5"/>
      <c r="N144" s="5"/>
      <c r="O144" s="5"/>
      <c r="Q144" s="5"/>
      <c r="R144" s="5"/>
      <c r="S144" s="5"/>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2:44">
      <c r="B145" s="5"/>
      <c r="C145" s="5"/>
      <c r="D145" s="5"/>
      <c r="E145" s="5"/>
      <c r="F145" s="5"/>
      <c r="G145" s="5"/>
      <c r="H145" s="5"/>
      <c r="I145" s="5"/>
      <c r="J145" s="5"/>
      <c r="K145" s="5"/>
      <c r="L145" s="5"/>
      <c r="M145" s="5"/>
      <c r="N145" s="5"/>
      <c r="O145" s="5"/>
      <c r="Q145" s="5"/>
      <c r="R145" s="5"/>
      <c r="S145" s="5"/>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2:44">
      <c r="B146" s="5"/>
      <c r="C146" s="5"/>
      <c r="D146" s="5"/>
      <c r="E146" s="5"/>
      <c r="F146" s="5"/>
      <c r="G146" s="5"/>
      <c r="H146" s="5"/>
      <c r="I146" s="5"/>
      <c r="J146" s="5"/>
      <c r="K146" s="5"/>
      <c r="L146" s="5"/>
      <c r="M146" s="5"/>
      <c r="N146" s="5"/>
      <c r="O146" s="5"/>
      <c r="Q146" s="5"/>
      <c r="R146" s="5"/>
      <c r="S146" s="5"/>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2:44">
      <c r="B147" s="5"/>
      <c r="C147" s="5"/>
      <c r="D147" s="5"/>
      <c r="E147" s="5"/>
      <c r="F147" s="5"/>
      <c r="G147" s="5"/>
      <c r="H147" s="5"/>
      <c r="I147" s="5"/>
      <c r="J147" s="5"/>
      <c r="K147" s="5"/>
      <c r="L147" s="5"/>
      <c r="M147" s="5"/>
      <c r="N147" s="5"/>
      <c r="O147" s="5"/>
      <c r="Q147" s="5"/>
      <c r="R147" s="5"/>
      <c r="S147" s="5"/>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2:44">
      <c r="B148" s="5"/>
      <c r="C148" s="5"/>
      <c r="D148" s="5"/>
      <c r="E148" s="5"/>
      <c r="F148" s="5"/>
      <c r="G148" s="5"/>
      <c r="H148" s="5"/>
      <c r="I148" s="5"/>
      <c r="J148" s="5"/>
      <c r="K148" s="5"/>
      <c r="L148" s="5"/>
      <c r="M148" s="5"/>
      <c r="N148" s="5"/>
      <c r="O148" s="5"/>
      <c r="Q148" s="5"/>
      <c r="R148" s="5"/>
      <c r="S148" s="5"/>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2:44">
      <c r="B149" s="5"/>
      <c r="C149" s="5"/>
      <c r="D149" s="5"/>
      <c r="E149" s="5"/>
      <c r="F149" s="5"/>
      <c r="G149" s="5"/>
      <c r="H149" s="5"/>
      <c r="J149" s="5"/>
      <c r="K149" s="5"/>
      <c r="L149" s="5"/>
      <c r="M149" s="5"/>
      <c r="N149" s="5"/>
      <c r="O149" s="5"/>
      <c r="Q149" s="5"/>
      <c r="R149" s="5"/>
      <c r="S149" s="5"/>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2:44">
      <c r="B150" s="5"/>
      <c r="C150" s="5"/>
      <c r="D150" s="5"/>
      <c r="E150" s="5"/>
      <c r="F150" s="5"/>
      <c r="G150" s="5"/>
      <c r="H150" s="5"/>
      <c r="J150" s="5"/>
      <c r="K150" s="5"/>
      <c r="L150" s="5"/>
      <c r="M150" s="5"/>
      <c r="N150" s="5"/>
      <c r="O150" s="5"/>
      <c r="Q150" s="5"/>
      <c r="R150" s="5"/>
      <c r="S150" s="5"/>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2:44">
      <c r="Q151" s="5"/>
      <c r="R151" s="5"/>
      <c r="S151" s="5"/>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2:44">
      <c r="Q152" s="5"/>
      <c r="R152" s="5"/>
      <c r="S152" s="5"/>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2:44">
      <c r="C153" s="263"/>
      <c r="Q153" s="5"/>
      <c r="R153" s="5"/>
      <c r="S153" s="5"/>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2:44">
      <c r="Q154" s="5"/>
      <c r="R154" s="5"/>
      <c r="S154" s="5"/>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2:44">
      <c r="Q155" s="5"/>
      <c r="R155" s="5"/>
      <c r="S155" s="5"/>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2:44">
      <c r="Q156" s="5"/>
      <c r="R156" s="5"/>
      <c r="S156" s="5"/>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2:44">
      <c r="Q157" s="5"/>
      <c r="R157" s="5"/>
      <c r="S157" s="5"/>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2:44">
      <c r="Q158" s="5"/>
      <c r="R158" s="5"/>
      <c r="S158" s="5"/>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2:44">
      <c r="Q159" s="5"/>
      <c r="R159" s="5"/>
      <c r="S159" s="5"/>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2:44">
      <c r="Q160" s="5"/>
      <c r="R160" s="5"/>
      <c r="S160" s="5"/>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7:44">
      <c r="Q161" s="5"/>
      <c r="R161" s="5"/>
      <c r="S161" s="5"/>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7:44">
      <c r="Q162" s="5"/>
      <c r="R162" s="5"/>
      <c r="S162" s="5"/>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7:44">
      <c r="Q163" s="5"/>
      <c r="R163" s="5"/>
      <c r="S163" s="5"/>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7:44">
      <c r="Q164" s="5"/>
      <c r="R164" s="5"/>
      <c r="S164" s="5"/>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7:44">
      <c r="Q165" s="5"/>
      <c r="R165" s="5"/>
      <c r="S165" s="5"/>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7:44">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7:44">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7:44">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sheetData>
  <phoneticPr fontId="7" type="noConversion"/>
  <pageMargins left="0.75" right="0.75" top="1" bottom="1" header="0.5" footer="0.5"/>
  <pageSetup scale="70"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57">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407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530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964</v>
      </c>
      <c r="C9" s="287">
        <f>Prices!C56/1000</f>
        <v>0.1555</v>
      </c>
      <c r="D9" s="531">
        <v>0</v>
      </c>
      <c r="E9" s="532">
        <v>0</v>
      </c>
      <c r="F9" s="532">
        <v>0</v>
      </c>
      <c r="G9" s="532">
        <v>0</v>
      </c>
      <c r="H9" s="249"/>
      <c r="I9" s="249"/>
      <c r="J9" s="5" t="s">
        <v>268</v>
      </c>
      <c r="L9" s="525">
        <f>'AGG ASIA INCUMB'!D37</f>
        <v>1.2719441813172812</v>
      </c>
      <c r="M9" s="525">
        <f>'AGG ASIA INCUMB'!E37</f>
        <v>1.2095974060822232</v>
      </c>
      <c r="N9" s="525">
        <f>'AGG ASIA INCUMB'!F37</f>
        <v>1.0996822317000925</v>
      </c>
      <c r="O9" s="525">
        <f>'AGG ASIA INCUMB'!G37</f>
        <v>0.99635076165065495</v>
      </c>
      <c r="P9" s="286">
        <f>'AGG ASIA CELLULAR'!H37</f>
        <v>4.8440860425680521E-2</v>
      </c>
      <c r="S9" s="88"/>
      <c r="T9" s="42"/>
      <c r="U9" s="42"/>
      <c r="V9" s="42"/>
      <c r="W9" s="42"/>
      <c r="X9" s="42"/>
      <c r="Y9" s="42"/>
      <c r="Z9" s="42"/>
      <c r="AA9" s="42"/>
    </row>
    <row r="10" spans="2:44">
      <c r="B10" s="5" t="s">
        <v>269</v>
      </c>
      <c r="C10" s="5"/>
      <c r="D10" s="527">
        <v>84081.547552999997</v>
      </c>
      <c r="E10" s="527">
        <v>82547.805221711649</v>
      </c>
      <c r="F10" s="527">
        <v>81014.062890423302</v>
      </c>
      <c r="G10" s="527">
        <v>79480.320559134954</v>
      </c>
      <c r="H10" s="247"/>
      <c r="I10" s="247"/>
      <c r="J10" s="5" t="s">
        <v>180</v>
      </c>
      <c r="L10" s="525">
        <f>'AGG ASIA INCUMB'!D38</f>
        <v>4.6234760036627636</v>
      </c>
      <c r="M10" s="525">
        <f>'AGG ASIA INCUMB'!E38</f>
        <v>4.4228353660546906</v>
      </c>
      <c r="N10" s="525">
        <f>'AGG ASIA INCUMB'!F38</f>
        <v>3.9347110260162674</v>
      </c>
      <c r="O10" s="525">
        <f>'AGG ASIA INCUMB'!G38</f>
        <v>3.5504425976257274</v>
      </c>
      <c r="P10" s="286">
        <f>'AGG ASIA CELLULAR'!H38</f>
        <v>5.7134314823267696E-2</v>
      </c>
      <c r="S10" s="88"/>
      <c r="T10" s="42"/>
      <c r="U10" s="42"/>
      <c r="V10" s="42"/>
      <c r="W10" s="288"/>
      <c r="X10" s="288"/>
      <c r="Y10" s="288"/>
      <c r="Z10" s="288"/>
      <c r="AA10" s="42"/>
    </row>
    <row r="11" spans="2:44">
      <c r="B11" s="41" t="s">
        <v>868</v>
      </c>
      <c r="C11" s="5"/>
      <c r="D11" s="528">
        <f>($C$9*D10)</f>
        <v>13074.6806444915</v>
      </c>
      <c r="E11" s="528">
        <f>($C$9*E10)</f>
        <v>12836.183711976162</v>
      </c>
      <c r="F11" s="528">
        <f>($C$9*F10)</f>
        <v>12597.686779460824</v>
      </c>
      <c r="G11" s="528">
        <f>($C$9*G10)</f>
        <v>12359.189846945485</v>
      </c>
      <c r="H11" s="249"/>
      <c r="I11" s="249"/>
      <c r="J11" s="5" t="s">
        <v>181</v>
      </c>
      <c r="L11" s="525">
        <f>'AGG ASIA INCUMB'!D39</f>
        <v>11.794671519746432</v>
      </c>
      <c r="M11" s="525">
        <f>'AGG ASIA INCUMB'!E39</f>
        <v>10.669369371390847</v>
      </c>
      <c r="N11" s="525">
        <f>'AGG ASIA INCUMB'!F39</f>
        <v>8.6767991012662229</v>
      </c>
      <c r="O11" s="525">
        <f>'AGG ASIA INCUMB'!G39</f>
        <v>7.5891310442771198</v>
      </c>
      <c r="P11" s="286">
        <f>'AGG ASIA CELLULAR'!H39</f>
        <v>0.11168057272527809</v>
      </c>
      <c r="S11" s="88"/>
      <c r="T11" s="42"/>
      <c r="U11" s="42"/>
      <c r="V11" s="42"/>
      <c r="W11" s="288"/>
      <c r="X11" s="288"/>
      <c r="Y11" s="288"/>
      <c r="Z11" s="288"/>
      <c r="AA11" s="42"/>
    </row>
    <row r="12" spans="2:44">
      <c r="B12" s="5" t="s">
        <v>24</v>
      </c>
      <c r="C12" s="249"/>
      <c r="D12" s="529">
        <v>6065.1</v>
      </c>
      <c r="E12" s="529">
        <v>6015.1</v>
      </c>
      <c r="F12" s="529">
        <v>5965.1</v>
      </c>
      <c r="G12" s="529">
        <v>5915.1</v>
      </c>
      <c r="H12" s="247"/>
      <c r="I12" s="247"/>
      <c r="J12" s="5" t="s">
        <v>461</v>
      </c>
      <c r="L12" s="525">
        <f>'AGG ASIA INCUMB'!D40</f>
        <v>15.854102984572272</v>
      </c>
      <c r="M12" s="525">
        <f>'AGG ASIA INCUMB'!E40</f>
        <v>14.308248533194654</v>
      </c>
      <c r="N12" s="525">
        <f>'AGG ASIA INCUMB'!F40</f>
        <v>11.663579867439855</v>
      </c>
      <c r="O12" s="525">
        <f>'AGG ASIA INCUMB'!G40</f>
        <v>10.196208292202796</v>
      </c>
      <c r="P12" s="286">
        <f>'AGG ASIA CELLULAR'!H40</f>
        <v>0.10463983008037903</v>
      </c>
      <c r="S12" s="88"/>
      <c r="T12" s="42"/>
      <c r="U12" s="42"/>
      <c r="V12" s="42"/>
      <c r="W12" s="288"/>
      <c r="X12" s="288"/>
      <c r="Y12" s="288"/>
      <c r="Z12" s="288"/>
      <c r="AA12" s="42"/>
    </row>
    <row r="13" spans="2:44">
      <c r="B13" s="5" t="s">
        <v>524</v>
      </c>
      <c r="C13" s="257"/>
      <c r="D13" s="529">
        <v>1103.5728899999999</v>
      </c>
      <c r="E13" s="529">
        <v>1103.5728899999999</v>
      </c>
      <c r="F13" s="529">
        <v>1103.5728899999999</v>
      </c>
      <c r="G13" s="529">
        <v>1103.5728899999999</v>
      </c>
      <c r="H13" s="247"/>
      <c r="I13" s="247"/>
      <c r="J13" s="5" t="s">
        <v>525</v>
      </c>
      <c r="L13" s="525">
        <f>'AGG ASIA INCUMB'!D41</f>
        <v>1.1460518303805354</v>
      </c>
      <c r="M13" s="525">
        <f>'AGG ASIA INCUMB'!E41</f>
        <v>1.0866662606716921</v>
      </c>
      <c r="N13" s="525">
        <f>'AGG ASIA INCUMB'!F41</f>
        <v>0.99834975778923052</v>
      </c>
      <c r="O13" s="525">
        <f>'AGG ASIA INCUMB'!G41</f>
        <v>0.90898439887584492</v>
      </c>
      <c r="P13" s="286">
        <f>'AGG ASIA CELLULAR'!H41</f>
        <v>-1.8528761652592207E-2</v>
      </c>
      <c r="S13" s="88"/>
      <c r="T13" s="42"/>
      <c r="U13" s="42"/>
      <c r="V13" s="42"/>
      <c r="W13" s="42"/>
      <c r="X13" s="42"/>
      <c r="Y13" s="42"/>
      <c r="Z13" s="42"/>
      <c r="AA13" s="42"/>
    </row>
    <row r="14" spans="2:44">
      <c r="B14" s="5" t="s">
        <v>527</v>
      </c>
      <c r="C14" s="257"/>
      <c r="D14" s="534">
        <v>278.41480000000001</v>
      </c>
      <c r="E14" s="526">
        <f>D14</f>
        <v>278.41480000000001</v>
      </c>
      <c r="F14" s="526">
        <f>D14</f>
        <v>278.41480000000001</v>
      </c>
      <c r="G14" s="526">
        <f>D14</f>
        <v>278.41480000000001</v>
      </c>
      <c r="H14" s="247"/>
      <c r="I14" s="247"/>
      <c r="J14" s="5" t="s">
        <v>588</v>
      </c>
      <c r="L14" s="525">
        <f>'AGG ASIA INCUMB'!D42</f>
        <v>1.5276634915643974</v>
      </c>
      <c r="M14" s="525">
        <f>'AGG ASIA INCUMB'!E42</f>
        <v>1.4907282921032592</v>
      </c>
      <c r="N14" s="525">
        <f>'AGG ASIA INCUMB'!F42</f>
        <v>1.4247632256720226</v>
      </c>
      <c r="O14" s="525">
        <f>'AGG ASIA INCUMB'!G42</f>
        <v>1.3972444432688993</v>
      </c>
      <c r="P14" s="286">
        <f>'AGG ASIA CELLULAR'!H42</f>
        <v>6.4071344718414913E-3</v>
      </c>
      <c r="S14" s="88"/>
      <c r="T14" s="42"/>
      <c r="U14" s="42"/>
      <c r="V14" s="42"/>
      <c r="W14" s="42"/>
      <c r="X14" s="42"/>
      <c r="Y14" s="42"/>
      <c r="Z14" s="42"/>
      <c r="AA14" s="42"/>
    </row>
    <row r="15" spans="2:44">
      <c r="B15" s="5" t="s">
        <v>526</v>
      </c>
      <c r="C15" s="274"/>
      <c r="D15" s="534">
        <v>3373.1</v>
      </c>
      <c r="E15" s="526">
        <f>D15</f>
        <v>3373.1</v>
      </c>
      <c r="F15" s="526">
        <f>D15</f>
        <v>3373.1</v>
      </c>
      <c r="G15" s="526">
        <f>D15</f>
        <v>3373.1</v>
      </c>
      <c r="H15" s="247"/>
      <c r="I15" s="247"/>
      <c r="J15" s="5" t="s">
        <v>470</v>
      </c>
      <c r="L15" s="525">
        <f>'AGG ASIA INCUMB'!D43</f>
        <v>15.273312397129398</v>
      </c>
      <c r="M15" s="525">
        <f>'AGG ASIA INCUMB'!E43</f>
        <v>13.757505713732883</v>
      </c>
      <c r="N15" s="525">
        <f>'AGG ASIA INCUMB'!F43</f>
        <v>11.624732006664775</v>
      </c>
      <c r="O15" s="525">
        <f>'AGG ASIA INCUMB'!G43</f>
        <v>10.50556297379473</v>
      </c>
      <c r="P15" s="286">
        <f>'AGG ASIA CELLULAR'!H43</f>
        <v>0.18726558349580835</v>
      </c>
      <c r="S15" s="88"/>
      <c r="T15" s="42"/>
      <c r="U15" s="42"/>
      <c r="V15" s="42"/>
      <c r="W15" s="42"/>
      <c r="X15" s="42"/>
      <c r="Y15" s="42"/>
      <c r="Z15" s="42"/>
      <c r="AA15" s="42"/>
    </row>
    <row r="16" spans="2:44">
      <c r="B16" s="5" t="s">
        <v>529</v>
      </c>
      <c r="C16" s="257"/>
      <c r="D16" s="529">
        <v>0</v>
      </c>
      <c r="E16" s="529">
        <v>0</v>
      </c>
      <c r="F16" s="529">
        <v>583.30125281104779</v>
      </c>
      <c r="G16" s="529">
        <v>1219.1438172841274</v>
      </c>
      <c r="H16" s="247"/>
      <c r="I16" s="247"/>
      <c r="J16" s="5" t="s">
        <v>528</v>
      </c>
      <c r="L16" s="525">
        <f>'AGG ASIA INCUMB'!D44</f>
        <v>13.678025117962957</v>
      </c>
      <c r="M16" s="525">
        <f>'AGG ASIA INCUMB'!E44</f>
        <v>12.517033973894927</v>
      </c>
      <c r="N16" s="525">
        <f>'AGG ASIA INCUMB'!F44</f>
        <v>11.122029574192924</v>
      </c>
      <c r="O16" s="525">
        <f>'AGG ASIA INCUMB'!G44</f>
        <v>10.11878172223563</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INCUMB'!D45</f>
        <v>4.5509267152536094E-2</v>
      </c>
      <c r="M17" s="248">
        <f>'AGG ASIA INCUMB'!E45</f>
        <v>5.1800129870851246E-2</v>
      </c>
      <c r="N17" s="248">
        <f>'AGG ASIA INCUMB'!F45</f>
        <v>5.7884939069478336E-2</v>
      </c>
      <c r="O17" s="248">
        <f>'AGG ASIA INCUMB'!G45</f>
        <v>6.5680371296715834E-2</v>
      </c>
      <c r="P17" s="286">
        <f>'AGG ASIA CELLULAR'!H45</f>
        <v>0.11688605650684725</v>
      </c>
      <c r="S17" s="88"/>
      <c r="T17" s="42"/>
      <c r="U17" s="42"/>
      <c r="V17" s="42"/>
      <c r="W17" s="42"/>
      <c r="X17" s="42"/>
      <c r="Y17" s="42"/>
      <c r="Z17" s="42"/>
      <c r="AA17" s="42"/>
    </row>
    <row r="18" spans="2:27" ht="12.6" thickBot="1">
      <c r="B18" s="41" t="s">
        <v>578</v>
      </c>
      <c r="C18" s="249"/>
      <c r="D18" s="530">
        <f>D11+D12+D13-D14+D15-D16-D17</f>
        <v>23338.0387344915</v>
      </c>
      <c r="E18" s="530">
        <f>E11+E12+E13-E14+E15-E16-E17</f>
        <v>23049.54180197616</v>
      </c>
      <c r="F18" s="530">
        <f>F11+F12+F13-F14+F15-F16-F17</f>
        <v>22177.743616649776</v>
      </c>
      <c r="G18" s="530">
        <f>G11+G12+G13-G14+G15-G16-G17</f>
        <v>21253.404119661358</v>
      </c>
      <c r="H18" s="276">
        <f>IF(D18=0,"nm",IF(G18=0,"nm",(G18/D18)^(1/3)-1))</f>
        <v>-3.0707807435253476E-2</v>
      </c>
      <c r="I18" s="254"/>
      <c r="J18" s="5" t="s">
        <v>36</v>
      </c>
      <c r="L18" s="248">
        <f>'AGG ASIA INCUMB'!D46</f>
        <v>4.5540516507029512E-2</v>
      </c>
      <c r="M18" s="248">
        <f>'AGG ASIA INCUMB'!E46</f>
        <v>5.1831531492466568E-2</v>
      </c>
      <c r="N18" s="248">
        <f>'AGG ASIA INCUMB'!F46</f>
        <v>5.8199730113416448E-2</v>
      </c>
      <c r="O18" s="248">
        <f>'AGG ASIA INCUMB'!G46</f>
        <v>6.6192895380097247E-2</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INCUMB'!D47</f>
        <v>6.5473682067024891E-2</v>
      </c>
      <c r="M19" s="248">
        <f>'AGG ASIA INCUMB'!E47</f>
        <v>7.2687594743412673E-2</v>
      </c>
      <c r="N19" s="248">
        <f>'AGG ASIA INCUMB'!F47</f>
        <v>8.6023488492179667E-2</v>
      </c>
      <c r="O19" s="248">
        <f>'AGG ASIA INCUMB'!G47</f>
        <v>9.5187664144645884E-2</v>
      </c>
      <c r="P19" s="286">
        <f>'AGG ASIA CELLULAR'!H47</f>
        <v>0.18726558349580835</v>
      </c>
      <c r="S19" s="88"/>
      <c r="T19" s="42"/>
      <c r="U19" s="42"/>
      <c r="V19" s="42"/>
      <c r="W19" s="42"/>
      <c r="X19" s="42"/>
      <c r="Y19" s="42"/>
      <c r="Z19" s="42"/>
      <c r="AA19" s="42"/>
    </row>
    <row r="20" spans="2:27">
      <c r="H20" s="277"/>
      <c r="I20" s="17"/>
      <c r="J20" s="5" t="s">
        <v>599</v>
      </c>
      <c r="L20" s="305">
        <f>'AGG ASIA INCUMB'!D48</f>
        <v>0.59351892336330403</v>
      </c>
      <c r="M20" s="305">
        <f>'AGG ASIA INCUMB'!E48</f>
        <v>0.60592876311616806</v>
      </c>
      <c r="N20" s="305">
        <f>'AGG ASIA INCUMB'!F48</f>
        <v>0.57735687268970703</v>
      </c>
      <c r="O20" s="305">
        <f>'AGG ASIA INCUMB'!G48</f>
        <v>0.59846585949408893</v>
      </c>
      <c r="P20" s="286" t="str">
        <f>'AGG ASIA CELLULAR'!H48</f>
        <v>nm</v>
      </c>
      <c r="S20" s="88"/>
      <c r="T20" s="42"/>
      <c r="U20" s="42"/>
      <c r="V20" s="42"/>
      <c r="W20" s="42"/>
      <c r="X20" s="42"/>
      <c r="Y20" s="42"/>
      <c r="Z20" s="42"/>
      <c r="AA20" s="42"/>
    </row>
    <row r="21" spans="2:27" ht="12.6" thickBot="1">
      <c r="B21" s="306" t="s">
        <v>934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13136</v>
      </c>
      <c r="D23" s="536">
        <v>13374.600000000002</v>
      </c>
      <c r="E23" s="536">
        <v>13623.046714336151</v>
      </c>
      <c r="F23" s="536">
        <v>14077.09399539426</v>
      </c>
      <c r="G23" s="536">
        <v>14571.264776000457</v>
      </c>
      <c r="H23" s="279">
        <f>IF(D23=0,"nm",IF(G23=0,"nm",(G23/D23)^(1/3)-1))</f>
        <v>2.8976562032333453E-2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478</v>
      </c>
      <c r="C24" s="545">
        <v>3290</v>
      </c>
      <c r="D24" s="536">
        <v>3418.2</v>
      </c>
      <c r="E24" s="536">
        <v>3361.0025446340787</v>
      </c>
      <c r="F24" s="536">
        <v>3828.5801678831176</v>
      </c>
      <c r="G24" s="536">
        <v>3991.9052516335014</v>
      </c>
      <c r="H24" s="279">
        <f>IF(D24=0,"nm",IF(G24=0,"nm",(G24/D24)^(1/3)-1))</f>
        <v>5.3078917381170543E-2</v>
      </c>
      <c r="I24" s="249"/>
      <c r="J24" s="17"/>
      <c r="K24" s="17"/>
      <c r="L24" s="17"/>
      <c r="M24" s="17"/>
      <c r="N24" s="17"/>
      <c r="O24" s="248"/>
      <c r="S24" s="88"/>
      <c r="T24" s="42"/>
      <c r="U24" s="42"/>
      <c r="V24" s="42"/>
      <c r="W24" s="42" t="s">
        <v>407</v>
      </c>
      <c r="X24" s="42" t="s">
        <v>254</v>
      </c>
      <c r="Y24" s="42"/>
      <c r="Z24" s="42"/>
      <c r="AA24" s="42"/>
    </row>
    <row r="25" spans="2:27">
      <c r="B25" s="5" t="s">
        <v>179</v>
      </c>
      <c r="C25" s="544">
        <v>1405</v>
      </c>
      <c r="D25" s="536">
        <v>1397.49</v>
      </c>
      <c r="E25" s="536">
        <v>1357.7445655826969</v>
      </c>
      <c r="F25" s="536">
        <v>1815.3408661972912</v>
      </c>
      <c r="G25" s="536">
        <v>1950.0814093713409</v>
      </c>
      <c r="H25" s="279">
        <f>IF(D25=0,"nm",IF(G25=0,"nm",(G25/D25)^(1/3)-1))</f>
        <v>0.11746692517018942</v>
      </c>
      <c r="I25" s="248"/>
      <c r="J25" s="247" t="s">
        <v>10</v>
      </c>
      <c r="K25" s="247"/>
      <c r="L25" s="321">
        <v>0</v>
      </c>
      <c r="M25" s="321">
        <v>0</v>
      </c>
      <c r="N25" s="321">
        <v>0</v>
      </c>
      <c r="O25" s="321">
        <v>0</v>
      </c>
      <c r="P25" s="279" t="str">
        <f>IF(L25=0,"nm",IF(O25=0,"nm",(O25/L25)^(1/3)-1))</f>
        <v>nm</v>
      </c>
      <c r="S25" s="88"/>
      <c r="T25" s="42"/>
      <c r="U25" s="42"/>
      <c r="V25" s="147" t="s">
        <v>268</v>
      </c>
      <c r="W25" s="288">
        <f>D37/L9</f>
        <v>1.3718780300405653</v>
      </c>
      <c r="X25" s="288">
        <v>1</v>
      </c>
      <c r="Y25" s="42"/>
      <c r="Z25" s="42"/>
      <c r="AA25" s="42"/>
    </row>
    <row r="26" spans="2:27">
      <c r="B26" s="5" t="s">
        <v>581</v>
      </c>
      <c r="C26" s="544">
        <v>969</v>
      </c>
      <c r="D26" s="536">
        <v>964.26809999999989</v>
      </c>
      <c r="E26" s="536">
        <v>936.84375025206077</v>
      </c>
      <c r="F26" s="536">
        <v>1252.5851976761307</v>
      </c>
      <c r="G26" s="536">
        <v>1345.556172466225</v>
      </c>
      <c r="H26" s="279">
        <f>IF(D26=0,"nm",IF(G26=0,"nm",(G26/D26)^(1/3)-1))</f>
        <v>0.11746692517018942</v>
      </c>
      <c r="I26" s="249"/>
      <c r="J26" s="249" t="s">
        <v>11</v>
      </c>
      <c r="K26" s="249"/>
      <c r="L26" s="281">
        <f>D11+L25</f>
        <v>13074.6806444915</v>
      </c>
      <c r="M26" s="281">
        <f>E11+M25</f>
        <v>12836.183711976162</v>
      </c>
      <c r="N26" s="281">
        <f>F11+N25</f>
        <v>12597.686779460824</v>
      </c>
      <c r="O26" s="281">
        <f>G11+O25</f>
        <v>12359.189846945485</v>
      </c>
      <c r="P26" s="279">
        <f>IF(L26=0,"nm",IF(O26=0,"nm",(O26/L26)^(1/3)-1))</f>
        <v>-1.8584367894405651E-2</v>
      </c>
      <c r="Q26" s="5"/>
      <c r="S26" s="88"/>
      <c r="T26" s="42"/>
      <c r="U26" s="42"/>
      <c r="V26" s="147" t="s">
        <v>180</v>
      </c>
      <c r="W26" s="288">
        <f t="shared" ref="W26:W33" si="4">D38/L10</f>
        <v>1.4767204139367494</v>
      </c>
      <c r="X26" s="288">
        <v>1</v>
      </c>
      <c r="Y26" s="42"/>
      <c r="Z26" s="42"/>
      <c r="AA26" s="42"/>
    </row>
    <row r="27" spans="2:27">
      <c r="B27" s="5" t="s">
        <v>582</v>
      </c>
      <c r="C27" s="545">
        <v>18193</v>
      </c>
      <c r="D27" s="536">
        <v>16958.2</v>
      </c>
      <c r="E27" s="536">
        <v>18181.37304129362</v>
      </c>
      <c r="F27" s="536">
        <v>19691.672658366871</v>
      </c>
      <c r="G27" s="536">
        <v>21280.411023846009</v>
      </c>
      <c r="H27" s="279">
        <f>IF(ISERROR((G27/D27)^(1/3)-1),"na",(G27/D27)^(1/3)-1)</f>
        <v>7.8615738649971734E-2</v>
      </c>
      <c r="I27" s="249"/>
      <c r="J27" s="248"/>
      <c r="K27" s="248"/>
      <c r="L27" s="248"/>
      <c r="M27" s="248"/>
      <c r="N27" s="248"/>
      <c r="O27" s="248"/>
      <c r="Q27" s="41"/>
      <c r="S27" s="88"/>
      <c r="T27" s="42"/>
      <c r="U27" s="42"/>
      <c r="V27" s="147" t="s">
        <v>181</v>
      </c>
      <c r="W27" s="288">
        <f t="shared" si="4"/>
        <v>1.415890921339529</v>
      </c>
      <c r="X27" s="288">
        <v>1</v>
      </c>
      <c r="Y27" s="42"/>
      <c r="Z27" s="42"/>
      <c r="AA27" s="42"/>
    </row>
    <row r="28" spans="2:27" ht="12.6" thickBot="1">
      <c r="B28" s="5" t="s">
        <v>587</v>
      </c>
      <c r="C28" s="544">
        <v>9717</v>
      </c>
      <c r="D28" s="536">
        <v>10422</v>
      </c>
      <c r="E28" s="536">
        <v>10828.198451950073</v>
      </c>
      <c r="F28" s="536">
        <v>10990.238902611149</v>
      </c>
      <c r="G28" s="536">
        <v>11148.806694322375</v>
      </c>
      <c r="H28" s="279">
        <f>IF(ISERROR((G28/D28)^(1/3)-1),"na",(G28/D28)^(1/3)-1)</f>
        <v>2.2725549503101128E-2</v>
      </c>
      <c r="I28" s="248"/>
      <c r="J28" s="306" t="s">
        <v>1352</v>
      </c>
      <c r="K28" s="306"/>
      <c r="L28" s="306"/>
      <c r="M28" s="306"/>
      <c r="N28" s="266"/>
      <c r="O28" s="266"/>
      <c r="P28" s="266"/>
      <c r="Q28" s="5"/>
      <c r="S28" s="88"/>
      <c r="T28" s="42"/>
      <c r="U28" s="42"/>
      <c r="V28" s="147" t="s">
        <v>461</v>
      </c>
      <c r="W28" s="288">
        <f t="shared" si="4"/>
        <v>1.5265986772298796</v>
      </c>
      <c r="X28" s="288">
        <v>1</v>
      </c>
      <c r="Y28" s="42"/>
      <c r="Z28" s="42"/>
      <c r="AA28" s="42"/>
    </row>
    <row r="29" spans="2:27" ht="12.6" thickTop="1">
      <c r="B29" s="5" t="s">
        <v>583</v>
      </c>
      <c r="C29" s="544">
        <v>869</v>
      </c>
      <c r="D29" s="536">
        <v>819.78799999999978</v>
      </c>
      <c r="E29" s="536">
        <v>825.41625617084367</v>
      </c>
      <c r="F29" s="536">
        <v>1158.7236673792845</v>
      </c>
      <c r="G29" s="536">
        <v>1262.4762126314106</v>
      </c>
      <c r="H29" s="279">
        <f>IF(D29=0,"nm",IF(G29=0,"nm",(G29/D29)^(1/3)-1))</f>
        <v>0.15480117128552728</v>
      </c>
      <c r="I29" s="252"/>
      <c r="J29" s="249"/>
      <c r="K29" s="249"/>
      <c r="L29" s="249"/>
      <c r="M29" s="249"/>
      <c r="N29" s="249"/>
      <c r="O29" s="251"/>
      <c r="Q29" s="5"/>
      <c r="S29" s="88"/>
      <c r="T29" s="42"/>
      <c r="U29" s="42"/>
      <c r="V29" s="147" t="s">
        <v>525</v>
      </c>
      <c r="W29" s="288">
        <f t="shared" si="4"/>
        <v>1.20082672365618</v>
      </c>
      <c r="X29" s="288">
        <v>1</v>
      </c>
      <c r="Y29" s="42"/>
      <c r="Z29" s="42"/>
      <c r="AA29" s="42"/>
    </row>
    <row r="30" spans="2:27">
      <c r="B30" s="5" t="s">
        <v>584</v>
      </c>
      <c r="C30" s="545">
        <v>1213</v>
      </c>
      <c r="D30" s="536">
        <v>1279.5999999999999</v>
      </c>
      <c r="E30" s="536">
        <v>1217.8752595950941</v>
      </c>
      <c r="F30" s="536">
        <v>1499.8606958104042</v>
      </c>
      <c r="G30" s="536">
        <v>1572.6683526752111</v>
      </c>
      <c r="H30" s="279">
        <f>IF(D30=0,"nm",IF(G30=0,"nm",(G30/D30)^(1/3)-1))</f>
        <v>7.115989827515512E-2</v>
      </c>
      <c r="I30" s="254"/>
      <c r="J30" s="248"/>
      <c r="K30" s="248"/>
      <c r="L30" s="248"/>
      <c r="M30" s="248"/>
      <c r="N30" s="248"/>
      <c r="O30" s="5"/>
      <c r="Q30" s="5"/>
      <c r="S30" s="88"/>
      <c r="T30" s="42"/>
      <c r="U30" s="42"/>
      <c r="V30" s="147" t="s">
        <v>588</v>
      </c>
      <c r="W30" s="288">
        <f t="shared" si="4"/>
        <v>1.4658366889154206</v>
      </c>
      <c r="X30" s="288">
        <v>1</v>
      </c>
      <c r="Y30" s="42"/>
      <c r="Z30" s="42"/>
      <c r="AA30" s="42"/>
    </row>
    <row r="31" spans="2:27">
      <c r="B31" s="5" t="s">
        <v>585</v>
      </c>
      <c r="C31" s="545">
        <v>409.08</v>
      </c>
      <c r="D31" s="536">
        <v>428.81589252029994</v>
      </c>
      <c r="E31" s="536">
        <v>528.30595341895457</v>
      </c>
      <c r="F31" s="536">
        <v>583.30125281104779</v>
      </c>
      <c r="G31" s="536">
        <v>635.84256447307962</v>
      </c>
      <c r="H31" s="279">
        <f>IF(D31=0,"nm",IF(G31=0,"nm",(G31/D31)^(1/3)-1))</f>
        <v>0.14031868726274976</v>
      </c>
      <c r="I31" s="254"/>
      <c r="J31" s="252"/>
      <c r="K31" s="252"/>
      <c r="L31" s="252"/>
      <c r="M31" s="252"/>
      <c r="N31" s="252"/>
      <c r="O31" s="5"/>
      <c r="Q31" s="5"/>
      <c r="S31" s="88"/>
      <c r="T31" s="42"/>
      <c r="U31" s="42"/>
      <c r="V31" s="147" t="s">
        <v>470</v>
      </c>
      <c r="W31" s="288">
        <f t="shared" si="4"/>
        <v>1.0442303176495884</v>
      </c>
      <c r="X31" s="288">
        <v>1</v>
      </c>
      <c r="Y31" s="42"/>
      <c r="Z31" s="42"/>
      <c r="AA31" s="42"/>
    </row>
    <row r="32" spans="2:27">
      <c r="B32" s="5" t="s">
        <v>601</v>
      </c>
      <c r="C32" s="546">
        <v>235</v>
      </c>
      <c r="D32" s="536">
        <v>0</v>
      </c>
      <c r="E32" s="536">
        <v>0</v>
      </c>
      <c r="F32" s="536">
        <v>0</v>
      </c>
      <c r="G32" s="536">
        <v>0</v>
      </c>
      <c r="H32" s="279" t="str">
        <f>IF(D32=0,"nm",IF(G32=0,"nm",(G32/D32)^(1/3)-1))</f>
        <v>nm</v>
      </c>
      <c r="I32" s="254"/>
      <c r="J32" s="254"/>
      <c r="K32" s="254"/>
      <c r="L32" s="254"/>
      <c r="M32" s="254"/>
      <c r="N32" s="254"/>
      <c r="O32" s="251"/>
      <c r="Q32" s="5"/>
      <c r="S32" s="88"/>
      <c r="T32" s="42"/>
      <c r="U32" s="42"/>
      <c r="V32" s="147" t="s">
        <v>528</v>
      </c>
      <c r="W32" s="288">
        <f t="shared" si="4"/>
        <v>0.74702211934274587</v>
      </c>
      <c r="X32" s="288">
        <v>1</v>
      </c>
      <c r="Y32" s="42"/>
      <c r="Z32" s="42"/>
      <c r="AA32" s="42"/>
    </row>
    <row r="33" spans="2:27">
      <c r="B33" s="5" t="s">
        <v>5</v>
      </c>
      <c r="C33" s="545">
        <v>-25</v>
      </c>
      <c r="D33" s="536">
        <v>33.34099999999998</v>
      </c>
      <c r="E33" s="536">
        <v>39.865249999999989</v>
      </c>
      <c r="F33" s="536">
        <v>46.063287500000001</v>
      </c>
      <c r="G33" s="536">
        <v>51.951423125000005</v>
      </c>
      <c r="H33" s="279">
        <f>IF(ISERROR((G33/D33)^(1/3)-1),"na",(G33/D33)^(1/3)-1)</f>
        <v>0.15932786849350467</v>
      </c>
      <c r="I33" s="5"/>
      <c r="J33" s="254"/>
      <c r="K33" s="254"/>
      <c r="L33" s="254"/>
      <c r="M33" s="254"/>
      <c r="N33" s="254"/>
      <c r="O33" s="251"/>
      <c r="Q33" s="5"/>
      <c r="S33" s="88"/>
      <c r="T33" s="42"/>
      <c r="U33" s="42"/>
      <c r="V33" s="147" t="s">
        <v>575</v>
      </c>
      <c r="W33" s="288">
        <f t="shared" si="4"/>
        <v>0.72067580307993184</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0.95764313973458992</v>
      </c>
      <c r="X34" s="288">
        <v>1</v>
      </c>
      <c r="Y34" s="288"/>
      <c r="Z34" s="288"/>
      <c r="AA34" s="42"/>
    </row>
    <row r="35" spans="2:27" ht="12.6" thickBot="1">
      <c r="B35" s="306" t="s">
        <v>642</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1.7449522777871112</v>
      </c>
      <c r="E37" s="525">
        <f t="shared" ref="E37:G41" si="6">E$18/E23</f>
        <v>1.6919520490023776</v>
      </c>
      <c r="F37" s="525">
        <f t="shared" si="6"/>
        <v>1.5754489970661476</v>
      </c>
      <c r="G37" s="525">
        <f t="shared" si="6"/>
        <v>1.4585833451236636</v>
      </c>
      <c r="H37" s="17">
        <f t="shared" ref="H37:H45" si="7">H23</f>
        <v>2.8976562032333453E-2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6.8275813979555036</v>
      </c>
      <c r="E38" s="525">
        <f t="shared" si="6"/>
        <v>6.8579364329180015</v>
      </c>
      <c r="F38" s="525">
        <f t="shared" si="6"/>
        <v>5.7926810055311444</v>
      </c>
      <c r="G38" s="525">
        <f t="shared" si="6"/>
        <v>5.3241253937488597</v>
      </c>
      <c r="H38" s="17">
        <f t="shared" si="7"/>
        <v>5.3078917381170543E-2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16.699968324990877</v>
      </c>
      <c r="E39" s="525">
        <f t="shared" si="6"/>
        <v>16.976346204032932</v>
      </c>
      <c r="F39" s="525">
        <f t="shared" si="6"/>
        <v>12.216848102531229</v>
      </c>
      <c r="G39" s="525">
        <f t="shared" si="6"/>
        <v>10.898726595477335</v>
      </c>
      <c r="H39" s="17">
        <f t="shared" si="7"/>
        <v>0.11746692517018942</v>
      </c>
      <c r="I39" s="17"/>
      <c r="J39" s="5"/>
      <c r="K39" s="5"/>
      <c r="L39" s="5"/>
      <c r="M39" s="5"/>
      <c r="N39" s="5"/>
      <c r="O39" s="5"/>
      <c r="Q39" s="5"/>
      <c r="R39" s="5"/>
      <c r="S39" s="42"/>
      <c r="T39" s="42"/>
      <c r="U39" s="42"/>
      <c r="V39" s="42"/>
      <c r="W39" s="42"/>
      <c r="X39" s="42"/>
      <c r="Y39" s="42"/>
      <c r="Z39" s="42"/>
      <c r="AA39" s="42"/>
    </row>
    <row r="40" spans="2:27">
      <c r="B40" s="5" t="s">
        <v>461</v>
      </c>
      <c r="C40" s="247"/>
      <c r="D40" s="525">
        <f>D$18/D26</f>
        <v>24.202852644914316</v>
      </c>
      <c r="E40" s="525">
        <f t="shared" si="6"/>
        <v>24.603400295699906</v>
      </c>
      <c r="F40" s="525">
        <f t="shared" si="6"/>
        <v>17.705576960190189</v>
      </c>
      <c r="G40" s="525">
        <f t="shared" si="6"/>
        <v>15.795255935474401</v>
      </c>
      <c r="H40" s="17">
        <f t="shared" si="7"/>
        <v>0.11746692517018942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1.3762096646160265</v>
      </c>
      <c r="E41" s="525">
        <f t="shared" si="6"/>
        <v>1.2677558372311009</v>
      </c>
      <c r="F41" s="525">
        <f t="shared" si="6"/>
        <v>1.1262498621327928</v>
      </c>
      <c r="G41" s="525">
        <f t="shared" si="6"/>
        <v>0.99873090307539703</v>
      </c>
      <c r="H41" s="17">
        <f t="shared" si="7"/>
        <v>7.8615738649971734E-2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2.239305194251727</v>
      </c>
      <c r="E42" s="525">
        <f>E18/E28</f>
        <v>2.1286589735363708</v>
      </c>
      <c r="F42" s="525">
        <f>F18/F28</f>
        <v>2.0179491831957002</v>
      </c>
      <c r="G42" s="525">
        <f>G18/G28</f>
        <v>1.906338920602582</v>
      </c>
      <c r="H42" s="17">
        <f t="shared" si="7"/>
        <v>2.2725549503101128E-2</v>
      </c>
      <c r="I42" s="248"/>
      <c r="J42" s="5"/>
      <c r="K42" s="5"/>
      <c r="L42" s="5"/>
      <c r="M42" s="5"/>
      <c r="N42" s="5"/>
      <c r="O42" s="5"/>
      <c r="Q42" s="5"/>
      <c r="R42" s="5"/>
      <c r="S42" s="42"/>
      <c r="T42" s="42"/>
      <c r="U42" s="42"/>
      <c r="V42" s="42"/>
      <c r="W42" s="288"/>
      <c r="X42" s="288"/>
      <c r="Y42" s="288"/>
      <c r="Z42" s="288"/>
      <c r="AA42" s="42"/>
    </row>
    <row r="43" spans="2:27">
      <c r="B43" s="5" t="s">
        <v>470</v>
      </c>
      <c r="C43" s="247"/>
      <c r="D43" s="525">
        <f>L26/D29</f>
        <v>15.948855856015827</v>
      </c>
      <c r="E43" s="525">
        <f>M26/E29</f>
        <v>15.551164174454234</v>
      </c>
      <c r="F43" s="525">
        <f>N26/F29</f>
        <v>10.872037168234719</v>
      </c>
      <c r="G43" s="525">
        <f>O26/G29</f>
        <v>9.7896417558513189</v>
      </c>
      <c r="H43" s="17">
        <f t="shared" si="7"/>
        <v>0.15480117128552728</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10.217787312043999</v>
      </c>
      <c r="E44" s="525">
        <f>E11/E30</f>
        <v>10.53981810603805</v>
      </c>
      <c r="F44" s="525">
        <f>F11/F30</f>
        <v>8.3992378856584722</v>
      </c>
      <c r="G44" s="525">
        <f>G11/G30</f>
        <v>7.8587388281335349</v>
      </c>
      <c r="H44" s="17">
        <f t="shared" si="7"/>
        <v>7.115989827515512E-2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3.2797427652733115E-2</v>
      </c>
      <c r="E45" s="248">
        <f>E31/E11</f>
        <v>4.1157556270096464E-2</v>
      </c>
      <c r="F45" s="248">
        <f>F31/F11</f>
        <v>4.6302250803858518E-2</v>
      </c>
      <c r="G45" s="248">
        <f>G31/G11</f>
        <v>5.1446945337620578E-2</v>
      </c>
      <c r="H45" s="17">
        <f t="shared" si="7"/>
        <v>0.14031868726274976</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3.2797427652733115E-2</v>
      </c>
      <c r="E46" s="248">
        <f>(E31+E32)/E11</f>
        <v>4.1157556270096464E-2</v>
      </c>
      <c r="F46" s="248">
        <f>(F31+F32)/F11</f>
        <v>4.6302250803858518E-2</v>
      </c>
      <c r="G46" s="248">
        <f>(G31+G32)/G11</f>
        <v>5.1446945337620578E-2</v>
      </c>
      <c r="H46" s="279">
        <f>((G31+G32)/(D31+D32))^(1/3)-1</f>
        <v>0.14031868726274976</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6.2700422464650032E-2</v>
      </c>
      <c r="E47" s="248">
        <f>1/E43</f>
        <v>6.4303867464963915E-2</v>
      </c>
      <c r="F47" s="248">
        <f>1/F43</f>
        <v>9.1979082165184398E-2</v>
      </c>
      <c r="G47" s="248">
        <f>1/G43</f>
        <v>0.10214878388193264</v>
      </c>
      <c r="H47" s="17">
        <f>H29</f>
        <v>0.15480117128552728</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0.52308144608154794</v>
      </c>
      <c r="E48" s="305">
        <f>E31/E29</f>
        <v>0.64004791457560828</v>
      </c>
      <c r="F48" s="305">
        <f>F31/F29</f>
        <v>0.50339979171247573</v>
      </c>
      <c r="G48" s="305">
        <f>G31/G29</f>
        <v>0.50364716428817069</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69"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pageSetUpPr fitToPage="1"/>
  </sheetPr>
  <dimension ref="B1:AR165"/>
  <sheetViews>
    <sheetView showGridLines="0" zoomScale="80" zoomScaleNormal="80" zoomScaleSheetLayoutView="80" workbookViewId="0">
      <selection activeCell="D12" sqref="D12"/>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719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267</v>
      </c>
      <c r="C9" s="287">
        <f>Prices!C11</f>
        <v>10.72</v>
      </c>
      <c r="D9" s="531">
        <v>0</v>
      </c>
      <c r="E9" s="532">
        <v>0</v>
      </c>
      <c r="F9" s="532">
        <v>0</v>
      </c>
      <c r="G9" s="532">
        <v>0</v>
      </c>
      <c r="H9" s="249"/>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44">
      <c r="B10" s="5" t="s">
        <v>269</v>
      </c>
      <c r="C10" s="5"/>
      <c r="D10" s="527">
        <v>2660.056599</v>
      </c>
      <c r="E10" s="527">
        <v>2660.056599</v>
      </c>
      <c r="F10" s="527">
        <v>2660.056599</v>
      </c>
      <c r="G10" s="527">
        <v>2660.056599</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44">
      <c r="B11" s="41" t="s">
        <v>270</v>
      </c>
      <c r="C11" s="5"/>
      <c r="D11" s="528">
        <f>$C$9*D10</f>
        <v>28515.806741280001</v>
      </c>
      <c r="E11" s="528">
        <f>$C$9*E10</f>
        <v>28515.806741280001</v>
      </c>
      <c r="F11" s="528">
        <f>$C$9*F10</f>
        <v>28515.806741280001</v>
      </c>
      <c r="G11" s="528">
        <f>$C$9*G10</f>
        <v>28515.806741280001</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44">
      <c r="B12" s="5" t="s">
        <v>24</v>
      </c>
      <c r="C12" s="249"/>
      <c r="D12" s="529">
        <v>27002</v>
      </c>
      <c r="E12" s="529">
        <v>22716.495750876093</v>
      </c>
      <c r="F12" s="529">
        <v>22350.913396264426</v>
      </c>
      <c r="G12" s="529">
        <v>22112.900489488173</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44">
      <c r="B13" s="5" t="s">
        <v>524</v>
      </c>
      <c r="C13" s="257"/>
      <c r="D13" s="529">
        <v>18273.02179560986</v>
      </c>
      <c r="E13" s="529">
        <v>17649.36114324084</v>
      </c>
      <c r="F13" s="529">
        <v>17113.538887815463</v>
      </c>
      <c r="G13" s="529">
        <v>16673.352363532013</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44">
      <c r="B14" s="5" t="s">
        <v>527</v>
      </c>
      <c r="C14" s="257"/>
      <c r="D14" s="529">
        <f>E14</f>
        <v>2881.2110646563879</v>
      </c>
      <c r="E14" s="529">
        <f>ORASOP!R38</f>
        <v>2881.2110646563879</v>
      </c>
      <c r="F14" s="529">
        <f>E14</f>
        <v>2881.2110646563879</v>
      </c>
      <c r="G14" s="529">
        <f>F14</f>
        <v>2881.2110646563879</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44">
      <c r="B15" s="5" t="s">
        <v>526</v>
      </c>
      <c r="C15" s="274"/>
      <c r="D15" s="529">
        <f>ORASOP!T32</f>
        <v>7767.9503956439848</v>
      </c>
      <c r="E15" s="529">
        <f>D15</f>
        <v>7767.9503956439848</v>
      </c>
      <c r="F15" s="529">
        <f>E15</f>
        <v>7767.9503956439848</v>
      </c>
      <c r="G15" s="529">
        <f>F15</f>
        <v>7767.9503956439848</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44">
      <c r="B16" s="5" t="s">
        <v>529</v>
      </c>
      <c r="C16" s="257"/>
      <c r="D16" s="529">
        <v>0</v>
      </c>
      <c r="E16" s="529">
        <v>798.01697969999998</v>
      </c>
      <c r="F16" s="529">
        <v>2793.05942895</v>
      </c>
      <c r="G16" s="529">
        <v>4867.9035761699997</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2050.6423293542939</v>
      </c>
      <c r="E17" s="529">
        <v>1985.6429237862117</v>
      </c>
      <c r="F17" s="529">
        <v>1923.784257997899</v>
      </c>
      <c r="G17" s="529">
        <v>1860.9714436008917</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578</v>
      </c>
      <c r="C18" s="249"/>
      <c r="D18" s="530">
        <f>D11+D12+D13-D14+D15-D16-D17</f>
        <v>76626.925538523181</v>
      </c>
      <c r="E18" s="530">
        <f>E11+E12+E13-E14+E15-E16-E17</f>
        <v>70984.743062898327</v>
      </c>
      <c r="F18" s="530">
        <f>F11+F12+F13-F14+F15-F16-F17</f>
        <v>68150.154669399577</v>
      </c>
      <c r="G18" s="530">
        <f>G11+G12+G13-G14+G15-G16-G17</f>
        <v>65459.923905516887</v>
      </c>
      <c r="H18" s="276">
        <f>IF(D18=0,"nm",IF(G18=0,"nm",(G18/D18)^(1/3)-1))</f>
        <v>-5.1148973583076685E-2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918</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44132</v>
      </c>
      <c r="D23" s="536">
        <v>40087.860704112485</v>
      </c>
      <c r="E23" s="536">
        <v>40173.729287844304</v>
      </c>
      <c r="F23" s="536">
        <v>40358.233824723458</v>
      </c>
      <c r="G23" s="536">
        <v>40632.812335301613</v>
      </c>
      <c r="H23" s="279">
        <f t="shared" ref="H23:H32" si="3">IF(D23=0,"nm",IF(G23=0,"nm",(G23/D23)^(1/3)-1))</f>
        <v>4.5109313910738358E-3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12963</v>
      </c>
      <c r="D24" s="536">
        <v>13035</v>
      </c>
      <c r="E24" s="536">
        <v>11996.235490360537</v>
      </c>
      <c r="F24" s="536">
        <v>12161.712408903884</v>
      </c>
      <c r="G24" s="536">
        <v>12240.230146695923</v>
      </c>
      <c r="H24" s="279">
        <f t="shared" si="3"/>
        <v>-2.0751647859241773E-2</v>
      </c>
      <c r="I24" s="249"/>
      <c r="J24" s="17"/>
      <c r="K24" s="17"/>
      <c r="L24" s="17"/>
      <c r="M24" s="17"/>
      <c r="N24" s="17"/>
      <c r="O24" s="248"/>
      <c r="S24" s="88"/>
      <c r="T24" s="42"/>
      <c r="U24" s="42"/>
      <c r="V24" s="42"/>
      <c r="W24" s="42" t="s">
        <v>721</v>
      </c>
      <c r="X24" s="42" t="s">
        <v>250</v>
      </c>
      <c r="Y24" s="42"/>
      <c r="Z24" s="42"/>
      <c r="AA24" s="42"/>
    </row>
    <row r="25" spans="2:27">
      <c r="B25" s="5" t="s">
        <v>179</v>
      </c>
      <c r="C25" s="544">
        <v>5591</v>
      </c>
      <c r="D25" s="536">
        <v>6219</v>
      </c>
      <c r="E25" s="536">
        <v>5905.311674668972</v>
      </c>
      <c r="F25" s="536">
        <v>6120.3291623373507</v>
      </c>
      <c r="G25" s="536">
        <v>6576.9044124646443</v>
      </c>
      <c r="H25" s="279">
        <f t="shared" si="3"/>
        <v>1.8826715362928681E-2</v>
      </c>
      <c r="I25" s="248"/>
      <c r="J25" s="247" t="s">
        <v>10</v>
      </c>
      <c r="K25" s="247"/>
      <c r="L25" s="321">
        <v>0</v>
      </c>
      <c r="M25" s="321">
        <v>0</v>
      </c>
      <c r="N25" s="321">
        <v>0</v>
      </c>
      <c r="O25" s="321">
        <v>0</v>
      </c>
      <c r="P25" s="279" t="str">
        <f>IF(L25=0,"nm",IF(O25=0,"nm",(O25/L25)^(1/3)-1))</f>
        <v>nm</v>
      </c>
      <c r="S25" s="88"/>
      <c r="T25" s="42"/>
      <c r="U25" s="42"/>
      <c r="V25" s="147" t="s">
        <v>268</v>
      </c>
      <c r="W25" s="288">
        <f>D37/L9</f>
        <v>0.82323743986795817</v>
      </c>
      <c r="X25" s="288">
        <v>1</v>
      </c>
      <c r="Y25" s="42"/>
      <c r="Z25" s="42"/>
      <c r="AA25" s="42"/>
    </row>
    <row r="26" spans="2:27">
      <c r="B26" s="5" t="s">
        <v>581</v>
      </c>
      <c r="C26" s="544">
        <v>4208.5574076970806</v>
      </c>
      <c r="D26" s="536">
        <v>4640.4359637591197</v>
      </c>
      <c r="E26" s="536">
        <v>4409.3980810272078</v>
      </c>
      <c r="F26" s="536">
        <v>4569.4283789836254</v>
      </c>
      <c r="G26" s="536">
        <v>4880.2784623452171</v>
      </c>
      <c r="H26" s="279">
        <f t="shared" si="3"/>
        <v>1.6939866385722091E-2</v>
      </c>
      <c r="I26" s="249"/>
      <c r="J26" s="249" t="s">
        <v>11</v>
      </c>
      <c r="K26" s="249"/>
      <c r="L26" s="281">
        <f>D11+L25</f>
        <v>28515.806741280001</v>
      </c>
      <c r="M26" s="281">
        <f>E11+M25</f>
        <v>28515.806741280001</v>
      </c>
      <c r="N26" s="281">
        <f>F11+N25</f>
        <v>28515.806741280001</v>
      </c>
      <c r="O26" s="281">
        <f>G11+O25</f>
        <v>28515.806741280001</v>
      </c>
      <c r="P26" s="279">
        <f>IF(L26=0,"nm",IF(O26=0,"nm",(O26/L26)^(1/3)-1))</f>
        <v>0</v>
      </c>
      <c r="Q26" s="5"/>
      <c r="S26" s="88"/>
      <c r="T26" s="42"/>
      <c r="U26" s="42"/>
      <c r="V26" s="147" t="s">
        <v>180</v>
      </c>
      <c r="W26" s="288">
        <f t="shared" ref="W26:W33" si="5">D38/L10</f>
        <v>0.84057391090656086</v>
      </c>
      <c r="X26" s="288">
        <v>1</v>
      </c>
      <c r="Y26" s="42"/>
      <c r="Z26" s="42"/>
      <c r="AA26" s="42"/>
    </row>
    <row r="27" spans="2:27">
      <c r="B27" s="5" t="s">
        <v>582</v>
      </c>
      <c r="C27" s="545">
        <v>60253.86716735427</v>
      </c>
      <c r="D27" s="536">
        <v>62100.227842895365</v>
      </c>
      <c r="E27" s="536">
        <v>58165.907402011857</v>
      </c>
      <c r="F27" s="536">
        <v>58978.511501964895</v>
      </c>
      <c r="G27" s="536">
        <v>60051.800668633339</v>
      </c>
      <c r="H27" s="279">
        <f t="shared" si="3"/>
        <v>-1.1118436072145244E-2</v>
      </c>
      <c r="I27" s="249"/>
      <c r="J27" s="248"/>
      <c r="K27" s="248"/>
      <c r="L27" s="248"/>
      <c r="M27" s="248"/>
      <c r="N27" s="248"/>
      <c r="O27" s="248"/>
      <c r="Q27" s="41"/>
      <c r="S27" s="88"/>
      <c r="T27" s="42"/>
      <c r="U27" s="42"/>
      <c r="V27" s="147" t="s">
        <v>181</v>
      </c>
      <c r="W27" s="288">
        <f t="shared" si="5"/>
        <v>0.85450446064278429</v>
      </c>
      <c r="X27" s="288">
        <v>1</v>
      </c>
      <c r="Y27" s="42"/>
      <c r="Z27" s="42"/>
      <c r="AA27" s="42"/>
    </row>
    <row r="28" spans="2:27" ht="12.6" thickBot="1">
      <c r="B28" s="5" t="s">
        <v>587</v>
      </c>
      <c r="C28" s="544">
        <v>31639.653468834</v>
      </c>
      <c r="D28" s="536">
        <v>33193.363060834599</v>
      </c>
      <c r="E28" s="536">
        <v>28523.592817938828</v>
      </c>
      <c r="F28" s="536">
        <v>28862.455951946773</v>
      </c>
      <c r="G28" s="536">
        <v>29492.686165390871</v>
      </c>
      <c r="H28" s="279">
        <f t="shared" si="3"/>
        <v>-3.863636316336172E-2</v>
      </c>
      <c r="I28" s="248"/>
      <c r="J28" s="306" t="s">
        <v>1352</v>
      </c>
      <c r="K28" s="306"/>
      <c r="L28" s="306"/>
      <c r="M28" s="306"/>
      <c r="N28" s="266"/>
      <c r="O28" s="266"/>
      <c r="P28" s="266"/>
      <c r="Q28" s="5"/>
      <c r="S28" s="88"/>
      <c r="T28" s="42"/>
      <c r="U28" s="42"/>
      <c r="V28" s="147" t="s">
        <v>461</v>
      </c>
      <c r="W28" s="288">
        <f t="shared" si="5"/>
        <v>0.85383093342296046</v>
      </c>
      <c r="X28" s="288">
        <v>1</v>
      </c>
      <c r="Y28" s="42"/>
      <c r="Z28" s="42"/>
      <c r="AA28" s="42"/>
    </row>
    <row r="29" spans="2:27" ht="12.6" thickTop="1">
      <c r="B29" s="5" t="s">
        <v>583</v>
      </c>
      <c r="C29" s="544">
        <v>1114.609919729997</v>
      </c>
      <c r="D29" s="536">
        <v>2219.8638327009944</v>
      </c>
      <c r="E29" s="536">
        <v>1490.8183607715105</v>
      </c>
      <c r="F29" s="536">
        <v>1879.4770199506615</v>
      </c>
      <c r="G29" s="536">
        <v>2343.8259367519177</v>
      </c>
      <c r="H29" s="279">
        <f t="shared" si="3"/>
        <v>1.8277951302528406E-2</v>
      </c>
      <c r="I29" s="252"/>
      <c r="J29" s="249"/>
      <c r="K29" s="249"/>
      <c r="L29" s="249"/>
      <c r="M29" s="249"/>
      <c r="N29" s="249"/>
      <c r="O29" s="251"/>
      <c r="Q29" s="5"/>
      <c r="S29" s="88"/>
      <c r="T29" s="42"/>
      <c r="U29" s="42"/>
      <c r="V29" s="147" t="s">
        <v>525</v>
      </c>
      <c r="W29" s="288">
        <f t="shared" si="5"/>
        <v>0.82461749250715832</v>
      </c>
      <c r="X29" s="288">
        <v>1</v>
      </c>
      <c r="Y29" s="42"/>
      <c r="Z29" s="42"/>
      <c r="AA29" s="42"/>
    </row>
    <row r="30" spans="2:27">
      <c r="B30" s="5" t="s">
        <v>584</v>
      </c>
      <c r="C30" s="545">
        <v>3371.9497317490004</v>
      </c>
      <c r="D30" s="536">
        <v>3595.481584055</v>
      </c>
      <c r="E30" s="536">
        <v>2684.0665784828943</v>
      </c>
      <c r="F30" s="536">
        <v>3589.7925627489867</v>
      </c>
      <c r="G30" s="536">
        <v>3801.6070820962263</v>
      </c>
      <c r="H30" s="279">
        <f t="shared" si="3"/>
        <v>1.8755703435594517E-2</v>
      </c>
      <c r="I30" s="254"/>
      <c r="J30" s="248"/>
      <c r="K30" s="248"/>
      <c r="L30" s="248"/>
      <c r="M30" s="248"/>
      <c r="N30" s="248"/>
      <c r="O30" s="5"/>
      <c r="Q30" s="5"/>
      <c r="S30" s="88"/>
      <c r="T30" s="42"/>
      <c r="U30" s="42"/>
      <c r="V30" s="147" t="s">
        <v>588</v>
      </c>
      <c r="W30" s="288">
        <f t="shared" si="5"/>
        <v>0.69915573682829379</v>
      </c>
      <c r="X30" s="288">
        <v>1</v>
      </c>
      <c r="Y30" s="42"/>
      <c r="Z30" s="42"/>
      <c r="AA30" s="42"/>
    </row>
    <row r="31" spans="2:27">
      <c r="B31" s="5" t="s">
        <v>585</v>
      </c>
      <c r="C31" s="545">
        <v>1862.0396192999999</v>
      </c>
      <c r="D31" s="536">
        <v>1915.2407512800003</v>
      </c>
      <c r="E31" s="536">
        <v>1995.0424492500001</v>
      </c>
      <c r="F31" s="536">
        <v>2074.8441472200002</v>
      </c>
      <c r="G31" s="536">
        <v>2157.8379131088</v>
      </c>
      <c r="H31" s="279">
        <f t="shared" si="3"/>
        <v>4.0555259048362657E-2</v>
      </c>
      <c r="I31" s="254"/>
      <c r="J31" s="252"/>
      <c r="K31" s="252"/>
      <c r="L31" s="252"/>
      <c r="M31" s="252"/>
      <c r="N31" s="252"/>
      <c r="O31" s="5"/>
      <c r="Q31" s="5"/>
      <c r="S31" s="88"/>
      <c r="T31" s="42"/>
      <c r="U31" s="42"/>
      <c r="V31" s="147" t="s">
        <v>470</v>
      </c>
      <c r="W31" s="288">
        <f t="shared" si="5"/>
        <v>0.73683877130341746</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0.49278296821043599</v>
      </c>
      <c r="X32" s="288">
        <v>1</v>
      </c>
      <c r="Y32" s="42"/>
      <c r="Z32" s="42"/>
      <c r="AA32" s="42"/>
    </row>
    <row r="33" spans="2:27">
      <c r="B33" s="5" t="s">
        <v>5</v>
      </c>
      <c r="C33" s="545">
        <v>920</v>
      </c>
      <c r="D33" s="536">
        <v>1205</v>
      </c>
      <c r="E33" s="536">
        <v>797.42162166081698</v>
      </c>
      <c r="F33" s="536">
        <v>695.53119325245996</v>
      </c>
      <c r="G33" s="536">
        <v>695.22257320415463</v>
      </c>
      <c r="H33" s="279">
        <f>IF(D33=0,"nm",IF(G33=0,"nm",(G33/D33)^(1/3)-1))</f>
        <v>-0.16751016504920169</v>
      </c>
      <c r="I33" s="5"/>
      <c r="J33" s="254"/>
      <c r="K33" s="254"/>
      <c r="L33" s="254"/>
      <c r="M33" s="254"/>
      <c r="N33" s="254"/>
      <c r="O33" s="251"/>
      <c r="Q33" s="5"/>
      <c r="S33" s="88"/>
      <c r="T33" s="42"/>
      <c r="U33" s="42"/>
      <c r="V33" s="147" t="s">
        <v>575</v>
      </c>
      <c r="W33" s="288">
        <f t="shared" si="5"/>
        <v>1.5153315421822013</v>
      </c>
      <c r="X33" s="288">
        <v>1</v>
      </c>
      <c r="Y33" s="42"/>
      <c r="Z33" s="42"/>
      <c r="AA33" s="42"/>
    </row>
    <row r="34" spans="2:27">
      <c r="D34" s="270"/>
      <c r="E34" s="270"/>
      <c r="F34" s="270"/>
      <c r="G34" s="270"/>
      <c r="H34" s="277"/>
      <c r="I34" s="49"/>
      <c r="J34" s="254"/>
      <c r="K34" s="254"/>
      <c r="L34" s="254"/>
      <c r="M34" s="254"/>
      <c r="N34" s="254"/>
      <c r="O34" s="251"/>
      <c r="Q34" s="5"/>
      <c r="S34" s="88"/>
      <c r="T34" s="42"/>
      <c r="U34" s="42"/>
      <c r="V34" s="147" t="s">
        <v>576</v>
      </c>
      <c r="W34" s="288">
        <f>D47/L19</f>
        <v>1.3571489977801634</v>
      </c>
      <c r="X34" s="288">
        <v>1</v>
      </c>
      <c r="Y34" s="288"/>
      <c r="Z34" s="288"/>
      <c r="AA34" s="42"/>
    </row>
    <row r="35" spans="2:27" ht="12.6" thickBot="1">
      <c r="B35" s="306" t="s">
        <v>720</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1.9114745509645585</v>
      </c>
      <c r="E37" s="525">
        <f t="shared" ref="E37:G41" si="7">E$18/E23</f>
        <v>1.7669443270823444</v>
      </c>
      <c r="F37" s="525">
        <f t="shared" si="7"/>
        <v>1.688630750428201</v>
      </c>
      <c r="G37" s="525">
        <f t="shared" si="7"/>
        <v>1.6110114004746254</v>
      </c>
      <c r="H37" s="17">
        <f t="shared" ref="H37:H45" si="8">H23</f>
        <v>4.5109313910738358E-3</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5.878552016764341</v>
      </c>
      <c r="E38" s="525">
        <f t="shared" si="7"/>
        <v>5.9172515511168022</v>
      </c>
      <c r="F38" s="525">
        <f t="shared" si="7"/>
        <v>5.6036643836031841</v>
      </c>
      <c r="G38" s="525">
        <f t="shared" si="7"/>
        <v>5.3479324425273873</v>
      </c>
      <c r="H38" s="17">
        <f t="shared" si="8"/>
        <v>-2.0751647859241773E-2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12.321422340974944</v>
      </c>
      <c r="E39" s="525">
        <f t="shared" si="7"/>
        <v>12.020490530142499</v>
      </c>
      <c r="F39" s="525">
        <f t="shared" si="7"/>
        <v>11.135047292680753</v>
      </c>
      <c r="G39" s="525">
        <f t="shared" si="7"/>
        <v>9.9529991315452744</v>
      </c>
      <c r="H39" s="17">
        <f t="shared" si="8"/>
        <v>1.8826715362928681E-2</v>
      </c>
      <c r="I39" s="17"/>
      <c r="J39" s="5"/>
      <c r="K39" s="5"/>
      <c r="L39" s="5"/>
      <c r="M39" s="5"/>
      <c r="N39" s="5"/>
      <c r="O39" s="5"/>
      <c r="Q39" s="5"/>
      <c r="R39" s="5"/>
      <c r="S39" s="42"/>
      <c r="T39" s="42"/>
      <c r="U39" s="42"/>
      <c r="V39" s="42"/>
      <c r="W39" s="42"/>
      <c r="X39" s="42"/>
      <c r="Y39" s="42"/>
      <c r="Z39" s="42"/>
      <c r="AA39" s="42"/>
    </row>
    <row r="40" spans="2:27">
      <c r="B40" s="5" t="s">
        <v>461</v>
      </c>
      <c r="C40" s="247"/>
      <c r="D40" s="525">
        <f>D$18/D26</f>
        <v>16.512872095847072</v>
      </c>
      <c r="E40" s="525">
        <f t="shared" si="7"/>
        <v>16.098510898422173</v>
      </c>
      <c r="F40" s="525">
        <f t="shared" si="7"/>
        <v>14.914371999536224</v>
      </c>
      <c r="G40" s="525">
        <f t="shared" si="7"/>
        <v>13.413153452325778</v>
      </c>
      <c r="H40" s="17">
        <f t="shared" si="8"/>
        <v>1.6939866385722091E-2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1.2339234202550475</v>
      </c>
      <c r="E41" s="525">
        <f t="shared" si="7"/>
        <v>1.2203840055702988</v>
      </c>
      <c r="F41" s="525">
        <f t="shared" si="7"/>
        <v>1.1555082170415427</v>
      </c>
      <c r="G41" s="525">
        <f t="shared" si="7"/>
        <v>1.0900576365182728</v>
      </c>
      <c r="H41" s="17">
        <f t="shared" si="8"/>
        <v>-1.1118436072145244E-2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2.3085014133122463</v>
      </c>
      <c r="E42" s="525">
        <f>E18/E28</f>
        <v>2.4886326037530297</v>
      </c>
      <c r="F42" s="525">
        <f>F18/F28</f>
        <v>2.3612042850013548</v>
      </c>
      <c r="G42" s="525">
        <f>G18/G28</f>
        <v>2.2195307520795753</v>
      </c>
      <c r="H42" s="17">
        <f t="shared" si="8"/>
        <v>-3.863636316336172E-2</v>
      </c>
      <c r="I42" s="248"/>
      <c r="J42" s="5"/>
      <c r="K42" s="5"/>
      <c r="L42" s="5"/>
      <c r="M42" s="5"/>
      <c r="N42" s="5"/>
      <c r="O42" s="5"/>
      <c r="Q42" s="5"/>
      <c r="R42" s="5"/>
      <c r="S42" s="42"/>
      <c r="T42" s="42"/>
      <c r="U42" s="42"/>
      <c r="V42" s="42"/>
      <c r="W42" s="288"/>
      <c r="X42" s="288"/>
      <c r="Y42" s="288"/>
      <c r="Z42" s="288"/>
      <c r="AA42" s="42"/>
    </row>
    <row r="43" spans="2:27">
      <c r="B43" s="5" t="s">
        <v>470</v>
      </c>
      <c r="C43" s="247"/>
      <c r="D43" s="525">
        <f>L26/D29</f>
        <v>12.84574590621791</v>
      </c>
      <c r="E43" s="525">
        <f>M26/E29</f>
        <v>19.127619763498782</v>
      </c>
      <c r="F43" s="525">
        <f>N26/F29</f>
        <v>15.17220292591211</v>
      </c>
      <c r="G43" s="525">
        <f>O26/G29</f>
        <v>12.166350023755308</v>
      </c>
      <c r="H43" s="17">
        <f t="shared" si="8"/>
        <v>1.8277951302528406E-2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7.9310117642487681</v>
      </c>
      <c r="E44" s="525">
        <f>E11/E30</f>
        <v>10.624105590330734</v>
      </c>
      <c r="F44" s="525">
        <f>F11/F30</f>
        <v>7.9435806506443933</v>
      </c>
      <c r="G44" s="525">
        <f>G11/G30</f>
        <v>7.5009873786209997</v>
      </c>
      <c r="H44" s="17">
        <f t="shared" si="8"/>
        <v>1.8755703435594517E-2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6.7164179104477625E-2</v>
      </c>
      <c r="E45" s="248">
        <f>E31/E11</f>
        <v>6.9962686567164187E-2</v>
      </c>
      <c r="F45" s="248">
        <f>F31/F11</f>
        <v>7.2761194029850748E-2</v>
      </c>
      <c r="G45" s="248">
        <f>G31/G11</f>
        <v>7.5671641791044769E-2</v>
      </c>
      <c r="H45" s="17">
        <f t="shared" si="8"/>
        <v>4.0555259048362657E-2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6.7164179104477625E-2</v>
      </c>
      <c r="E46" s="248">
        <f>(E31+E32)/E11</f>
        <v>6.9962686567164187E-2</v>
      </c>
      <c r="F46" s="248">
        <f>(F31+F32)/F11</f>
        <v>7.2761194029850748E-2</v>
      </c>
      <c r="G46" s="248">
        <f>(G31+G32)/G11</f>
        <v>7.5671641791044769E-2</v>
      </c>
      <c r="H46" s="279">
        <f>((G31+G32)/(D31+D32))^(1/3)-1</f>
        <v>4.0555259048362657E-2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7.7846783464396233E-2</v>
      </c>
      <c r="E47" s="248">
        <f>1/E43</f>
        <v>5.2280420269975203E-2</v>
      </c>
      <c r="F47" s="248">
        <f>1/F43</f>
        <v>6.5910006930643708E-2</v>
      </c>
      <c r="G47" s="248">
        <f>1/G43</f>
        <v>8.2193919955241959E-2</v>
      </c>
      <c r="H47" s="17">
        <f>H29</f>
        <v>1.8277951302528406E-2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0.86277397877582995</v>
      </c>
      <c r="E48" s="305">
        <f>E31/E29</f>
        <v>1.3382196662895602</v>
      </c>
      <c r="F48" s="305">
        <f>F31/F29</f>
        <v>1.1039476009525604</v>
      </c>
      <c r="G48" s="305">
        <f>G31/G29</f>
        <v>0.92064768090208071</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ORASOP!A1" display="Jump to Orange SOP" xr:uid="{00000000-0004-0000-2600-000001000000}"/>
  </hyperlinks>
  <pageMargins left="0.75" right="0.75" top="1" bottom="1" header="0.5" footer="0.5"/>
  <pageSetup scale="71"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661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471</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193</v>
      </c>
      <c r="C9" s="267">
        <f>Prices!C126</f>
        <v>5.16</v>
      </c>
      <c r="D9" s="529">
        <v>5918.5588310000003</v>
      </c>
      <c r="E9" s="529">
        <v>5918.5588310000003</v>
      </c>
      <c r="F9" s="529">
        <v>5918.5588310000003</v>
      </c>
      <c r="G9" s="529">
        <v>5918.5588310000003</v>
      </c>
      <c r="H9" s="249" t="s">
        <v>145</v>
      </c>
      <c r="I9" s="249"/>
      <c r="J9" s="5" t="s">
        <v>268</v>
      </c>
      <c r="L9" s="525">
        <f>'LATAM INCUMB'!D37</f>
        <v>1.7981142291912398</v>
      </c>
      <c r="M9" s="525">
        <f>'LATAM INCUMB'!E37</f>
        <v>1.6573649184523203</v>
      </c>
      <c r="N9" s="525">
        <f>'LATAM INCUMB'!F37</f>
        <v>1.5166362516889134</v>
      </c>
      <c r="O9" s="525">
        <f>'LATAM INCUMB'!G37</f>
        <v>1.393473574712661</v>
      </c>
      <c r="P9" s="286">
        <f>'LATAM INCUMB'!H37</f>
        <v>3.2219017878071687E-2</v>
      </c>
      <c r="S9" s="42"/>
      <c r="T9" s="42"/>
      <c r="U9" s="42"/>
      <c r="V9" s="42"/>
      <c r="W9" s="42"/>
      <c r="X9" s="42"/>
      <c r="Y9" s="42"/>
      <c r="Z9" s="42"/>
      <c r="AA9" s="42"/>
    </row>
    <row r="10" spans="2:44">
      <c r="B10" s="5" t="s">
        <v>269</v>
      </c>
      <c r="C10" s="267">
        <f>Prices!C127</f>
        <v>12.1</v>
      </c>
      <c r="D10" s="527">
        <v>0</v>
      </c>
      <c r="E10" s="527">
        <v>0</v>
      </c>
      <c r="F10" s="527">
        <v>0</v>
      </c>
      <c r="G10" s="527">
        <v>0</v>
      </c>
      <c r="H10" s="249" t="s">
        <v>176</v>
      </c>
      <c r="I10" s="247"/>
      <c r="J10" s="5" t="s">
        <v>180</v>
      </c>
      <c r="L10" s="525">
        <f>'LATAM INCUMB'!D38</f>
        <v>4.7512746785783913</v>
      </c>
      <c r="M10" s="525">
        <f>'LATAM INCUMB'!E38</f>
        <v>4.280865063792997</v>
      </c>
      <c r="N10" s="525">
        <f>'LATAM INCUMB'!F38</f>
        <v>3.8384069733071251</v>
      </c>
      <c r="O10" s="525">
        <f>'LATAM INCUMB'!G38</f>
        <v>3.473863325911124</v>
      </c>
      <c r="P10" s="286">
        <f>'LATAM INCUMB'!H38</f>
        <v>5.2441939874377175E-2</v>
      </c>
      <c r="S10" s="42"/>
      <c r="T10" s="42"/>
      <c r="U10" s="42"/>
      <c r="V10" s="42"/>
      <c r="W10" s="288"/>
      <c r="X10" s="288"/>
      <c r="Y10" s="288"/>
      <c r="Z10" s="288"/>
      <c r="AA10" s="42"/>
    </row>
    <row r="11" spans="2:44">
      <c r="B11" s="41" t="s">
        <v>270</v>
      </c>
      <c r="C11" s="5"/>
      <c r="D11" s="528">
        <f>(D10*$C$10)+(D9*$C$9)</f>
        <v>30539.763567960003</v>
      </c>
      <c r="E11" s="528">
        <f t="shared" ref="E11:G11" si="2">(E10*$C$10)+(E9*$C$9)</f>
        <v>30539.763567960003</v>
      </c>
      <c r="F11" s="528">
        <f t="shared" si="2"/>
        <v>30539.763567960003</v>
      </c>
      <c r="G11" s="528">
        <f t="shared" si="2"/>
        <v>30539.763567960003</v>
      </c>
      <c r="H11" s="249"/>
      <c r="I11" s="249"/>
      <c r="J11" s="5" t="s">
        <v>181</v>
      </c>
      <c r="L11" s="525">
        <f>'LATAM INCUMB'!D39</f>
        <v>9.3432661340600287</v>
      </c>
      <c r="M11" s="525">
        <f>'LATAM INCUMB'!E39</f>
        <v>7.5472128390826727</v>
      </c>
      <c r="N11" s="525">
        <f>'LATAM INCUMB'!F39</f>
        <v>6.3647667031009485</v>
      </c>
      <c r="O11" s="525">
        <f>'LATAM INCUMB'!G39</f>
        <v>5.4763649870724755</v>
      </c>
      <c r="P11" s="286">
        <f>'LATAM INCUMB'!H39</f>
        <v>0.13292489725074952</v>
      </c>
      <c r="S11" s="42"/>
      <c r="T11" s="42"/>
      <c r="U11" s="42"/>
      <c r="V11" s="42"/>
      <c r="W11" s="288"/>
      <c r="X11" s="288"/>
      <c r="Y11" s="288"/>
      <c r="Z11" s="288"/>
      <c r="AA11" s="42"/>
    </row>
    <row r="12" spans="2:44">
      <c r="B12" s="5" t="s">
        <v>24</v>
      </c>
      <c r="C12" s="249"/>
      <c r="D12" s="529">
        <v>20863.20750065874</v>
      </c>
      <c r="E12" s="529">
        <v>25088.06759980998</v>
      </c>
      <c r="F12" s="529">
        <v>27097.602920370646</v>
      </c>
      <c r="G12" s="529">
        <v>29577.580186250325</v>
      </c>
      <c r="H12" s="247"/>
      <c r="I12" s="247"/>
      <c r="J12" s="5" t="s">
        <v>461</v>
      </c>
      <c r="L12" s="525">
        <f>'LATAM INCUMB'!D40</f>
        <v>15.212560266492316</v>
      </c>
      <c r="M12" s="525">
        <f>'LATAM INCUMB'!E40</f>
        <v>11.124381688326695</v>
      </c>
      <c r="N12" s="525">
        <f>'LATAM INCUMB'!F40</f>
        <v>9.2813342134669856</v>
      </c>
      <c r="O12" s="525">
        <f>'LATAM INCUMB'!G40</f>
        <v>7.8992460056032359</v>
      </c>
      <c r="P12" s="286">
        <f>'LATAM INCUMB'!H40</f>
        <v>0.17960851918674359</v>
      </c>
      <c r="S12" s="42"/>
      <c r="T12" s="42"/>
      <c r="U12" s="42"/>
      <c r="V12" s="42"/>
      <c r="W12" s="288"/>
      <c r="X12" s="288"/>
      <c r="Y12" s="288"/>
      <c r="Z12" s="288"/>
      <c r="AA12" s="42"/>
    </row>
    <row r="13" spans="2:44">
      <c r="B13" s="5" t="s">
        <v>524</v>
      </c>
      <c r="C13" s="257"/>
      <c r="D13" s="529">
        <v>1115</v>
      </c>
      <c r="E13" s="529">
        <v>1115</v>
      </c>
      <c r="F13" s="529">
        <v>1115</v>
      </c>
      <c r="G13" s="529">
        <v>1115</v>
      </c>
      <c r="H13" s="247"/>
      <c r="I13" s="247"/>
      <c r="J13" s="5" t="s">
        <v>525</v>
      </c>
      <c r="L13" s="525">
        <f>'LATAM INCUMB'!D41</f>
        <v>1.3500734909901855</v>
      </c>
      <c r="M13" s="525">
        <f>'LATAM INCUMB'!E41</f>
        <v>1.2958114371123857</v>
      </c>
      <c r="N13" s="525">
        <f>'LATAM INCUMB'!F41</f>
        <v>1.2298151663256318</v>
      </c>
      <c r="O13" s="525">
        <f>'LATAM INCUMB'!G41</f>
        <v>1.1569201821496407</v>
      </c>
      <c r="P13" s="286">
        <f>'LATAM INCUMB'!H41</f>
        <v>-1.8012682500362365E-3</v>
      </c>
      <c r="S13" s="42"/>
      <c r="T13" s="42"/>
      <c r="U13" s="42"/>
      <c r="V13" s="42"/>
      <c r="W13" s="42"/>
      <c r="X13" s="42"/>
      <c r="Y13" s="42"/>
      <c r="Z13" s="42"/>
      <c r="AA13" s="42"/>
    </row>
    <row r="14" spans="2:44">
      <c r="B14" s="5" t="s">
        <v>527</v>
      </c>
      <c r="C14" s="257"/>
      <c r="D14" s="529">
        <v>0</v>
      </c>
      <c r="E14" s="529">
        <v>1600</v>
      </c>
      <c r="F14" s="529">
        <v>1600</v>
      </c>
      <c r="G14" s="529">
        <v>1600</v>
      </c>
      <c r="H14" s="247"/>
      <c r="I14" s="247"/>
      <c r="J14" s="5" t="s">
        <v>588</v>
      </c>
      <c r="L14" s="525">
        <f>'LATAM INCUMB'!D42</f>
        <v>2.3016970940645507</v>
      </c>
      <c r="M14" s="525">
        <f>'LATAM INCUMB'!E42</f>
        <v>2.2701196711338612</v>
      </c>
      <c r="N14" s="525">
        <f>'LATAM INCUMB'!F42</f>
        <v>2.2018047168545012</v>
      </c>
      <c r="O14" s="525">
        <f>'LATAM INCUMB'!G42</f>
        <v>2.1318659888961053</v>
      </c>
      <c r="P14" s="286">
        <f>'LATAM INCUMB'!H42</f>
        <v>-2.7338410987633122E-2</v>
      </c>
      <c r="S14" s="42"/>
      <c r="T14" s="42"/>
      <c r="U14" s="42"/>
      <c r="V14" s="42"/>
      <c r="W14" s="42"/>
      <c r="X14" s="42"/>
      <c r="Y14" s="42"/>
      <c r="Z14" s="42"/>
      <c r="AA14" s="42"/>
    </row>
    <row r="15" spans="2:44">
      <c r="B15" s="5" t="s">
        <v>526</v>
      </c>
      <c r="C15" s="274"/>
      <c r="D15" s="529">
        <v>0</v>
      </c>
      <c r="E15" s="529">
        <v>250</v>
      </c>
      <c r="F15" s="529">
        <v>250</v>
      </c>
      <c r="G15" s="529">
        <v>250</v>
      </c>
      <c r="H15" s="247"/>
      <c r="I15" s="247"/>
      <c r="J15" s="5" t="s">
        <v>470</v>
      </c>
      <c r="L15" s="525">
        <f>'LATAM INCUMB'!D43</f>
        <v>31.920933591934315</v>
      </c>
      <c r="M15" s="525">
        <f>'LATAM INCUMB'!E43</f>
        <v>16.465156182385741</v>
      </c>
      <c r="N15" s="525">
        <f>'LATAM INCUMB'!F43</f>
        <v>12.417200013045317</v>
      </c>
      <c r="O15" s="525">
        <f>'LATAM INCUMB'!G43</f>
        <v>9.867174953724458</v>
      </c>
      <c r="P15" s="286">
        <f>'LATAM INCUMB'!H43</f>
        <v>0.44386238616406404</v>
      </c>
      <c r="S15" s="42"/>
      <c r="T15" s="42"/>
      <c r="U15" s="42"/>
      <c r="V15" s="42"/>
      <c r="W15" s="42"/>
      <c r="X15" s="42"/>
      <c r="Y15" s="42"/>
      <c r="Z15" s="42"/>
      <c r="AA15" s="42"/>
    </row>
    <row r="16" spans="2:44">
      <c r="B16" s="5" t="s">
        <v>529</v>
      </c>
      <c r="C16" s="257"/>
      <c r="D16" s="529">
        <v>0</v>
      </c>
      <c r="E16" s="529">
        <v>0</v>
      </c>
      <c r="F16" s="529">
        <v>0</v>
      </c>
      <c r="G16" s="529">
        <v>0</v>
      </c>
      <c r="H16" s="247"/>
      <c r="I16" s="247"/>
      <c r="J16" s="5" t="s">
        <v>528</v>
      </c>
      <c r="L16" s="525">
        <f>'LATAM INCUMB'!D44</f>
        <v>16.651538951838202</v>
      </c>
      <c r="M16" s="525">
        <f>'LATAM INCUMB'!E44</f>
        <v>12.18073372584948</v>
      </c>
      <c r="N16" s="525">
        <f>'LATAM INCUMB'!F44</f>
        <v>9.1775904647564932</v>
      </c>
      <c r="O16" s="525">
        <f>'LATAM INCUMB'!G44</f>
        <v>7.3507020212907745</v>
      </c>
      <c r="P16" s="286">
        <f>'LATAM INCUMB'!H44</f>
        <v>0.27622076039307863</v>
      </c>
      <c r="S16" s="42"/>
      <c r="T16" s="42"/>
      <c r="U16" s="42"/>
      <c r="V16" s="42"/>
      <c r="W16" s="42"/>
      <c r="X16" s="42"/>
      <c r="Y16" s="42"/>
      <c r="Z16" s="42"/>
      <c r="AA16" s="42"/>
    </row>
    <row r="17" spans="2:27">
      <c r="B17" s="5" t="s">
        <v>6</v>
      </c>
      <c r="C17" s="257"/>
      <c r="D17" s="529">
        <v>-2994</v>
      </c>
      <c r="E17" s="529">
        <v>-2128.7299999999996</v>
      </c>
      <c r="F17" s="529">
        <v>-1224.5228499999994</v>
      </c>
      <c r="G17" s="529">
        <v>-279.62637824999933</v>
      </c>
      <c r="H17" s="247"/>
      <c r="I17" s="247"/>
      <c r="J17" s="5" t="s">
        <v>575</v>
      </c>
      <c r="L17" s="248">
        <f>'LATAM INCUMB'!D45</f>
        <v>3.2025799004615774E-2</v>
      </c>
      <c r="M17" s="248">
        <f>'LATAM INCUMB'!E45</f>
        <v>3.5431489634530598E-2</v>
      </c>
      <c r="N17" s="248">
        <f>'LATAM INCUMB'!F45</f>
        <v>4.0832121196613419E-2</v>
      </c>
      <c r="O17" s="248">
        <f>'LATAM INCUMB'!G45</f>
        <v>4.5473553846557851E-2</v>
      </c>
      <c r="P17" s="286">
        <f>'LATAM INCUMB'!H45</f>
        <v>9.2203572531136757E-2</v>
      </c>
      <c r="S17" s="42"/>
      <c r="T17" s="42"/>
      <c r="U17" s="42"/>
      <c r="V17" s="42"/>
      <c r="W17" s="42"/>
      <c r="X17" s="42"/>
      <c r="Y17" s="42"/>
      <c r="Z17" s="42"/>
      <c r="AA17" s="42"/>
    </row>
    <row r="18" spans="2:27" ht="12.6" thickBot="1">
      <c r="B18" s="41" t="s">
        <v>578</v>
      </c>
      <c r="C18" s="249"/>
      <c r="D18" s="530">
        <f>D11+D12+D13-D14+D15-D16+D17</f>
        <v>49523.971068618746</v>
      </c>
      <c r="E18" s="530">
        <f t="shared" ref="E18:G18" si="3">E11+E12+E13-E14+E15-E16+E17</f>
        <v>53264.101167769986</v>
      </c>
      <c r="F18" s="530">
        <f t="shared" si="3"/>
        <v>56177.843638330647</v>
      </c>
      <c r="G18" s="530">
        <f t="shared" si="3"/>
        <v>59602.717375960325</v>
      </c>
      <c r="H18" s="276">
        <f>IF(D18=0,"nm",IF(G18=0,"nm",(G18/D18)^(1/3)-1))</f>
        <v>6.3694384172634955E-2</v>
      </c>
      <c r="I18" s="254"/>
      <c r="J18" s="5" t="s">
        <v>36</v>
      </c>
      <c r="L18" s="248">
        <f>'LATAM INCUMB'!D46</f>
        <v>3.2386280718173587E-2</v>
      </c>
      <c r="M18" s="248">
        <f>'LATAM INCUMB'!E46</f>
        <v>3.5702377387231532E-2</v>
      </c>
      <c r="N18" s="248">
        <f>'LATAM INCUMB'!F46</f>
        <v>3.2802914073150051E-2</v>
      </c>
      <c r="O18" s="248">
        <f>'LATAM INCUMB'!G46</f>
        <v>7.2247104617748276E-2</v>
      </c>
      <c r="P18" s="286">
        <f>'LATAM INCUMB'!H46</f>
        <v>0.269707667316055</v>
      </c>
      <c r="S18" s="42"/>
      <c r="T18" s="42"/>
      <c r="U18" s="42"/>
      <c r="V18" s="42"/>
      <c r="W18" s="42"/>
      <c r="X18" s="42"/>
      <c r="Y18" s="42"/>
      <c r="Z18" s="42"/>
      <c r="AA18" s="42"/>
    </row>
    <row r="19" spans="2:27" ht="12.6" thickTop="1">
      <c r="B19" s="41"/>
      <c r="C19" s="249"/>
      <c r="D19" s="229"/>
      <c r="E19" s="229"/>
      <c r="F19" s="229"/>
      <c r="G19" s="229"/>
      <c r="H19" s="276"/>
      <c r="I19" s="254"/>
      <c r="J19" s="5" t="s">
        <v>576</v>
      </c>
      <c r="L19" s="248">
        <f>'LATAM INCUMB'!D47</f>
        <v>3.1327404542224199E-2</v>
      </c>
      <c r="M19" s="248">
        <f>'LATAM INCUMB'!E47</f>
        <v>6.0734316086827646E-2</v>
      </c>
      <c r="N19" s="248">
        <f>'LATAM INCUMB'!F47</f>
        <v>8.053345351201685E-2</v>
      </c>
      <c r="O19" s="248">
        <f>'LATAM INCUMB'!G47</f>
        <v>0.10134613044664224</v>
      </c>
      <c r="P19" s="286">
        <f>'LATAM INCUMB'!H47</f>
        <v>0.44386238616406404</v>
      </c>
      <c r="S19" s="42"/>
      <c r="T19" s="42"/>
      <c r="U19" s="42"/>
      <c r="V19" s="42"/>
      <c r="W19" s="42"/>
      <c r="X19" s="42"/>
      <c r="Y19" s="42"/>
      <c r="Z19" s="42"/>
      <c r="AA19" s="42"/>
    </row>
    <row r="20" spans="2:27">
      <c r="H20" s="277"/>
      <c r="I20" s="17"/>
      <c r="J20" s="5" t="s">
        <v>599</v>
      </c>
      <c r="L20" s="305">
        <f>'LATAM INCUMB'!D48</f>
        <v>0.8627930890635962</v>
      </c>
      <c r="M20" s="305">
        <f>'LATAM INCUMB'!E48</f>
        <v>0.49052492114089552</v>
      </c>
      <c r="N20" s="305">
        <f>'LATAM INCUMB'!F48</f>
        <v>0.42422949128548088</v>
      </c>
      <c r="O20" s="305">
        <f>'LATAM INCUMB'!G48</f>
        <v>0.3734565041962376</v>
      </c>
      <c r="P20" s="286" t="str">
        <f>'LATAM INCUMB'!H48</f>
        <v>nm</v>
      </c>
      <c r="S20" s="42"/>
      <c r="T20" s="42"/>
      <c r="U20" s="42"/>
      <c r="V20" s="42"/>
      <c r="W20" s="42"/>
      <c r="X20" s="42"/>
      <c r="Y20" s="42"/>
      <c r="Z20" s="42"/>
      <c r="AA20" s="42"/>
    </row>
    <row r="21" spans="2:27" ht="12.6" thickBot="1">
      <c r="B21" s="306" t="s">
        <v>939</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20136</v>
      </c>
      <c r="D23" s="536">
        <v>18759.231696351115</v>
      </c>
      <c r="E23" s="536">
        <v>18952.048732029296</v>
      </c>
      <c r="F23" s="536">
        <v>19555.815368500866</v>
      </c>
      <c r="G23" s="536">
        <v>20254.799701069831</v>
      </c>
      <c r="H23" s="279">
        <f t="shared" ref="H23:H32" si="5">IF(D23=0,"nm",IF(G23=0,"nm",(G23/D23)^(1/3)-1))</f>
        <v>2.5898280258095152E-2</v>
      </c>
      <c r="I23" s="247"/>
      <c r="J23" s="306" t="s">
        <v>9</v>
      </c>
      <c r="K23" s="306"/>
      <c r="L23" s="265" t="str">
        <f>D21</f>
        <v>2023E</v>
      </c>
      <c r="M23" s="265" t="str">
        <f t="shared" ref="M23:P23" si="6">E21</f>
        <v>2024E</v>
      </c>
      <c r="N23" s="265" t="str">
        <f t="shared" si="6"/>
        <v>2025E</v>
      </c>
      <c r="O23" s="265" t="str">
        <f t="shared" si="6"/>
        <v>2026E</v>
      </c>
      <c r="P23" s="265" t="str">
        <f t="shared" si="6"/>
        <v>23E-26E</v>
      </c>
      <c r="S23" s="42"/>
      <c r="T23" s="42"/>
      <c r="U23" s="42"/>
      <c r="V23" s="42"/>
      <c r="W23" s="42"/>
      <c r="X23" s="42"/>
      <c r="Y23" s="42"/>
      <c r="Z23" s="42"/>
      <c r="AA23" s="42"/>
    </row>
    <row r="24" spans="2:27" ht="12.6" thickTop="1">
      <c r="B24" s="5" t="s">
        <v>478</v>
      </c>
      <c r="C24" s="545">
        <v>4464</v>
      </c>
      <c r="D24" s="536">
        <v>4367.5216963511139</v>
      </c>
      <c r="E24" s="536">
        <v>4762.6922320292942</v>
      </c>
      <c r="F24" s="536">
        <v>5194.1439735008644</v>
      </c>
      <c r="G24" s="536">
        <v>5511.9173888698297</v>
      </c>
      <c r="H24" s="279">
        <f t="shared" si="5"/>
        <v>8.0660330902892818E-2</v>
      </c>
      <c r="I24" s="249"/>
      <c r="J24" s="17"/>
      <c r="K24" s="17"/>
      <c r="L24" s="17"/>
      <c r="M24" s="17"/>
      <c r="N24" s="17"/>
      <c r="O24" s="248"/>
      <c r="S24" s="42"/>
      <c r="T24" s="42"/>
      <c r="U24" s="42"/>
      <c r="V24" s="42"/>
      <c r="W24" s="42" t="s">
        <v>656</v>
      </c>
      <c r="X24" s="42" t="s">
        <v>258</v>
      </c>
      <c r="Y24" s="42"/>
      <c r="Z24" s="42"/>
      <c r="AA24" s="42"/>
    </row>
    <row r="25" spans="2:27">
      <c r="B25" s="5" t="s">
        <v>179</v>
      </c>
      <c r="C25" s="544">
        <v>-3378</v>
      </c>
      <c r="D25" s="536">
        <v>-2718.9263482623101</v>
      </c>
      <c r="E25" s="536">
        <v>-2021.7253115012518</v>
      </c>
      <c r="F25" s="536">
        <v>-64.436175994369478</v>
      </c>
      <c r="G25" s="536">
        <v>1068.0014546344664</v>
      </c>
      <c r="H25" s="279">
        <f t="shared" si="5"/>
        <v>-1.7323603107617997</v>
      </c>
      <c r="I25" s="248"/>
      <c r="J25" s="247" t="s">
        <v>10</v>
      </c>
      <c r="K25" s="247"/>
      <c r="L25" s="321">
        <v>0</v>
      </c>
      <c r="M25" s="321">
        <v>0</v>
      </c>
      <c r="N25" s="321">
        <v>0</v>
      </c>
      <c r="O25" s="321">
        <v>0</v>
      </c>
      <c r="P25" s="279" t="str">
        <f>IF(L25=0,"nm",IF(O25=0,"nm",(O25/L25)^(1/3)-1))</f>
        <v>nm</v>
      </c>
      <c r="S25" s="42"/>
      <c r="T25" s="42"/>
      <c r="U25" s="42"/>
      <c r="V25" s="147" t="s">
        <v>268</v>
      </c>
      <c r="W25" s="288">
        <f>D37/L9</f>
        <v>1.4681929555991735</v>
      </c>
      <c r="X25" s="288">
        <v>1</v>
      </c>
      <c r="Y25" s="42"/>
      <c r="Z25" s="42"/>
      <c r="AA25" s="42"/>
    </row>
    <row r="26" spans="2:27">
      <c r="B26" s="5" t="s">
        <v>581</v>
      </c>
      <c r="C26" s="544">
        <v>-2229.4799999999996</v>
      </c>
      <c r="D26" s="536">
        <v>-1794.4913898531245</v>
      </c>
      <c r="E26" s="536">
        <v>-1334.3387055908261</v>
      </c>
      <c r="F26" s="536">
        <v>-42.527876156283853</v>
      </c>
      <c r="G26" s="536">
        <v>704.88096005874775</v>
      </c>
      <c r="H26" s="279">
        <f t="shared" si="5"/>
        <v>-1.7323603107617997</v>
      </c>
      <c r="I26" s="249"/>
      <c r="J26" s="249" t="s">
        <v>11</v>
      </c>
      <c r="K26" s="249"/>
      <c r="L26" s="281">
        <f>D11+L25</f>
        <v>30539.763567960003</v>
      </c>
      <c r="M26" s="281">
        <f>E11+M25</f>
        <v>30539.763567960003</v>
      </c>
      <c r="N26" s="281">
        <f>F11+N25</f>
        <v>30539.763567960003</v>
      </c>
      <c r="O26" s="281">
        <f>G11+O25</f>
        <v>30539.763567960003</v>
      </c>
      <c r="P26" s="279">
        <f>IF(L26=0,"nm",IF(O26=0,"nm",(O26/L26)^(1/3)-1))</f>
        <v>0</v>
      </c>
      <c r="Q26" s="5"/>
      <c r="S26" s="42"/>
      <c r="T26" s="42"/>
      <c r="U26" s="42"/>
      <c r="V26" s="147" t="s">
        <v>180</v>
      </c>
      <c r="W26" s="288">
        <f t="shared" ref="W26:W33" si="7">D38/L10</f>
        <v>2.3865484292072199</v>
      </c>
      <c r="X26" s="288">
        <v>1</v>
      </c>
      <c r="Y26" s="42"/>
      <c r="Z26" s="42"/>
      <c r="AA26" s="42"/>
    </row>
    <row r="27" spans="2:27">
      <c r="B27" s="5" t="s">
        <v>582</v>
      </c>
      <c r="C27" s="545">
        <v>15925.2</v>
      </c>
      <c r="D27" s="536">
        <v>20873.611500658739</v>
      </c>
      <c r="E27" s="536">
        <v>25098.679679809979</v>
      </c>
      <c r="F27" s="536">
        <v>27108.427241970647</v>
      </c>
      <c r="G27" s="536">
        <v>29588.620994282326</v>
      </c>
      <c r="H27" s="279">
        <f t="shared" si="5"/>
        <v>0.12333435963956574</v>
      </c>
      <c r="I27" s="249"/>
      <c r="J27" s="248"/>
      <c r="K27" s="248"/>
      <c r="L27" s="248"/>
      <c r="M27" s="248"/>
      <c r="N27" s="248"/>
      <c r="O27" s="248"/>
      <c r="Q27" s="41"/>
      <c r="S27" s="42"/>
      <c r="T27" s="42"/>
      <c r="U27" s="42"/>
      <c r="V27" s="147" t="s">
        <v>181</v>
      </c>
      <c r="W27" s="288">
        <f t="shared" si="7"/>
        <v>-1.9494823087228987</v>
      </c>
      <c r="X27" s="288">
        <v>1</v>
      </c>
      <c r="Y27" s="42"/>
      <c r="Z27" s="42"/>
      <c r="AA27" s="42"/>
    </row>
    <row r="28" spans="2:27" ht="12.6" thickBot="1">
      <c r="B28" s="5" t="s">
        <v>587</v>
      </c>
      <c r="C28" s="544">
        <v>0</v>
      </c>
      <c r="D28" s="536">
        <v>0</v>
      </c>
      <c r="E28" s="536">
        <v>0</v>
      </c>
      <c r="F28" s="536">
        <v>0</v>
      </c>
      <c r="G28" s="536">
        <v>0</v>
      </c>
      <c r="H28" s="279" t="str">
        <f t="shared" si="5"/>
        <v>nm</v>
      </c>
      <c r="I28" s="248"/>
      <c r="J28" s="306" t="s">
        <v>1352</v>
      </c>
      <c r="K28" s="306"/>
      <c r="L28" s="306"/>
      <c r="M28" s="306"/>
      <c r="N28" s="266"/>
      <c r="O28" s="266"/>
      <c r="P28" s="266"/>
      <c r="Q28" s="5"/>
      <c r="S28" s="42"/>
      <c r="T28" s="42"/>
      <c r="U28" s="42"/>
      <c r="V28" s="147" t="s">
        <v>461</v>
      </c>
      <c r="W28" s="288">
        <f t="shared" si="7"/>
        <v>-1.8141440576533989</v>
      </c>
      <c r="X28" s="288">
        <v>1</v>
      </c>
      <c r="Y28" s="42"/>
      <c r="Z28" s="42"/>
      <c r="AA28" s="42"/>
    </row>
    <row r="29" spans="2:27" ht="12.6" thickTop="1">
      <c r="B29" s="5" t="s">
        <v>583</v>
      </c>
      <c r="C29" s="544">
        <v>-5355.8055244076068</v>
      </c>
      <c r="D29" s="536">
        <v>-5326.5849625137816</v>
      </c>
      <c r="E29" s="536">
        <v>-4938.2922607104638</v>
      </c>
      <c r="F29" s="536">
        <v>-3046.1535859043333</v>
      </c>
      <c r="G29" s="536">
        <v>-1925.8038724878456</v>
      </c>
      <c r="H29" s="279">
        <f t="shared" si="5"/>
        <v>-0.28760466703159515</v>
      </c>
      <c r="I29" s="252"/>
      <c r="J29" s="249"/>
      <c r="K29" s="249"/>
      <c r="L29" s="249"/>
      <c r="M29" s="249"/>
      <c r="N29" s="249"/>
      <c r="O29" s="251"/>
      <c r="Q29" s="5"/>
      <c r="S29" s="42"/>
      <c r="T29" s="42"/>
      <c r="U29" s="42"/>
      <c r="V29" s="147" t="s">
        <v>525</v>
      </c>
      <c r="W29" s="288">
        <f t="shared" si="7"/>
        <v>1.7573588596846355</v>
      </c>
      <c r="X29" s="288">
        <v>1</v>
      </c>
      <c r="Y29" s="42"/>
      <c r="Z29" s="42"/>
      <c r="AA29" s="42"/>
    </row>
    <row r="30" spans="2:27">
      <c r="B30" s="5" t="s">
        <v>584</v>
      </c>
      <c r="C30" s="545">
        <v>-3162.0855244076074</v>
      </c>
      <c r="D30" s="536">
        <v>-3503.1257928786704</v>
      </c>
      <c r="E30" s="536">
        <v>-2902.4989801872416</v>
      </c>
      <c r="F30" s="536">
        <v>-2100.6771390792901</v>
      </c>
      <c r="G30" s="536">
        <v>-1543.888686498449</v>
      </c>
      <c r="H30" s="279">
        <f t="shared" si="5"/>
        <v>-0.23899633082579186</v>
      </c>
      <c r="I30" s="254"/>
      <c r="J30" s="248"/>
      <c r="K30" s="248"/>
      <c r="L30" s="248"/>
      <c r="M30" s="248"/>
      <c r="N30" s="248"/>
      <c r="O30" s="5"/>
      <c r="Q30" s="5"/>
      <c r="S30" s="42"/>
      <c r="T30" s="42"/>
      <c r="U30" s="42"/>
      <c r="V30" s="147" t="s">
        <v>588</v>
      </c>
      <c r="W30" s="288" t="e">
        <f t="shared" si="7"/>
        <v>#DIV/0!</v>
      </c>
      <c r="X30" s="288">
        <v>1</v>
      </c>
      <c r="Y30" s="42"/>
      <c r="Z30" s="42"/>
      <c r="AA30" s="42"/>
    </row>
    <row r="31" spans="2:27">
      <c r="B31" s="5" t="s">
        <v>585</v>
      </c>
      <c r="C31" s="545">
        <v>0</v>
      </c>
      <c r="D31" s="536">
        <v>0</v>
      </c>
      <c r="E31" s="536">
        <v>0</v>
      </c>
      <c r="F31" s="536">
        <v>0</v>
      </c>
      <c r="G31" s="536">
        <v>0</v>
      </c>
      <c r="H31" s="279" t="str">
        <f t="shared" si="5"/>
        <v>nm</v>
      </c>
      <c r="I31" s="254"/>
      <c r="J31" s="252"/>
      <c r="K31" s="252"/>
      <c r="L31" s="252"/>
      <c r="M31" s="252"/>
      <c r="N31" s="252"/>
      <c r="O31" s="5"/>
      <c r="Q31" s="5"/>
      <c r="S31" s="42"/>
      <c r="T31" s="42"/>
      <c r="U31" s="42"/>
      <c r="V31" s="147" t="s">
        <v>470</v>
      </c>
      <c r="W31" s="288">
        <f t="shared" si="7"/>
        <v>-0.17961443113184694</v>
      </c>
      <c r="X31" s="288">
        <v>1</v>
      </c>
      <c r="Y31" s="42"/>
      <c r="Z31" s="42"/>
      <c r="AA31" s="42"/>
    </row>
    <row r="32" spans="2:27">
      <c r="B32" s="5" t="s">
        <v>601</v>
      </c>
      <c r="C32" s="546">
        <v>0</v>
      </c>
      <c r="D32" s="536">
        <v>0</v>
      </c>
      <c r="E32" s="536">
        <v>0</v>
      </c>
      <c r="F32" s="536">
        <v>0</v>
      </c>
      <c r="G32" s="536">
        <v>0</v>
      </c>
      <c r="H32" s="279" t="str">
        <f t="shared" si="5"/>
        <v>nm</v>
      </c>
      <c r="I32" s="254"/>
      <c r="J32" s="254"/>
      <c r="K32" s="254"/>
      <c r="L32" s="254"/>
      <c r="M32" s="254"/>
      <c r="N32" s="254"/>
      <c r="O32" s="251"/>
      <c r="Q32" s="5"/>
      <c r="S32" s="42"/>
      <c r="T32" s="42"/>
      <c r="U32" s="42"/>
      <c r="V32" s="147" t="s">
        <v>528</v>
      </c>
      <c r="W32" s="288">
        <f t="shared" si="7"/>
        <v>-0.52354686131884132</v>
      </c>
      <c r="X32" s="288">
        <v>1</v>
      </c>
      <c r="Y32" s="42"/>
      <c r="Z32" s="42"/>
      <c r="AA32" s="42"/>
    </row>
    <row r="33" spans="2:27">
      <c r="B33" s="5" t="s">
        <v>5</v>
      </c>
      <c r="C33" s="545">
        <v>1977.8055244076068</v>
      </c>
      <c r="D33" s="536">
        <v>2607.6586142514716</v>
      </c>
      <c r="E33" s="536">
        <v>2916.566949209212</v>
      </c>
      <c r="F33" s="536">
        <v>2981.7174099099639</v>
      </c>
      <c r="G33" s="536">
        <v>2993.8053271223121</v>
      </c>
      <c r="H33" s="279">
        <f>IF(D33=0,"nm",IF(G33=0,"nm",(G33/D33)^(1/3)-1))</f>
        <v>4.7106705613410238E-2</v>
      </c>
      <c r="I33" s="5"/>
      <c r="J33" s="254"/>
      <c r="K33" s="254"/>
      <c r="L33" s="254"/>
      <c r="M33" s="254"/>
      <c r="N33" s="254"/>
      <c r="O33" s="251"/>
      <c r="Q33" s="5"/>
      <c r="S33" s="42"/>
      <c r="T33" s="42"/>
      <c r="U33" s="42"/>
      <c r="V33" s="147" t="s">
        <v>575</v>
      </c>
      <c r="W33" s="288">
        <f t="shared" si="7"/>
        <v>0</v>
      </c>
      <c r="X33" s="288">
        <v>1</v>
      </c>
      <c r="Y33" s="42"/>
      <c r="Z33" s="42"/>
      <c r="AA33" s="42"/>
    </row>
    <row r="34" spans="2:27">
      <c r="D34" s="5"/>
      <c r="E34" s="5"/>
      <c r="F34" s="5"/>
      <c r="G34" s="5"/>
      <c r="I34" s="49"/>
      <c r="J34" s="254"/>
      <c r="K34" s="254"/>
      <c r="L34" s="254"/>
      <c r="M34" s="254"/>
      <c r="N34" s="254"/>
      <c r="O34" s="251"/>
      <c r="Q34" s="5"/>
      <c r="S34" s="42"/>
      <c r="T34" s="42"/>
      <c r="U34" s="42"/>
      <c r="V34" s="147" t="s">
        <v>576</v>
      </c>
      <c r="W34" s="288">
        <f>D47/L19</f>
        <v>-5.5674813749566949</v>
      </c>
      <c r="X34" s="288">
        <v>1</v>
      </c>
      <c r="Y34" s="288"/>
      <c r="Z34" s="288"/>
      <c r="AA34" s="42"/>
    </row>
    <row r="35" spans="2:27" ht="12.6" thickBot="1">
      <c r="B35" s="306" t="s">
        <v>662</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2.6399786446612161</v>
      </c>
      <c r="E37" s="525">
        <f t="shared" ref="E37:G41" si="9">E$18/E23</f>
        <v>2.8104666635725097</v>
      </c>
      <c r="F37" s="525">
        <f t="shared" si="9"/>
        <v>2.8726924743223936</v>
      </c>
      <c r="G37" s="525">
        <f t="shared" si="9"/>
        <v>2.9426465951579956</v>
      </c>
      <c r="H37" s="17">
        <f t="shared" ref="H37:H45" si="10">H23</f>
        <v>2.5898280258095152E-2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11.339147120893298</v>
      </c>
      <c r="E38" s="525">
        <f t="shared" si="9"/>
        <v>11.183611825590322</v>
      </c>
      <c r="F38" s="525">
        <f t="shared" si="9"/>
        <v>10.815611566590183</v>
      </c>
      <c r="G38" s="525">
        <f t="shared" si="9"/>
        <v>10.813427192561996</v>
      </c>
      <c r="H38" s="17">
        <f t="shared" si="10"/>
        <v>8.0660330902892818E-2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-18.214532034039816</v>
      </c>
      <c r="E39" s="525">
        <f t="shared" si="9"/>
        <v>-26.345864527074752</v>
      </c>
      <c r="F39" s="525">
        <f t="shared" si="9"/>
        <v>-871.83701967726245</v>
      </c>
      <c r="G39" s="525">
        <f t="shared" si="9"/>
        <v>55.80771179413788</v>
      </c>
      <c r="H39" s="17">
        <f t="shared" si="10"/>
        <v>-1.7323603107617997</v>
      </c>
      <c r="I39" s="17"/>
      <c r="J39" s="5"/>
      <c r="K39" s="5"/>
      <c r="L39" s="5"/>
      <c r="M39" s="5"/>
      <c r="N39" s="5"/>
      <c r="O39" s="5"/>
      <c r="Q39" s="5"/>
      <c r="R39" s="5"/>
      <c r="S39" s="42"/>
      <c r="T39" s="42"/>
      <c r="U39" s="42"/>
      <c r="V39" s="42"/>
      <c r="W39" s="42"/>
      <c r="X39" s="42"/>
      <c r="Y39" s="42"/>
      <c r="Z39" s="42"/>
      <c r="AA39" s="42"/>
    </row>
    <row r="40" spans="2:27">
      <c r="B40" s="5" t="s">
        <v>461</v>
      </c>
      <c r="C40" s="247"/>
      <c r="D40" s="525">
        <f>D$18/D26</f>
        <v>-27.597775809151241</v>
      </c>
      <c r="E40" s="525">
        <f t="shared" si="9"/>
        <v>-39.917976556173876</v>
      </c>
      <c r="F40" s="525">
        <f t="shared" si="9"/>
        <v>-1320.9651813291855</v>
      </c>
      <c r="G40" s="525">
        <f t="shared" si="9"/>
        <v>84.557139082027106</v>
      </c>
      <c r="H40" s="17">
        <f t="shared" si="10"/>
        <v>-1.7323603107617997</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2.3725636106169672</v>
      </c>
      <c r="E41" s="525">
        <f t="shared" si="9"/>
        <v>2.1221873758808516</v>
      </c>
      <c r="F41" s="525">
        <f t="shared" si="9"/>
        <v>2.0723387283550427</v>
      </c>
      <c r="G41" s="525">
        <f t="shared" si="9"/>
        <v>2.0143796964203871</v>
      </c>
      <c r="H41" s="17">
        <f t="shared" si="10"/>
        <v>0.12333435963956574</v>
      </c>
      <c r="I41" s="247"/>
      <c r="J41" s="17"/>
      <c r="K41" s="17"/>
      <c r="L41" s="17"/>
      <c r="M41" s="17"/>
      <c r="N41" s="17"/>
      <c r="O41" s="5"/>
      <c r="Q41" s="5"/>
      <c r="R41" s="5"/>
      <c r="S41" s="42"/>
      <c r="T41" s="42"/>
      <c r="U41" s="42"/>
      <c r="V41" s="42"/>
      <c r="W41" s="288"/>
      <c r="X41" s="288"/>
      <c r="Y41" s="288"/>
      <c r="Z41" s="288"/>
      <c r="AA41" s="42"/>
    </row>
    <row r="42" spans="2:27">
      <c r="B42" s="5" t="s">
        <v>588</v>
      </c>
      <c r="C42" s="247"/>
      <c r="D42" s="525" t="e">
        <f>D18/D28</f>
        <v>#DIV/0!</v>
      </c>
      <c r="E42" s="525" t="e">
        <f>E18/E28</f>
        <v>#DIV/0!</v>
      </c>
      <c r="F42" s="525" t="e">
        <f>F18/F28</f>
        <v>#DIV/0!</v>
      </c>
      <c r="G42" s="525" t="e">
        <f>G18/G28</f>
        <v>#DIV/0!</v>
      </c>
      <c r="H42" s="17" t="str">
        <f t="shared" si="10"/>
        <v>nm</v>
      </c>
      <c r="I42" s="248"/>
      <c r="J42" s="5"/>
      <c r="K42" s="5"/>
      <c r="L42" s="5"/>
      <c r="M42" s="5"/>
      <c r="N42" s="5"/>
      <c r="O42" s="5"/>
      <c r="Q42" s="5"/>
      <c r="R42" s="5"/>
      <c r="S42" s="42"/>
      <c r="T42" s="42"/>
      <c r="U42" s="42"/>
      <c r="V42" s="42"/>
      <c r="W42" s="288"/>
      <c r="X42" s="288"/>
      <c r="Y42" s="288"/>
      <c r="Z42" s="288"/>
      <c r="AA42" s="42"/>
    </row>
    <row r="43" spans="2:27">
      <c r="B43" s="5" t="s">
        <v>470</v>
      </c>
      <c r="C43" s="247"/>
      <c r="D43" s="525">
        <f>L26/D29</f>
        <v>-5.7334603283127459</v>
      </c>
      <c r="E43" s="525">
        <f>M26/E29</f>
        <v>-6.1842762549590979</v>
      </c>
      <c r="F43" s="525">
        <f>N26/F29</f>
        <v>-10.025680815727302</v>
      </c>
      <c r="G43" s="525">
        <f>O26/G29</f>
        <v>-15.858189924868764</v>
      </c>
      <c r="H43" s="17">
        <f t="shared" si="10"/>
        <v>-0.28760466703159515</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-8.717860954363319</v>
      </c>
      <c r="E44" s="525">
        <f>E11/E30</f>
        <v>-10.521886063157158</v>
      </c>
      <c r="F44" s="525">
        <f>F11/F30</f>
        <v>-14.538056800744419</v>
      </c>
      <c r="G44" s="525">
        <f>G11/G30</f>
        <v>-19.781065717389517</v>
      </c>
      <c r="H44" s="17">
        <f t="shared" si="10"/>
        <v>-0.23899633082579186</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10"/>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-0.174414741314567</v>
      </c>
      <c r="E47" s="248">
        <f>1/E43</f>
        <v>-0.1617004090330072</v>
      </c>
      <c r="F47" s="248">
        <f>1/F43</f>
        <v>-9.9743849657700889E-2</v>
      </c>
      <c r="G47" s="248">
        <f>1/G43</f>
        <v>-6.3058899202096397E-2</v>
      </c>
      <c r="H47" s="17">
        <f>H29</f>
        <v>-0.28760466703159515</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3" tint="0.79998168889431442"/>
    <pageSetUpPr autoPageBreaks="0" fitToPage="1"/>
  </sheetPr>
  <dimension ref="A1:BQ209"/>
  <sheetViews>
    <sheetView showGridLines="0" zoomScale="80" zoomScaleNormal="80" zoomScaleSheetLayoutView="80" workbookViewId="0">
      <pane ySplit="5" topLeftCell="A6" activePane="bottomLeft" state="frozen"/>
      <selection pane="bottomLeft"/>
    </sheetView>
  </sheetViews>
  <sheetFormatPr defaultColWidth="8.88671875" defaultRowHeight="12"/>
  <cols>
    <col min="1" max="1" width="2.33203125" style="88" customWidth="1"/>
    <col min="2" max="2" width="31.109375" style="39" customWidth="1"/>
    <col min="3" max="6" width="11.33203125" style="177" customWidth="1"/>
    <col min="7" max="7" width="2.33203125" style="39" customWidth="1"/>
    <col min="8" max="11" width="11.109375" style="39" customWidth="1"/>
    <col min="12" max="12" width="2.109375" style="39" customWidth="1"/>
    <col min="13" max="16" width="11.109375" style="39" customWidth="1"/>
    <col min="17" max="17" width="2.33203125" style="39" customWidth="1"/>
    <col min="18" max="21" width="11.109375" style="39" customWidth="1"/>
    <col min="22" max="22" width="2.33203125" style="39" customWidth="1"/>
    <col min="23" max="16384" width="8.88671875" style="39"/>
  </cols>
  <sheetData>
    <row r="1" spans="1:69" s="131" customFormat="1">
      <c r="A1" s="158"/>
      <c r="F1" s="202"/>
      <c r="M1" s="153"/>
      <c r="S1" s="153"/>
      <c r="AB1" s="160"/>
      <c r="AC1" s="160"/>
    </row>
    <row r="2" spans="1:69" s="131" customFormat="1">
      <c r="A2" s="158"/>
      <c r="M2" s="153"/>
      <c r="S2" s="153"/>
      <c r="AB2" s="160"/>
      <c r="AC2" s="160"/>
    </row>
    <row r="3" spans="1:69" s="131" customFormat="1">
      <c r="A3" s="158"/>
      <c r="U3" s="153"/>
      <c r="AB3" s="160"/>
      <c r="AC3" s="160"/>
    </row>
    <row r="4" spans="1:69" s="128" customFormat="1" ht="21">
      <c r="A4" s="193"/>
      <c r="B4" s="155" t="s">
        <v>1360</v>
      </c>
      <c r="AB4" s="203"/>
      <c r="AC4" s="203"/>
    </row>
    <row r="5" spans="1:69" s="131" customFormat="1">
      <c r="A5" s="158"/>
      <c r="D5" s="153"/>
      <c r="E5" s="153"/>
      <c r="F5" s="153"/>
      <c r="G5" s="153"/>
      <c r="H5" s="153" t="str">
        <f>INDEX(headings,1,1)</f>
        <v>2023E</v>
      </c>
      <c r="I5" s="153" t="str">
        <f>INDEX(headings,1,2)</f>
        <v>2024E</v>
      </c>
      <c r="J5" s="153" t="str">
        <f>INDEX(headings,1,3)</f>
        <v>2025E</v>
      </c>
      <c r="K5" s="153" t="str">
        <f>INDEX(headings,1,4)</f>
        <v>2026E</v>
      </c>
      <c r="L5" s="153"/>
      <c r="M5" s="153" t="str">
        <f>INDEX(headings,1,1)</f>
        <v>2023E</v>
      </c>
      <c r="N5" s="153" t="str">
        <f>INDEX(headings,1,2)</f>
        <v>2024E</v>
      </c>
      <c r="O5" s="153" t="str">
        <f>INDEX(headings,1,3)</f>
        <v>2025E</v>
      </c>
      <c r="P5" s="153" t="str">
        <f>INDEX(headings,1,4)</f>
        <v>2026E</v>
      </c>
      <c r="Q5" s="153"/>
      <c r="R5" s="153" t="str">
        <f>INDEX(headings,1,1)</f>
        <v>2023E</v>
      </c>
      <c r="S5" s="153" t="str">
        <f>INDEX(headings,1,2)</f>
        <v>2024E</v>
      </c>
      <c r="T5" s="153" t="str">
        <f>INDEX(headings,1,3)</f>
        <v>2025E</v>
      </c>
      <c r="U5" s="153" t="str">
        <f>INDEX(headings,1,4)</f>
        <v>2026E</v>
      </c>
      <c r="V5" s="161"/>
      <c r="Z5" s="153"/>
      <c r="AC5" s="161"/>
      <c r="AD5" s="162"/>
      <c r="AE5" s="162"/>
      <c r="AF5" s="162"/>
      <c r="AG5" s="162"/>
      <c r="AH5" s="162"/>
      <c r="AI5" s="162"/>
      <c r="AJ5" s="162"/>
      <c r="AK5" s="162"/>
      <c r="AL5" s="162"/>
      <c r="AM5" s="162"/>
      <c r="AN5" s="162"/>
      <c r="AO5" s="162"/>
      <c r="AP5" s="162"/>
      <c r="AQ5" s="162"/>
      <c r="AR5" s="162"/>
      <c r="AS5" s="162"/>
      <c r="AT5" s="162"/>
      <c r="AU5" s="162"/>
      <c r="AV5" s="162"/>
      <c r="AW5" s="162"/>
      <c r="BC5" s="163"/>
      <c r="BD5" s="163"/>
      <c r="BE5" s="163"/>
      <c r="BG5" s="163"/>
      <c r="BH5" s="163"/>
      <c r="BI5" s="163"/>
      <c r="BK5" s="163"/>
      <c r="BL5" s="163"/>
      <c r="BM5" s="163"/>
      <c r="BO5" s="163"/>
      <c r="BP5" s="163"/>
      <c r="BQ5" s="163"/>
    </row>
    <row r="6" spans="1:69">
      <c r="AT6" s="178"/>
      <c r="AU6" s="178"/>
      <c r="AV6" s="178"/>
      <c r="AW6" s="178"/>
    </row>
    <row r="7" spans="1:69">
      <c r="B7" s="164"/>
      <c r="C7" s="165" t="s">
        <v>459</v>
      </c>
      <c r="D7" s="165" t="s">
        <v>56</v>
      </c>
      <c r="E7" s="165" t="s">
        <v>58</v>
      </c>
      <c r="F7" s="165" t="s">
        <v>55</v>
      </c>
      <c r="H7" s="166" t="s">
        <v>780</v>
      </c>
      <c r="I7" s="166"/>
      <c r="J7" s="166"/>
      <c r="K7" s="166"/>
      <c r="M7" s="166" t="s">
        <v>781</v>
      </c>
      <c r="N7" s="166"/>
      <c r="O7" s="166"/>
      <c r="P7" s="166"/>
      <c r="R7" s="166" t="s">
        <v>180</v>
      </c>
      <c r="S7" s="166"/>
      <c r="T7" s="166"/>
      <c r="U7" s="166"/>
      <c r="AT7" s="178"/>
      <c r="AU7" s="178"/>
      <c r="AV7" s="178"/>
      <c r="AW7" s="178"/>
    </row>
    <row r="8" spans="1:69">
      <c r="A8" s="194" t="s">
        <v>1406</v>
      </c>
      <c r="B8" s="197" t="s">
        <v>843</v>
      </c>
      <c r="C8" s="180" t="str">
        <f>A8&amp;TEXT(Prices!$C$35,"0.0")</f>
        <v>EUR 35.7</v>
      </c>
      <c r="D8" s="180" t="str">
        <f>A8&amp;TEXT(Prices!$E$35,"0.0")</f>
        <v>EUR 31.0</v>
      </c>
      <c r="E8" s="68">
        <f>Prices!$F$35</f>
        <v>-0.13165266106442586</v>
      </c>
      <c r="F8" s="180" t="str">
        <f>Prices!$D$35</f>
        <v>Neutral</v>
      </c>
      <c r="H8" s="526">
        <f>(CLNX!D$18/Prices!$C$155)/CLNX!L$31*1000</f>
        <v>352.20826253474337</v>
      </c>
      <c r="I8" s="526">
        <f>(CLNX!E$18/Prices!$C$155)/CLNX!M$31*1000</f>
        <v>345.36664071999223</v>
      </c>
      <c r="J8" s="526">
        <f>(CLNX!F$18/Prices!$C$155)/CLNX!N$31*1000</f>
        <v>333.7824132021542</v>
      </c>
      <c r="K8" s="526">
        <f>(CLNX!G$18/Prices!$C$155)/CLNX!O$31*1000</f>
        <v>320.93246790338429</v>
      </c>
      <c r="L8" s="557"/>
      <c r="M8" s="526">
        <f>(CLNX!D$18/Prices!$C$155)/CLNX!L$32*1000</f>
        <v>254.51912829797064</v>
      </c>
      <c r="N8" s="526">
        <f>(CLNX!E$18/Prices!$C$155)/CLNX!M$32*1000</f>
        <v>245.27655209680145</v>
      </c>
      <c r="O8" s="526">
        <f>(CLNX!F$18/Prices!$C$155)/CLNX!N$32*1000</f>
        <v>233.55522031927867</v>
      </c>
      <c r="P8" s="526">
        <f>(CLNX!G$18/Prices!$C$155)/CLNX!O$32*1000</f>
        <v>221.80356632143216</v>
      </c>
      <c r="Q8" s="558"/>
      <c r="R8" s="563">
        <f>CLNX!$D$38</f>
        <v>21.72995349603649</v>
      </c>
      <c r="S8" s="563">
        <f>CLNX!$E$38</f>
        <v>20.248556100714538</v>
      </c>
      <c r="T8" s="563">
        <f>CLNX!$F$38</f>
        <v>18.871543238188089</v>
      </c>
      <c r="U8" s="563">
        <f>CLNX!$G$38</f>
        <v>17.456740646924231</v>
      </c>
      <c r="AT8" s="178"/>
      <c r="AU8" s="178"/>
      <c r="AV8" s="178"/>
      <c r="AW8" s="178"/>
    </row>
    <row r="9" spans="1:69">
      <c r="A9" s="194" t="s">
        <v>1406</v>
      </c>
      <c r="B9" s="197" t="s">
        <v>841</v>
      </c>
      <c r="C9" s="180" t="str">
        <f>A9&amp;TEXT(Prices!$C$36,"0.0")</f>
        <v>EUR 11.1</v>
      </c>
      <c r="D9" s="180" t="str">
        <f>A9&amp;TEXT(Prices!$E$36,"0.0")</f>
        <v>EUR 12.0</v>
      </c>
      <c r="E9" s="68">
        <f>Prices!$F$36</f>
        <v>8.4990958408679873E-2</v>
      </c>
      <c r="F9" s="180" t="str">
        <f>Prices!$D$36</f>
        <v>Neutral</v>
      </c>
      <c r="H9" s="526">
        <f>(INWIT!D$18/Prices!$C$155)/INWIT!L$31*1000</f>
        <v>505.08398666054808</v>
      </c>
      <c r="I9" s="526">
        <f>(INWIT!E$18/Prices!$C$155)/INWIT!M$31*1000</f>
        <v>503.59307726517534</v>
      </c>
      <c r="J9" s="526">
        <f>(INWIT!F$18/Prices!$C$155)/INWIT!N$31*1000</f>
        <v>483.00379237512072</v>
      </c>
      <c r="K9" s="526">
        <f>(INWIT!G$18/Prices!$C$155)/INWIT!O$31*1000</f>
        <v>463.73731859277638</v>
      </c>
      <c r="L9" s="557"/>
      <c r="M9" s="526">
        <f>(INWIT!D$18/Prices!$C$155)/INWIT!L$32*1000</f>
        <v>219.90124695480006</v>
      </c>
      <c r="N9" s="526">
        <f>(INWIT!E$18/Prices!$C$155)/INWIT!M$32*1000</f>
        <v>208.13198569977038</v>
      </c>
      <c r="O9" s="526">
        <f>(INWIT!F$18/Prices!$C$155)/INWIT!N$32*1000</f>
        <v>189.98497141750994</v>
      </c>
      <c r="P9" s="526">
        <f>(INWIT!G$18/Prices!$C$155)/INWIT!O$32*1000</f>
        <v>177.25253924555693</v>
      </c>
      <c r="Q9" s="559"/>
      <c r="R9" s="563">
        <f>INWIT!$D$38</f>
        <v>19.362545650715845</v>
      </c>
      <c r="S9" s="563">
        <f>INWIT!$E$38</f>
        <v>17.872048632309834</v>
      </c>
      <c r="T9" s="563">
        <f>INWIT!$F$38</f>
        <v>16.25045615498972</v>
      </c>
      <c r="U9" s="563">
        <f>INWIT!$G$38</f>
        <v>14.768513525869265</v>
      </c>
      <c r="AT9" s="178"/>
      <c r="AU9" s="178"/>
      <c r="AV9" s="178"/>
      <c r="AW9" s="178"/>
    </row>
    <row r="10" spans="1:69">
      <c r="B10" s="48"/>
      <c r="C10" s="44"/>
      <c r="D10" s="183"/>
      <c r="E10" s="45"/>
      <c r="F10" s="44"/>
      <c r="H10" s="560"/>
      <c r="I10" s="560"/>
      <c r="J10" s="560"/>
      <c r="K10" s="560"/>
      <c r="L10" s="561"/>
      <c r="M10" s="560"/>
      <c r="N10" s="560"/>
      <c r="O10" s="560"/>
      <c r="P10" s="560"/>
      <c r="Q10" s="558"/>
      <c r="R10" s="564"/>
      <c r="S10" s="564"/>
      <c r="T10" s="564"/>
      <c r="U10" s="564"/>
      <c r="AT10" s="178"/>
      <c r="AU10" s="178"/>
      <c r="AV10" s="178"/>
      <c r="AW10" s="178"/>
    </row>
    <row r="11" spans="1:69">
      <c r="A11" s="42" t="s">
        <v>1405</v>
      </c>
      <c r="B11" s="48" t="s">
        <v>684</v>
      </c>
      <c r="C11" s="44" t="str">
        <f>A11&amp;TEXT(Prices!C$51,"0.0")</f>
        <v>USD 233.6</v>
      </c>
      <c r="D11" s="183" t="str">
        <f>A11&amp;TEXT(Prices!E$51,"0.0")</f>
        <v>USD 239.0</v>
      </c>
      <c r="E11" s="45">
        <f>Prices!F$51</f>
        <v>2.2941277178565311E-2</v>
      </c>
      <c r="F11" s="44" t="str">
        <f>Prices!D$51</f>
        <v>Neutral</v>
      </c>
      <c r="H11" s="560">
        <f>AMT!D$18/AMT!L$31*1000</f>
        <v>755.68722790706636</v>
      </c>
      <c r="I11" s="560">
        <f>AMT!E$18/AMT!M$31*1000</f>
        <v>722.27580609633719</v>
      </c>
      <c r="J11" s="560">
        <f>AMT!F$18/AMT!N$31*1000</f>
        <v>657.81039673072155</v>
      </c>
      <c r="K11" s="560">
        <f>AMT!G$18/AMT!O$31*1000</f>
        <v>672.78238546560988</v>
      </c>
      <c r="L11" s="561"/>
      <c r="M11" s="560">
        <f>AMT!D$18/AMT!L$32*1000</f>
        <v>346.64551738856318</v>
      </c>
      <c r="N11" s="560">
        <f>AMT!E$18/AMT!M$32*1000</f>
        <v>316.78763425277998</v>
      </c>
      <c r="O11" s="560">
        <f>AMT!F$18/AMT!N$32*1000</f>
        <v>276.39092299610189</v>
      </c>
      <c r="P11" s="560">
        <f>AMT!G$18/AMT!O$32*1000</f>
        <v>282.68167456538271</v>
      </c>
      <c r="Q11" s="558"/>
      <c r="R11" s="564">
        <f>AMT!$D$38</f>
        <v>19.802808868949608</v>
      </c>
      <c r="S11" s="564">
        <f>AMT!$E$38</f>
        <v>18.779853279360292</v>
      </c>
      <c r="T11" s="564">
        <f>AMT!$F$38</f>
        <v>16.904158876466312</v>
      </c>
      <c r="U11" s="564">
        <f>AMT!$G$38</f>
        <v>16.489131964533403</v>
      </c>
      <c r="AT11" s="178"/>
      <c r="AU11" s="178"/>
      <c r="AV11" s="178"/>
      <c r="AW11" s="178"/>
    </row>
    <row r="12" spans="1:69">
      <c r="A12" s="42" t="s">
        <v>1405</v>
      </c>
      <c r="B12" s="48" t="s">
        <v>679</v>
      </c>
      <c r="C12" s="44" t="str">
        <f>A12&amp;TEXT(Prices!C$52,"0.0")</f>
        <v>USD 113.9</v>
      </c>
      <c r="D12" s="183" t="str">
        <f>A12&amp;TEXT(Prices!E$52,"0.0")</f>
        <v>USD 123.0</v>
      </c>
      <c r="E12" s="45">
        <f>Prices!F$52</f>
        <v>8.0179151664178328E-2</v>
      </c>
      <c r="F12" s="44" t="str">
        <f>Prices!D$52</f>
        <v>Neutral</v>
      </c>
      <c r="H12" s="560">
        <f>CCI!D$18/CCI!L$31*1000</f>
        <v>1689.3216910672634</v>
      </c>
      <c r="I12" s="560">
        <f>CCI!E$18/CCI!M$31*1000</f>
        <v>1686.9651507115946</v>
      </c>
      <c r="J12" s="560">
        <f>CCI!F$18/CCI!N$31*1000</f>
        <v>1704.981706095863</v>
      </c>
      <c r="K12" s="560">
        <f>CCI!G$18/CCI!O$31*1000</f>
        <v>1457.5635431347614</v>
      </c>
      <c r="L12" s="561"/>
      <c r="M12" s="560">
        <f>CCI!D$18/CCI!L$32*1000</f>
        <v>786.36539643766946</v>
      </c>
      <c r="N12" s="560">
        <f>CCI!E$18/CCI!M$32*1000</f>
        <v>750.34070176100306</v>
      </c>
      <c r="O12" s="560">
        <f>CCI!F$18/CCI!N$32*1000</f>
        <v>726.06000881040245</v>
      </c>
      <c r="P12" s="560">
        <f>CCI!G$18/CCI!O$32*1000</f>
        <v>620.69792021020328</v>
      </c>
      <c r="Q12" s="558"/>
      <c r="R12" s="564">
        <f>CCI!$D$38</f>
        <v>15.229841348494531</v>
      </c>
      <c r="S12" s="564">
        <f>CCI!$E$38</f>
        <v>15.580177460320659</v>
      </c>
      <c r="T12" s="564">
        <f>CCI!$F$38</f>
        <v>15.693191589733187</v>
      </c>
      <c r="U12" s="564">
        <f>CCI!$G$38</f>
        <v>12.621131909398283</v>
      </c>
      <c r="AT12" s="178"/>
      <c r="AU12" s="178"/>
      <c r="AV12" s="178"/>
      <c r="AW12" s="178"/>
    </row>
    <row r="13" spans="1:69">
      <c r="A13" s="42" t="s">
        <v>1405</v>
      </c>
      <c r="B13" s="48" t="s">
        <v>763</v>
      </c>
      <c r="C13" s="44" t="str">
        <f>A13&amp;TEXT(Prices!C$53,"0.0")</f>
        <v>USD 233.4</v>
      </c>
      <c r="D13" s="183" t="str">
        <f>A13&amp;TEXT(Prices!E$53,"0.0")</f>
        <v>USD 244.0</v>
      </c>
      <c r="E13" s="45">
        <f>Prices!F$53</f>
        <v>4.5549985002356852E-2</v>
      </c>
      <c r="F13" s="44" t="str">
        <f>Prices!D$53</f>
        <v>Neutral</v>
      </c>
      <c r="H13" s="560">
        <f>SBAC!D$18/SBAC!L$31*1000</f>
        <v>1133.9229985227623</v>
      </c>
      <c r="I13" s="560">
        <f>SBAC!E$18/SBAC!M$31*1000</f>
        <v>1091.878966519582</v>
      </c>
      <c r="J13" s="560">
        <f>SBAC!F$18/SBAC!N$31*1000</f>
        <v>1053.0185043442345</v>
      </c>
      <c r="K13" s="560">
        <f>SBAC!G$18/SBAC!O$31*1000</f>
        <v>1053.2307271696056</v>
      </c>
      <c r="L13" s="561"/>
      <c r="M13" s="560">
        <f>SBAC!D$18/SBAC!L$32*1000</f>
        <v>597.78795426884119</v>
      </c>
      <c r="N13" s="560">
        <f>SBAC!E$18/SBAC!M$32*1000</f>
        <v>529.41983365636349</v>
      </c>
      <c r="O13" s="560">
        <f>SBAC!F$18/SBAC!N$32*1000</f>
        <v>486.8835275658987</v>
      </c>
      <c r="P13" s="560">
        <f>SBAC!G$18/SBAC!O$32*1000</f>
        <v>486.98165290502646</v>
      </c>
      <c r="Q13" s="558"/>
      <c r="R13" s="564">
        <f>SBAC!$D$38</f>
        <v>20.270307849387574</v>
      </c>
      <c r="S13" s="564">
        <f>SBAC!$E$38</f>
        <v>19.174263926757114</v>
      </c>
      <c r="T13" s="564">
        <f>SBAC!$F$38</f>
        <v>18.300588505390767</v>
      </c>
      <c r="U13" s="564">
        <f>SBAC!$G$38</f>
        <v>18.317506529613123</v>
      </c>
      <c r="AT13" s="178"/>
      <c r="AU13" s="178"/>
      <c r="AV13" s="178"/>
      <c r="AW13" s="178"/>
    </row>
    <row r="14" spans="1:69">
      <c r="A14" s="42"/>
      <c r="B14" s="48"/>
      <c r="C14" s="44"/>
      <c r="D14" s="44"/>
      <c r="E14" s="45"/>
      <c r="F14" s="44"/>
      <c r="H14" s="560"/>
      <c r="I14" s="560"/>
      <c r="J14" s="560"/>
      <c r="K14" s="560"/>
      <c r="L14" s="561"/>
      <c r="M14" s="560"/>
      <c r="N14" s="560"/>
      <c r="O14" s="560"/>
      <c r="P14" s="560"/>
      <c r="Q14" s="558"/>
      <c r="R14" s="564"/>
      <c r="S14" s="564"/>
      <c r="T14" s="564"/>
      <c r="U14" s="564"/>
      <c r="AT14" s="178"/>
      <c r="AU14" s="178"/>
      <c r="AV14" s="178"/>
      <c r="AW14" s="178"/>
    </row>
    <row r="15" spans="1:69">
      <c r="A15" s="42" t="s">
        <v>109</v>
      </c>
      <c r="B15" s="48" t="s">
        <v>1365</v>
      </c>
      <c r="C15" s="44" t="str">
        <f>A15&amp;TEXT(Prices!C$97,"0")</f>
        <v>INR 423</v>
      </c>
      <c r="D15" s="44" t="str">
        <f>A15&amp;TEXT(Prices!E$97,"0")</f>
        <v>INR 265</v>
      </c>
      <c r="E15" s="45">
        <f>Prices!F$97</f>
        <v>-0.37374453503485761</v>
      </c>
      <c r="F15" s="44" t="str">
        <f>Prices!D$97</f>
        <v>Reduce</v>
      </c>
      <c r="H15" s="560">
        <f>(BHIN!D$18/Prices!$C$152)/BHIN!L$31*1000</f>
        <v>72.917800010168108</v>
      </c>
      <c r="I15" s="560">
        <f>(BHIN!E$18/Prices!$C$152)/BHIN!M$31*1000</f>
        <v>67.082940945988469</v>
      </c>
      <c r="J15" s="560">
        <f>(BHIN!F$18/Prices!$C$152)/BHIN!N$31*1000</f>
        <v>61.697112236980281</v>
      </c>
      <c r="K15" s="560">
        <f>(BHIN!G$18/Prices!$C$152)/BHIN!O$31*1000</f>
        <v>55.902473075409944</v>
      </c>
      <c r="L15" s="561"/>
      <c r="M15" s="560">
        <f>(BHIN!D$18/Prices!$C$152)/BHIN!L$32*1000</f>
        <v>43.470394323836643</v>
      </c>
      <c r="N15" s="560">
        <f>(BHIN!E$18/Prices!$C$152)/BHIN!M$32*1000</f>
        <v>38.419784068636801</v>
      </c>
      <c r="O15" s="560">
        <f>(BHIN!F$18/Prices!$C$152)/BHIN!N$32*1000</f>
        <v>34.642361635250559</v>
      </c>
      <c r="P15" s="560">
        <f>(BHIN!G$18/Prices!$C$152)/BHIN!O$32*1000</f>
        <v>30.773259792520204</v>
      </c>
      <c r="Q15" s="558"/>
      <c r="R15" s="564">
        <f>BHIN!$D$38</f>
        <v>8.9341936964463642</v>
      </c>
      <c r="S15" s="564">
        <f>BHIN!$E$38</f>
        <v>7.8016090920378343</v>
      </c>
      <c r="T15" s="564">
        <f>BHIN!$F$38</f>
        <v>6.7698364372306834</v>
      </c>
      <c r="U15" s="564">
        <f>BHIN!$G$38</f>
        <v>5.9854576684631597</v>
      </c>
      <c r="AT15" s="178"/>
      <c r="AU15" s="178"/>
      <c r="AV15" s="178"/>
      <c r="AW15" s="178"/>
    </row>
    <row r="16" spans="1:69">
      <c r="A16" s="42" t="s">
        <v>1407</v>
      </c>
      <c r="B16" s="197" t="s">
        <v>1019</v>
      </c>
      <c r="C16" s="180" t="str">
        <f>A16&amp;TEXT(Prices!C$98,"0.00")</f>
        <v>HKD 0.99</v>
      </c>
      <c r="D16" s="180" t="str">
        <f>A16&amp;TEXT(Prices!E$98,"0.00")</f>
        <v>HKD 1.40</v>
      </c>
      <c r="E16" s="68">
        <f>Prices!F$98</f>
        <v>0.41414141414141414</v>
      </c>
      <c r="F16" s="44" t="str">
        <f>Prices!D$98</f>
        <v>Buy</v>
      </c>
      <c r="H16" s="560">
        <f>(ChinaTow!D$18/Prices!$C$175)/ChinaTow!L$31*1000</f>
        <v>10.008428685141574</v>
      </c>
      <c r="I16" s="560">
        <f>(ChinaTow!E$18/Prices!$C$175)/ChinaTow!M$31*1000</f>
        <v>9.3800427542570741</v>
      </c>
      <c r="J16" s="560">
        <f>(ChinaTow!F$18/Prices!$C$175)/ChinaTow!N$31*1000</f>
        <v>8.3439457372603698</v>
      </c>
      <c r="K16" s="560">
        <f>(ChinaTow!G$18/Prices!$C$175)/ChinaTow!O$31*1000</f>
        <v>7.293083781782892</v>
      </c>
      <c r="L16" s="558"/>
      <c r="M16" s="560">
        <f>(ChinaTow!D$18/Prices!$C$175)/ChinaTow!L$32*1000</f>
        <v>17.671551355549898</v>
      </c>
      <c r="N16" s="560">
        <f>(ChinaTow!E$18/Prices!$C$175)/ChinaTow!M$32*1000</f>
        <v>16.984180165454703</v>
      </c>
      <c r="O16" s="560">
        <f>(ChinaTow!F$18/Prices!$C$175)/ChinaTow!N$32*1000</f>
        <v>15.492244096206052</v>
      </c>
      <c r="P16" s="560">
        <f>(ChinaTow!G$18/Prices!$C$175)/ChinaTow!O$32*1000</f>
        <v>13.885360272446965</v>
      </c>
      <c r="Q16" s="559"/>
      <c r="R16" s="564">
        <f>ChinaTow!D$38</f>
        <v>4.0414898045401992</v>
      </c>
      <c r="S16" s="564">
        <f>ChinaTow!E$38</f>
        <v>3.6842817601323139</v>
      </c>
      <c r="T16" s="564">
        <f>ChinaTow!F$38</f>
        <v>3.176100438517742</v>
      </c>
      <c r="U16" s="564">
        <f>ChinaTow!G$38</f>
        <v>2.7169936251748537</v>
      </c>
      <c r="AT16" s="178"/>
      <c r="AU16" s="178"/>
      <c r="AV16" s="178"/>
      <c r="AW16" s="178"/>
    </row>
    <row r="17" spans="1:49">
      <c r="A17" s="42" t="s">
        <v>380</v>
      </c>
      <c r="B17" s="48" t="s">
        <v>765</v>
      </c>
      <c r="C17" s="44" t="str">
        <f>A17&amp;TEXT(Prices!C$99,"0,0")</f>
        <v>IDR 840</v>
      </c>
      <c r="D17" s="44" t="str">
        <f>A17&amp;TEXT(Prices!E$99,"0,0")</f>
        <v>IDR 1,500</v>
      </c>
      <c r="E17" s="45">
        <f>Prices!F$99</f>
        <v>0.78571428571428581</v>
      </c>
      <c r="F17" s="44" t="str">
        <f>Prices!D$99</f>
        <v>Buy</v>
      </c>
      <c r="H17" s="560">
        <f>(TOWR!D$18/Prices!$C$172)/TOWR!L$31*1000000</f>
        <v>183.83629589181407</v>
      </c>
      <c r="I17" s="560">
        <f>(TOWR!E$18/Prices!$C$172)/TOWR!M$31*1000000</f>
        <v>177.62648838725096</v>
      </c>
      <c r="J17" s="560">
        <f>(TOWR!F$18/Prices!$C$172)/TOWR!N$31*1000000</f>
        <v>166.73449506432581</v>
      </c>
      <c r="K17" s="560">
        <f>(TOWR!G$18/Prices!$C$172)/TOWR!O$31*1000000</f>
        <v>154.68570901715697</v>
      </c>
      <c r="L17" s="561"/>
      <c r="M17" s="560">
        <f>(TOWR!D$18/Prices!$C$172)/TOWR!L$32*1000000</f>
        <v>103.48665407600868</v>
      </c>
      <c r="N17" s="560">
        <f>(TOWR!E$18/Prices!$C$172)/TOWR!M$32*1000000</f>
        <v>103.08348213970538</v>
      </c>
      <c r="O17" s="560">
        <f>(TOWR!F$18/Prices!$C$172)/TOWR!N$32*1000000</f>
        <v>97.739837923527091</v>
      </c>
      <c r="P17" s="560">
        <f>(TOWR!G$18/Prices!$C$172)/TOWR!O$32*1000000</f>
        <v>91.592761600417177</v>
      </c>
      <c r="Q17" s="558"/>
      <c r="R17" s="564">
        <f>TOWR!$D$38</f>
        <v>8.6491941504669523</v>
      </c>
      <c r="S17" s="564">
        <f>TOWR!$E$38</f>
        <v>8.1954564950145858</v>
      </c>
      <c r="T17" s="564">
        <f>TOWR!$F$38</f>
        <v>7.4486482105145138</v>
      </c>
      <c r="U17" s="564">
        <f>TOWR!$G$38</f>
        <v>6.6806967060828235</v>
      </c>
      <c r="AT17" s="178"/>
      <c r="AU17" s="178"/>
      <c r="AV17" s="178"/>
      <c r="AW17" s="178"/>
    </row>
    <row r="18" spans="1:49">
      <c r="A18" s="42" t="s">
        <v>380</v>
      </c>
      <c r="B18" s="197" t="s">
        <v>764</v>
      </c>
      <c r="C18" s="180" t="str">
        <f>A18&amp;TEXT(Prices!C$100,"0,0")</f>
        <v>IDR 1,920</v>
      </c>
      <c r="D18" s="180" t="str">
        <f>'Tower Multiples'!A18&amp;TEXT(Prices!E$100,"0,0")</f>
        <v>IDR 1,700</v>
      </c>
      <c r="E18" s="68">
        <f>Prices!F$100</f>
        <v>-0.11458333333333337</v>
      </c>
      <c r="F18" s="180" t="str">
        <f>Prices!D$100</f>
        <v>Neutral</v>
      </c>
      <c r="H18" s="526">
        <f>(TBIG!D$18/Prices!$C$172)/TBIG!L$31*1000000</f>
        <v>205.20540710970673</v>
      </c>
      <c r="I18" s="526">
        <f>(TBIG!E$18/Prices!$C$172)/TBIG!M$31*1000000</f>
        <v>199.44502981827608</v>
      </c>
      <c r="J18" s="526">
        <f>(TBIG!F$18/Prices!$C$172)/TBIG!N$31*1000000</f>
        <v>191.11080786934505</v>
      </c>
      <c r="K18" s="526">
        <f>(TBIG!G$18/Prices!$C$172)/TBIG!O$31*1000000</f>
        <v>182.8388552342758</v>
      </c>
      <c r="L18" s="558"/>
      <c r="M18" s="526">
        <f>(TBIG!D$18/Prices!$C$172)/TBIG!L$32*1000000</f>
        <v>111.86823015962011</v>
      </c>
      <c r="N18" s="526">
        <f>(TBIG!E$18/Prices!$C$172)/TBIG!M$32*1000000</f>
        <v>110.94688405522226</v>
      </c>
      <c r="O18" s="526">
        <f>(TBIG!F$18/Prices!$C$172)/TBIG!N$32*1000000</f>
        <v>107.38458551965084</v>
      </c>
      <c r="P18" s="526">
        <f>(TBIG!G$18/Prices!$C$172)/TBIG!O$32*1000000</f>
        <v>103.77434376452575</v>
      </c>
      <c r="Q18" s="559"/>
      <c r="R18" s="563">
        <f>TBIG!$D$38</f>
        <v>12.372026186846377</v>
      </c>
      <c r="S18" s="563">
        <f>TBIG!$E$38</f>
        <v>12.079433381481895</v>
      </c>
      <c r="T18" s="563">
        <f>TBIG!$F$38</f>
        <v>11.543610859264085</v>
      </c>
      <c r="U18" s="563">
        <f>TBIG!$G$38</f>
        <v>10.959032912440378</v>
      </c>
      <c r="AT18" s="198"/>
      <c r="AU18" s="198"/>
      <c r="AV18" s="198"/>
      <c r="AW18" s="198"/>
    </row>
    <row r="19" spans="1:49">
      <c r="A19" s="42" t="s">
        <v>380</v>
      </c>
      <c r="B19" s="197" t="s">
        <v>1397</v>
      </c>
      <c r="C19" s="180" t="str">
        <f>A19&amp;TEXT(Prices!C$101,"0,0")</f>
        <v>IDR 660</v>
      </c>
      <c r="D19" s="180" t="str">
        <f>A19&amp;TEXT(Prices!E$101,"0,0")</f>
        <v>IDR 1,135</v>
      </c>
      <c r="E19" s="68">
        <f>Prices!F$101</f>
        <v>0.71969696969696972</v>
      </c>
      <c r="F19" s="180" t="str">
        <f>Prices!D$101</f>
        <v>Buy</v>
      </c>
      <c r="H19" s="526">
        <f>(MITRA!D$18/Prices!$C$172)/MITRA!L$31*1000000</f>
        <v>122.40353849457297</v>
      </c>
      <c r="I19" s="526">
        <f>(MITRA!E$18/Prices!$C$172)/MITRA!M$31*1000000</f>
        <v>122.7809948228238</v>
      </c>
      <c r="J19" s="526">
        <f>(MITRA!F$18/Prices!$C$172)/MITRA!N$31*1000000</f>
        <v>114.25482333563373</v>
      </c>
      <c r="K19" s="526">
        <f>(MITRA!G$18/Prices!$C$172)/MITRA!O$31*1000000</f>
        <v>105.39403307590501</v>
      </c>
      <c r="L19" s="558"/>
      <c r="M19" s="526">
        <f>(MITRA!D$18/Prices!$C$172)/MITRA!L$32*1000000</f>
        <v>81.050847642925277</v>
      </c>
      <c r="N19" s="526">
        <f>(MITRA!E$18/Prices!$C$172)/MITRA!M$32*1000000</f>
        <v>78.551482605907353</v>
      </c>
      <c r="O19" s="526">
        <f>(MITRA!F$18/Prices!$C$172)/MITRA!N$32*1000000</f>
        <v>70.624832677612247</v>
      </c>
      <c r="P19" s="526">
        <f>(MITRA!G$18/Prices!$C$172)/MITRA!O$32*1000000</f>
        <v>63.250168656781717</v>
      </c>
      <c r="Q19" s="559"/>
      <c r="R19" s="563">
        <f>MITRA!$D$38</f>
        <v>10.330022958971247</v>
      </c>
      <c r="S19" s="563">
        <f>MITRA!$E$38</f>
        <v>9.5174387438763226</v>
      </c>
      <c r="T19" s="563">
        <f>MITRA!$F$38</f>
        <v>8.4170873641200181</v>
      </c>
      <c r="U19" s="563">
        <f>MITRA!$G$38</f>
        <v>7.4319439543892383</v>
      </c>
      <c r="AT19" s="198"/>
      <c r="AU19" s="198"/>
      <c r="AV19" s="198"/>
      <c r="AW19" s="198"/>
    </row>
    <row r="20" spans="1:49">
      <c r="B20" s="48"/>
      <c r="C20" s="44"/>
      <c r="D20" s="44"/>
      <c r="E20" s="45"/>
      <c r="F20" s="44"/>
      <c r="H20" s="560"/>
      <c r="I20" s="560"/>
      <c r="J20" s="560"/>
      <c r="K20" s="560"/>
      <c r="L20" s="561"/>
      <c r="M20" s="560"/>
      <c r="N20" s="560"/>
      <c r="O20" s="560"/>
      <c r="P20" s="560"/>
      <c r="Q20" s="558"/>
      <c r="R20" s="564"/>
      <c r="S20" s="564"/>
      <c r="T20" s="564"/>
      <c r="U20" s="564"/>
      <c r="AT20" s="198"/>
      <c r="AU20" s="198"/>
      <c r="AV20" s="198"/>
      <c r="AW20" s="198"/>
    </row>
    <row r="21" spans="1:49">
      <c r="A21" s="88" t="s">
        <v>1405</v>
      </c>
      <c r="B21" s="48" t="s">
        <v>1395</v>
      </c>
      <c r="C21" s="44" t="str">
        <f>A21&amp;TEXT(Prices!C$120,"0.0")</f>
        <v>USD 3.2</v>
      </c>
      <c r="D21" s="44" t="str">
        <f>A21&amp;TEXT(Prices!E$120,"0.0")</f>
        <v>USD 8.0</v>
      </c>
      <c r="E21" s="45">
        <f>Prices!F$120</f>
        <v>1.5078369905956115</v>
      </c>
      <c r="F21" s="44" t="str">
        <f>Prices!D$120</f>
        <v>Buy</v>
      </c>
      <c r="H21" s="560">
        <f>IHS!D$18/IHS!L$31*1000</f>
        <v>141.98026523964634</v>
      </c>
      <c r="I21" s="560">
        <f>IHS!E$18/IHS!M$31*1000</f>
        <v>134.4922821417621</v>
      </c>
      <c r="J21" s="560">
        <f>IHS!F$18/IHS!N$31*1000</f>
        <v>126.09555578105252</v>
      </c>
      <c r="K21" s="560">
        <f>IHS!G$18/IHS!O$31*1000</f>
        <v>115.02671349768134</v>
      </c>
      <c r="L21" s="561"/>
      <c r="M21" s="560">
        <f>IHS!D$18/IHS!L$32*1000</f>
        <v>93.030136443326469</v>
      </c>
      <c r="N21" s="560">
        <f>IHS!E$18/IHS!M$32*1000</f>
        <v>89.038474945443554</v>
      </c>
      <c r="O21" s="560">
        <f>IHS!F$18/IHS!N$32*1000</f>
        <v>82.0487966413111</v>
      </c>
      <c r="P21" s="560">
        <f>IHS!G$18/IHS!O$32*1000</f>
        <v>74.444089245146614</v>
      </c>
      <c r="Q21" s="558"/>
      <c r="R21" s="563">
        <f>IHS!$D$38</f>
        <v>4.3105506143297996</v>
      </c>
      <c r="S21" s="563">
        <f>IHS!$E$38</f>
        <v>4.800413538359968</v>
      </c>
      <c r="T21" s="563">
        <f>IHS!$F$38</f>
        <v>4.2018853028160246</v>
      </c>
      <c r="U21" s="563">
        <f>IHS!$G$38</f>
        <v>3.5295654594777468</v>
      </c>
      <c r="AT21" s="178"/>
      <c r="AU21" s="178"/>
      <c r="AV21" s="178"/>
      <c r="AW21" s="178"/>
    </row>
    <row r="22" spans="1:49">
      <c r="B22" s="48"/>
      <c r="C22" s="44"/>
      <c r="D22" s="44"/>
      <c r="E22" s="45"/>
      <c r="F22" s="44"/>
      <c r="H22" s="560"/>
      <c r="I22" s="560"/>
      <c r="J22" s="560"/>
      <c r="K22" s="560"/>
      <c r="L22" s="561"/>
      <c r="M22" s="560"/>
      <c r="N22" s="560"/>
      <c r="O22" s="560"/>
      <c r="P22" s="560"/>
      <c r="Q22" s="558"/>
      <c r="R22" s="564"/>
      <c r="S22" s="564"/>
      <c r="T22" s="564"/>
      <c r="U22" s="564"/>
      <c r="AT22" s="178"/>
      <c r="AU22" s="178"/>
      <c r="AV22" s="178"/>
      <c r="AW22" s="178"/>
    </row>
    <row r="23" spans="1:49">
      <c r="A23" s="194" t="s">
        <v>1408</v>
      </c>
      <c r="B23" s="199" t="s">
        <v>871</v>
      </c>
      <c r="C23" s="184" t="str">
        <f>A23&amp;TEXT(Prices!C$141,"0,0.0")</f>
        <v>MXN 16.6</v>
      </c>
      <c r="D23" s="184" t="str">
        <f>'Tower Multiples'!A23&amp;TEXT(Prices!E$141,"0,0.0")</f>
        <v>MXN 17.0</v>
      </c>
      <c r="E23" s="185">
        <f>Prices!F$141</f>
        <v>2.2248947684906817E-2</v>
      </c>
      <c r="F23" s="184" t="str">
        <f>Prices!D$141</f>
        <v>Neutral</v>
      </c>
      <c r="H23" s="562">
        <f>(SITES!D$18/Prices!$C$180)/SITES!L$31*1000</f>
        <v>186.36767927408371</v>
      </c>
      <c r="I23" s="562">
        <f>(SITES!E$18/Prices!$C$180)/SITES!M$31*1000</f>
        <v>170.37781235701806</v>
      </c>
      <c r="J23" s="562">
        <f>(SITES!F$18/Prices!$C$180)/SITES!N$31*1000</f>
        <v>154.84348671390686</v>
      </c>
      <c r="K23" s="562">
        <f>(SITES!G$18/Prices!$C$180)/SITES!O$31*1000</f>
        <v>140.25988908455864</v>
      </c>
      <c r="L23" s="561"/>
      <c r="M23" s="562">
        <f>(SITES!D$18/Prices!$C$180)/SITES!L$32*1000</f>
        <v>159.694240317533</v>
      </c>
      <c r="N23" s="562">
        <f>(SITES!E$18/Prices!$C$180)/SITES!M$32*1000</f>
        <v>146.25400913020079</v>
      </c>
      <c r="O23" s="562">
        <f>(SITES!F$18/Prices!$C$180)/SITES!N$32*1000</f>
        <v>132.54318409164151</v>
      </c>
      <c r="P23" s="562">
        <f>(SITES!G$18/Prices!$C$180)/SITES!O$32*1000</f>
        <v>119.70393005233953</v>
      </c>
      <c r="Q23" s="558"/>
      <c r="R23" s="565">
        <f>SITES!$D$38</f>
        <v>7.6042386710702523</v>
      </c>
      <c r="S23" s="565">
        <f>SITES!$E$38</f>
        <v>6.7380533144269972</v>
      </c>
      <c r="T23" s="565">
        <f>SITES!$F$38</f>
        <v>5.946231544276479</v>
      </c>
      <c r="U23" s="565">
        <f>SITES!$G$38</f>
        <v>5.2047159351975498</v>
      </c>
      <c r="AT23" s="178"/>
      <c r="AU23" s="178"/>
      <c r="AV23" s="178"/>
      <c r="AW23" s="178"/>
    </row>
    <row r="24" spans="1:49">
      <c r="A24" s="194"/>
      <c r="AT24" s="178"/>
      <c r="AU24" s="178"/>
      <c r="AV24" s="178"/>
      <c r="AW24" s="178"/>
    </row>
    <row r="25" spans="1:49">
      <c r="A25" s="194"/>
      <c r="AT25" s="178"/>
      <c r="AU25" s="178"/>
      <c r="AV25" s="178"/>
      <c r="AW25" s="178"/>
    </row>
    <row r="26" spans="1:49">
      <c r="B26" s="164"/>
      <c r="C26" s="165" t="s">
        <v>459</v>
      </c>
      <c r="D26" s="165" t="s">
        <v>56</v>
      </c>
      <c r="E26" s="165" t="s">
        <v>58</v>
      </c>
      <c r="F26" s="165" t="s">
        <v>55</v>
      </c>
      <c r="H26" s="166" t="s">
        <v>767</v>
      </c>
      <c r="I26" s="166"/>
      <c r="J26" s="166"/>
      <c r="K26" s="166"/>
      <c r="M26" s="166" t="s">
        <v>181</v>
      </c>
      <c r="N26" s="166"/>
      <c r="O26" s="166"/>
      <c r="P26" s="166"/>
      <c r="R26" s="166" t="s">
        <v>384</v>
      </c>
      <c r="S26" s="166"/>
      <c r="T26" s="166"/>
      <c r="U26" s="166"/>
      <c r="AT26" s="178"/>
      <c r="AU26" s="178"/>
      <c r="AV26" s="178"/>
      <c r="AW26" s="178"/>
    </row>
    <row r="27" spans="1:49">
      <c r="A27" s="194"/>
      <c r="B27" s="197" t="s">
        <v>843</v>
      </c>
      <c r="C27" s="180" t="str">
        <f t="shared" ref="C27:F28" si="0">C8</f>
        <v>EUR 35.7</v>
      </c>
      <c r="D27" s="180" t="str">
        <f t="shared" si="0"/>
        <v>EUR 31.0</v>
      </c>
      <c r="E27" s="68">
        <f t="shared" si="0"/>
        <v>-0.13165266106442586</v>
      </c>
      <c r="F27" s="180" t="str">
        <f t="shared" si="0"/>
        <v>Neutral</v>
      </c>
      <c r="H27" s="526">
        <f>CLNX!$D$37</f>
        <v>10.187314004413988</v>
      </c>
      <c r="I27" s="526">
        <f>CLNX!$E$37</f>
        <v>10.070192038644105</v>
      </c>
      <c r="J27" s="526">
        <f>CLNX!$F$37</f>
        <v>9.5705018043590098</v>
      </c>
      <c r="K27" s="526">
        <f>CLNX!$G$37</f>
        <v>9.0449544180730523</v>
      </c>
      <c r="L27" s="557"/>
      <c r="M27" s="526">
        <f>CLNX!$D$39</f>
        <v>85.479241009754745</v>
      </c>
      <c r="N27" s="526">
        <f>CLNX!$E$39</f>
        <v>62.984965676248486</v>
      </c>
      <c r="O27" s="526">
        <f>CLNX!$F$39</f>
        <v>59.644255354137677</v>
      </c>
      <c r="P27" s="526">
        <f>CLNX!$G$39</f>
        <v>38.684866510947316</v>
      </c>
      <c r="Q27" s="558"/>
      <c r="R27" s="526">
        <f>CLNX!$D$44</f>
        <v>-84.750977249096664</v>
      </c>
      <c r="S27" s="526">
        <f>CLNX!$E$44</f>
        <v>-122.86645445942386</v>
      </c>
      <c r="T27" s="526">
        <f>CLNX!$F$44</f>
        <v>-561.48216061402582</v>
      </c>
      <c r="U27" s="526">
        <f>CLNX!$G$44</f>
        <v>302.95373617172584</v>
      </c>
      <c r="AT27" s="178"/>
      <c r="AU27" s="178"/>
      <c r="AV27" s="178"/>
      <c r="AW27" s="178"/>
    </row>
    <row r="28" spans="1:49">
      <c r="A28" s="194"/>
      <c r="B28" s="197" t="s">
        <v>841</v>
      </c>
      <c r="C28" s="180" t="str">
        <f t="shared" si="0"/>
        <v>EUR 11.1</v>
      </c>
      <c r="D28" s="180" t="str">
        <f t="shared" si="0"/>
        <v>EUR 12.0</v>
      </c>
      <c r="E28" s="68">
        <f t="shared" si="0"/>
        <v>8.4990958408679873E-2</v>
      </c>
      <c r="F28" s="180" t="str">
        <f t="shared" si="0"/>
        <v>Neutral</v>
      </c>
      <c r="H28" s="526">
        <f>INWIT!$D$37</f>
        <v>12.822555660500829</v>
      </c>
      <c r="I28" s="526">
        <f>INWIT!$E$37</f>
        <v>12.323398142466017</v>
      </c>
      <c r="J28" s="526">
        <f>INWIT!$F$37</f>
        <v>11.422501379388201</v>
      </c>
      <c r="K28" s="526">
        <f>INWIT!$G$37</f>
        <v>10.699677155958957</v>
      </c>
      <c r="L28" s="557"/>
      <c r="M28" s="526">
        <f>INWIT!$D$39</f>
        <v>33.277711078839459</v>
      </c>
      <c r="N28" s="526">
        <f>INWIT!$E$39</f>
        <v>28.060799961502354</v>
      </c>
      <c r="O28" s="526">
        <f>INWIT!$F$39</f>
        <v>22.98203683549777</v>
      </c>
      <c r="P28" s="526">
        <f>INWIT!$G$39</f>
        <v>19.451652408188586</v>
      </c>
      <c r="Q28" s="559"/>
      <c r="R28" s="526">
        <f>INWIT!$D$44</f>
        <v>30.86879644909342</v>
      </c>
      <c r="S28" s="526">
        <f>INWIT!$E$44</f>
        <v>27.519419155644922</v>
      </c>
      <c r="T28" s="526">
        <f>INWIT!$F$44</f>
        <v>24.05291466309701</v>
      </c>
      <c r="U28" s="526">
        <f>INWIT!$G$44</f>
        <v>22.40405085306816</v>
      </c>
      <c r="AT28" s="178"/>
      <c r="AU28" s="178"/>
      <c r="AV28" s="178"/>
      <c r="AW28" s="178"/>
    </row>
    <row r="29" spans="1:49">
      <c r="B29" s="48"/>
      <c r="C29" s="44"/>
      <c r="D29" s="183"/>
      <c r="E29" s="45"/>
      <c r="F29" s="44"/>
      <c r="H29" s="560"/>
      <c r="I29" s="560"/>
      <c r="J29" s="560"/>
      <c r="K29" s="560"/>
      <c r="L29" s="561"/>
      <c r="M29" s="560"/>
      <c r="N29" s="560"/>
      <c r="O29" s="560"/>
      <c r="P29" s="560"/>
      <c r="Q29" s="558"/>
      <c r="R29" s="560"/>
      <c r="S29" s="560"/>
      <c r="T29" s="560"/>
      <c r="U29" s="560"/>
      <c r="AT29" s="178"/>
      <c r="AU29" s="178"/>
      <c r="AV29" s="178"/>
      <c r="AW29" s="178"/>
    </row>
    <row r="30" spans="1:49">
      <c r="A30" s="42"/>
      <c r="B30" s="48" t="s">
        <v>684</v>
      </c>
      <c r="C30" s="44" t="str">
        <f t="shared" ref="C30:F32" si="1">C11</f>
        <v>USD 233.6</v>
      </c>
      <c r="D30" s="183" t="str">
        <f t="shared" si="1"/>
        <v>USD 239.0</v>
      </c>
      <c r="E30" s="45">
        <f t="shared" si="1"/>
        <v>2.2941277178565311E-2</v>
      </c>
      <c r="F30" s="44" t="str">
        <f t="shared" si="1"/>
        <v>Neutral</v>
      </c>
      <c r="H30" s="560">
        <f>AMT!$D$37</f>
        <v>12.61826426146772</v>
      </c>
      <c r="I30" s="560">
        <f>AMT!$E$37</f>
        <v>12.014983390459896</v>
      </c>
      <c r="J30" s="560">
        <f>AMT!$F$37</f>
        <v>10.863212615332261</v>
      </c>
      <c r="K30" s="560">
        <f>AMT!$G$37</f>
        <v>10.677717352053207</v>
      </c>
      <c r="L30" s="561"/>
      <c r="M30" s="560">
        <f>AMT!$D$39</f>
        <v>25.945326636973817</v>
      </c>
      <c r="N30" s="560">
        <f>AMT!$E$39</f>
        <v>23.490762976197725</v>
      </c>
      <c r="O30" s="560">
        <f>AMT!$F$39</f>
        <v>20.8185179699069</v>
      </c>
      <c r="P30" s="560">
        <f>AMT!$G$39</f>
        <v>19.984630803360979</v>
      </c>
      <c r="Q30" s="558"/>
      <c r="R30" s="560">
        <f>AMT!$D$44</f>
        <v>41.055982648319699</v>
      </c>
      <c r="S30" s="560">
        <f>AMT!$E$44</f>
        <v>34.319880475772159</v>
      </c>
      <c r="T30" s="560">
        <f>AMT!$F$44</f>
        <v>28.222467939303758</v>
      </c>
      <c r="U30" s="560">
        <f>AMT!$G$44</f>
        <v>23.030314217425293</v>
      </c>
      <c r="AT30" s="178"/>
      <c r="AU30" s="178"/>
      <c r="AV30" s="178"/>
      <c r="AW30" s="178"/>
    </row>
    <row r="31" spans="1:49">
      <c r="A31" s="42"/>
      <c r="B31" s="48" t="s">
        <v>679</v>
      </c>
      <c r="C31" s="44" t="str">
        <f t="shared" si="1"/>
        <v>USD 113.9</v>
      </c>
      <c r="D31" s="183" t="str">
        <f t="shared" si="1"/>
        <v>USD 123.0</v>
      </c>
      <c r="E31" s="45">
        <f t="shared" si="1"/>
        <v>8.0179151664178328E-2</v>
      </c>
      <c r="F31" s="44" t="str">
        <f t="shared" si="1"/>
        <v>Neutral</v>
      </c>
      <c r="H31" s="560">
        <f>IFERROR(CCI!$D$37, "")</f>
        <v>9.4587190215277186</v>
      </c>
      <c r="I31" s="560">
        <f>CCI!$E$37</f>
        <v>9.5313241496299703</v>
      </c>
      <c r="J31" s="560">
        <f>CCI!$F$37</f>
        <v>9.5680800327382283</v>
      </c>
      <c r="K31" s="560">
        <f>CCI!$G$37</f>
        <v>7.8431842448931226</v>
      </c>
      <c r="L31" s="561"/>
      <c r="M31" s="560">
        <f>CCI!$D$39</f>
        <v>23.933693160903228</v>
      </c>
      <c r="N31" s="560">
        <f>CCI!$E$39</f>
        <v>23.99669732041248</v>
      </c>
      <c r="O31" s="560">
        <f>CCI!$F$39</f>
        <v>23.974897255189177</v>
      </c>
      <c r="P31" s="560">
        <f>CCI!$G$39</f>
        <v>18.722183492128622</v>
      </c>
      <c r="Q31" s="558"/>
      <c r="R31" s="560">
        <f>CCI!$D$44</f>
        <v>27.072047754069882</v>
      </c>
      <c r="S31" s="560">
        <f>CCI!$E$44</f>
        <v>30.279085347595636</v>
      </c>
      <c r="T31" s="560">
        <f>CCI!$F$44</f>
        <v>31.179204120882499</v>
      </c>
      <c r="U31" s="560">
        <f>CCI!$G$44</f>
        <v>27.548282866177725</v>
      </c>
      <c r="AT31" s="178"/>
      <c r="AU31" s="178"/>
      <c r="AV31" s="178"/>
      <c r="AW31" s="178"/>
    </row>
    <row r="32" spans="1:49">
      <c r="A32" s="42"/>
      <c r="B32" s="48" t="s">
        <v>763</v>
      </c>
      <c r="C32" s="44" t="str">
        <f t="shared" si="1"/>
        <v>USD 233.4</v>
      </c>
      <c r="D32" s="183" t="str">
        <f t="shared" si="1"/>
        <v>USD 244.0</v>
      </c>
      <c r="E32" s="45">
        <f t="shared" si="1"/>
        <v>4.5549985002356852E-2</v>
      </c>
      <c r="F32" s="44" t="str">
        <f t="shared" si="1"/>
        <v>Neutral</v>
      </c>
      <c r="H32" s="560">
        <f>SBAC!$D$37</f>
        <v>14.003951168640846</v>
      </c>
      <c r="I32" s="560">
        <f>SBAC!$E$37</f>
        <v>13.289408981658035</v>
      </c>
      <c r="J32" s="560">
        <f>SBAC!$F$37</f>
        <v>12.647222574817684</v>
      </c>
      <c r="K32" s="560">
        <f>SBAC!$G$37</f>
        <v>12.990214380210432</v>
      </c>
      <c r="L32" s="561"/>
      <c r="M32" s="560">
        <f>SBAC!$D$39</f>
        <v>23.970539255740011</v>
      </c>
      <c r="N32" s="560">
        <f>SBAC!$E$39</f>
        <v>23.288449287836876</v>
      </c>
      <c r="O32" s="560">
        <f>SBAC!$F$39</f>
        <v>22.116829465201814</v>
      </c>
      <c r="P32" s="560">
        <f>SBAC!$G$39</f>
        <v>22.102012396762916</v>
      </c>
      <c r="Q32" s="558"/>
      <c r="R32" s="560">
        <f>SBAC!$D$44</f>
        <v>44.133961860599484</v>
      </c>
      <c r="S32" s="560">
        <f>SBAC!$F$44</f>
        <v>42.439563341581206</v>
      </c>
      <c r="T32" s="560">
        <f>SBAC!$F$44</f>
        <v>42.439563341581206</v>
      </c>
      <c r="U32" s="560">
        <f>SBAC!$G$44</f>
        <v>38.04995208101257</v>
      </c>
    </row>
    <row r="33" spans="1:49">
      <c r="A33" s="42"/>
      <c r="B33" s="48"/>
      <c r="C33" s="44"/>
      <c r="D33" s="44"/>
      <c r="E33" s="45"/>
      <c r="F33" s="44"/>
      <c r="H33" s="560"/>
      <c r="I33" s="560"/>
      <c r="J33" s="560"/>
      <c r="K33" s="560"/>
      <c r="L33" s="561"/>
      <c r="M33" s="560"/>
      <c r="N33" s="560"/>
      <c r="O33" s="560"/>
      <c r="P33" s="560"/>
      <c r="Q33" s="558"/>
      <c r="R33" s="560"/>
      <c r="S33" s="560"/>
      <c r="T33" s="560"/>
      <c r="U33" s="560"/>
    </row>
    <row r="34" spans="1:49">
      <c r="A34" s="42"/>
      <c r="B34" s="48" t="s">
        <v>757</v>
      </c>
      <c r="C34" s="44" t="str">
        <f t="shared" ref="C34:F38" si="2">C15</f>
        <v>INR 423</v>
      </c>
      <c r="D34" s="44" t="str">
        <f t="shared" si="2"/>
        <v>INR 265</v>
      </c>
      <c r="E34" s="45">
        <f t="shared" si="2"/>
        <v>-0.37374453503485761</v>
      </c>
      <c r="F34" s="44" t="str">
        <f t="shared" si="2"/>
        <v>Reduce</v>
      </c>
      <c r="H34" s="560">
        <f>BHIN!$D$37</f>
        <v>4.7028484052782114</v>
      </c>
      <c r="I34" s="560">
        <f>BHIN!$E$37</f>
        <v>4.147274917161238</v>
      </c>
      <c r="J34" s="560">
        <f>BHIN!$F$37</f>
        <v>3.6087590593088459</v>
      </c>
      <c r="K34" s="560">
        <f>BHIN!$G$37</f>
        <v>3.1894435753817034</v>
      </c>
      <c r="L34" s="561"/>
      <c r="M34" s="560">
        <f>BHIN!$D$39</f>
        <v>15.712199766368787</v>
      </c>
      <c r="N34" s="560">
        <f>BHIN!$E$39</f>
        <v>10.756524692468041</v>
      </c>
      <c r="O34" s="560">
        <f>BHIN!$F$39</f>
        <v>9.0891929312786548</v>
      </c>
      <c r="P34" s="560">
        <f>BHIN!$G$39</f>
        <v>7.8060665665820812</v>
      </c>
      <c r="Q34" s="558"/>
      <c r="R34" s="560">
        <f>BHIN!$D$44</f>
        <v>18.89208212120208</v>
      </c>
      <c r="S34" s="560">
        <f>BHIN!$E$44</f>
        <v>16.298155555085415</v>
      </c>
      <c r="T34" s="560">
        <f>BHIN!$F$44</f>
        <v>14.27636753660992</v>
      </c>
      <c r="U34" s="560">
        <f>BHIN!$G$44</f>
        <v>13.289215210965907</v>
      </c>
    </row>
    <row r="35" spans="1:49">
      <c r="A35" s="42"/>
      <c r="B35" s="197" t="s">
        <v>1019</v>
      </c>
      <c r="C35" s="180" t="str">
        <f t="shared" si="2"/>
        <v>HKD 0.99</v>
      </c>
      <c r="D35" s="180" t="str">
        <f t="shared" si="2"/>
        <v>HKD 1.40</v>
      </c>
      <c r="E35" s="68">
        <f t="shared" si="2"/>
        <v>0.41414141414141414</v>
      </c>
      <c r="F35" s="44" t="str">
        <f t="shared" si="2"/>
        <v>Buy</v>
      </c>
      <c r="H35" s="560">
        <f>ChinaTow!D$37</f>
        <v>2.7320864871271282</v>
      </c>
      <c r="I35" s="560">
        <f>ChinaTow!E$37</f>
        <v>2.5024078407801844</v>
      </c>
      <c r="J35" s="560">
        <f>ChinaTow!F$37</f>
        <v>2.1732189986661754</v>
      </c>
      <c r="K35" s="560">
        <f>ChinaTow!G$37</f>
        <v>1.8585896110238576</v>
      </c>
      <c r="L35" s="558"/>
      <c r="M35" s="560">
        <f>ChinaTow!D$39</f>
        <v>8.0676190026490193</v>
      </c>
      <c r="N35" s="560">
        <f>ChinaTow!E$39</f>
        <v>5.7951420656687089</v>
      </c>
      <c r="O35" s="560">
        <f>ChinaTow!F$39</f>
        <v>4.9091144716925132</v>
      </c>
      <c r="P35" s="560">
        <f>ChinaTow!G$39</f>
        <v>4.1515045632079612</v>
      </c>
      <c r="Q35" s="559"/>
      <c r="R35" s="560">
        <f>ChinaTow!D$44</f>
        <v>16.188649877777866</v>
      </c>
      <c r="S35" s="560">
        <f>ChinaTow!E$44</f>
        <v>11.638346814952996</v>
      </c>
      <c r="T35" s="560">
        <f>ChinaTow!F$44</f>
        <v>9.0525958409834519</v>
      </c>
      <c r="U35" s="560">
        <f>ChinaTow!G$44</f>
        <v>6.4516806078548763</v>
      </c>
      <c r="AT35" s="198"/>
      <c r="AU35" s="198"/>
      <c r="AV35" s="198"/>
      <c r="AW35" s="198"/>
    </row>
    <row r="36" spans="1:49">
      <c r="A36" s="42"/>
      <c r="B36" s="48" t="s">
        <v>765</v>
      </c>
      <c r="C36" s="44" t="str">
        <f t="shared" si="2"/>
        <v>IDR 840</v>
      </c>
      <c r="D36" s="44" t="str">
        <f t="shared" si="2"/>
        <v>IDR 1,500</v>
      </c>
      <c r="E36" s="45">
        <f t="shared" si="2"/>
        <v>0.78571428571428581</v>
      </c>
      <c r="F36" s="44" t="str">
        <f t="shared" si="2"/>
        <v>Buy</v>
      </c>
      <c r="H36" s="560">
        <f>TOWR!$D$37</f>
        <v>7.3520410127641069</v>
      </c>
      <c r="I36" s="560">
        <f>TOWR!$E$37</f>
        <v>6.8514016298321918</v>
      </c>
      <c r="J36" s="560">
        <f>TOWR!$F$37</f>
        <v>6.2158969316743615</v>
      </c>
      <c r="K36" s="560">
        <f>TOWR!$G$37</f>
        <v>5.5650203561669924</v>
      </c>
      <c r="L36" s="561"/>
      <c r="M36" s="560">
        <f>TOWR!$D$39</f>
        <v>25.197191132648292</v>
      </c>
      <c r="N36" s="560">
        <f>TOWR!$E$39</f>
        <v>12.776440222680664</v>
      </c>
      <c r="O36" s="560">
        <f>TOWR!$F$39</f>
        <v>10.798030351307185</v>
      </c>
      <c r="P36" s="560">
        <f>TOWR!$G$39</f>
        <v>9.2830425143239186</v>
      </c>
      <c r="Q36" s="558"/>
      <c r="R36" s="560">
        <f>TOWR!$D$44</f>
        <v>12.131682840524986</v>
      </c>
      <c r="S36" s="560">
        <f>TOWR!$E$44</f>
        <v>10.929220508058808</v>
      </c>
      <c r="T36" s="560">
        <f>TOWR!$F$44</f>
        <v>10.262268925879969</v>
      </c>
      <c r="U36" s="560">
        <f>TOWR!$G$44</f>
        <v>9.5513113625288337</v>
      </c>
      <c r="AT36" s="186"/>
      <c r="AU36" s="186"/>
      <c r="AV36" s="186"/>
      <c r="AW36" s="186"/>
    </row>
    <row r="37" spans="1:49">
      <c r="A37" s="42"/>
      <c r="B37" s="197" t="s">
        <v>764</v>
      </c>
      <c r="C37" s="180" t="str">
        <f t="shared" si="2"/>
        <v>IDR 1,920</v>
      </c>
      <c r="D37" s="180" t="str">
        <f t="shared" si="2"/>
        <v>IDR 1,700</v>
      </c>
      <c r="E37" s="68">
        <f t="shared" si="2"/>
        <v>-0.11458333333333337</v>
      </c>
      <c r="F37" s="180" t="str">
        <f t="shared" si="2"/>
        <v>Neutral</v>
      </c>
      <c r="H37" s="526">
        <f>TBIG!$D$37</f>
        <v>10.67114028688478</v>
      </c>
      <c r="I37" s="526">
        <f>TBIG!$E$37</f>
        <v>10.376233274692948</v>
      </c>
      <c r="J37" s="526">
        <f>TBIG!$F$37</f>
        <v>9.8928745063893206</v>
      </c>
      <c r="K37" s="526">
        <f>TBIG!$G$37</f>
        <v>9.3699731401365227</v>
      </c>
      <c r="L37" s="558"/>
      <c r="M37" s="526">
        <f>TBIG!$D$39</f>
        <v>23.763969624830896</v>
      </c>
      <c r="N37" s="526">
        <f>TBIG!$E$39</f>
        <v>18.874061409370803</v>
      </c>
      <c r="O37" s="526">
        <f>TBIG!$F$39</f>
        <v>17.241020057826344</v>
      </c>
      <c r="P37" s="526">
        <f>TBIG!$G$39</f>
        <v>16.297865028611071</v>
      </c>
      <c r="Q37" s="559"/>
      <c r="R37" s="526">
        <f>TBIG!$D$44</f>
        <v>18.418367953458848</v>
      </c>
      <c r="S37" s="526">
        <f>TBIG!$E$44</f>
        <v>17.082859542386856</v>
      </c>
      <c r="T37" s="526">
        <f>TBIG!$F$44</f>
        <v>16.526237842097636</v>
      </c>
      <c r="U37" s="526">
        <f>TBIG!$G$44</f>
        <v>15.676843572507208</v>
      </c>
      <c r="AT37" s="186"/>
      <c r="AU37" s="186"/>
      <c r="AV37" s="186"/>
      <c r="AW37" s="186"/>
    </row>
    <row r="38" spans="1:49">
      <c r="A38" s="42"/>
      <c r="B38" s="197" t="s">
        <v>1397</v>
      </c>
      <c r="C38" s="180" t="str">
        <f t="shared" si="2"/>
        <v>IDR 660</v>
      </c>
      <c r="D38" s="180" t="str">
        <f t="shared" si="2"/>
        <v>IDR 1,135</v>
      </c>
      <c r="E38" s="68">
        <f t="shared" si="2"/>
        <v>0.71969696969696972</v>
      </c>
      <c r="F38" s="180" t="str">
        <f t="shared" si="2"/>
        <v>Buy</v>
      </c>
      <c r="H38" s="526">
        <f>MITRA!$D$37</f>
        <v>8.3181022570145426</v>
      </c>
      <c r="I38" s="526">
        <f>MITRA!$E$37</f>
        <v>7.7645468844747851</v>
      </c>
      <c r="J38" s="526">
        <f>MITRA!$F$37</f>
        <v>6.8668547524385772</v>
      </c>
      <c r="K38" s="526">
        <f>MITRA!$G$37</f>
        <v>6.0631519497588533</v>
      </c>
      <c r="L38" s="558"/>
      <c r="M38" s="526">
        <f>MITRA!$D$39</f>
        <v>-25.106669261864415</v>
      </c>
      <c r="N38" s="526">
        <f>MITRA!$E$39</f>
        <v>117.02868267679099</v>
      </c>
      <c r="O38" s="526">
        <f>MITRA!$F$39</f>
        <v>32.275532062003592</v>
      </c>
      <c r="P38" s="526">
        <f>MITRA!$G$39</f>
        <v>11.948819343344208</v>
      </c>
      <c r="Q38" s="559"/>
      <c r="R38" s="526">
        <f>MITRA!$D$44</f>
        <v>27.137968962279924</v>
      </c>
      <c r="S38" s="526">
        <f>MITRA!$E$44</f>
        <v>14.615957161597095</v>
      </c>
      <c r="T38" s="526">
        <f>MITRA!$F$44</f>
        <v>14.341645401721642</v>
      </c>
      <c r="U38" s="526">
        <f>MITRA!$G$44</f>
        <v>12.938090760527796</v>
      </c>
      <c r="AT38" s="198"/>
      <c r="AU38" s="198"/>
      <c r="AV38" s="198"/>
      <c r="AW38" s="198"/>
    </row>
    <row r="39" spans="1:49">
      <c r="A39" s="42"/>
      <c r="B39" s="48"/>
      <c r="C39" s="44"/>
      <c r="D39" s="44"/>
      <c r="E39" s="45"/>
      <c r="F39" s="44"/>
      <c r="H39" s="560"/>
      <c r="I39" s="560"/>
      <c r="J39" s="560"/>
      <c r="K39" s="560"/>
      <c r="L39" s="561"/>
      <c r="M39" s="560"/>
      <c r="N39" s="560"/>
      <c r="O39" s="560"/>
      <c r="P39" s="560"/>
      <c r="Q39" s="558"/>
      <c r="R39" s="560"/>
      <c r="S39" s="560"/>
      <c r="T39" s="560"/>
      <c r="U39" s="560"/>
      <c r="AT39" s="186"/>
      <c r="AU39" s="186"/>
      <c r="AV39" s="186"/>
      <c r="AW39" s="186"/>
    </row>
    <row r="40" spans="1:49">
      <c r="A40" s="42"/>
      <c r="B40" s="48" t="str">
        <f>B21</f>
        <v>IHS</v>
      </c>
      <c r="C40" s="44" t="str">
        <f>C21</f>
        <v>USD 3.2</v>
      </c>
      <c r="D40" s="44" t="str">
        <f>D21</f>
        <v>USD 8.0</v>
      </c>
      <c r="E40" s="45">
        <f>E21</f>
        <v>1.5078369905956115</v>
      </c>
      <c r="F40" s="44" t="str">
        <f>F21</f>
        <v>Buy</v>
      </c>
      <c r="H40" s="560">
        <f>IHS!$D$37</f>
        <v>2.2967583469416466</v>
      </c>
      <c r="I40" s="560">
        <f>IHS!$E$37</f>
        <v>2.6609777723780832</v>
      </c>
      <c r="J40" s="560">
        <f>IHS!$F$37</f>
        <v>2.3462712946492235</v>
      </c>
      <c r="K40" s="560">
        <f>IHS!$G$37</f>
        <v>1.9838054128267937</v>
      </c>
      <c r="L40" s="561"/>
      <c r="M40" s="560">
        <f>IHS!$D$39</f>
        <v>8.932363782740353</v>
      </c>
      <c r="N40" s="560">
        <f>IHS!$E$39</f>
        <v>7.4055394283374083</v>
      </c>
      <c r="O40" s="560">
        <f>IHS!$F$39</f>
        <v>6.2007452146178608</v>
      </c>
      <c r="P40" s="560">
        <f>IHS!$G$39</f>
        <v>5.0600346029010215</v>
      </c>
      <c r="Q40" s="558"/>
      <c r="R40" s="526">
        <f>IHS!$D$44</f>
        <v>5.6184228917000114</v>
      </c>
      <c r="S40" s="526">
        <f>IHS!$E$44</f>
        <v>5.1946085561405537</v>
      </c>
      <c r="T40" s="526">
        <f>IHS!$F$44</f>
        <v>3.5100707472025543</v>
      </c>
      <c r="U40" s="526">
        <f>IHS!$G$44</f>
        <v>2.7120842312193578</v>
      </c>
      <c r="AT40" s="186"/>
      <c r="AU40" s="186"/>
      <c r="AV40" s="186"/>
      <c r="AW40" s="186"/>
    </row>
    <row r="41" spans="1:49">
      <c r="B41" s="48"/>
      <c r="C41" s="44"/>
      <c r="D41" s="44"/>
      <c r="E41" s="45"/>
      <c r="F41" s="44"/>
      <c r="H41" s="560"/>
      <c r="I41" s="560"/>
      <c r="J41" s="560"/>
      <c r="K41" s="560"/>
      <c r="L41" s="561"/>
      <c r="M41" s="560"/>
      <c r="N41" s="560"/>
      <c r="O41" s="560"/>
      <c r="P41" s="560"/>
      <c r="Q41" s="558"/>
      <c r="R41" s="560"/>
      <c r="S41" s="560"/>
      <c r="T41" s="560"/>
      <c r="U41" s="560"/>
      <c r="AT41" s="186"/>
      <c r="AU41" s="186"/>
      <c r="AV41" s="186"/>
      <c r="AW41" s="186"/>
    </row>
    <row r="42" spans="1:49">
      <c r="B42" s="199" t="s">
        <v>871</v>
      </c>
      <c r="C42" s="184" t="str">
        <f>C23</f>
        <v>MXN 16.6</v>
      </c>
      <c r="D42" s="184" t="str">
        <f>D23</f>
        <v>MXN 17.0</v>
      </c>
      <c r="E42" s="185">
        <f>E23</f>
        <v>2.2248947684906817E-2</v>
      </c>
      <c r="F42" s="184" t="str">
        <f>F23</f>
        <v>Neutral</v>
      </c>
      <c r="H42" s="562">
        <f>SITES!$D$37</f>
        <v>7.2380388117235297</v>
      </c>
      <c r="I42" s="562">
        <f>SITES!$E$37</f>
        <v>6.4038740070689872</v>
      </c>
      <c r="J42" s="562">
        <f>SITES!$F$37</f>
        <v>5.6424503613665049</v>
      </c>
      <c r="K42" s="562">
        <f>SITES!$G$37</f>
        <v>4.9308606156033079</v>
      </c>
      <c r="L42" s="561"/>
      <c r="M42" s="562">
        <f>SITES!$D$39</f>
        <v>8.5685907608353151</v>
      </c>
      <c r="N42" s="562">
        <f>SITES!$E$39</f>
        <v>7.6205445811549684</v>
      </c>
      <c r="O42" s="562">
        <f>SITES!$F$39</f>
        <v>6.6838702410215047</v>
      </c>
      <c r="P42" s="562">
        <f>SITES!$G$39</f>
        <v>5.7504603856119907</v>
      </c>
      <c r="Q42" s="558"/>
      <c r="R42" s="562">
        <f>SITES!$D$44</f>
        <v>29.971179964038367</v>
      </c>
      <c r="S42" s="562">
        <f>SITES!$E$44</f>
        <v>21.018759937508701</v>
      </c>
      <c r="T42" s="562">
        <f>SITES!$F$44</f>
        <v>15.99105645141915</v>
      </c>
      <c r="U42" s="562">
        <f>SITES!$G$44</f>
        <v>12.738410353053451</v>
      </c>
      <c r="AT42" s="186"/>
      <c r="AU42" s="186"/>
      <c r="AV42" s="186"/>
      <c r="AW42" s="186"/>
    </row>
    <row r="43" spans="1:49">
      <c r="H43" s="77"/>
      <c r="I43" s="77"/>
      <c r="J43" s="77"/>
      <c r="K43" s="77"/>
      <c r="AT43" s="186"/>
      <c r="AU43" s="186"/>
      <c r="AV43" s="186"/>
      <c r="AW43" s="186"/>
    </row>
    <row r="44" spans="1:49">
      <c r="H44" s="77"/>
      <c r="I44" s="77"/>
      <c r="J44" s="77"/>
      <c r="K44" s="77"/>
      <c r="AT44" s="186"/>
      <c r="AU44" s="186"/>
      <c r="AV44" s="186"/>
      <c r="AW44" s="186"/>
    </row>
    <row r="45" spans="1:49" collapsed="1">
      <c r="A45" s="194"/>
      <c r="B45" s="164" t="s">
        <v>688</v>
      </c>
      <c r="C45" s="165" t="s">
        <v>459</v>
      </c>
      <c r="D45" s="165" t="s">
        <v>56</v>
      </c>
      <c r="E45" s="165" t="s">
        <v>58</v>
      </c>
      <c r="F45" s="165" t="s">
        <v>55</v>
      </c>
      <c r="H45" s="166" t="s">
        <v>461</v>
      </c>
      <c r="I45" s="166"/>
      <c r="J45" s="166"/>
      <c r="K45" s="166"/>
      <c r="M45" s="166" t="s">
        <v>776</v>
      </c>
      <c r="N45" s="166"/>
      <c r="O45" s="166"/>
      <c r="P45" s="166"/>
      <c r="R45" s="166" t="s">
        <v>782</v>
      </c>
      <c r="S45" s="166"/>
      <c r="T45" s="166"/>
      <c r="U45" s="166"/>
      <c r="AT45" s="186"/>
      <c r="AU45" s="186"/>
      <c r="AV45" s="186"/>
      <c r="AW45" s="186"/>
    </row>
    <row r="46" spans="1:49">
      <c r="A46" s="194"/>
      <c r="B46" s="197" t="str">
        <f t="shared" ref="B46:F47" si="3">B27</f>
        <v>Cellnex</v>
      </c>
      <c r="C46" s="180" t="str">
        <f t="shared" si="3"/>
        <v>EUR 35.7</v>
      </c>
      <c r="D46" s="180" t="str">
        <f t="shared" si="3"/>
        <v>EUR 31.0</v>
      </c>
      <c r="E46" s="68">
        <f t="shared" si="3"/>
        <v>-0.13165266106442586</v>
      </c>
      <c r="F46" s="180" t="str">
        <f t="shared" si="3"/>
        <v>Neutral</v>
      </c>
      <c r="H46" s="526">
        <f>CLNX!$D$40</f>
        <v>112.70374240427986</v>
      </c>
      <c r="I46" s="526">
        <f>CLNX!$E$40</f>
        <v>82.955347405369906</v>
      </c>
      <c r="J46" s="526">
        <f>CLNX!$F$40</f>
        <v>78.520643772162686</v>
      </c>
      <c r="K46" s="526">
        <f>CLNX!$G$40</f>
        <v>50.905203343948884</v>
      </c>
      <c r="L46" s="557"/>
      <c r="M46" s="566">
        <f>IFERROR(CLNX!$D$45,"-")</f>
        <v>1.5997198879551819E-3</v>
      </c>
      <c r="N46" s="566">
        <f>IFERROR(CLNX!$E$45,"-")</f>
        <v>1.7588284721465751E-3</v>
      </c>
      <c r="O46" s="566">
        <f>IFERROR(CLNX!$F$45,"-")</f>
        <v>2.1105941665758906E-3</v>
      </c>
      <c r="P46" s="566">
        <f>IFERROR(CLNX!$G$45,"-")</f>
        <v>1.9851337157410557E-2</v>
      </c>
      <c r="Q46" s="567"/>
      <c r="R46" s="566">
        <f>IFERROR(CLNX!$D$47,"-")</f>
        <v>4.9564853712488963E-3</v>
      </c>
      <c r="S46" s="566">
        <f>IFERROR(CLNX!E$47,"-")</f>
        <v>7.9922452770881756E-3</v>
      </c>
      <c r="T46" s="566">
        <f>IFERROR(CLNX!F$47,"-")</f>
        <v>9.4519669705162464E-3</v>
      </c>
      <c r="U46" s="566">
        <f>IFERROR(CLNX!G$47,"-")</f>
        <v>2.2760179289709512E-2</v>
      </c>
      <c r="AT46" s="186"/>
      <c r="AU46" s="186"/>
      <c r="AV46" s="186"/>
      <c r="AW46" s="186"/>
    </row>
    <row r="47" spans="1:49">
      <c r="A47" s="42"/>
      <c r="B47" s="197" t="str">
        <f t="shared" si="3"/>
        <v>Inwit</v>
      </c>
      <c r="C47" s="180" t="str">
        <f t="shared" si="3"/>
        <v>EUR 11.1</v>
      </c>
      <c r="D47" s="180" t="str">
        <f t="shared" si="3"/>
        <v>EUR 12.0</v>
      </c>
      <c r="E47" s="68">
        <f t="shared" si="3"/>
        <v>8.4990958408679873E-2</v>
      </c>
      <c r="F47" s="180" t="str">
        <f t="shared" si="3"/>
        <v>Neutral</v>
      </c>
      <c r="H47" s="526">
        <f>INWIT!$D$40</f>
        <v>46.542253257118119</v>
      </c>
      <c r="I47" s="526">
        <f>INWIT!$E$40</f>
        <v>39.245874072031256</v>
      </c>
      <c r="J47" s="526">
        <f>INWIT!$F$40</f>
        <v>32.142708860836038</v>
      </c>
      <c r="K47" s="526">
        <f>INWIT!$G$40</f>
        <v>27.205108263200817</v>
      </c>
      <c r="L47" s="557"/>
      <c r="M47" s="566">
        <f>INWIT!$D$45</f>
        <v>4.3399638336347197E-2</v>
      </c>
      <c r="N47" s="566">
        <f>INWIT!$E$45</f>
        <v>4.6654611211573237E-2</v>
      </c>
      <c r="O47" s="566">
        <f>INWIT!$F$45</f>
        <v>5.0153707052441224E-2</v>
      </c>
      <c r="P47" s="566">
        <f>INWIT!$G$45</f>
        <v>5.3915235081374309E-2</v>
      </c>
      <c r="Q47" s="568"/>
      <c r="R47" s="566">
        <f>INWIT!$D$47</f>
        <v>2.3498042645737818E-2</v>
      </c>
      <c r="S47" s="566">
        <f>INWIT!$E$47</f>
        <v>2.7742132809722944E-2</v>
      </c>
      <c r="T47" s="566">
        <f>INWIT!$F$47</f>
        <v>3.4670437057214058E-2</v>
      </c>
      <c r="U47" s="566">
        <f>INWIT!$G$47</f>
        <v>4.0195215534361131E-2</v>
      </c>
      <c r="AT47" s="186"/>
      <c r="AU47" s="186"/>
      <c r="AV47" s="186"/>
      <c r="AW47" s="186"/>
    </row>
    <row r="48" spans="1:49">
      <c r="A48" s="42"/>
      <c r="B48" s="48"/>
      <c r="C48" s="44"/>
      <c r="D48" s="183"/>
      <c r="E48" s="45"/>
      <c r="F48" s="44"/>
      <c r="H48" s="560"/>
      <c r="I48" s="560"/>
      <c r="J48" s="560"/>
      <c r="K48" s="560"/>
      <c r="L48" s="561"/>
      <c r="M48" s="569"/>
      <c r="N48" s="569"/>
      <c r="O48" s="569"/>
      <c r="P48" s="569"/>
      <c r="Q48" s="567"/>
      <c r="R48" s="569"/>
      <c r="S48" s="569"/>
      <c r="T48" s="569"/>
      <c r="U48" s="569"/>
    </row>
    <row r="49" spans="1:49">
      <c r="A49" s="42"/>
      <c r="B49" s="48" t="str">
        <f t="shared" ref="B49:F51" si="4">B30</f>
        <v>American Tower</v>
      </c>
      <c r="C49" s="44" t="str">
        <f t="shared" si="4"/>
        <v>USD 233.6</v>
      </c>
      <c r="D49" s="183" t="str">
        <f t="shared" si="4"/>
        <v>USD 239.0</v>
      </c>
      <c r="E49" s="45">
        <f t="shared" si="4"/>
        <v>2.2941277178565311E-2</v>
      </c>
      <c r="F49" s="44" t="str">
        <f t="shared" si="4"/>
        <v>Neutral</v>
      </c>
      <c r="H49" s="560">
        <f>AMT!$D$40</f>
        <v>28.82814070774868</v>
      </c>
      <c r="I49" s="560">
        <f>AMT!$E$40</f>
        <v>26.100847751330807</v>
      </c>
      <c r="J49" s="560">
        <f>AMT!$F$40</f>
        <v>23.13168663322989</v>
      </c>
      <c r="K49" s="560">
        <f>AMT!$G$40</f>
        <v>22.205145337067755</v>
      </c>
      <c r="L49" s="561"/>
      <c r="M49" s="569">
        <f>AMT!$D$45</f>
        <v>2.702418320969753E-2</v>
      </c>
      <c r="N49" s="569">
        <f>AMT!$E$45</f>
        <v>5.0619236908481205E-2</v>
      </c>
      <c r="O49" s="569">
        <f>AMT!$F$45</f>
        <v>5.6334381625540102E-2</v>
      </c>
      <c r="P49" s="569">
        <f>AMT!$G$45</f>
        <v>6.0415917380553207E-2</v>
      </c>
      <c r="Q49" s="567"/>
      <c r="R49" s="569">
        <f>AMT!$D$47</f>
        <v>3.7176901509646129E-2</v>
      </c>
      <c r="S49" s="569">
        <f>AMT!$E$47</f>
        <v>4.1503693277669028E-2</v>
      </c>
      <c r="T49" s="569">
        <f>AMT!$F$47</f>
        <v>4.6098857046477294E-2</v>
      </c>
      <c r="U49" s="569">
        <f>AMT!$G$47</f>
        <v>5.2002781569892527E-2</v>
      </c>
    </row>
    <row r="50" spans="1:49">
      <c r="A50" s="42"/>
      <c r="B50" s="48" t="str">
        <f t="shared" si="4"/>
        <v>Crown Castle</v>
      </c>
      <c r="C50" s="44" t="str">
        <f t="shared" si="4"/>
        <v>USD 113.9</v>
      </c>
      <c r="D50" s="183" t="str">
        <f t="shared" si="4"/>
        <v>USD 123.0</v>
      </c>
      <c r="E50" s="45">
        <f t="shared" si="4"/>
        <v>8.0179151664178328E-2</v>
      </c>
      <c r="F50" s="44" t="str">
        <f t="shared" si="4"/>
        <v>Neutral</v>
      </c>
      <c r="H50" s="560">
        <f>CCI!$D$40</f>
        <v>26.592992401003581</v>
      </c>
      <c r="I50" s="560">
        <f>CCI!$E$40</f>
        <v>26.662997022680532</v>
      </c>
      <c r="J50" s="560">
        <f>CCI!$F$40</f>
        <v>26.638774727987972</v>
      </c>
      <c r="K50" s="560">
        <f>CCI!$G$40</f>
        <v>20.802426102365132</v>
      </c>
      <c r="L50" s="561"/>
      <c r="M50" s="569">
        <f>CCI!$D$45</f>
        <v>5.5096357781412635E-2</v>
      </c>
      <c r="N50" s="569">
        <f>CCI!$E$45</f>
        <v>5.5524721173267753E-2</v>
      </c>
      <c r="O50" s="569">
        <f>CCI!$F$45</f>
        <v>5.6079968385000428E-2</v>
      </c>
      <c r="P50" s="569">
        <f>CCI!$G$45</f>
        <v>6.0005566171950471E-2</v>
      </c>
      <c r="Q50" s="567"/>
      <c r="R50" s="569">
        <f>CCI!$D$47</f>
        <v>4.0007182893444085E-2</v>
      </c>
      <c r="S50" s="569">
        <f>CCI!$E$47</f>
        <v>3.9448834875300626E-2</v>
      </c>
      <c r="T50" s="569">
        <f>CCI!$F$47</f>
        <v>3.9807330892488585E-2</v>
      </c>
      <c r="U50" s="569">
        <f>CCI!$G$47</f>
        <v>4.5083812880818669E-2</v>
      </c>
    </row>
    <row r="51" spans="1:49">
      <c r="A51" s="42"/>
      <c r="B51" s="48" t="str">
        <f t="shared" si="4"/>
        <v xml:space="preserve">SBA </v>
      </c>
      <c r="C51" s="44" t="str">
        <f t="shared" si="4"/>
        <v>USD 233.4</v>
      </c>
      <c r="D51" s="183" t="str">
        <f t="shared" si="4"/>
        <v>USD 244.0</v>
      </c>
      <c r="E51" s="45">
        <f t="shared" si="4"/>
        <v>4.5549985002356852E-2</v>
      </c>
      <c r="F51" s="44" t="str">
        <f t="shared" si="4"/>
        <v>Neutral</v>
      </c>
      <c r="H51" s="560">
        <f>SBAC!$D$40</f>
        <v>26.633932506377789</v>
      </c>
      <c r="I51" s="560">
        <f>SBAC!$E$40</f>
        <v>25.876054764263195</v>
      </c>
      <c r="J51" s="560">
        <f>SBAC!$F$40</f>
        <v>24.574254961335349</v>
      </c>
      <c r="K51" s="560">
        <f>SBAC!$G$40</f>
        <v>24.557791551958797</v>
      </c>
      <c r="L51" s="561"/>
      <c r="M51" s="569">
        <f>SBAC!$D$45</f>
        <v>1.2454194266812517E-2</v>
      </c>
      <c r="N51" s="569">
        <f>SBAC!$E$45</f>
        <v>1.4677813733516551E-2</v>
      </c>
      <c r="O51" s="569">
        <f>SBAC!$F$45</f>
        <v>1.6211858563969776E-2</v>
      </c>
      <c r="P51" s="569">
        <f>SBAC!$G$45</f>
        <v>1.6643092501652457E-2</v>
      </c>
      <c r="Q51" s="567"/>
      <c r="R51" s="569">
        <f>SBAC!$D$47</f>
        <v>3.6314213059713399E-2</v>
      </c>
      <c r="S51" s="569">
        <f>SBAC!$E$47</f>
        <v>3.7135251366097709E-2</v>
      </c>
      <c r="T51" s="569">
        <f>SBAC!$F$47</f>
        <v>3.5335073231415638E-2</v>
      </c>
      <c r="U51" s="569">
        <f>SBAC!$G$47</f>
        <v>3.6032455167197976E-2</v>
      </c>
    </row>
    <row r="52" spans="1:49">
      <c r="A52" s="42"/>
      <c r="B52" s="48"/>
      <c r="C52" s="44"/>
      <c r="D52" s="44"/>
      <c r="E52" s="45"/>
      <c r="F52" s="44"/>
      <c r="H52" s="560"/>
      <c r="I52" s="560"/>
      <c r="J52" s="560"/>
      <c r="K52" s="560"/>
      <c r="L52" s="561"/>
      <c r="M52" s="569"/>
      <c r="N52" s="569"/>
      <c r="O52" s="569"/>
      <c r="P52" s="569"/>
      <c r="Q52" s="567"/>
      <c r="R52" s="569"/>
      <c r="S52" s="569"/>
      <c r="T52" s="569"/>
      <c r="U52" s="569"/>
    </row>
    <row r="53" spans="1:49">
      <c r="A53" s="42"/>
      <c r="B53" s="48" t="str">
        <f t="shared" ref="B53:F56" si="5">B34</f>
        <v>Bharti Infratel</v>
      </c>
      <c r="C53" s="44" t="str">
        <f t="shared" si="5"/>
        <v>INR 423</v>
      </c>
      <c r="D53" s="44" t="str">
        <f t="shared" si="5"/>
        <v>INR 265</v>
      </c>
      <c r="E53" s="45">
        <f t="shared" si="5"/>
        <v>-0.37374453503485761</v>
      </c>
      <c r="F53" s="44" t="str">
        <f t="shared" si="5"/>
        <v>Reduce</v>
      </c>
      <c r="H53" s="560">
        <f>BHIN!$D$40</f>
        <v>-118.29752515391381</v>
      </c>
      <c r="I53" s="560">
        <f>BHIN!$E$40</f>
        <v>39.28869038865443</v>
      </c>
      <c r="J53" s="560">
        <f>BHIN!$F$40</f>
        <v>14.039763625808327</v>
      </c>
      <c r="K53" s="560">
        <f>BHIN!$G$40</f>
        <v>11.448717040598915</v>
      </c>
      <c r="L53" s="561"/>
      <c r="M53" s="569">
        <f>BHIN!$D$45</f>
        <v>0</v>
      </c>
      <c r="N53" s="569">
        <f>BHIN!$E$45</f>
        <v>0</v>
      </c>
      <c r="O53" s="569">
        <f>BHIN!$F$45</f>
        <v>0</v>
      </c>
      <c r="P53" s="569">
        <f>BHIN!$G$45</f>
        <v>0</v>
      </c>
      <c r="Q53" s="567"/>
      <c r="R53" s="569">
        <f>BHIN!$D$47</f>
        <v>2.1033637438287778E-2</v>
      </c>
      <c r="S53" s="569">
        <f>BHIN!$E$47</f>
        <v>3.8063402119485015E-2</v>
      </c>
      <c r="T53" s="569">
        <f>BHIN!$F$47</f>
        <v>8.4003547119251482E-2</v>
      </c>
      <c r="U53" s="569">
        <f>BHIN!$G$47</f>
        <v>9.1891556371428151E-2</v>
      </c>
    </row>
    <row r="54" spans="1:49">
      <c r="A54" s="42"/>
      <c r="B54" s="197" t="str">
        <f t="shared" si="5"/>
        <v>China Tower</v>
      </c>
      <c r="C54" s="180" t="str">
        <f t="shared" si="5"/>
        <v>HKD 0.99</v>
      </c>
      <c r="D54" s="180" t="str">
        <f t="shared" si="5"/>
        <v>HKD 1.40</v>
      </c>
      <c r="E54" s="68">
        <f t="shared" si="5"/>
        <v>0.41414141414141414</v>
      </c>
      <c r="F54" s="44" t="str">
        <f t="shared" si="5"/>
        <v>Buy</v>
      </c>
      <c r="H54" s="560">
        <f>ChinaTow!$D$40</f>
        <v>8.0878385991468864</v>
      </c>
      <c r="I54" s="560">
        <f>ChinaTow!$E$40</f>
        <v>5.8096662312468252</v>
      </c>
      <c r="J54" s="560">
        <f>ChinaTow!$F$40</f>
        <v>4.9214180167343482</v>
      </c>
      <c r="K54" s="560">
        <f>ChinaTow!$G$40</f>
        <v>4.1619093365493347</v>
      </c>
      <c r="L54" s="558"/>
      <c r="M54" s="569">
        <f>ChinaTow!$D$45</f>
        <v>4.1410594043754072E-2</v>
      </c>
      <c r="N54" s="569">
        <f>ChinaTow!$E$45</f>
        <v>5.7601102533206779E-2</v>
      </c>
      <c r="O54" s="569">
        <f>ChinaTow!$F$45</f>
        <v>7.4054074652282212E-2</v>
      </c>
      <c r="P54" s="569">
        <f>ChinaTow!$G$45</f>
        <v>0.10390805883802481</v>
      </c>
      <c r="Q54" s="568"/>
      <c r="R54" s="569">
        <f>ChinaTow!$D$47</f>
        <v>0.17159220656561971</v>
      </c>
      <c r="S54" s="569">
        <f>ChinaTow!$E$47</f>
        <v>0.238498376338729</v>
      </c>
      <c r="T54" s="569">
        <f>ChinaTow!$F$47</f>
        <v>0.25489568566247073</v>
      </c>
      <c r="U54" s="569">
        <f>ChinaTow!$G$47</f>
        <v>0.26335754243097287</v>
      </c>
    </row>
    <row r="55" spans="1:49">
      <c r="B55" s="48" t="str">
        <f t="shared" si="5"/>
        <v>Sarana Menara</v>
      </c>
      <c r="C55" s="44" t="str">
        <f t="shared" si="5"/>
        <v>IDR 840</v>
      </c>
      <c r="D55" s="44" t="str">
        <f t="shared" si="5"/>
        <v>IDR 1,500</v>
      </c>
      <c r="E55" s="45">
        <f t="shared" si="5"/>
        <v>0.78571428571428581</v>
      </c>
      <c r="F55" s="44" t="str">
        <f t="shared" si="5"/>
        <v>Buy</v>
      </c>
      <c r="H55" s="560">
        <f>TOWR!$D$40</f>
        <v>35.995987332354709</v>
      </c>
      <c r="I55" s="560">
        <f>TOWR!$E$40</f>
        <v>18.252057460972377</v>
      </c>
      <c r="J55" s="560">
        <f>TOWR!$F$40</f>
        <v>15.425757644724552</v>
      </c>
      <c r="K55" s="560">
        <f>TOWR!$G$40</f>
        <v>13.261489306177028</v>
      </c>
      <c r="L55" s="561"/>
      <c r="M55" s="569">
        <f>IFERROR(TOWR!$D$45,"-")</f>
        <v>3.4917566682623954E-2</v>
      </c>
      <c r="N55" s="569">
        <f>IFERROR(TOWR!$E$45,"-")</f>
        <v>3.6404860451281988E-2</v>
      </c>
      <c r="O55" s="569">
        <f>IFERROR(TOWR!$F$45,"-")</f>
        <v>3.8804378927692562E-2</v>
      </c>
      <c r="P55" s="569">
        <f>IFERROR(TOWR!$G$45,"-")</f>
        <v>4.1769476569123311E-2</v>
      </c>
      <c r="Q55" s="567"/>
      <c r="R55" s="569">
        <f>IFERROR(TOWR!$D$47,"-")</f>
        <v>-6.2777312565790539E-3</v>
      </c>
      <c r="S55" s="569">
        <f>IFERROR(TOWR!E$47,"-")</f>
        <v>7.1748626602304064E-2</v>
      </c>
      <c r="T55" s="569">
        <f>IFERROR(TOWR!F$47,"-")</f>
        <v>9.4142497113599899E-2</v>
      </c>
      <c r="U55" s="569">
        <f>IFERROR(TOWR!G$47,"-")</f>
        <v>0.11434634643919914</v>
      </c>
    </row>
    <row r="56" spans="1:49">
      <c r="B56" s="197" t="str">
        <f t="shared" si="5"/>
        <v>Tower Bersama</v>
      </c>
      <c r="C56" s="180" t="str">
        <f t="shared" si="5"/>
        <v>IDR 1,920</v>
      </c>
      <c r="D56" s="180" t="str">
        <f t="shared" si="5"/>
        <v>IDR 1,700</v>
      </c>
      <c r="E56" s="68">
        <f t="shared" si="5"/>
        <v>-0.11458333333333337</v>
      </c>
      <c r="F56" s="180" t="str">
        <f t="shared" si="5"/>
        <v>Neutral</v>
      </c>
      <c r="H56" s="526">
        <f>TBIG!$D$40</f>
        <v>29.704962031038619</v>
      </c>
      <c r="I56" s="526">
        <f>TBIG!$E$40</f>
        <v>23.592576761713502</v>
      </c>
      <c r="J56" s="526">
        <f>TBIG!$F$40</f>
        <v>21.551275072282927</v>
      </c>
      <c r="K56" s="526">
        <f>TBIG!$G$40</f>
        <v>20.372331285763835</v>
      </c>
      <c r="L56" s="558"/>
      <c r="M56" s="566">
        <f>IFERROR(TBIG!$D$45,"-")</f>
        <v>1.5714882775663862E-2</v>
      </c>
      <c r="N56" s="566">
        <f>IFERROR(TBIG!$E$45,"-")</f>
        <v>1.7937688903987226E-2</v>
      </c>
      <c r="O56" s="566">
        <f>IFERROR(TBIG!$F$45,"-")</f>
        <v>1.8567430090733868E-2</v>
      </c>
      <c r="P56" s="566">
        <f>IFERROR(TBIG!$G$45,"-")</f>
        <v>1.976700941634461E-2</v>
      </c>
      <c r="Q56" s="568"/>
      <c r="R56" s="566">
        <f>IFERROR(TBIG!$D$47,"-")</f>
        <v>2.5840435564051748E-2</v>
      </c>
      <c r="S56" s="566">
        <f>IFERROR(TBIG!$E$47,"-")</f>
        <v>4.3285355188066942E-2</v>
      </c>
      <c r="T56" s="566">
        <f>IFERROR(TBIG!$F$47,"-")</f>
        <v>4.9886976425542247E-2</v>
      </c>
      <c r="U56" s="566">
        <f>IFERROR(TBIG!$G$47,"-")</f>
        <v>5.3580998396752108E-2</v>
      </c>
    </row>
    <row r="57" spans="1:49">
      <c r="A57" s="42"/>
      <c r="B57" s="197" t="s">
        <v>1397</v>
      </c>
      <c r="C57" s="180" t="str">
        <f>C38</f>
        <v>IDR 660</v>
      </c>
      <c r="D57" s="180" t="str">
        <f>D38</f>
        <v>IDR 1,135</v>
      </c>
      <c r="E57" s="68">
        <f>E38</f>
        <v>0.71969696969696972</v>
      </c>
      <c r="F57" s="180" t="str">
        <f>F38</f>
        <v>Buy</v>
      </c>
      <c r="H57" s="526">
        <f>MITRA!$D$40</f>
        <v>-33.475559015819222</v>
      </c>
      <c r="I57" s="526">
        <f>MITRA!$E$40</f>
        <v>156.03824356905466</v>
      </c>
      <c r="J57" s="526">
        <f>MITRA!$F$40</f>
        <v>43.03404274933812</v>
      </c>
      <c r="K57" s="526">
        <f>MITRA!$G$40</f>
        <v>15.931759124458944</v>
      </c>
      <c r="L57" s="558"/>
      <c r="M57" s="566">
        <f>IFERROR(MITRA!$D$45,"-")</f>
        <v>3.4843792865642272E-2</v>
      </c>
      <c r="N57" s="566">
        <f>IFERROR(MITRA!$E$45,"-")</f>
        <v>5.1313779296685277E-2</v>
      </c>
      <c r="O57" s="566">
        <f>IFERROR(MITRA!$F$45,"-")</f>
        <v>5.2295254762746143E-2</v>
      </c>
      <c r="P57" s="566">
        <f>IFERROR(MITRA!$G$45,"-")</f>
        <v>5.7968367503506715E-2</v>
      </c>
      <c r="Q57" s="568"/>
      <c r="R57" s="566">
        <f>IFERROR(MITRA!$D$47,"-")</f>
        <v>-1.8264034228707014E-2</v>
      </c>
      <c r="S57" s="566">
        <f>IFERROR(MITRA!$E$47,"-")</f>
        <v>3.7114369067388904E-3</v>
      </c>
      <c r="T57" s="566">
        <f>IFERROR(MITRA!$F$47,"-")</f>
        <v>5.9412724156737463E-2</v>
      </c>
      <c r="U57" s="566">
        <f>IFERROR(MITRA!$G$47,"-")</f>
        <v>6.7938441063570582E-2</v>
      </c>
      <c r="AT57" s="198"/>
      <c r="AU57" s="198"/>
      <c r="AV57" s="198"/>
      <c r="AW57" s="198"/>
    </row>
    <row r="58" spans="1:49">
      <c r="B58" s="48"/>
      <c r="C58" s="44"/>
      <c r="D58" s="44"/>
      <c r="E58" s="45"/>
      <c r="F58" s="44"/>
      <c r="H58" s="560"/>
      <c r="I58" s="560"/>
      <c r="J58" s="560"/>
      <c r="K58" s="560"/>
      <c r="L58" s="561"/>
      <c r="M58" s="569"/>
      <c r="N58" s="569"/>
      <c r="O58" s="569"/>
      <c r="P58" s="569"/>
      <c r="Q58" s="567"/>
      <c r="R58" s="569"/>
      <c r="S58" s="569"/>
      <c r="T58" s="569"/>
      <c r="U58" s="569"/>
    </row>
    <row r="59" spans="1:49" collapsed="1">
      <c r="B59" s="48" t="str">
        <f>B40</f>
        <v>IHS</v>
      </c>
      <c r="C59" s="44" t="str">
        <f>C40</f>
        <v>USD 3.2</v>
      </c>
      <c r="D59" s="44" t="str">
        <f>D40</f>
        <v>USD 8.0</v>
      </c>
      <c r="E59" s="45">
        <f>E40</f>
        <v>1.5078369905956115</v>
      </c>
      <c r="F59" s="44" t="str">
        <f>F40</f>
        <v>Buy</v>
      </c>
      <c r="H59" s="560">
        <f>IHS!$D$40</f>
        <v>12.760519689629076</v>
      </c>
      <c r="I59" s="560">
        <f>IHS!$E$40</f>
        <v>10.579342040482013</v>
      </c>
      <c r="J59" s="560">
        <f>IHS!$F$40</f>
        <v>8.8582074494540866</v>
      </c>
      <c r="K59" s="560">
        <f>IHS!$G$40</f>
        <v>7.2286208612871743</v>
      </c>
      <c r="L59" s="561"/>
      <c r="M59" s="569">
        <f>IFERROR(IHS!$D$45,"-")</f>
        <v>0</v>
      </c>
      <c r="N59" s="569">
        <f>IFERROR(IHS!$E$45,"-")</f>
        <v>0</v>
      </c>
      <c r="O59" s="569">
        <f>IFERROR(IHS!$F$45,"-")</f>
        <v>0</v>
      </c>
      <c r="P59" s="569">
        <f>IFERROR(IHS!$G$45,"-")</f>
        <v>0</v>
      </c>
      <c r="Q59" s="567"/>
      <c r="R59" s="569">
        <f>IFERROR(IHS!$D$47,"-")</f>
        <v>-0.23215064093324134</v>
      </c>
      <c r="S59" s="569">
        <f>IFERROR(IHS!$E$47,"-")</f>
        <v>1.1368803737332553E-2</v>
      </c>
      <c r="T59" s="569">
        <f>IFERROR(IHS!$F$47,"-")</f>
        <v>9.1407030923497973E-2</v>
      </c>
      <c r="U59" s="569">
        <f>IFERROR(IHS!$G$47,"-")</f>
        <v>0.16920555893793163</v>
      </c>
    </row>
    <row r="60" spans="1:49">
      <c r="A60" s="194"/>
      <c r="B60" s="48"/>
      <c r="C60" s="44"/>
      <c r="D60" s="44"/>
      <c r="E60" s="45"/>
      <c r="F60" s="44"/>
      <c r="H60" s="560"/>
      <c r="I60" s="560"/>
      <c r="J60" s="560"/>
      <c r="K60" s="560"/>
      <c r="L60" s="561"/>
      <c r="M60" s="569"/>
      <c r="N60" s="569"/>
      <c r="O60" s="569"/>
      <c r="P60" s="569"/>
      <c r="Q60" s="567"/>
      <c r="R60" s="569"/>
      <c r="S60" s="569"/>
      <c r="T60" s="569"/>
      <c r="U60" s="569"/>
    </row>
    <row r="61" spans="1:49">
      <c r="A61" s="194"/>
      <c r="B61" s="199" t="str">
        <f>B42</f>
        <v>Telesites</v>
      </c>
      <c r="C61" s="184" t="str">
        <f>C42</f>
        <v>MXN 16.6</v>
      </c>
      <c r="D61" s="184" t="str">
        <f>D42</f>
        <v>MXN 17.0</v>
      </c>
      <c r="E61" s="185">
        <f>E42</f>
        <v>2.2248947684906817E-2</v>
      </c>
      <c r="F61" s="184" t="str">
        <f>F42</f>
        <v>Neutral</v>
      </c>
      <c r="H61" s="562">
        <f>SITES!$D$40</f>
        <v>12.24084394405045</v>
      </c>
      <c r="I61" s="562">
        <f>SITES!$E$40</f>
        <v>10.886492258792812</v>
      </c>
      <c r="J61" s="562">
        <f>SITES!$F$40</f>
        <v>9.5483860586021514</v>
      </c>
      <c r="K61" s="562">
        <f>SITES!$G$40</f>
        <v>8.2149434080171311</v>
      </c>
      <c r="L61" s="561"/>
      <c r="M61" s="570">
        <f>IFERROR(SITES!$D$45,"-")</f>
        <v>0</v>
      </c>
      <c r="N61" s="570">
        <f>IFERROR(SITES!$E$45,"-")</f>
        <v>0</v>
      </c>
      <c r="O61" s="570">
        <f>IFERROR(SITES!$F$45,"-")</f>
        <v>0</v>
      </c>
      <c r="P61" s="570">
        <f>IFERROR(SITES!$G$45,"-")</f>
        <v>0</v>
      </c>
      <c r="Q61" s="567"/>
      <c r="R61" s="570">
        <f>IFERROR(SITES!$D$47,"-")</f>
        <v>7.4219392292019251E-2</v>
      </c>
      <c r="S61" s="570">
        <f>IFERROR(SITES!$E$47,"-")</f>
        <v>8.3035706827476033E-2</v>
      </c>
      <c r="T61" s="570">
        <f>IFERROR(SITES!$F$47,"-")</f>
        <v>9.4888378167658383E-2</v>
      </c>
      <c r="U61" s="570">
        <f>IFERROR(SITES!$G$47,"-")</f>
        <v>0.1106907778328983</v>
      </c>
    </row>
    <row r="62" spans="1:49">
      <c r="A62" s="194"/>
    </row>
    <row r="63" spans="1:49">
      <c r="A63" s="194"/>
    </row>
    <row r="64" spans="1:49">
      <c r="A64" s="194"/>
      <c r="B64" s="164"/>
      <c r="C64" s="165" t="s">
        <v>459</v>
      </c>
      <c r="D64" s="165" t="s">
        <v>56</v>
      </c>
      <c r="E64" s="165" t="s">
        <v>58</v>
      </c>
      <c r="F64" s="165" t="s">
        <v>55</v>
      </c>
      <c r="H64" s="166" t="s">
        <v>777</v>
      </c>
      <c r="I64" s="166"/>
      <c r="J64" s="166"/>
      <c r="K64" s="166"/>
      <c r="M64" s="166" t="s">
        <v>588</v>
      </c>
      <c r="N64" s="166"/>
      <c r="O64" s="166"/>
      <c r="P64" s="166"/>
      <c r="R64" s="166" t="s">
        <v>778</v>
      </c>
      <c r="S64" s="166"/>
      <c r="T64" s="166"/>
      <c r="U64" s="166"/>
    </row>
    <row r="65" spans="1:49">
      <c r="A65" s="194"/>
      <c r="B65" s="197" t="str">
        <f t="shared" ref="B65:F66" si="6">B46</f>
        <v>Cellnex</v>
      </c>
      <c r="C65" s="180" t="str">
        <f t="shared" si="6"/>
        <v>EUR 35.7</v>
      </c>
      <c r="D65" s="180" t="str">
        <f t="shared" si="6"/>
        <v>EUR 31.0</v>
      </c>
      <c r="E65" s="68">
        <f t="shared" si="6"/>
        <v>-0.13165266106442586</v>
      </c>
      <c r="F65" s="180" t="str">
        <f t="shared" si="6"/>
        <v>Neutral</v>
      </c>
      <c r="H65" s="563">
        <f>CLNX!D41</f>
        <v>1.3921657940319561</v>
      </c>
      <c r="I65" s="563">
        <f>CLNX!E41</f>
        <v>1.4223472200859315</v>
      </c>
      <c r="J65" s="563">
        <f>CLNX!F41</f>
        <v>1.4183979786146845</v>
      </c>
      <c r="K65" s="563">
        <f>CLNX!G41</f>
        <v>1.4130475865990721</v>
      </c>
      <c r="L65" s="573"/>
      <c r="M65" s="563" t="str">
        <f>CLNX!D42</f>
        <v>na</v>
      </c>
      <c r="N65" s="563" t="str">
        <f>CLNX!E42</f>
        <v>na</v>
      </c>
      <c r="O65" s="563" t="str">
        <f>CLNX!F42</f>
        <v>na</v>
      </c>
      <c r="P65" s="563" t="str">
        <f>CLNX!G42</f>
        <v>na</v>
      </c>
      <c r="Q65" s="574"/>
      <c r="R65" s="563">
        <f>(CLNX!D$12/CLNX!D$24)</f>
        <v>8.5754407354996811</v>
      </c>
      <c r="S65" s="563">
        <f>(CLNX!E$12/CLNX!E$24)</f>
        <v>7.9222960273101561</v>
      </c>
      <c r="T65" s="563">
        <f>(CLNX!F$12/CLNX!F$24)</f>
        <v>7.4512784366412852</v>
      </c>
      <c r="U65" s="563">
        <f>(CLNX!G$12/CLNX!G$24)</f>
        <v>7.0553231526401987</v>
      </c>
    </row>
    <row r="66" spans="1:49">
      <c r="A66" s="42"/>
      <c r="B66" s="197" t="str">
        <f t="shared" si="6"/>
        <v>Inwit</v>
      </c>
      <c r="C66" s="180" t="str">
        <f t="shared" si="6"/>
        <v>EUR 11.1</v>
      </c>
      <c r="D66" s="180" t="str">
        <f t="shared" si="6"/>
        <v>EUR 12.0</v>
      </c>
      <c r="E66" s="68">
        <f t="shared" si="6"/>
        <v>8.4990958408679873E-2</v>
      </c>
      <c r="F66" s="180" t="str">
        <f t="shared" si="6"/>
        <v>Neutral</v>
      </c>
      <c r="H66" s="563">
        <f>INWIT!D41</f>
        <v>1.7555678859465926</v>
      </c>
      <c r="I66" s="563">
        <f>INWIT!E41</f>
        <v>1.7684406647107571</v>
      </c>
      <c r="J66" s="563">
        <f>INWIT!F41</f>
        <v>1.7249456510796031</v>
      </c>
      <c r="K66" s="563">
        <f>INWIT!G41</f>
        <v>1.6825388780777752</v>
      </c>
      <c r="L66" s="573"/>
      <c r="M66" s="563">
        <f>INWIT!D42</f>
        <v>11.964179803007552</v>
      </c>
      <c r="N66" s="563">
        <f>INWIT!E42</f>
        <v>10.836653931474835</v>
      </c>
      <c r="O66" s="563">
        <f>INWIT!F42</f>
        <v>9.8311090816187878</v>
      </c>
      <c r="P66" s="563">
        <f>INWIT!G42</f>
        <v>9.1244440283726362</v>
      </c>
      <c r="Q66" s="575"/>
      <c r="R66" s="563">
        <f>(INWIT!D$12/INWIT!D$24)</f>
        <v>4.7042181084964856</v>
      </c>
      <c r="S66" s="563">
        <f>(INWIT!E$12/INWIT!E$24)</f>
        <v>4.6394158368354148</v>
      </c>
      <c r="T66" s="563">
        <f>(INWIT!F$12/INWIT!F$24)</f>
        <v>4.6341306707799061</v>
      </c>
      <c r="U66" s="563">
        <f>(INWIT!G$12/INWIT!G$24)</f>
        <v>4.3659295240324827</v>
      </c>
    </row>
    <row r="67" spans="1:49">
      <c r="A67" s="42"/>
      <c r="B67" s="48"/>
      <c r="C67" s="44"/>
      <c r="D67" s="183"/>
      <c r="E67" s="45"/>
      <c r="F67" s="44"/>
      <c r="H67" s="564"/>
      <c r="I67" s="564"/>
      <c r="J67" s="564"/>
      <c r="K67" s="564"/>
      <c r="L67" s="576"/>
      <c r="M67" s="564"/>
      <c r="N67" s="564"/>
      <c r="O67" s="564"/>
      <c r="P67" s="564"/>
      <c r="Q67" s="574"/>
      <c r="R67" s="564"/>
      <c r="S67" s="564"/>
      <c r="T67" s="564"/>
      <c r="U67" s="564"/>
    </row>
    <row r="68" spans="1:49">
      <c r="A68" s="42"/>
      <c r="B68" s="48" t="str">
        <f t="shared" ref="B68:F70" si="7">B49</f>
        <v>American Tower</v>
      </c>
      <c r="C68" s="44" t="str">
        <f t="shared" si="7"/>
        <v>USD 233.6</v>
      </c>
      <c r="D68" s="183" t="str">
        <f t="shared" si="7"/>
        <v>USD 239.0</v>
      </c>
      <c r="E68" s="45">
        <f t="shared" si="7"/>
        <v>2.2941277178565311E-2</v>
      </c>
      <c r="F68" s="44" t="str">
        <f t="shared" si="7"/>
        <v>Neutral</v>
      </c>
      <c r="H68" s="564">
        <f>AMT!$D$41</f>
        <v>2.9627800778662556</v>
      </c>
      <c r="I68" s="564">
        <f>AMT!$E$41</f>
        <v>3.4839278422760915</v>
      </c>
      <c r="J68" s="564">
        <f>AMT!$F$41</f>
        <v>4.0472131152342152</v>
      </c>
      <c r="K68" s="564">
        <f>AMT!$G$41</f>
        <v>5.4288758674224731</v>
      </c>
      <c r="L68" s="576"/>
      <c r="M68" s="564">
        <f>AMT!$D$42</f>
        <v>7.2602623892469538</v>
      </c>
      <c r="N68" s="564">
        <f>AMT!$E$42</f>
        <v>7.6152896264438468</v>
      </c>
      <c r="O68" s="564">
        <f>AMT!$F$42</f>
        <v>7.540714300048152</v>
      </c>
      <c r="P68" s="564">
        <f>AMT!$G$42</f>
        <v>8.0908735486708832</v>
      </c>
      <c r="Q68" s="574"/>
      <c r="R68" s="564">
        <f>(AMT!D$12/AMT!D$24)</f>
        <v>5.0285874374474586</v>
      </c>
      <c r="S68" s="564">
        <f>(AMT!E$12/AMT!E$24)</f>
        <v>5</v>
      </c>
      <c r="T68" s="564">
        <f>(AMT!F$12/AMT!F$24)</f>
        <v>4.9000000000000012</v>
      </c>
      <c r="U68" s="564">
        <f>(AMT!G$12/AMT!G$24)</f>
        <v>4.8</v>
      </c>
    </row>
    <row r="69" spans="1:49">
      <c r="A69" s="42"/>
      <c r="B69" s="48" t="str">
        <f t="shared" si="7"/>
        <v>Crown Castle</v>
      </c>
      <c r="C69" s="44" t="str">
        <f t="shared" si="7"/>
        <v>USD 113.9</v>
      </c>
      <c r="D69" s="183" t="str">
        <f t="shared" si="7"/>
        <v>USD 123.0</v>
      </c>
      <c r="E69" s="45">
        <f t="shared" si="7"/>
        <v>8.0179151664178328E-2</v>
      </c>
      <c r="F69" s="44" t="str">
        <f t="shared" si="7"/>
        <v>Neutral</v>
      </c>
      <c r="H69" s="564">
        <f>CCI!$D$41</f>
        <v>2.337866410904514</v>
      </c>
      <c r="I69" s="564">
        <f>CCI!$E$41</f>
        <v>2.4500241689456224</v>
      </c>
      <c r="J69" s="564">
        <f>CCI!$F$41</f>
        <v>2.5169109718846929</v>
      </c>
      <c r="K69" s="564">
        <f>CCI!$G$41</f>
        <v>2.2186985459574426</v>
      </c>
      <c r="L69" s="576"/>
      <c r="M69" s="564">
        <f>CCI!$D$42</f>
        <v>4.3994260436118067</v>
      </c>
      <c r="N69" s="564">
        <f>CCI!$E$42</f>
        <v>4.4913589012165946</v>
      </c>
      <c r="O69" s="564">
        <f>CCI!$F$42</f>
        <v>4.6631901598879919</v>
      </c>
      <c r="P69" s="564">
        <f>CCI!$G$42</f>
        <v>4.1078394926395081</v>
      </c>
      <c r="Q69" s="574"/>
      <c r="R69" s="564">
        <f>(CCI!D$12/CCI!D$24)</f>
        <v>5.0844241786290558</v>
      </c>
      <c r="S69" s="564">
        <f>(CCI!E$12/CCI!E$24)</f>
        <v>5.2</v>
      </c>
      <c r="T69" s="564">
        <f>(CCI!F$12/CCI!F$24)</f>
        <v>5.4</v>
      </c>
      <c r="U69" s="564">
        <f>(CCI!G$12/CCI!G$24)</f>
        <v>5.2</v>
      </c>
    </row>
    <row r="70" spans="1:49">
      <c r="A70" s="42"/>
      <c r="B70" s="48" t="str">
        <f t="shared" si="7"/>
        <v xml:space="preserve">SBA </v>
      </c>
      <c r="C70" s="44" t="str">
        <f t="shared" si="7"/>
        <v>USD 233.4</v>
      </c>
      <c r="D70" s="183" t="str">
        <f t="shared" si="7"/>
        <v>USD 244.0</v>
      </c>
      <c r="E70" s="45">
        <f t="shared" si="7"/>
        <v>4.5549985002356852E-2</v>
      </c>
      <c r="F70" s="44" t="str">
        <f t="shared" si="7"/>
        <v>Neutral</v>
      </c>
      <c r="H70" s="564">
        <f>SBAC!$D$41</f>
        <v>12.143090744413911</v>
      </c>
      <c r="I70" s="564">
        <f>SBAC!$E$41</f>
        <v>26.052841306311041</v>
      </c>
      <c r="J70" s="564">
        <f>SBAC!$F$41</f>
        <v>125.31012579872464</v>
      </c>
      <c r="K70" s="564">
        <f>SBAC!$G$41</f>
        <v>-181.20201460501906</v>
      </c>
      <c r="L70" s="576"/>
      <c r="M70" s="564">
        <f>SBAC!$D$42</f>
        <v>13.816961982702468</v>
      </c>
      <c r="N70" s="564">
        <f>SBAC!$E$42</f>
        <v>12.042847601626773</v>
      </c>
      <c r="O70" s="564">
        <f>SBAC!$F$42</f>
        <v>10.687969149143797</v>
      </c>
      <c r="P70" s="564">
        <f>SBAC!$G$42</f>
        <v>17.642595787031038</v>
      </c>
      <c r="Q70" s="574"/>
      <c r="R70" s="564">
        <f>(SBAC!D$12/SBAC!D$24)</f>
        <v>4.4916090134460331</v>
      </c>
      <c r="S70" s="564">
        <f>(SBAC!E$12/SBAC!E$24)</f>
        <v>4.2487414261060374</v>
      </c>
      <c r="T70" s="564">
        <f>(SBAC!F$12/SBAC!F$24)</f>
        <v>4.0551475040702698</v>
      </c>
      <c r="U70" s="564">
        <f>(SBAC!G$12/SBAC!G$24)</f>
        <v>4.0580784397894334</v>
      </c>
    </row>
    <row r="71" spans="1:49">
      <c r="A71" s="42"/>
      <c r="B71" s="48"/>
      <c r="C71" s="44"/>
      <c r="D71" s="44"/>
      <c r="E71" s="45"/>
      <c r="F71" s="44"/>
      <c r="H71" s="564"/>
      <c r="I71" s="564"/>
      <c r="J71" s="564"/>
      <c r="K71" s="564"/>
      <c r="L71" s="576"/>
      <c r="M71" s="564"/>
      <c r="N71" s="564"/>
      <c r="O71" s="564"/>
      <c r="P71" s="564"/>
      <c r="Q71" s="574"/>
      <c r="R71" s="564"/>
      <c r="S71" s="564"/>
      <c r="T71" s="564"/>
      <c r="U71" s="564"/>
    </row>
    <row r="72" spans="1:49">
      <c r="A72" s="42"/>
      <c r="B72" s="48" t="str">
        <f t="shared" ref="B72:F75" si="8">B53</f>
        <v>Bharti Infratel</v>
      </c>
      <c r="C72" s="44" t="str">
        <f t="shared" si="8"/>
        <v>INR 423</v>
      </c>
      <c r="D72" s="44" t="str">
        <f t="shared" si="8"/>
        <v>INR 265</v>
      </c>
      <c r="E72" s="45">
        <f t="shared" si="8"/>
        <v>-0.37374453503485761</v>
      </c>
      <c r="F72" s="44" t="str">
        <f t="shared" si="8"/>
        <v>Reduce</v>
      </c>
      <c r="H72" s="564">
        <f>BHIN!$D$41</f>
        <v>20.469690012022706</v>
      </c>
      <c r="I72" s="564">
        <f>BHIN!$E$41</f>
        <v>6.7942878427865514</v>
      </c>
      <c r="J72" s="564">
        <f>BHIN!$F$41</f>
        <v>3.3998820391574891</v>
      </c>
      <c r="K72" s="564">
        <f>BHIN!$G$41</f>
        <v>2.068817679556838</v>
      </c>
      <c r="L72" s="576"/>
      <c r="M72" s="564">
        <f>BHIN!$D$42</f>
        <v>5.0471977162627164</v>
      </c>
      <c r="N72" s="564">
        <f>BHIN!$E$42</f>
        <v>4.4757957611981114</v>
      </c>
      <c r="O72" s="564">
        <f>BHIN!$F$42</f>
        <v>4.4181641347532006</v>
      </c>
      <c r="P72" s="564">
        <f>BHIN!$G$42</f>
        <v>4.3619640034325569</v>
      </c>
      <c r="Q72" s="574"/>
      <c r="R72" s="564">
        <f>(BHIN!D$12/BHIN!D$24)</f>
        <v>1.3595416805048157</v>
      </c>
      <c r="S72" s="564">
        <f>(BHIN!E$12/BHIN!E$24)</f>
        <v>1.0188388581811127</v>
      </c>
      <c r="T72" s="564">
        <f>(BHIN!F$12/BHIN!F$24)</f>
        <v>0.46487680223569489</v>
      </c>
      <c r="U72" s="564">
        <f>(BHIN!G$12/BHIN!G$24)</f>
        <v>-7.5891072065109935E-2</v>
      </c>
    </row>
    <row r="73" spans="1:49">
      <c r="A73" s="42"/>
      <c r="B73" s="197" t="str">
        <f t="shared" si="8"/>
        <v>China Tower</v>
      </c>
      <c r="C73" s="180" t="str">
        <f t="shared" si="8"/>
        <v>HKD 0.99</v>
      </c>
      <c r="D73" s="180" t="str">
        <f t="shared" si="8"/>
        <v>HKD 1.40</v>
      </c>
      <c r="E73" s="68">
        <f t="shared" si="8"/>
        <v>0.41414141414141414</v>
      </c>
      <c r="F73" s="44" t="str">
        <f t="shared" si="8"/>
        <v>Buy</v>
      </c>
      <c r="H73" s="564">
        <f>ChinaTow!$D$41</f>
        <v>0.86567143921120959</v>
      </c>
      <c r="I73" s="564">
        <f>ChinaTow!$E$41</f>
        <v>0.90011227101532643</v>
      </c>
      <c r="J73" s="564">
        <f>ChinaTow!$F$41</f>
        <v>0.89289242210237751</v>
      </c>
      <c r="K73" s="564">
        <f>ChinaTow!$G$41</f>
        <v>0.85460034979350152</v>
      </c>
      <c r="L73" s="574"/>
      <c r="M73" s="564">
        <f>ChinaTow!$D$42</f>
        <v>1.2743781374022991</v>
      </c>
      <c r="N73" s="564">
        <f>ChinaTow!$E$42</f>
        <v>1.3928277948960712</v>
      </c>
      <c r="O73" s="564">
        <f>ChinaTow!$F$42</f>
        <v>1.4673152790662283</v>
      </c>
      <c r="P73" s="564">
        <f>ChinaTow!$G$42</f>
        <v>1.4870510227135934</v>
      </c>
      <c r="Q73" s="575"/>
      <c r="R73" s="564">
        <f>(ChinaTow!D$12/ChinaTow!D$24)</f>
        <v>1.5578257188714575</v>
      </c>
      <c r="S73" s="564">
        <f>(ChinaTow!E$12/ChinaTow!E$24)</f>
        <v>1.3204218612498031</v>
      </c>
      <c r="T73" s="564">
        <f>(ChinaTow!F$12/ChinaTow!F$24)</f>
        <v>1.1012790204702161</v>
      </c>
      <c r="U73" s="564">
        <f>(ChinaTow!G$12/ChinaTow!G$24)</f>
        <v>0.94933785434041273</v>
      </c>
    </row>
    <row r="74" spans="1:49">
      <c r="A74" s="42"/>
      <c r="B74" s="48" t="str">
        <f t="shared" si="8"/>
        <v>Sarana Menara</v>
      </c>
      <c r="C74" s="44" t="str">
        <f t="shared" si="8"/>
        <v>IDR 840</v>
      </c>
      <c r="D74" s="44" t="str">
        <f t="shared" si="8"/>
        <v>IDR 1,500</v>
      </c>
      <c r="E74" s="45">
        <f t="shared" si="8"/>
        <v>0.78571428571428581</v>
      </c>
      <c r="F74" s="44" t="str">
        <f t="shared" si="8"/>
        <v>Buy</v>
      </c>
      <c r="H74" s="564">
        <f>IFERROR(TOWR!$D$41,"-")</f>
        <v>1.4151017221187756</v>
      </c>
      <c r="I74" s="564">
        <f>IFERROR(TOWR!$E$41,"-")</f>
        <v>1.3788725015219978</v>
      </c>
      <c r="J74" s="564">
        <f>IFERROR(TOWR!$E$41,"-")</f>
        <v>1.3788725015219978</v>
      </c>
      <c r="K74" s="564">
        <f>IFERROR(TOWR!$E$41,"-")</f>
        <v>1.3788725015219978</v>
      </c>
      <c r="L74" s="576"/>
      <c r="M74" s="564">
        <f>IFERROR(TOWR!$D$42,"-")</f>
        <v>2.1373118678450362</v>
      </c>
      <c r="N74" s="564">
        <f>IFERROR(TOWR!$E$42,"-")</f>
        <v>2.0631047587675209</v>
      </c>
      <c r="O74" s="564">
        <f>IFERROR(TOWR!$E$42,"-")</f>
        <v>2.0631047587675209</v>
      </c>
      <c r="P74" s="564">
        <f>IFERROR(TOWR!$E$42,"-")</f>
        <v>2.0631047587675209</v>
      </c>
      <c r="Q74" s="574"/>
      <c r="R74" s="564">
        <f>(TOWR!D$12/TOWR!D$24)</f>
        <v>4.4575236482424145</v>
      </c>
      <c r="S74" s="564">
        <f>(TOWR!E$12/TOWR!E$24)</f>
        <v>4.1768830485430417</v>
      </c>
      <c r="T74" s="564">
        <f>(TOWR!F$12/TOWR!F$24)</f>
        <v>3.7905790685965641</v>
      </c>
      <c r="U74" s="564">
        <f>(TOWR!G$12/TOWR!G$24)</f>
        <v>3.3704025783803981</v>
      </c>
    </row>
    <row r="75" spans="1:49">
      <c r="A75" s="42"/>
      <c r="B75" s="197" t="str">
        <f t="shared" si="8"/>
        <v>Tower Bersama</v>
      </c>
      <c r="C75" s="180" t="str">
        <f t="shared" si="8"/>
        <v>IDR 1,920</v>
      </c>
      <c r="D75" s="180" t="str">
        <f t="shared" si="8"/>
        <v>IDR 1,700</v>
      </c>
      <c r="E75" s="68">
        <f t="shared" si="8"/>
        <v>-0.11458333333333337</v>
      </c>
      <c r="F75" s="180" t="str">
        <f t="shared" si="8"/>
        <v>Neutral</v>
      </c>
      <c r="H75" s="563">
        <f>IFERROR(TBIG!$D$41,"-")</f>
        <v>1.7536476817426585</v>
      </c>
      <c r="I75" s="563">
        <f>IFERROR(TBIG!$E$41,"-")</f>
        <v>1.7150417556820905</v>
      </c>
      <c r="J75" s="563">
        <f>IFERROR(TBIG!$F$41,"-")</f>
        <v>1.6611090157789963</v>
      </c>
      <c r="K75" s="563">
        <f>IFERROR(TBIG!$G$41,"-")</f>
        <v>1.6061829511726282</v>
      </c>
      <c r="L75" s="574"/>
      <c r="M75" s="563">
        <f>IFERROR(TBIG!$D$42,"-")</f>
        <v>1.9471777520840519</v>
      </c>
      <c r="N75" s="563">
        <f>IFERROR(TBIG!$E$42,"-")</f>
        <v>1.9049954829082179</v>
      </c>
      <c r="O75" s="563">
        <f>IFERROR(TBIG!$F$42,"-")</f>
        <v>1.8465970796797588</v>
      </c>
      <c r="P75" s="563">
        <f>IFERROR(TBIG!$G$42,"-")</f>
        <v>1.7870420198073873</v>
      </c>
      <c r="Q75" s="575"/>
      <c r="R75" s="563">
        <f>(TBIG!D$12/TBIG!D$24)</f>
        <v>4.7839621488555615</v>
      </c>
      <c r="S75" s="563">
        <f>(TBIG!E$12/TBIG!E$24)</f>
        <v>4.6550516656759484</v>
      </c>
      <c r="T75" s="563">
        <f>(TBIG!F$12/TBIG!F$24)</f>
        <v>4.4608012831616151</v>
      </c>
      <c r="U75" s="563">
        <f>(TBIG!G$12/TBIG!G$24)</f>
        <v>4.2424679479043679</v>
      </c>
    </row>
    <row r="76" spans="1:49">
      <c r="A76" s="42"/>
      <c r="B76" s="197" t="s">
        <v>1397</v>
      </c>
      <c r="C76" s="180" t="str">
        <f>C57</f>
        <v>IDR 660</v>
      </c>
      <c r="D76" s="180" t="str">
        <f>D57</f>
        <v>IDR 1,135</v>
      </c>
      <c r="E76" s="68">
        <f>E57</f>
        <v>0.71969696969696972</v>
      </c>
      <c r="F76" s="180" t="str">
        <f>F57</f>
        <v>Buy</v>
      </c>
      <c r="H76" s="563">
        <f>IFERROR(MITRA!$D$41,"-")</f>
        <v>1.4522834535718288</v>
      </c>
      <c r="I76" s="563">
        <f>IFERROR(MITRA!$E$41,"-")</f>
        <v>1.4289906963374861</v>
      </c>
      <c r="J76" s="563">
        <f>IFERROR(MITRA!$F$41,"-")</f>
        <v>1.3780041484726733</v>
      </c>
      <c r="K76" s="563">
        <f>IFERROR(MITRA!$G$41,"-")</f>
        <v>1.3208822391850117</v>
      </c>
      <c r="L76" s="574"/>
      <c r="M76" s="563">
        <f>IFERROR(MITRA!$D$42,"-")</f>
        <v>2.4179232812720994</v>
      </c>
      <c r="N76" s="563">
        <f>IFERROR(MITRA!$E$42,"-")</f>
        <v>2.5083223911883117</v>
      </c>
      <c r="O76" s="563">
        <f>IFERROR(MITRA!$F$42,"-")</f>
        <v>2.3935108934036093</v>
      </c>
      <c r="P76" s="563">
        <f>IFERROR(MITRA!$G$42,"-")</f>
        <v>2.2626544954746572</v>
      </c>
      <c r="Q76" s="575"/>
      <c r="R76" s="563">
        <f>(MITRA!D$12/MITRA!D$24)</f>
        <v>2.4512365265135099</v>
      </c>
      <c r="S76" s="563">
        <f>(MITRA!E$12/MITRA!E$24)</f>
        <v>2.5200291869773661</v>
      </c>
      <c r="T76" s="563">
        <f>(MITRA!F$12/MITRA!F$24)</f>
        <v>2.2709814475544876</v>
      </c>
      <c r="U76" s="563">
        <f>(MITRA!G$12/MITRA!G$24)</f>
        <v>2.0424735779592296</v>
      </c>
      <c r="AT76" s="198"/>
      <c r="AU76" s="198"/>
      <c r="AV76" s="198"/>
      <c r="AW76" s="198"/>
    </row>
    <row r="77" spans="1:49">
      <c r="B77" s="48"/>
      <c r="C77" s="44"/>
      <c r="D77" s="44"/>
      <c r="E77" s="45"/>
      <c r="F77" s="44"/>
      <c r="H77" s="564"/>
      <c r="I77" s="564"/>
      <c r="J77" s="564"/>
      <c r="K77" s="564"/>
      <c r="L77" s="576"/>
      <c r="M77" s="564"/>
      <c r="N77" s="564"/>
      <c r="O77" s="564"/>
      <c r="P77" s="564"/>
      <c r="Q77" s="574"/>
      <c r="R77" s="564"/>
      <c r="S77" s="564"/>
      <c r="T77" s="564"/>
      <c r="U77" s="564"/>
    </row>
    <row r="78" spans="1:49">
      <c r="B78" s="48" t="str">
        <f>B59</f>
        <v>IHS</v>
      </c>
      <c r="C78" s="44" t="str">
        <f>C59</f>
        <v>USD 3.2</v>
      </c>
      <c r="D78" s="44" t="str">
        <f>D59</f>
        <v>USD 8.0</v>
      </c>
      <c r="E78" s="45">
        <f>E59</f>
        <v>1.5078369905956115</v>
      </c>
      <c r="F78" s="44" t="str">
        <f>F59</f>
        <v>Buy</v>
      </c>
      <c r="H78" s="564">
        <f>IFERROR(IHS!$D$41,"-")</f>
        <v>1.1085342146172077</v>
      </c>
      <c r="I78" s="564">
        <f>IFERROR(IHS!$E$41,"-")</f>
        <v>1.0854250483604042</v>
      </c>
      <c r="J78" s="564">
        <f>IFERROR(IHS!$F$41,"-")</f>
        <v>1.0490996523395482</v>
      </c>
      <c r="K78" s="564">
        <f>IFERROR(IHS!$G$41,"-")</f>
        <v>0.98766409967330338</v>
      </c>
      <c r="L78" s="576"/>
      <c r="M78" s="564">
        <f>IFERROR(IHS!$D$42,"-")</f>
        <v>2.8052817234453968</v>
      </c>
      <c r="N78" s="564">
        <f>IFERROR(IHS!$E$42,"-")</f>
        <v>2.7830119051038364</v>
      </c>
      <c r="O78" s="564">
        <f>IFERROR(IHS!$F$42,"-")</f>
        <v>2.7286946202996161</v>
      </c>
      <c r="P78" s="564">
        <f>IFERROR(IHS!$G$42,"-")</f>
        <v>2.6126766957702663</v>
      </c>
      <c r="Q78" s="574"/>
      <c r="R78" s="563">
        <f>(IHS!D$12/IHS!D$24)</f>
        <v>3.3720971095816026</v>
      </c>
      <c r="S78" s="563">
        <f>(IHS!E$12/IHS!E$24)</f>
        <v>3.7467304214704273</v>
      </c>
      <c r="T78" s="563">
        <f>(IHS!F$12/IHS!F$24)</f>
        <v>3.2515940826811955</v>
      </c>
      <c r="U78" s="563">
        <f>(IHS!G$12/IHS!G$24)</f>
        <v>2.6794943789293266</v>
      </c>
    </row>
    <row r="79" spans="1:49">
      <c r="B79" s="48"/>
      <c r="C79" s="44"/>
      <c r="D79" s="44"/>
      <c r="E79" s="45"/>
      <c r="F79" s="44"/>
      <c r="H79" s="564"/>
      <c r="I79" s="564"/>
      <c r="J79" s="564"/>
      <c r="K79" s="564"/>
      <c r="L79" s="576"/>
      <c r="M79" s="564"/>
      <c r="N79" s="564"/>
      <c r="O79" s="564"/>
      <c r="P79" s="564"/>
      <c r="Q79" s="574"/>
      <c r="R79" s="564"/>
      <c r="S79" s="564"/>
      <c r="T79" s="564"/>
      <c r="U79" s="564"/>
    </row>
    <row r="80" spans="1:49">
      <c r="A80" s="194"/>
      <c r="B80" s="199" t="str">
        <f>B61</f>
        <v>Telesites</v>
      </c>
      <c r="C80" s="184" t="str">
        <f>C61</f>
        <v>MXN 16.6</v>
      </c>
      <c r="D80" s="184" t="str">
        <f>D61</f>
        <v>MXN 17.0</v>
      </c>
      <c r="E80" s="185">
        <f>E61</f>
        <v>2.2248947684906817E-2</v>
      </c>
      <c r="F80" s="184" t="str">
        <f>F61</f>
        <v>Neutral</v>
      </c>
      <c r="H80" s="565">
        <f>SITES!$D$41</f>
        <v>2.8245655619844419</v>
      </c>
      <c r="I80" s="565">
        <f>SITES!$E$41</f>
        <v>3.0105201663065748</v>
      </c>
      <c r="J80" s="565">
        <f>SITES!$F$41</f>
        <v>3.2833579909340611</v>
      </c>
      <c r="K80" s="565">
        <f>SITES!$G$41</f>
        <v>3.7301255549047365</v>
      </c>
      <c r="L80" s="576"/>
      <c r="M80" s="565">
        <f>IFERROR(SITES!$D$42,"-")</f>
        <v>2.3985012284380187</v>
      </c>
      <c r="N80" s="565">
        <f>IFERROR(SITES!$E$42,"-")</f>
        <v>2.4307646408859744</v>
      </c>
      <c r="O80" s="565">
        <f>IFERROR(SITES!$F$42,"-")</f>
        <v>2.4363516278750743</v>
      </c>
      <c r="P80" s="565">
        <f>IFERROR(SITES!$G$42,"-")</f>
        <v>2.4183280984607891</v>
      </c>
      <c r="Q80" s="574"/>
      <c r="R80" s="565">
        <f>(SITES!D$12/SITES!D$24)</f>
        <v>2.6921799137591189</v>
      </c>
      <c r="S80" s="565">
        <f>(SITES!E$12/SITES!E$24)</f>
        <v>2.2381691343039587</v>
      </c>
      <c r="T80" s="565">
        <f>(SITES!F$12/SITES!F$24)</f>
        <v>1.8110213874621923</v>
      </c>
      <c r="U80" s="565">
        <f>(SITES!G$12/SITES!G$24)</f>
        <v>1.3953192348589651</v>
      </c>
    </row>
    <row r="81" spans="1:49">
      <c r="A81" s="194"/>
    </row>
    <row r="82" spans="1:49">
      <c r="A82" s="194"/>
    </row>
    <row r="83" spans="1:49" collapsed="1">
      <c r="B83" s="164"/>
      <c r="C83" s="165" t="s">
        <v>459</v>
      </c>
      <c r="D83" s="165" t="s">
        <v>56</v>
      </c>
      <c r="E83" s="165" t="s">
        <v>58</v>
      </c>
      <c r="F83" s="165" t="s">
        <v>55</v>
      </c>
      <c r="H83" s="166" t="s">
        <v>786</v>
      </c>
      <c r="I83" s="166"/>
      <c r="J83" s="166"/>
      <c r="K83" s="166"/>
      <c r="M83" s="166" t="s">
        <v>784</v>
      </c>
      <c r="N83" s="166"/>
      <c r="O83" s="166"/>
      <c r="P83" s="166"/>
      <c r="R83" s="166" t="s">
        <v>785</v>
      </c>
      <c r="S83" s="166"/>
      <c r="T83" s="166"/>
      <c r="U83" s="166"/>
    </row>
    <row r="84" spans="1:49">
      <c r="A84" s="42"/>
      <c r="B84" s="197" t="str">
        <f t="shared" ref="B84:F85" si="9">B65</f>
        <v>Cellnex</v>
      </c>
      <c r="C84" s="180" t="str">
        <f t="shared" si="9"/>
        <v>EUR 35.7</v>
      </c>
      <c r="D84" s="180" t="str">
        <f t="shared" si="9"/>
        <v>EUR 31.0</v>
      </c>
      <c r="E84" s="68">
        <f t="shared" si="9"/>
        <v>-0.13165266106442586</v>
      </c>
      <c r="F84" s="180" t="str">
        <f t="shared" si="9"/>
        <v>Neutral</v>
      </c>
      <c r="H84" s="204">
        <f>(CLNX!D$23/CLNX!C$23)-1</f>
        <v>6.0903336895637761E-2</v>
      </c>
      <c r="I84" s="204">
        <f>(CLNX!E$23/CLNX!D$23)-1</f>
        <v>2.0735525656998322E-2</v>
      </c>
      <c r="J84" s="204">
        <f>(CLNX!F$23/CLNX!E$23)-1</f>
        <v>4.958449327503156E-2</v>
      </c>
      <c r="K84" s="204">
        <f>(CLNX!G$23/CLNX!F$23)-1</f>
        <v>4.717149199159465E-2</v>
      </c>
      <c r="M84" s="204">
        <f>(CLNX!D$24/CLNX!C$24)-1</f>
        <v>0.19661072499659826</v>
      </c>
      <c r="N84" s="204">
        <f>(CLNX!E$24/CLNX!D$24)-1</f>
        <v>8.2819398375230557E-2</v>
      </c>
      <c r="O84" s="204">
        <f>(CLNX!F$24/CLNX!E$24)-1</f>
        <v>7.0288861603468922E-2</v>
      </c>
      <c r="P84" s="204">
        <f>(CLNX!G$24/CLNX!F$24)-1</f>
        <v>6.9876726986098259E-2</v>
      </c>
      <c r="Q84" s="177"/>
      <c r="R84" s="204">
        <f>(CLNX!D$25/CLNX!C$25)-1</f>
        <v>-1.6156527105021061</v>
      </c>
      <c r="S84" s="204">
        <f>(CLNX!E$25/CLNX!D$25)-1</f>
        <v>0.36935184242390906</v>
      </c>
      <c r="T84" s="204">
        <f>(CLNX!F$25/CLNX!E$25)-1</f>
        <v>5.3374106945057287E-2</v>
      </c>
      <c r="U84" s="204">
        <f>(CLNX!G$25/CLNX!F$25)-1</f>
        <v>0.52586812898161317</v>
      </c>
    </row>
    <row r="85" spans="1:49">
      <c r="A85" s="42"/>
      <c r="B85" s="197" t="str">
        <f t="shared" si="9"/>
        <v>Inwit</v>
      </c>
      <c r="C85" s="180" t="str">
        <f t="shared" si="9"/>
        <v>EUR 11.1</v>
      </c>
      <c r="D85" s="180" t="str">
        <f t="shared" si="9"/>
        <v>EUR 12.0</v>
      </c>
      <c r="E85" s="68">
        <f t="shared" si="9"/>
        <v>8.4990958408679873E-2</v>
      </c>
      <c r="F85" s="180" t="str">
        <f t="shared" si="9"/>
        <v>Neutral</v>
      </c>
      <c r="H85" s="204">
        <f>(INWIT!D$23/INWIT!C$23)-1</f>
        <v>7.809035264671893E-2</v>
      </c>
      <c r="I85" s="204">
        <f>(INWIT!E$23/INWIT!D$23)-1</f>
        <v>5.4979936615624059E-2</v>
      </c>
      <c r="J85" s="204">
        <f>(INWIT!F$23/INWIT!E$23)-1</f>
        <v>5.1971157619007613E-2</v>
      </c>
      <c r="K85" s="204">
        <f>(INWIT!G$23/INWIT!F$23)-1</f>
        <v>3.7548462113352832E-2</v>
      </c>
      <c r="M85" s="204">
        <f>(INWIT!D$24/INWIT!C$24)-1</f>
        <v>0.16796859960579158</v>
      </c>
      <c r="N85" s="204">
        <f>(INWIT!E$24/INWIT!D$24)-1</f>
        <v>9.8470009870526232E-2</v>
      </c>
      <c r="O85" s="204">
        <f>(INWIT!F$24/INWIT!E$24)-1</f>
        <v>7.2366783727808137E-2</v>
      </c>
      <c r="P85" s="204">
        <f>(INWIT!G$24/INWIT!F$24)-1</f>
        <v>6.9415850604015894E-2</v>
      </c>
      <c r="Q85" s="180"/>
      <c r="R85" s="204">
        <f>(INWIT!D$25/INWIT!C$25)-1</f>
        <v>-2.6441983148736137E-3</v>
      </c>
      <c r="S85" s="204">
        <f>(INWIT!E$25/INWIT!D$25)-1</f>
        <v>0.2024125107357837</v>
      </c>
      <c r="T85" s="204">
        <f>(INWIT!F$25/INWIT!E$25)-1</f>
        <v>0.19054578962089885</v>
      </c>
      <c r="U85" s="204">
        <f>(INWIT!G$25/INWIT!F$25)-1</f>
        <v>0.14828544954176404</v>
      </c>
    </row>
    <row r="86" spans="1:49">
      <c r="A86" s="42"/>
      <c r="B86" s="48"/>
      <c r="C86" s="44"/>
      <c r="D86" s="183"/>
      <c r="E86" s="45"/>
      <c r="F86" s="44"/>
      <c r="H86" s="205"/>
      <c r="I86" s="205"/>
      <c r="J86" s="205"/>
      <c r="K86" s="205"/>
      <c r="L86" s="183"/>
      <c r="M86" s="205"/>
      <c r="N86" s="205"/>
      <c r="O86" s="205"/>
      <c r="P86" s="205"/>
      <c r="Q86" s="177"/>
      <c r="R86" s="205"/>
      <c r="S86" s="205"/>
      <c r="T86" s="205"/>
      <c r="U86" s="205"/>
    </row>
    <row r="87" spans="1:49">
      <c r="A87" s="42"/>
      <c r="B87" s="48" t="str">
        <f t="shared" ref="B87:F89" si="10">B68</f>
        <v>American Tower</v>
      </c>
      <c r="C87" s="44" t="str">
        <f t="shared" si="10"/>
        <v>USD 233.6</v>
      </c>
      <c r="D87" s="183" t="str">
        <f t="shared" si="10"/>
        <v>USD 239.0</v>
      </c>
      <c r="E87" s="45">
        <f t="shared" si="10"/>
        <v>2.2941277178565311E-2</v>
      </c>
      <c r="F87" s="44" t="str">
        <f t="shared" si="10"/>
        <v>Neutral</v>
      </c>
      <c r="H87" s="205">
        <f>(AMT!D$23/AMT!C$23)-1</f>
        <v>3.5663827666332804E-2</v>
      </c>
      <c r="I87" s="205">
        <f>(AMT!E$23/AMT!D$23)-1</f>
        <v>2.9480409324793122E-2</v>
      </c>
      <c r="J87" s="205">
        <f>(AMT!F$23/AMT!E$23)-1</f>
        <v>3.1844180456337412E-2</v>
      </c>
      <c r="K87" s="205">
        <f>(AMT!G$23/AMT!F$23)-1</f>
        <v>4.0527920814513507E-2</v>
      </c>
      <c r="L87" s="183"/>
      <c r="M87" s="205">
        <f>(AMT!D$24/AMT!C$24)-1</f>
        <v>6.3840381657515488E-2</v>
      </c>
      <c r="N87" s="205">
        <f>(AMT!E$24/AMT!D$24)-1</f>
        <v>3.3656508818886932E-2</v>
      </c>
      <c r="O87" s="205">
        <f>(AMT!F$24/AMT!E$24)-1</f>
        <v>3.6448800103691337E-2</v>
      </c>
      <c r="P87" s="205">
        <f>(AMT!G$24/AMT!F$24)-1</f>
        <v>4.8502936883115133E-2</v>
      </c>
      <c r="Q87" s="177"/>
      <c r="R87" s="205">
        <f>(AMT!D$25/AMT!C$25)-1</f>
        <v>0.13086626971628745</v>
      </c>
      <c r="S87" s="205">
        <f>(AMT!E$25/AMT!D$25)-1</f>
        <v>8.268884586477343E-2</v>
      </c>
      <c r="T87" s="205">
        <f>(AMT!F$25/AMT!E$25)-1</f>
        <v>5.2680400745817035E-2</v>
      </c>
      <c r="U87" s="205">
        <f>(AMT!G$25/AMT!F$25)-1</f>
        <v>6.5436471703612886E-2</v>
      </c>
    </row>
    <row r="88" spans="1:49">
      <c r="A88" s="42"/>
      <c r="B88" s="48" t="str">
        <f t="shared" si="10"/>
        <v>Crown Castle</v>
      </c>
      <c r="C88" s="44" t="str">
        <f t="shared" si="10"/>
        <v>USD 113.9</v>
      </c>
      <c r="D88" s="183" t="str">
        <f t="shared" si="10"/>
        <v>USD 123.0</v>
      </c>
      <c r="E88" s="45">
        <f t="shared" si="10"/>
        <v>8.0179151664178328E-2</v>
      </c>
      <c r="F88" s="44" t="str">
        <f t="shared" si="10"/>
        <v>Neutral</v>
      </c>
      <c r="H88" s="205">
        <f>(CCI!D$23/CCI!C$23)-1</f>
        <v>2.7317337937822206E-2</v>
      </c>
      <c r="I88" s="205">
        <f>(CCI!E$23/CCI!D$23)-1</f>
        <v>-7.7687887294309865E-3</v>
      </c>
      <c r="J88" s="205">
        <f>(CCI!F$23/CCI!E$23)-1</f>
        <v>8.048501850871137E-3</v>
      </c>
      <c r="K88" s="205">
        <f>(CCI!G$23/CCI!F$23)-1</f>
        <v>4.2893968498282753E-2</v>
      </c>
      <c r="L88" s="183"/>
      <c r="M88" s="205">
        <f>(CCI!D$24/CCI!C$24)-1</f>
        <v>2.7023579891735761E-2</v>
      </c>
      <c r="N88" s="205">
        <f>(CCI!E$24/CCI!D$24)-1</f>
        <v>-2.2635009995250255E-2</v>
      </c>
      <c r="O88" s="205">
        <f>(CCI!F$24/CCI!E$24)-1</f>
        <v>4.6484334464957922E-3</v>
      </c>
      <c r="P88" s="205">
        <f>(CCI!G$24/CCI!F$24)-1</f>
        <v>6.2969356230603735E-2</v>
      </c>
      <c r="Q88" s="177"/>
      <c r="R88" s="205">
        <f>(CCI!D$25/CCI!C$25)-1</f>
        <v>-6.3919547610840732E-2</v>
      </c>
      <c r="S88" s="205">
        <f>(CCI!E$25/CCI!D$25)-1</f>
        <v>-2.7775562862109027E-3</v>
      </c>
      <c r="T88" s="205">
        <f>(CCI!F$25/CCI!E$25)-1</f>
        <v>1.2856004683136746E-2</v>
      </c>
      <c r="U88" s="205">
        <f>(CCI!G$25/CCI!F$25)-1</f>
        <v>9.4732549061672833E-2</v>
      </c>
    </row>
    <row r="89" spans="1:49">
      <c r="A89" s="42"/>
      <c r="B89" s="48" t="str">
        <f t="shared" si="10"/>
        <v xml:space="preserve">SBA </v>
      </c>
      <c r="C89" s="44" t="str">
        <f t="shared" si="10"/>
        <v>USD 233.4</v>
      </c>
      <c r="D89" s="183" t="str">
        <f t="shared" si="10"/>
        <v>USD 244.0</v>
      </c>
      <c r="E89" s="45">
        <f t="shared" si="10"/>
        <v>4.5549985002356852E-2</v>
      </c>
      <c r="F89" s="44" t="str">
        <f t="shared" si="10"/>
        <v>Neutral</v>
      </c>
      <c r="H89" s="205">
        <f>(SBAC!D$23/SBAC!C$23)-1</f>
        <v>2.9345335261437677E-2</v>
      </c>
      <c r="I89" s="205">
        <f>(SBAC!E$23/SBAC!D$23)-1</f>
        <v>5.3767792681301163E-2</v>
      </c>
      <c r="J89" s="205">
        <f>(SBAC!F$23/SBAC!E$23)-1</f>
        <v>5.0776872395606354E-2</v>
      </c>
      <c r="K89" s="205">
        <f>(SBAC!G$23/SBAC!F$23)-1</f>
        <v>-2.6207644039189848E-2</v>
      </c>
      <c r="L89" s="183"/>
      <c r="M89" s="205">
        <f>(SBAC!D$24/SBAC!C$24)-1</f>
        <v>5.8650689838794401E-2</v>
      </c>
      <c r="N89" s="205">
        <f>(SBAC!E$24/SBAC!D$24)-1</f>
        <v>5.7162242410826902E-2</v>
      </c>
      <c r="O89" s="205">
        <f>(SBAC!F$24/SBAC!E$24)-1</f>
        <v>4.7740291035394344E-2</v>
      </c>
      <c r="P89" s="205">
        <f>(SBAC!G$24/SBAC!F$24)-1</f>
        <v>-7.2224718241664654E-4</v>
      </c>
      <c r="Q89" s="177"/>
      <c r="R89" s="205">
        <f>(SBAC!D$25/SBAC!C$25)-1</f>
        <v>1.8724805972610614E-2</v>
      </c>
      <c r="S89" s="205">
        <f>(SBAC!E$25/SBAC!D$25)-1</f>
        <v>2.928876712539985E-2</v>
      </c>
      <c r="T89" s="205">
        <f>(SBAC!F$25/SBAC!E$25)-1</f>
        <v>5.2974131056102047E-2</v>
      </c>
      <c r="U89" s="205">
        <f>(SBAC!G$25/SBAC!F$25)-1</f>
        <v>8.7206725302557686E-4</v>
      </c>
    </row>
    <row r="90" spans="1:49">
      <c r="A90" s="42"/>
      <c r="B90" s="48"/>
      <c r="C90" s="44"/>
      <c r="D90" s="44"/>
      <c r="E90" s="45"/>
      <c r="F90" s="44"/>
      <c r="H90" s="205"/>
      <c r="I90" s="205"/>
      <c r="J90" s="205"/>
      <c r="K90" s="205"/>
      <c r="L90" s="183"/>
      <c r="M90" s="205"/>
      <c r="N90" s="205"/>
      <c r="O90" s="205"/>
      <c r="P90" s="205"/>
      <c r="Q90" s="177"/>
      <c r="R90" s="205"/>
      <c r="S90" s="205"/>
      <c r="T90" s="205"/>
      <c r="U90" s="205"/>
    </row>
    <row r="91" spans="1:49">
      <c r="A91" s="42"/>
      <c r="B91" s="48" t="str">
        <f t="shared" ref="B91:F94" si="11">B72</f>
        <v>Bharti Infratel</v>
      </c>
      <c r="C91" s="44" t="str">
        <f t="shared" si="11"/>
        <v>INR 423</v>
      </c>
      <c r="D91" s="44" t="str">
        <f t="shared" si="11"/>
        <v>INR 265</v>
      </c>
      <c r="E91" s="45">
        <f t="shared" si="11"/>
        <v>-0.37374453503485761</v>
      </c>
      <c r="F91" s="44" t="str">
        <f t="shared" si="11"/>
        <v>Reduce</v>
      </c>
      <c r="H91" s="205">
        <f>(BHIN!D$23/BHIN!C$23)-1</f>
        <v>7.7091657329697583E-3</v>
      </c>
      <c r="I91" s="205">
        <f>(BHIN!E$23/BHIN!D$23)-1</f>
        <v>0.10581520358415153</v>
      </c>
      <c r="J91" s="205">
        <f>(BHIN!F$23/BHIN!E$23)-1</f>
        <v>7.2812248653096212E-2</v>
      </c>
      <c r="K91" s="205">
        <f>(BHIN!G$23/BHIN!F$23)-1</f>
        <v>4.0579318178367796E-2</v>
      </c>
      <c r="L91" s="183"/>
      <c r="M91" s="205">
        <f>(BHIN!D$24/BHIN!C$24)-1</f>
        <v>0.48642911446145942</v>
      </c>
      <c r="N91" s="205">
        <f>(BHIN!E$24/BHIN!D$24)-1</f>
        <v>0.11674902064824288</v>
      </c>
      <c r="O91" s="205">
        <f>(BHIN!F$24/BHIN!E$24)-1</f>
        <v>7.5783292284648196E-2</v>
      </c>
      <c r="P91" s="205">
        <f>(BHIN!G$24/BHIN!F$24)-1</f>
        <v>4.0190872509587194E-2</v>
      </c>
      <c r="Q91" s="177"/>
      <c r="R91" s="205">
        <f>(BHIN!D$25/BHIN!C$25)-1</f>
        <v>76.893539581437665</v>
      </c>
      <c r="S91" s="205">
        <f>(BHIN!E$25/BHIN!D$25)-1</f>
        <v>0.42445723612349107</v>
      </c>
      <c r="T91" s="205">
        <f>(BHIN!F$25/BHIN!E$25)-1</f>
        <v>0.10475364171670898</v>
      </c>
      <c r="U91" s="205">
        <f>(BHIN!G$25/BHIN!F$25)-1</f>
        <v>7.0841756680945833E-2</v>
      </c>
    </row>
    <row r="92" spans="1:49">
      <c r="A92" s="42"/>
      <c r="B92" s="197" t="str">
        <f t="shared" si="11"/>
        <v>China Tower</v>
      </c>
      <c r="C92" s="180" t="str">
        <f t="shared" si="11"/>
        <v>HKD 0.99</v>
      </c>
      <c r="D92" s="180" t="str">
        <f t="shared" si="11"/>
        <v>HKD 1.40</v>
      </c>
      <c r="E92" s="68">
        <f t="shared" si="11"/>
        <v>0.41414141414141414</v>
      </c>
      <c r="F92" s="44" t="str">
        <f t="shared" si="11"/>
        <v>Buy</v>
      </c>
      <c r="H92" s="205">
        <f>(ChinaTow!D$23/ChinaTow!C$23)-1</f>
        <v>1.995226212433554E-2</v>
      </c>
      <c r="I92" s="205">
        <f>(ChinaTow!E$23/ChinaTow!D$23)-1</f>
        <v>5.0083471533727497E-2</v>
      </c>
      <c r="J92" s="205">
        <f>(ChinaTow!F$23/ChinaTow!E$23)-1</f>
        <v>5.6486711459493577E-2</v>
      </c>
      <c r="K92" s="205">
        <f>(ChinaTow!G$23/ChinaTow!F$23)-1</f>
        <v>5.4150225400470875E-2</v>
      </c>
      <c r="L92" s="182"/>
      <c r="M92" s="205">
        <f>(ChinaTow!D$24/ChinaTow!C$24)-1</f>
        <v>1.1250079562090232E-2</v>
      </c>
      <c r="N92" s="205">
        <f>(ChinaTow!E$24/ChinaTow!D$24)-1</f>
        <v>5.5057485429398145E-2</v>
      </c>
      <c r="O92" s="205">
        <f>(ChinaTow!F$24/ChinaTow!E$24)-1</f>
        <v>6.4309767944280782E-2</v>
      </c>
      <c r="P92" s="205">
        <f>(ChinaTow!G$24/ChinaTow!F$24)-1</f>
        <v>5.3872631963164386E-2</v>
      </c>
      <c r="Q92" s="180"/>
      <c r="R92" s="205">
        <f>(ChinaTow!D$25/ChinaTow!C$25)-1</f>
        <v>-0.13104238884188113</v>
      </c>
      <c r="S92" s="205">
        <f>(ChinaTow!E$25/ChinaTow!D$25)-1</f>
        <v>0.33896358155074768</v>
      </c>
      <c r="T92" s="205">
        <f>(ChinaTow!F$25/ChinaTow!E$25)-1</f>
        <v>8.3104518324287113E-2</v>
      </c>
      <c r="U92" s="205">
        <f>(ChinaTow!G$25/ChinaTow!F$25)-1</f>
        <v>6.6056340923244861E-2</v>
      </c>
    </row>
    <row r="93" spans="1:49">
      <c r="B93" s="48" t="str">
        <f t="shared" si="11"/>
        <v>Sarana Menara</v>
      </c>
      <c r="C93" s="44" t="str">
        <f t="shared" si="11"/>
        <v>IDR 840</v>
      </c>
      <c r="D93" s="44" t="str">
        <f t="shared" si="11"/>
        <v>IDR 1,500</v>
      </c>
      <c r="E93" s="45">
        <f t="shared" si="11"/>
        <v>0.78571428571428581</v>
      </c>
      <c r="F93" s="44" t="str">
        <f t="shared" si="11"/>
        <v>Buy</v>
      </c>
      <c r="H93" s="205">
        <f>(TOWR!D$23/TOWR!C$23)-1</f>
        <v>6.3851409516387347E-2</v>
      </c>
      <c r="I93" s="205">
        <f>(TOWR!E$23/TOWR!D$23)-1</f>
        <v>6.0574604902061457E-2</v>
      </c>
      <c r="J93" s="205">
        <f>(TOWR!F$23/TOWR!E$23)-1</f>
        <v>5.7819956937336103E-2</v>
      </c>
      <c r="K93" s="205">
        <f>(TOWR!G$23/TOWR!F$23)-1</f>
        <v>5.8941023603143572E-2</v>
      </c>
      <c r="L93" s="183"/>
      <c r="M93" s="205">
        <f>(TOWR!D$24/TOWR!C$24)-1</f>
        <v>4.865182943488211E-2</v>
      </c>
      <c r="N93" s="205">
        <f>(TOWR!E$24/TOWR!D$24)-1</f>
        <v>4.3074254597730288E-2</v>
      </c>
      <c r="O93" s="205">
        <f>(TOWR!F$24/TOWR!E$24)-1</f>
        <v>5.5921954622257353E-2</v>
      </c>
      <c r="P93" s="205">
        <f>(TOWR!G$24/TOWR!F$24)-1</f>
        <v>5.7037594561316629E-2</v>
      </c>
      <c r="Q93" s="177"/>
      <c r="R93" s="205">
        <f>(TOWR!D$25/TOWR!C$25)-1</f>
        <v>0.37729173367642299</v>
      </c>
      <c r="S93" s="205">
        <f>(TOWR!E$25/TOWR!D$25)-1</f>
        <v>0.94919367037580349</v>
      </c>
      <c r="T93" s="205">
        <f>(TOWR!F$25/TOWR!E$25)-1</f>
        <v>0.13553743921756256</v>
      </c>
      <c r="U93" s="205">
        <f>(TOWR!G$25/TOWR!F$25)-1</f>
        <v>0.10278012494146438</v>
      </c>
    </row>
    <row r="94" spans="1:49">
      <c r="B94" s="197" t="str">
        <f t="shared" si="11"/>
        <v>Tower Bersama</v>
      </c>
      <c r="C94" s="180" t="str">
        <f t="shared" si="11"/>
        <v>IDR 1,920</v>
      </c>
      <c r="D94" s="180" t="str">
        <f t="shared" si="11"/>
        <v>IDR 1,700</v>
      </c>
      <c r="E94" s="68">
        <f t="shared" si="11"/>
        <v>-0.11458333333333337</v>
      </c>
      <c r="F94" s="180" t="str">
        <f t="shared" si="11"/>
        <v>Neutral</v>
      </c>
      <c r="H94" s="204">
        <f>(TBIG!D$23/TBIG!C$23)-1</f>
        <v>1.7821800085188411E-2</v>
      </c>
      <c r="I94" s="204">
        <f>(TBIG!E$23/TBIG!D$23)-1</f>
        <v>2.623667183340439E-2</v>
      </c>
      <c r="J94" s="204">
        <f>(TBIG!F$23/TBIG!E$23)-1</f>
        <v>3.1163507415628233E-2</v>
      </c>
      <c r="K94" s="204">
        <f>(TBIG!G$23/TBIG!F$23)-1</f>
        <v>3.570637648888586E-2</v>
      </c>
      <c r="L94" s="182"/>
      <c r="M94" s="204">
        <f>(TBIG!D$24/TBIG!C$24)-1</f>
        <v>1.1618860403238118E-2</v>
      </c>
      <c r="N94" s="204">
        <f>(TBIG!E$24/TBIG!D$24)-1</f>
        <v>2.204659302961276E-2</v>
      </c>
      <c r="O94" s="204">
        <f>(TBIG!F$24/TBIG!E$24)-1</f>
        <v>2.8762661065417028E-2</v>
      </c>
      <c r="P94" s="204">
        <f>(TBIG!G$24/TBIG!F$24)-1</f>
        <v>3.3289325435235995E-2</v>
      </c>
      <c r="Q94" s="180"/>
      <c r="R94" s="204">
        <f>(TBIG!D$25/TBIG!C$25)-1</f>
        <v>0.69542077047678807</v>
      </c>
      <c r="S94" s="204">
        <f>(TBIG!E$25/TBIG!D$25)-1</f>
        <v>0.2564061458400444</v>
      </c>
      <c r="T94" s="204">
        <f>(TBIG!F$25/TBIG!E$25)-1</f>
        <v>7.6248885790903609E-2</v>
      </c>
      <c r="U94" s="204">
        <f>(TBIG!G$25/TBIG!F$25)-1</f>
        <v>3.7730870305341835E-2</v>
      </c>
    </row>
    <row r="95" spans="1:49">
      <c r="A95" s="42"/>
      <c r="B95" s="197" t="s">
        <v>1397</v>
      </c>
      <c r="C95" s="180" t="str">
        <f>C76</f>
        <v>IDR 660</v>
      </c>
      <c r="D95" s="180" t="str">
        <f>D76</f>
        <v>IDR 1,135</v>
      </c>
      <c r="E95" s="68">
        <f>E76</f>
        <v>0.71969696969696972</v>
      </c>
      <c r="F95" s="180" t="str">
        <f>F76</f>
        <v>Buy</v>
      </c>
      <c r="H95" s="204">
        <f>(MITRA!D$23/MITRA!C$23)-1</f>
        <v>0.11204554276102985</v>
      </c>
      <c r="I95" s="204">
        <f>(MITRA!E$23/MITRA!D$23)-1</f>
        <v>0.11134519560389822</v>
      </c>
      <c r="J95" s="204">
        <f>(MITRA!F$23/MITRA!E$23)-1</f>
        <v>7.897233328958797E-2</v>
      </c>
      <c r="K95" s="204">
        <f>(MITRA!G$23/MITRA!F$23)-1</f>
        <v>7.0636988572866599E-2</v>
      </c>
      <c r="L95" s="182"/>
      <c r="M95" s="204">
        <f>(MITRA!D$24/MITRA!C$24)-1</f>
        <v>0.1267607363643819</v>
      </c>
      <c r="N95" s="204">
        <f>(MITRA!E$24/MITRA!D$24)-1</f>
        <v>0.12595759450578448</v>
      </c>
      <c r="O95" s="204">
        <f>(MITRA!F$24/MITRA!E$24)-1</f>
        <v>7.897233328958797E-2</v>
      </c>
      <c r="P95" s="204">
        <f>(MITRA!G$24/MITRA!F$24)-1</f>
        <v>7.0636988572866599E-2</v>
      </c>
      <c r="Q95" s="180"/>
      <c r="R95" s="204">
        <f>(MITRA!D$25/MITRA!C$25)-1</f>
        <v>-1.584455549208835</v>
      </c>
      <c r="S95" s="204">
        <f>(MITRA!E$25/MITRA!D$25)-1</f>
        <v>-1.2225551370246148</v>
      </c>
      <c r="T95" s="204">
        <f>(MITRA!F$25/MITRA!E$25)-1</f>
        <v>2.4599590558035147</v>
      </c>
      <c r="U95" s="204">
        <f>(MITRA!G$25/MITRA!F$25)-1</f>
        <v>1.5534728805721474</v>
      </c>
      <c r="AT95" s="198"/>
      <c r="AU95" s="198"/>
      <c r="AV95" s="198"/>
      <c r="AW95" s="198"/>
    </row>
    <row r="96" spans="1:49">
      <c r="B96" s="48"/>
      <c r="C96" s="44"/>
      <c r="D96" s="44"/>
      <c r="E96" s="45"/>
      <c r="F96" s="44"/>
      <c r="H96" s="205"/>
      <c r="I96" s="205"/>
      <c r="J96" s="205"/>
      <c r="K96" s="205"/>
      <c r="L96" s="183"/>
      <c r="M96" s="205"/>
      <c r="N96" s="205"/>
      <c r="O96" s="205"/>
      <c r="P96" s="205"/>
      <c r="Q96" s="177"/>
      <c r="R96" s="205"/>
      <c r="S96" s="205"/>
      <c r="T96" s="205"/>
      <c r="U96" s="205"/>
    </row>
    <row r="97" spans="1:21">
      <c r="B97" s="48" t="str">
        <f>B78</f>
        <v>IHS</v>
      </c>
      <c r="C97" s="44" t="str">
        <f>C78</f>
        <v>USD 3.2</v>
      </c>
      <c r="D97" s="44" t="str">
        <f>D78</f>
        <v>USD 8.0</v>
      </c>
      <c r="E97" s="45">
        <f>E78</f>
        <v>1.5078369905956115</v>
      </c>
      <c r="F97" s="44" t="str">
        <f>F78</f>
        <v>Buy</v>
      </c>
      <c r="H97" s="205">
        <f>(IHS!D$23/IHS!C$23)-1</f>
        <v>8.3740418977422459E-2</v>
      </c>
      <c r="I97" s="205">
        <f>(IHS!E$23/IHS!D$23)-1</f>
        <v>-0.15418155375143194</v>
      </c>
      <c r="J97" s="205">
        <f>(IHS!F$23/IHS!E$23)-1</f>
        <v>9.2372935061576511E-2</v>
      </c>
      <c r="K97" s="205">
        <f>(IHS!G$23/IHS!F$23)-1</f>
        <v>0.11060002453149886</v>
      </c>
      <c r="L97" s="183"/>
      <c r="M97" s="205">
        <f>(IHS!D$24/IHS!C$24)-1</f>
        <v>9.8070945310485325E-2</v>
      </c>
      <c r="N97" s="205">
        <f>(IHS!E$24/IHS!D$24)-1</f>
        <v>-0.12005162660519975</v>
      </c>
      <c r="O97" s="205">
        <f>(IHS!F$24/IHS!E$24)-1</f>
        <v>0.10037919435006604</v>
      </c>
      <c r="P97" s="205">
        <f>(IHS!G$24/IHS!F$24)-1</f>
        <v>0.11789618760086817</v>
      </c>
      <c r="Q97" s="177"/>
      <c r="R97" s="205">
        <f>(IHS!D$25/IHS!C$25)-1</f>
        <v>0.37532525051209698</v>
      </c>
      <c r="S97" s="205">
        <f>(IHS!E$25/IHS!D$25)-1</f>
        <v>0.18198727007535975</v>
      </c>
      <c r="T97" s="205">
        <f>(IHS!F$25/IHS!E$25)-1</f>
        <v>0.15032543757615624</v>
      </c>
      <c r="U97" s="205">
        <f>(IHS!G$25/IHS!F$25)-1</f>
        <v>0.15071804189071436</v>
      </c>
    </row>
    <row r="98" spans="1:21">
      <c r="A98" s="194"/>
      <c r="B98" s="48"/>
      <c r="C98" s="44"/>
      <c r="D98" s="44"/>
      <c r="E98" s="45"/>
      <c r="F98" s="44"/>
      <c r="H98" s="205"/>
      <c r="I98" s="205"/>
      <c r="J98" s="205"/>
      <c r="K98" s="205"/>
      <c r="L98" s="183"/>
      <c r="M98" s="205"/>
      <c r="N98" s="205"/>
      <c r="O98" s="205"/>
      <c r="P98" s="205"/>
      <c r="Q98" s="177"/>
      <c r="R98" s="205"/>
      <c r="S98" s="205"/>
      <c r="T98" s="205"/>
      <c r="U98" s="205"/>
    </row>
    <row r="99" spans="1:21">
      <c r="B99" s="199" t="str">
        <f>B80</f>
        <v>Telesites</v>
      </c>
      <c r="C99" s="184" t="str">
        <f>C80</f>
        <v>MXN 16.6</v>
      </c>
      <c r="D99" s="184" t="str">
        <f>D80</f>
        <v>MXN 17.0</v>
      </c>
      <c r="E99" s="185">
        <f>E80</f>
        <v>2.2248947684906817E-2</v>
      </c>
      <c r="F99" s="184" t="str">
        <f>F80</f>
        <v>Neutral</v>
      </c>
      <c r="H99" s="206">
        <f>IFERROR(((SITES!D$23/SITES!C$23)-1), "na")</f>
        <v>9.8075884682450987E-2</v>
      </c>
      <c r="I99" s="206">
        <f>(SITES!E$23/SITES!D$23)-1</f>
        <v>7.5862627424408968E-2</v>
      </c>
      <c r="J99" s="206">
        <f>(SITES!F$23/SITES!E$23)-1</f>
        <v>7.228564973388063E-2</v>
      </c>
      <c r="K99" s="206">
        <f>(SITES!G$23/SITES!F$23)-1</f>
        <v>6.9421148701406921E-2</v>
      </c>
      <c r="L99" s="183"/>
      <c r="M99" s="206">
        <f>(SITES!D$24/SITES!C$24)-1</f>
        <v>9.6110765755419436E-2</v>
      </c>
      <c r="N99" s="206">
        <f>(SITES!E$24/SITES!D$24)-1</f>
        <v>7.4236709442885296E-2</v>
      </c>
      <c r="O99" s="206">
        <f>(SITES!F$24/SITES!E$24)-1</f>
        <v>7.0602094614705013E-2</v>
      </c>
      <c r="P99" s="206">
        <f>(SITES!G$24/SITES!F$24)-1</f>
        <v>6.7698253932268138E-2</v>
      </c>
      <c r="Q99" s="177"/>
      <c r="R99" s="206">
        <f>IFERROR(((SITES!D$25/SITES!C$25)-1), "na")</f>
        <v>0.13160006288691473</v>
      </c>
      <c r="S99" s="206">
        <f>(SITES!E$25/SITES!D$25)-1</f>
        <v>7.0291523639488762E-2</v>
      </c>
      <c r="T99" s="206">
        <f>(SITES!F$25/SITES!E$25)-1</f>
        <v>7.7192845659690201E-2</v>
      </c>
      <c r="U99" s="206">
        <f>(SITES!G$25/SITES!F$25)-1</f>
        <v>8.6248379273811793E-2</v>
      </c>
    </row>
    <row r="100" spans="1:21">
      <c r="A100" s="42"/>
      <c r="L100" s="187"/>
    </row>
    <row r="101" spans="1:21">
      <c r="A101" s="42"/>
      <c r="L101" s="187"/>
    </row>
    <row r="102" spans="1:21">
      <c r="A102" s="42"/>
      <c r="B102" s="164"/>
      <c r="C102" s="165" t="s">
        <v>459</v>
      </c>
      <c r="D102" s="165" t="s">
        <v>56</v>
      </c>
      <c r="E102" s="165" t="s">
        <v>58</v>
      </c>
      <c r="F102" s="165" t="s">
        <v>55</v>
      </c>
      <c r="H102" s="166" t="s">
        <v>463</v>
      </c>
      <c r="I102" s="166"/>
      <c r="J102" s="166"/>
      <c r="K102" s="166"/>
      <c r="M102" s="166" t="s">
        <v>464</v>
      </c>
      <c r="N102" s="166"/>
      <c r="O102" s="166"/>
      <c r="P102" s="166"/>
      <c r="R102" s="166" t="s">
        <v>779</v>
      </c>
      <c r="S102" s="166"/>
      <c r="T102" s="166"/>
      <c r="U102" s="166"/>
    </row>
    <row r="103" spans="1:21">
      <c r="A103" s="42"/>
      <c r="B103" s="197" t="str">
        <f t="shared" ref="B103:F104" si="12">B84</f>
        <v>Cellnex</v>
      </c>
      <c r="C103" s="180" t="str">
        <f t="shared" si="12"/>
        <v>EUR 35.7</v>
      </c>
      <c r="D103" s="180" t="str">
        <f t="shared" si="12"/>
        <v>EUR 31.0</v>
      </c>
      <c r="E103" s="68">
        <f t="shared" si="12"/>
        <v>-0.13165266106442586</v>
      </c>
      <c r="F103" s="180" t="str">
        <f t="shared" si="12"/>
        <v>Neutral</v>
      </c>
      <c r="H103" s="566">
        <f>(CLNX!D$24/CLNX!D$23)</f>
        <v>0.46881434910903685</v>
      </c>
      <c r="I103" s="566">
        <f>(CLNX!E$24/CLNX!E$23)</f>
        <v>0.49732889538176728</v>
      </c>
      <c r="J103" s="566">
        <f>(CLNX!F$24/CLNX!F$23)</f>
        <v>0.50713933055524196</v>
      </c>
      <c r="K103" s="566">
        <f>(CLNX!G$24/CLNX!G$23)</f>
        <v>0.51813534960586793</v>
      </c>
      <c r="L103" s="571"/>
      <c r="M103" s="566">
        <f>(CLNX!D$25/CLNX!D$23)</f>
        <v>0.11917880743994239</v>
      </c>
      <c r="N103" s="566">
        <f>(CLNX!E$25/CLNX!E$23)</f>
        <v>0.15988247243645884</v>
      </c>
      <c r="O103" s="566">
        <f>(CLNX!F$25/CLNX!F$23)</f>
        <v>0.16045974163872398</v>
      </c>
      <c r="P103" s="566">
        <f>(CLNX!G$25/CLNX!G$23)</f>
        <v>0.23381118338649165</v>
      </c>
      <c r="Q103" s="567"/>
      <c r="R103" s="566">
        <f>(CLNX!D$24-CLNX!D$25)/CLNX!D$23</f>
        <v>0.3496355416690945</v>
      </c>
      <c r="S103" s="566">
        <f>(CLNX!E$24-CLNX!E$25)/CLNX!E$23</f>
        <v>0.33744642294530841</v>
      </c>
      <c r="T103" s="566">
        <f>(CLNX!F$24-CLNX!F$25)/CLNX!F$23</f>
        <v>0.34667958891651801</v>
      </c>
      <c r="U103" s="566">
        <f>(CLNX!G$24-CLNX!G$25)/CLNX!G$23</f>
        <v>0.28432416621937634</v>
      </c>
    </row>
    <row r="104" spans="1:21">
      <c r="A104" s="42"/>
      <c r="B104" s="197" t="str">
        <f t="shared" si="12"/>
        <v>Inwit</v>
      </c>
      <c r="C104" s="180" t="str">
        <f t="shared" si="12"/>
        <v>EUR 11.1</v>
      </c>
      <c r="D104" s="180" t="str">
        <f t="shared" si="12"/>
        <v>EUR 12.0</v>
      </c>
      <c r="E104" s="68">
        <f t="shared" si="12"/>
        <v>8.4990958408679873E-2</v>
      </c>
      <c r="F104" s="180" t="str">
        <f t="shared" si="12"/>
        <v>Neutral</v>
      </c>
      <c r="H104" s="566">
        <f>(INWIT!D$24/INWIT!D$23)</f>
        <v>0.66223501247248306</v>
      </c>
      <c r="I104" s="566">
        <f>(INWIT!E$24/INWIT!E$23)</f>
        <v>0.68953472520141113</v>
      </c>
      <c r="J104" s="566">
        <f>(INWIT!F$24/INWIT!F$23)</f>
        <v>0.70290343055268079</v>
      </c>
      <c r="K104" s="566">
        <f>(INWIT!G$24/INWIT!G$23)</f>
        <v>0.72449249121902959</v>
      </c>
      <c r="L104" s="571"/>
      <c r="M104" s="566">
        <f>(INWIT!D$25/INWIT!D$23)</f>
        <v>0.38531964022773191</v>
      </c>
      <c r="N104" s="566">
        <f>(INWIT!E$25/INWIT!E$23)</f>
        <v>0.43916774145330645</v>
      </c>
      <c r="O104" s="566">
        <f>(INWIT!F$25/INWIT!F$23)</f>
        <v>0.49701866989200655</v>
      </c>
      <c r="P104" s="566">
        <f>(INWIT!G$25/INWIT!G$23)</f>
        <v>0.55006520430391315</v>
      </c>
      <c r="Q104" s="568"/>
      <c r="R104" s="566">
        <f>(INWIT!D$24-INWIT!D$25)/INWIT!D$23</f>
        <v>0.27691537224475116</v>
      </c>
      <c r="S104" s="566">
        <f>(INWIT!E$24-INWIT!E$25)/INWIT!E$23</f>
        <v>0.25036698374810473</v>
      </c>
      <c r="T104" s="566">
        <f>(INWIT!F$24-INWIT!F$25)/INWIT!F$23</f>
        <v>0.20588476066067429</v>
      </c>
      <c r="U104" s="566">
        <f>(INWIT!G$24-INWIT!G$25)/INWIT!G$23</f>
        <v>0.17442728691511647</v>
      </c>
    </row>
    <row r="105" spans="1:21">
      <c r="A105" s="42"/>
      <c r="B105" s="48"/>
      <c r="C105" s="44"/>
      <c r="D105" s="183"/>
      <c r="E105" s="45"/>
      <c r="F105" s="44"/>
      <c r="H105" s="569"/>
      <c r="I105" s="569"/>
      <c r="J105" s="569"/>
      <c r="K105" s="569"/>
      <c r="L105" s="572"/>
      <c r="M105" s="569"/>
      <c r="N105" s="569"/>
      <c r="O105" s="569"/>
      <c r="P105" s="569"/>
      <c r="Q105" s="567"/>
      <c r="R105" s="569"/>
      <c r="S105" s="569"/>
      <c r="T105" s="569"/>
      <c r="U105" s="569"/>
    </row>
    <row r="106" spans="1:21">
      <c r="A106" s="42"/>
      <c r="B106" s="48" t="str">
        <f t="shared" ref="B106:F108" si="13">B87</f>
        <v>American Tower</v>
      </c>
      <c r="C106" s="44" t="str">
        <f t="shared" si="13"/>
        <v>USD 233.6</v>
      </c>
      <c r="D106" s="183" t="str">
        <f t="shared" si="13"/>
        <v>USD 239.0</v>
      </c>
      <c r="E106" s="45">
        <f t="shared" si="13"/>
        <v>2.2941277178565311E-2</v>
      </c>
      <c r="F106" s="44" t="str">
        <f t="shared" si="13"/>
        <v>Neutral</v>
      </c>
      <c r="H106" s="569">
        <f>(AMT!D$24/AMT!D$23)</f>
        <v>0.63719567991452442</v>
      </c>
      <c r="I106" s="569">
        <f>(AMT!E$24/AMT!E$23)</f>
        <v>0.63978047174973285</v>
      </c>
      <c r="J106" s="569">
        <f>(AMT!F$24/AMT!F$23)</f>
        <v>0.6426355014005366</v>
      </c>
      <c r="K106" s="569">
        <f>(AMT!G$24/AMT!G$23)</f>
        <v>0.64756091315297792</v>
      </c>
      <c r="L106" s="572"/>
      <c r="M106" s="569">
        <f>(AMT!D$25/AMT!D$23)</f>
        <v>0.48634054363709012</v>
      </c>
      <c r="N106" s="569">
        <f>(AMT!E$25/AMT!E$23)</f>
        <v>0.51147693255575433</v>
      </c>
      <c r="O106" s="569">
        <f>(AMT!F$25/AMT!F$23)</f>
        <v>0.52180528080985389</v>
      </c>
      <c r="P106" s="569">
        <f>(AMT!G$25/AMT!G$23)</f>
        <v>0.53429645296511796</v>
      </c>
      <c r="Q106" s="567"/>
      <c r="R106" s="569">
        <f>(AMT!D$24-AMT!D$25)/AMT!D$23</f>
        <v>0.15085513627743433</v>
      </c>
      <c r="S106" s="569">
        <f>(AMT!E$24-AMT!E$25)/AMT!E$23</f>
        <v>0.12830353919397852</v>
      </c>
      <c r="T106" s="569">
        <f>(AMT!F$24-AMT!F$25)/AMT!F$23</f>
        <v>0.12083022059068271</v>
      </c>
      <c r="U106" s="569">
        <f>(AMT!G$24-AMT!G$25)/AMT!G$23</f>
        <v>0.11326446018785997</v>
      </c>
    </row>
    <row r="107" spans="1:21">
      <c r="A107" s="42"/>
      <c r="B107" s="48" t="str">
        <f t="shared" si="13"/>
        <v>Crown Castle</v>
      </c>
      <c r="C107" s="44" t="str">
        <f t="shared" si="13"/>
        <v>USD 113.9</v>
      </c>
      <c r="D107" s="183" t="str">
        <f t="shared" si="13"/>
        <v>USD 123.0</v>
      </c>
      <c r="E107" s="45">
        <f t="shared" si="13"/>
        <v>8.0179151664178328E-2</v>
      </c>
      <c r="F107" s="44" t="str">
        <f t="shared" si="13"/>
        <v>Neutral</v>
      </c>
      <c r="H107" s="569">
        <f>(CCI!D$24/CCI!D$23)</f>
        <v>0.62106484270518758</v>
      </c>
      <c r="I107" s="569">
        <f>(CCI!E$24/CCI!E$23)</f>
        <v>0.6117596653763534</v>
      </c>
      <c r="J107" s="569">
        <f>(CCI!F$24/CCI!F$23)</f>
        <v>0.60969624808492517</v>
      </c>
      <c r="K107" s="569">
        <f>(CCI!G$24/CCI!G$23)</f>
        <v>0.62143271310338832</v>
      </c>
      <c r="L107" s="572"/>
      <c r="M107" s="569">
        <f>(CCI!D$25/CCI!D$23)</f>
        <v>0.39520515943519174</v>
      </c>
      <c r="N107" s="569">
        <f>(CCI!E$25/CCI!E$23)</f>
        <v>0.39719316464113064</v>
      </c>
      <c r="O107" s="569">
        <f>(CCI!F$25/CCI!F$23)</f>
        <v>0.39908742593953317</v>
      </c>
      <c r="P107" s="569">
        <f>(CCI!G$25/CCI!G$23)</f>
        <v>0.41892465417779057</v>
      </c>
      <c r="Q107" s="567"/>
      <c r="R107" s="569">
        <f>(CCI!D$24-CCI!D$25)/CCI!D$23</f>
        <v>0.22585968326999584</v>
      </c>
      <c r="S107" s="569">
        <f>(CCI!E$24-CCI!E$25)/CCI!E$23</f>
        <v>0.21456650073522285</v>
      </c>
      <c r="T107" s="569">
        <f>(CCI!F$24-CCI!F$25)/CCI!F$23</f>
        <v>0.21060882214539203</v>
      </c>
      <c r="U107" s="569">
        <f>(CCI!G$24-CCI!G$25)/CCI!G$23</f>
        <v>0.20250805892559773</v>
      </c>
    </row>
    <row r="108" spans="1:21">
      <c r="A108" s="42"/>
      <c r="B108" s="48" t="str">
        <f t="shared" si="13"/>
        <v xml:space="preserve">SBA </v>
      </c>
      <c r="C108" s="44" t="str">
        <f t="shared" si="13"/>
        <v>USD 233.4</v>
      </c>
      <c r="D108" s="183" t="str">
        <f t="shared" si="13"/>
        <v>USD 244.0</v>
      </c>
      <c r="E108" s="45">
        <f t="shared" si="13"/>
        <v>4.5549985002356852E-2</v>
      </c>
      <c r="F108" s="44" t="str">
        <f t="shared" si="13"/>
        <v>Neutral</v>
      </c>
      <c r="H108" s="569">
        <f>(SBAC!D$24/SBAC!D$23)</f>
        <v>0.69086031019819694</v>
      </c>
      <c r="I108" s="569">
        <f>(SBAC!E$24/SBAC!E$23)</f>
        <v>0.69308574412147639</v>
      </c>
      <c r="J108" s="569">
        <f>(SBAC!F$24/SBAC!F$23)</f>
        <v>0.69108283436307083</v>
      </c>
      <c r="K108" s="569">
        <f>(SBAC!G$24/SBAC!G$23)</f>
        <v>0.70916935988038066</v>
      </c>
      <c r="L108" s="572"/>
      <c r="M108" s="569">
        <f>(SBAC!D$25/SBAC!D$23)</f>
        <v>0.58421510752151495</v>
      </c>
      <c r="N108" s="569">
        <f>(SBAC!E$25/SBAC!E$23)</f>
        <v>0.57064379072241822</v>
      </c>
      <c r="O108" s="569">
        <f>(SBAC!F$25/SBAC!F$23)</f>
        <v>0.57183705262621742</v>
      </c>
      <c r="P108" s="569">
        <f>(SBAC!G$25/SBAC!G$23)</f>
        <v>0.58773898715725048</v>
      </c>
      <c r="Q108" s="567"/>
      <c r="R108" s="569">
        <f>(SBAC!D$24-SBAC!D$25)/SBAC!D$23</f>
        <v>0.10664520267668194</v>
      </c>
      <c r="S108" s="569">
        <f>(SBAC!E$24-SBAC!E$25)/SBAC!E$23</f>
        <v>0.1224419533990582</v>
      </c>
      <c r="T108" s="569">
        <f>(SBAC!F$24-SBAC!F$25)/SBAC!F$23</f>
        <v>0.11924578173685348</v>
      </c>
      <c r="U108" s="569">
        <f>(SBAC!G$24-SBAC!G$25)/SBAC!G$23</f>
        <v>0.12143037272313022</v>
      </c>
    </row>
    <row r="109" spans="1:21">
      <c r="A109" s="42"/>
      <c r="B109" s="48"/>
      <c r="C109" s="44"/>
      <c r="D109" s="44"/>
      <c r="E109" s="45"/>
      <c r="F109" s="44"/>
      <c r="H109" s="569"/>
      <c r="I109" s="569"/>
      <c r="J109" s="569"/>
      <c r="K109" s="569"/>
      <c r="L109" s="572"/>
      <c r="M109" s="569"/>
      <c r="N109" s="569"/>
      <c r="O109" s="569"/>
      <c r="P109" s="569"/>
      <c r="Q109" s="567"/>
      <c r="R109" s="569"/>
      <c r="S109" s="569"/>
      <c r="T109" s="569"/>
      <c r="U109" s="569"/>
    </row>
    <row r="110" spans="1:21">
      <c r="A110" s="42"/>
      <c r="B110" s="48" t="str">
        <f t="shared" ref="B110:F113" si="14">B91</f>
        <v>Bharti Infratel</v>
      </c>
      <c r="C110" s="44" t="str">
        <f t="shared" si="14"/>
        <v>INR 423</v>
      </c>
      <c r="D110" s="44" t="str">
        <f t="shared" si="14"/>
        <v>INR 265</v>
      </c>
      <c r="E110" s="45">
        <f t="shared" si="14"/>
        <v>-0.37374453503485761</v>
      </c>
      <c r="F110" s="44" t="str">
        <f t="shared" si="14"/>
        <v>Reduce</v>
      </c>
      <c r="H110" s="569">
        <f>(BHIN!D$24/BHIN!D$23)</f>
        <v>0.52638755830297268</v>
      </c>
      <c r="I110" s="569">
        <f>(BHIN!E$24/BHIN!E$23)</f>
        <v>0.53159224824451445</v>
      </c>
      <c r="J110" s="569">
        <f>(BHIN!F$24/BHIN!F$23)</f>
        <v>0.53306443852357976</v>
      </c>
      <c r="K110" s="569">
        <f>(BHIN!G$24/BHIN!G$23)</f>
        <v>0.5328654468958316</v>
      </c>
      <c r="L110" s="572"/>
      <c r="M110" s="569">
        <f>(BHIN!D$25/BHIN!D$23)</f>
        <v>0.29931190254749901</v>
      </c>
      <c r="N110" s="569">
        <f>(BHIN!E$25/BHIN!E$23)</f>
        <v>0.38555900123254977</v>
      </c>
      <c r="O110" s="569">
        <f>(BHIN!F$25/BHIN!F$23)</f>
        <v>0.3970384484732431</v>
      </c>
      <c r="P110" s="569">
        <f>(BHIN!G$25/BHIN!G$23)</f>
        <v>0.40858523920815276</v>
      </c>
      <c r="Q110" s="567"/>
      <c r="R110" s="569">
        <f>(BHIN!D$24-BHIN!D$25)/BHIN!D$23</f>
        <v>0.22707565575547367</v>
      </c>
      <c r="S110" s="569">
        <f>(BHIN!E$24-BHIN!E$25)/BHIN!E$23</f>
        <v>0.14603324701196471</v>
      </c>
      <c r="T110" s="569">
        <f>(BHIN!F$24-BHIN!F$25)/BHIN!F$23</f>
        <v>0.13602599005033664</v>
      </c>
      <c r="U110" s="569">
        <f>(BHIN!G$24-BHIN!G$25)/BHIN!G$23</f>
        <v>0.12428020768767881</v>
      </c>
    </row>
    <row r="111" spans="1:21">
      <c r="A111" s="42"/>
      <c r="B111" s="197" t="str">
        <f t="shared" si="14"/>
        <v>China Tower</v>
      </c>
      <c r="C111" s="180" t="str">
        <f t="shared" si="14"/>
        <v>HKD 0.99</v>
      </c>
      <c r="D111" s="180" t="str">
        <f t="shared" si="14"/>
        <v>HKD 1.40</v>
      </c>
      <c r="E111" s="68">
        <f t="shared" si="14"/>
        <v>0.41414141414141414</v>
      </c>
      <c r="F111" s="44" t="str">
        <f t="shared" si="14"/>
        <v>Buy</v>
      </c>
      <c r="H111" s="569">
        <f>(ChinaTow!D$24/ChinaTow!D$23)</f>
        <v>0.67600974374793898</v>
      </c>
      <c r="I111" s="569">
        <f>(ChinaTow!E$24/ChinaTow!E$23)</f>
        <v>0.67921185286608354</v>
      </c>
      <c r="J111" s="569">
        <f>(ChinaTow!F$24/ChinaTow!F$23)</f>
        <v>0.68424127030453652</v>
      </c>
      <c r="K111" s="569">
        <f>(ChinaTow!G$24/ChinaTow!G$23)</f>
        <v>0.68406108641651564</v>
      </c>
      <c r="L111" s="567"/>
      <c r="M111" s="569">
        <f>(ChinaTow!D$25/ChinaTow!D$23)</f>
        <v>0.33864842727823929</v>
      </c>
      <c r="N111" s="569">
        <f>(ChinaTow!E$25/ChinaTow!E$23)</f>
        <v>0.43181130202222723</v>
      </c>
      <c r="O111" s="569">
        <f>(ChinaTow!F$25/ChinaTow!F$23)</f>
        <v>0.44269063416582255</v>
      </c>
      <c r="P111" s="569">
        <f>(ChinaTow!G$25/ChinaTow!G$23)</f>
        <v>0.44769061016945705</v>
      </c>
      <c r="Q111" s="568"/>
      <c r="R111" s="569">
        <f>(ChinaTow!D$24-ChinaTow!D$25)/ChinaTow!D$23</f>
        <v>0.33736131646969969</v>
      </c>
      <c r="S111" s="569">
        <f>(ChinaTow!E$24-ChinaTow!E$25)/ChinaTow!E$23</f>
        <v>0.24740055084385632</v>
      </c>
      <c r="T111" s="569">
        <f>(ChinaTow!F$24-ChinaTow!F$25)/ChinaTow!F$23</f>
        <v>0.241550636138714</v>
      </c>
      <c r="U111" s="569">
        <f>(ChinaTow!G$24-ChinaTow!G$25)/ChinaTow!G$23</f>
        <v>0.23637047624705854</v>
      </c>
    </row>
    <row r="112" spans="1:21">
      <c r="A112" s="42"/>
      <c r="B112" s="48" t="str">
        <f t="shared" si="14"/>
        <v>Sarana Menara</v>
      </c>
      <c r="C112" s="44" t="str">
        <f t="shared" si="14"/>
        <v>IDR 840</v>
      </c>
      <c r="D112" s="44" t="str">
        <f t="shared" si="14"/>
        <v>IDR 1,500</v>
      </c>
      <c r="E112" s="45">
        <f t="shared" si="14"/>
        <v>0.78571428571428581</v>
      </c>
      <c r="F112" s="44" t="str">
        <f t="shared" si="14"/>
        <v>Buy</v>
      </c>
      <c r="H112" s="569">
        <f>(TOWR!D$24/TOWR!D$23)</f>
        <v>0.8500261278522907</v>
      </c>
      <c r="I112" s="569">
        <f>(TOWR!E$24/TOWR!E$23)</f>
        <v>0.83599999999999985</v>
      </c>
      <c r="J112" s="569">
        <f>(TOWR!F$24/TOWR!F$23)</f>
        <v>0.83449999999999991</v>
      </c>
      <c r="K112" s="569">
        <f>(TOWR!G$24/TOWR!G$23)</f>
        <v>0.83300000000000007</v>
      </c>
      <c r="L112" s="572"/>
      <c r="M112" s="569">
        <f>(TOWR!D$25/TOWR!D$23)</f>
        <v>0.29178018192821431</v>
      </c>
      <c r="N112" s="569">
        <f>(TOWR!E$25/TOWR!E$23)</f>
        <v>0.53625278328071557</v>
      </c>
      <c r="O112" s="569">
        <f>(TOWR!F$25/TOWR!F$23)</f>
        <v>0.57565099647287787</v>
      </c>
      <c r="P112" s="569">
        <f>(TOWR!G$25/TOWR!G$23)</f>
        <v>0.5994823731098996</v>
      </c>
      <c r="Q112" s="567"/>
      <c r="R112" s="569">
        <f>(TOWR!D$24-TOWR!D$25)/TOWR!D$23</f>
        <v>0.5582459459240765</v>
      </c>
      <c r="S112" s="569">
        <f>(TOWR!E$24-TOWR!E$25)/TOWR!E$23</f>
        <v>0.29974721671928423</v>
      </c>
      <c r="T112" s="569">
        <f>(TOWR!F$24-TOWR!F$25)/TOWR!F$23</f>
        <v>0.25884900352712203</v>
      </c>
      <c r="U112" s="569">
        <f>(TOWR!G$24-TOWR!G$25)/TOWR!G$23</f>
        <v>0.23351762689010044</v>
      </c>
    </row>
    <row r="113" spans="1:49">
      <c r="A113" s="42"/>
      <c r="B113" s="197" t="str">
        <f t="shared" si="14"/>
        <v>Tower Bersama</v>
      </c>
      <c r="C113" s="180" t="str">
        <f t="shared" si="14"/>
        <v>IDR 1,920</v>
      </c>
      <c r="D113" s="180" t="str">
        <f t="shared" si="14"/>
        <v>IDR 1,700</v>
      </c>
      <c r="E113" s="68">
        <f t="shared" si="14"/>
        <v>-0.11458333333333337</v>
      </c>
      <c r="F113" s="180" t="str">
        <f t="shared" si="14"/>
        <v>Neutral</v>
      </c>
      <c r="H113" s="566">
        <f>(TBIG!D$24/TBIG!D$23)</f>
        <v>0.86252163758189149</v>
      </c>
      <c r="I113" s="566">
        <f>(TBIG!E$24/TBIG!E$23)</f>
        <v>0.8590000000000001</v>
      </c>
      <c r="J113" s="566">
        <f>(TBIG!F$24/TBIG!F$23)</f>
        <v>0.85699999999999998</v>
      </c>
      <c r="K113" s="566">
        <f>(TBIG!G$24/TBIG!G$23)</f>
        <v>0.85499999999999987</v>
      </c>
      <c r="L113" s="567"/>
      <c r="M113" s="566">
        <f>(TBIG!D$25/TBIG!D$23)</f>
        <v>0.44904704287008262</v>
      </c>
      <c r="N113" s="566">
        <f>(TBIG!E$25/TBIG!E$23)</f>
        <v>0.54976155103221414</v>
      </c>
      <c r="O113" s="566">
        <f>(TBIG!F$25/TBIG!F$23)</f>
        <v>0.57379867741053847</v>
      </c>
      <c r="P113" s="566">
        <f>(TBIG!G$25/TBIG!G$23)</f>
        <v>0.57492028088878133</v>
      </c>
      <c r="Q113" s="568"/>
      <c r="R113" s="566">
        <f>(TBIG!D$24-TBIG!D$25)/TBIG!D$23</f>
        <v>0.41347459471180881</v>
      </c>
      <c r="S113" s="566">
        <f>(TBIG!E$24-TBIG!E$25)/TBIG!E$23</f>
        <v>0.30923844896778596</v>
      </c>
      <c r="T113" s="566">
        <f>(TBIG!F$24-TBIG!F$25)/TBIG!F$23</f>
        <v>0.28320132258946151</v>
      </c>
      <c r="U113" s="566">
        <f>(TBIG!G$24-TBIG!G$25)/TBIG!G$23</f>
        <v>0.28007971911121859</v>
      </c>
    </row>
    <row r="114" spans="1:49">
      <c r="A114" s="42"/>
      <c r="B114" s="197" t="s">
        <v>1397</v>
      </c>
      <c r="C114" s="180" t="str">
        <f>C95</f>
        <v>IDR 660</v>
      </c>
      <c r="D114" s="180" t="str">
        <f>D95</f>
        <v>IDR 1,135</v>
      </c>
      <c r="E114" s="68">
        <f>E95</f>
        <v>0.71969696969696972</v>
      </c>
      <c r="F114" s="180" t="str">
        <f>F95</f>
        <v>Buy</v>
      </c>
      <c r="H114" s="566">
        <f>(MITRA!D$24/MITRA!D$23)</f>
        <v>0.80523560209424083</v>
      </c>
      <c r="I114" s="566">
        <f>(MITRA!E$24/MITRA!E$23)</f>
        <v>0.81582315299592778</v>
      </c>
      <c r="J114" s="566">
        <f>(MITRA!F$24/MITRA!F$23)</f>
        <v>0.81582315299592789</v>
      </c>
      <c r="K114" s="566">
        <f>(MITRA!G$24/MITRA!G$23)</f>
        <v>0.815823152995928</v>
      </c>
      <c r="L114" s="567"/>
      <c r="M114" s="566">
        <f>(MITRA!D$25/MITRA!D$23)</f>
        <v>-0.33131046457242586</v>
      </c>
      <c r="N114" s="566">
        <f>(MITRA!E$25/MITRA!E$23)</f>
        <v>6.6347383452301664E-2</v>
      </c>
      <c r="O114" s="566">
        <f>(MITRA!F$25/MITRA!F$23)</f>
        <v>0.21275729054588041</v>
      </c>
      <c r="P114" s="566">
        <f>(MITRA!G$25/MITRA!G$23)</f>
        <v>0.50742686582973417</v>
      </c>
      <c r="Q114" s="568"/>
      <c r="R114" s="566">
        <f>(MITRA!D$24-MITRA!D$25)/MITRA!D$23</f>
        <v>1.1365460666666667</v>
      </c>
      <c r="S114" s="566">
        <f>(MITRA!E$24-MITRA!E$25)/MITRA!E$23</f>
        <v>0.74947576954362616</v>
      </c>
      <c r="T114" s="566">
        <f>(MITRA!F$24-MITRA!F$25)/MITRA!F$23</f>
        <v>0.60306586245004756</v>
      </c>
      <c r="U114" s="566">
        <f>(MITRA!G$24-MITRA!G$25)/MITRA!G$23</f>
        <v>0.30839628716619383</v>
      </c>
      <c r="AT114" s="198"/>
      <c r="AU114" s="198"/>
      <c r="AV114" s="198"/>
      <c r="AW114" s="198"/>
    </row>
    <row r="115" spans="1:49">
      <c r="B115" s="48"/>
      <c r="C115" s="44"/>
      <c r="D115" s="44"/>
      <c r="E115" s="45"/>
      <c r="F115" s="44"/>
      <c r="H115" s="569"/>
      <c r="I115" s="569"/>
      <c r="J115" s="569"/>
      <c r="K115" s="569"/>
      <c r="L115" s="572"/>
      <c r="M115" s="569"/>
      <c r="N115" s="569"/>
      <c r="O115" s="569"/>
      <c r="P115" s="569"/>
      <c r="Q115" s="567"/>
      <c r="R115" s="569"/>
      <c r="S115" s="569"/>
      <c r="T115" s="569"/>
      <c r="U115" s="569"/>
    </row>
    <row r="116" spans="1:49">
      <c r="B116" s="48" t="str">
        <f>B97</f>
        <v>IHS</v>
      </c>
      <c r="C116" s="44" t="str">
        <f>C97</f>
        <v>USD 3.2</v>
      </c>
      <c r="D116" s="44" t="str">
        <f>D97</f>
        <v>USD 8.0</v>
      </c>
      <c r="E116" s="45">
        <f>E97</f>
        <v>1.5078369905956115</v>
      </c>
      <c r="F116" s="44" t="str">
        <f>F97</f>
        <v>Buy</v>
      </c>
      <c r="H116" s="569">
        <f>(IHS!D$24/IHS!D$23)</f>
        <v>0.5328224981992804</v>
      </c>
      <c r="I116" s="569">
        <f>(IHS!E$24/IHS!E$23)</f>
        <v>0.55432261223210988</v>
      </c>
      <c r="J116" s="569">
        <f>(IHS!F$24/IHS!F$23)</f>
        <v>0.55838537360284357</v>
      </c>
      <c r="K116" s="569">
        <f>(IHS!G$24/IHS!G$23)</f>
        <v>0.56205372463054648</v>
      </c>
      <c r="L116" s="572"/>
      <c r="M116" s="569">
        <f>(IHS!D$25/IHS!D$23)</f>
        <v>0.25712772148617369</v>
      </c>
      <c r="N116" s="569">
        <f>(IHS!E$25/IHS!E$23)</f>
        <v>0.35932261223210987</v>
      </c>
      <c r="O116" s="569">
        <f>(IHS!F$25/IHS!F$23)</f>
        <v>0.37838537360284352</v>
      </c>
      <c r="P116" s="569">
        <f>(IHS!G$25/IHS!G$23)</f>
        <v>0.3920537246305465</v>
      </c>
      <c r="Q116" s="567"/>
      <c r="R116" s="569">
        <f>(IHS!D$24-IHS!D$25)/IHS!D$23</f>
        <v>0.27569477671310666</v>
      </c>
      <c r="S116" s="569">
        <f>(IHS!E$24-IHS!E$25)/IHS!E$23</f>
        <v>0.19500000000000001</v>
      </c>
      <c r="T116" s="569">
        <f>(IHS!F$24-IHS!F$25)/IHS!F$23</f>
        <v>0.18000000000000002</v>
      </c>
      <c r="U116" s="569">
        <f>(IHS!G$24-IHS!G$25)/IHS!G$23</f>
        <v>0.17</v>
      </c>
    </row>
    <row r="117" spans="1:49">
      <c r="B117" s="48"/>
      <c r="C117" s="44"/>
      <c r="D117" s="44"/>
      <c r="E117" s="45"/>
      <c r="F117" s="44"/>
      <c r="H117" s="569"/>
      <c r="I117" s="569"/>
      <c r="J117" s="569"/>
      <c r="K117" s="569"/>
      <c r="L117" s="572"/>
      <c r="M117" s="569"/>
      <c r="N117" s="569"/>
      <c r="O117" s="569"/>
      <c r="P117" s="569"/>
      <c r="Q117" s="567"/>
      <c r="R117" s="569"/>
      <c r="S117" s="569"/>
      <c r="T117" s="569"/>
      <c r="U117" s="569"/>
    </row>
    <row r="118" spans="1:49">
      <c r="A118" s="194"/>
      <c r="B118" s="199" t="str">
        <f>B99</f>
        <v>Telesites</v>
      </c>
      <c r="C118" s="184" t="str">
        <f>C99</f>
        <v>MXN 16.6</v>
      </c>
      <c r="D118" s="184" t="str">
        <f>D99</f>
        <v>MXN 17.0</v>
      </c>
      <c r="E118" s="185">
        <f>E99</f>
        <v>2.2248947684906817E-2</v>
      </c>
      <c r="F118" s="184" t="str">
        <f>F99</f>
        <v>Neutral</v>
      </c>
      <c r="H118" s="570">
        <f>(SITES!D$24/SITES!D$23)</f>
        <v>0.95184266628296377</v>
      </c>
      <c r="I118" s="570">
        <f>(SITES!E$24/SITES!E$23)</f>
        <v>0.95040417584074455</v>
      </c>
      <c r="J118" s="570">
        <f>(SITES!F$24/SITES!F$23)</f>
        <v>0.94891198221125828</v>
      </c>
      <c r="K118" s="570">
        <f>(SITES!G$24/SITES!G$23)</f>
        <v>0.94738323416610304</v>
      </c>
      <c r="L118" s="572"/>
      <c r="M118" s="570">
        <f>(SITES!D$25/SITES!D$23)</f>
        <v>0.8447175286753833</v>
      </c>
      <c r="N118" s="570">
        <f>(SITES!E$25/SITES!E$23)</f>
        <v>0.84034335589418174</v>
      </c>
      <c r="O118" s="570">
        <f>(SITES!F$25/SITES!F$23)</f>
        <v>0.84418909372845063</v>
      </c>
      <c r="P118" s="570">
        <f>(SITES!G$25/SITES!G$23)</f>
        <v>0.85747232133632767</v>
      </c>
      <c r="Q118" s="567"/>
      <c r="R118" s="570">
        <f>(SITES!D$24-SITES!D$25)/SITES!D$23</f>
        <v>0.10712513760758047</v>
      </c>
      <c r="S118" s="570">
        <f>(SITES!E$24-SITES!E$25)/SITES!E$23</f>
        <v>0.11006081994656282</v>
      </c>
      <c r="T118" s="570">
        <f>(SITES!F$24-SITES!F$25)/SITES!F$23</f>
        <v>0.10472288848280764</v>
      </c>
      <c r="U118" s="570">
        <f>(SITES!G$24-SITES!G$25)/SITES!G$23</f>
        <v>8.9910912829775327E-2</v>
      </c>
    </row>
    <row r="119" spans="1:49">
      <c r="A119" s="194"/>
    </row>
    <row r="120" spans="1:49">
      <c r="A120" s="194"/>
    </row>
    <row r="121" spans="1:49">
      <c r="B121" s="164"/>
      <c r="C121" s="165" t="s">
        <v>459</v>
      </c>
      <c r="D121" s="165" t="s">
        <v>56</v>
      </c>
      <c r="E121" s="165" t="s">
        <v>58</v>
      </c>
      <c r="F121" s="165" t="s">
        <v>55</v>
      </c>
      <c r="H121" s="166" t="s">
        <v>783</v>
      </c>
      <c r="I121" s="166"/>
      <c r="J121" s="166"/>
      <c r="K121" s="166"/>
      <c r="M121" s="166" t="s">
        <v>787</v>
      </c>
      <c r="N121" s="166"/>
      <c r="O121" s="166"/>
      <c r="P121" s="166"/>
      <c r="R121" s="166" t="s">
        <v>788</v>
      </c>
      <c r="S121" s="166"/>
      <c r="T121" s="166"/>
      <c r="U121" s="166"/>
    </row>
    <row r="122" spans="1:49">
      <c r="A122" s="42"/>
      <c r="B122" s="197" t="str">
        <f t="shared" ref="B122:F123" si="15">B103</f>
        <v>Cellnex</v>
      </c>
      <c r="C122" s="180" t="str">
        <f t="shared" si="15"/>
        <v>EUR 35.7</v>
      </c>
      <c r="D122" s="180" t="str">
        <f t="shared" si="15"/>
        <v>EUR 31.0</v>
      </c>
      <c r="E122" s="68">
        <f t="shared" si="15"/>
        <v>-0.13165266106442586</v>
      </c>
      <c r="F122" s="180" t="str">
        <f t="shared" si="15"/>
        <v>Neutral</v>
      </c>
      <c r="H122" s="563">
        <f>-(CLNX!D$25/CLNX!D$33)</f>
        <v>1.06649204183293</v>
      </c>
      <c r="I122" s="563">
        <f>-(CLNX!E$25/CLNX!E$33)</f>
        <v>1.4710226175306678</v>
      </c>
      <c r="J122" s="563">
        <f>-(CLNX!F$25/CLNX!F$33)</f>
        <v>1.5632298751641089</v>
      </c>
      <c r="K122" s="563">
        <f>-(CLNX!G$25/CLNX!G$33)</f>
        <v>2.3842471596264674</v>
      </c>
      <c r="L122" s="573"/>
      <c r="M122" s="563">
        <f>CLNX!D$11/Prices!$C$155/1000</f>
        <v>22.664388208592253</v>
      </c>
      <c r="N122" s="563">
        <f>CLNX!E$11/Prices!$C$155/1000</f>
        <v>22.664388208592253</v>
      </c>
      <c r="O122" s="563">
        <f>CLNX!F$11/Prices!$C$155/1000</f>
        <v>22.664388208592253</v>
      </c>
      <c r="P122" s="563">
        <f>CLNX!G$11/Prices!$C$155/1000</f>
        <v>22.664388208592253</v>
      </c>
      <c r="Q122" s="574"/>
      <c r="R122" s="563">
        <f>CLNX!D$18/Prices!$C$155/1000</f>
        <v>39.418312248264954</v>
      </c>
      <c r="S122" s="563">
        <f>CLNX!E$18/Prices!$C$155/1000</f>
        <v>39.773088409549977</v>
      </c>
      <c r="T122" s="563">
        <f>CLNX!F$18/Prices!$C$155/1000</f>
        <v>39.67378890082432</v>
      </c>
      <c r="U122" s="563">
        <f>CLNX!G$18/Prices!$C$155/1000</f>
        <v>39.263875306325311</v>
      </c>
    </row>
    <row r="123" spans="1:49">
      <c r="A123" s="42"/>
      <c r="B123" s="197" t="str">
        <f t="shared" si="15"/>
        <v>Inwit</v>
      </c>
      <c r="C123" s="180" t="str">
        <f t="shared" si="15"/>
        <v>EUR 11.1</v>
      </c>
      <c r="D123" s="180" t="str">
        <f t="shared" si="15"/>
        <v>EUR 12.0</v>
      </c>
      <c r="E123" s="68">
        <f t="shared" si="15"/>
        <v>8.4990958408679873E-2</v>
      </c>
      <c r="F123" s="180" t="str">
        <f t="shared" si="15"/>
        <v>Neutral</v>
      </c>
      <c r="H123" s="563">
        <f>-(INWIT!D$25/INWIT!D$33)</f>
        <v>-3.5320111207522449</v>
      </c>
      <c r="I123" s="563">
        <f>-(INWIT!E$25/INWIT!E$33)</f>
        <v>-3.8124162652308735</v>
      </c>
      <c r="J123" s="563">
        <f>-(INWIT!F$25/INWIT!F$33)</f>
        <v>-4.5607155208070482</v>
      </c>
      <c r="K123" s="563">
        <f>-(INWIT!G$25/INWIT!G$33)</f>
        <v>-4.6213687450003311</v>
      </c>
      <c r="L123" s="573"/>
      <c r="M123" s="563">
        <f>INWIT!D$11/Prices!$C$155/1000</f>
        <v>9.4301506765963055</v>
      </c>
      <c r="N123" s="563">
        <f>INWIT!E$11/Prices!$C$155/1000</f>
        <v>9.2671556129211528</v>
      </c>
      <c r="O123" s="563">
        <f>INWIT!F$11/Prices!$C$155/1000</f>
        <v>9.0723964100070642</v>
      </c>
      <c r="P123" s="563">
        <f>INWIT!G$11/Prices!$C$155/1000</f>
        <v>9.0723964100070642</v>
      </c>
      <c r="Q123" s="575"/>
      <c r="R123" s="563">
        <f>INWIT!D$18/Prices!$C$155/1000</f>
        <v>11.945236284521961</v>
      </c>
      <c r="S123" s="563">
        <f>INWIT!E$18/Prices!$C$155/1000</f>
        <v>12.111413508227466</v>
      </c>
      <c r="T123" s="563">
        <f>INWIT!F$18/Prices!$C$155/1000</f>
        <v>11.809442723571701</v>
      </c>
      <c r="U123" s="563">
        <f>INWIT!G$18/Prices!$C$155/1000</f>
        <v>11.477498635171216</v>
      </c>
    </row>
    <row r="124" spans="1:49">
      <c r="A124" s="42"/>
      <c r="B124" s="48"/>
      <c r="C124" s="44"/>
      <c r="D124" s="183"/>
      <c r="E124" s="45"/>
      <c r="F124" s="44"/>
      <c r="H124" s="564"/>
      <c r="I124" s="564"/>
      <c r="J124" s="564"/>
      <c r="K124" s="564"/>
      <c r="L124" s="576"/>
      <c r="M124" s="564"/>
      <c r="N124" s="564"/>
      <c r="O124" s="564"/>
      <c r="P124" s="564"/>
      <c r="Q124" s="574"/>
      <c r="R124" s="564"/>
      <c r="S124" s="564"/>
      <c r="T124" s="564"/>
      <c r="U124" s="564"/>
    </row>
    <row r="125" spans="1:49">
      <c r="A125" s="42"/>
      <c r="B125" s="48" t="str">
        <f t="shared" ref="B125:F127" si="16">B106</f>
        <v>American Tower</v>
      </c>
      <c r="C125" s="44" t="str">
        <f t="shared" si="16"/>
        <v>USD 233.6</v>
      </c>
      <c r="D125" s="183" t="str">
        <f t="shared" si="16"/>
        <v>USD 239.0</v>
      </c>
      <c r="E125" s="45">
        <f t="shared" si="16"/>
        <v>2.2941277178565311E-2</v>
      </c>
      <c r="F125" s="44" t="str">
        <f t="shared" si="16"/>
        <v>Neutral</v>
      </c>
      <c r="H125" s="564">
        <f>-(AMT!D$25/AMT!D$33)</f>
        <v>4.2730875380068776</v>
      </c>
      <c r="I125" s="564">
        <f>-(AMT!E$25/AMT!E$33)</f>
        <v>4.752363029249846</v>
      </c>
      <c r="J125" s="564">
        <f>-(AMT!F$25/AMT!F$33)</f>
        <v>5.2009843217950813</v>
      </c>
      <c r="K125" s="564">
        <f>-(AMT!G$25/AMT!G$33)</f>
        <v>5.7977144550139164</v>
      </c>
      <c r="L125" s="576"/>
      <c r="M125" s="564">
        <f>AMT!D$11/1000</f>
        <v>109.16151645025121</v>
      </c>
      <c r="N125" s="564">
        <f>AMT!E$11/1000</f>
        <v>107.98587680305553</v>
      </c>
      <c r="O125" s="564">
        <f>AMT!F$11/1000</f>
        <v>104.62438495710209</v>
      </c>
      <c r="P125" s="564">
        <f>AMT!G$11/1000</f>
        <v>101.1357761672366</v>
      </c>
      <c r="Q125" s="574"/>
      <c r="R125" s="564">
        <f>AMT!D$18/1000</f>
        <v>139.97565244633063</v>
      </c>
      <c r="S125" s="564">
        <f>AMT!E$18/1000</f>
        <v>137.21264725823346</v>
      </c>
      <c r="T125" s="564">
        <f>AMT!F$18/1000</f>
        <v>128.00984369895102</v>
      </c>
      <c r="U125" s="564">
        <f>AMT!G$18/1000</f>
        <v>130.92339135240971</v>
      </c>
    </row>
    <row r="126" spans="1:49">
      <c r="A126" s="42"/>
      <c r="B126" s="48" t="str">
        <f t="shared" si="16"/>
        <v>Crown Castle</v>
      </c>
      <c r="C126" s="44" t="str">
        <f t="shared" si="16"/>
        <v>USD 113.9</v>
      </c>
      <c r="D126" s="183" t="str">
        <f t="shared" si="16"/>
        <v>USD 123.0</v>
      </c>
      <c r="E126" s="45">
        <f t="shared" si="16"/>
        <v>8.0179151664178328E-2</v>
      </c>
      <c r="F126" s="44" t="str">
        <f t="shared" si="16"/>
        <v>Neutral</v>
      </c>
      <c r="H126" s="564">
        <f>-(CCI!D$25/CCI!D$33)</f>
        <v>3.3973448386077894</v>
      </c>
      <c r="I126" s="564">
        <f>-(CCI!E$25/CCI!E$33)</f>
        <v>3.3343928454716698</v>
      </c>
      <c r="J126" s="564">
        <f>-(CCI!F$25/CCI!F$33)</f>
        <v>3.3072126534605419</v>
      </c>
      <c r="K126" s="564">
        <f>-(CCI!G$25/CCI!G$33)</f>
        <v>3.6023793314754431</v>
      </c>
      <c r="L126" s="576"/>
      <c r="M126" s="564">
        <f>CCI!D$11/1000</f>
        <v>49.490748750000002</v>
      </c>
      <c r="N126" s="564">
        <f>CCI!E$11/1000</f>
        <v>49.533450000000002</v>
      </c>
      <c r="O126" s="564">
        <f>CCI!F$11/1000</f>
        <v>49.533450000000002</v>
      </c>
      <c r="P126" s="564">
        <f>CCI!G$11/1000</f>
        <v>49.533450000000002</v>
      </c>
      <c r="Q126" s="574"/>
      <c r="R126" s="564">
        <f>CCI!D$18/1000</f>
        <v>67.883702833846911</v>
      </c>
      <c r="S126" s="564">
        <f>CCI!E$18/1000</f>
        <v>67.87335587373029</v>
      </c>
      <c r="T126" s="564">
        <f>CCI!F$18/1000</f>
        <v>68.683483048365744</v>
      </c>
      <c r="U126" s="564">
        <f>CCI!G$18/1000</f>
        <v>58.716489771640731</v>
      </c>
    </row>
    <row r="127" spans="1:49">
      <c r="A127" s="42"/>
      <c r="B127" s="48" t="str">
        <f t="shared" si="16"/>
        <v xml:space="preserve">SBA </v>
      </c>
      <c r="C127" s="44" t="str">
        <f t="shared" si="16"/>
        <v>USD 233.4</v>
      </c>
      <c r="D127" s="183" t="str">
        <f t="shared" si="16"/>
        <v>USD 244.0</v>
      </c>
      <c r="E127" s="45">
        <f t="shared" si="16"/>
        <v>4.5549985002356852E-2</v>
      </c>
      <c r="F127" s="44" t="str">
        <f t="shared" si="16"/>
        <v>Neutral</v>
      </c>
      <c r="H127" s="564">
        <f>-(SBAC!D$25/SBAC!D$33)</f>
        <v>3.5612849951436045</v>
      </c>
      <c r="I127" s="564">
        <f>-(SBAC!E$25/SBAC!E$33)</f>
        <v>3.2927318352657982</v>
      </c>
      <c r="J127" s="564">
        <f>-(SBAC!F$25/SBAC!F$33)</f>
        <v>2.6896454750622931</v>
      </c>
      <c r="K127" s="564">
        <f>-(SBAC!G$25/SBAC!G$33)</f>
        <v>2.8519166947650585</v>
      </c>
      <c r="L127" s="576"/>
      <c r="M127" s="564">
        <f>SBAC!D$11/1000</f>
        <v>30.077924830477663</v>
      </c>
      <c r="N127" s="564">
        <f>SBAC!E$11/1000</f>
        <v>30.077924830477663</v>
      </c>
      <c r="O127" s="564">
        <f>SBAC!F$11/1000</f>
        <v>30.077924830477663</v>
      </c>
      <c r="P127" s="564">
        <f>SBAC!G$11/1000</f>
        <v>30.077924830477663</v>
      </c>
      <c r="Q127" s="574"/>
      <c r="R127" s="564">
        <f>SBAC!D$18/1000</f>
        <v>37.960980832914601</v>
      </c>
      <c r="S127" s="564">
        <f>SBAC!E$18/1000</f>
        <v>37.960980832914601</v>
      </c>
      <c r="T127" s="564">
        <f>SBAC!F$18/1000</f>
        <v>37.960980832914601</v>
      </c>
      <c r="U127" s="564">
        <f>SBAC!G$18/1000</f>
        <v>37.968631398002472</v>
      </c>
    </row>
    <row r="128" spans="1:49">
      <c r="A128" s="42"/>
      <c r="B128" s="48"/>
      <c r="C128" s="44"/>
      <c r="D128" s="44"/>
      <c r="E128" s="45"/>
      <c r="F128" s="44"/>
      <c r="H128" s="564"/>
      <c r="I128" s="564"/>
      <c r="J128" s="564"/>
      <c r="K128" s="564"/>
      <c r="L128" s="576"/>
      <c r="M128" s="564"/>
      <c r="N128" s="564"/>
      <c r="O128" s="564"/>
      <c r="P128" s="564"/>
      <c r="Q128" s="574"/>
      <c r="R128" s="564"/>
      <c r="S128" s="564"/>
      <c r="T128" s="564"/>
      <c r="U128" s="564"/>
    </row>
    <row r="129" spans="1:49">
      <c r="A129" s="42"/>
      <c r="B129" s="48" t="str">
        <f t="shared" ref="B129:F132" si="17">B110</f>
        <v>Bharti Infratel</v>
      </c>
      <c r="C129" s="44" t="str">
        <f t="shared" si="17"/>
        <v>INR 423</v>
      </c>
      <c r="D129" s="44" t="str">
        <f t="shared" si="17"/>
        <v>INR 265</v>
      </c>
      <c r="E129" s="45">
        <f t="shared" si="17"/>
        <v>-0.37374453503485761</v>
      </c>
      <c r="F129" s="44" t="str">
        <f t="shared" si="17"/>
        <v>Reduce</v>
      </c>
      <c r="H129" s="564">
        <f>(BHIN!D$25/BHIN!D$33)</f>
        <v>2.3912011173184355</v>
      </c>
      <c r="I129" s="564">
        <f>(BHIN!E$25/BHIN!E$33)</f>
        <v>9.4955059605768124</v>
      </c>
      <c r="J129" s="564">
        <f>-(BHIN!F$25/BHIN!F$33)</f>
        <v>-12.307746443409998</v>
      </c>
      <c r="K129" s="564">
        <f>-(BHIN!G$25/BHIN!G$33)</f>
        <v>-16.309946318234477</v>
      </c>
      <c r="L129" s="576"/>
      <c r="M129" s="564">
        <f>BHIN!D$11/Prices!$C$152/1000</f>
        <v>13.584451064288034</v>
      </c>
      <c r="N129" s="564">
        <f>BHIN!E$11/Prices!$C$152/1000</f>
        <v>13.584451064288034</v>
      </c>
      <c r="O129" s="564">
        <f>BHIN!F$11/Prices!$C$152/1000</f>
        <v>13.584451064288034</v>
      </c>
      <c r="P129" s="564">
        <f>BHIN!G$11/Prices!$C$152/1000</f>
        <v>13.584451064288034</v>
      </c>
      <c r="Q129" s="574"/>
      <c r="R129" s="564">
        <f>BHIN!D$18/Prices!$C$152/1000</f>
        <v>16.022665703034299</v>
      </c>
      <c r="S129" s="564">
        <f>BHIN!E$18/Prices!$C$152/1000</f>
        <v>15.624969338410187</v>
      </c>
      <c r="T129" s="564">
        <f>BHIN!F$18/Prices!$C$152/1000</f>
        <v>14.586058772582035</v>
      </c>
      <c r="U129" s="564">
        <f>BHIN!G$18/Prices!$C$152/1000</f>
        <v>13.414367045232732</v>
      </c>
    </row>
    <row r="130" spans="1:49">
      <c r="A130" s="42"/>
      <c r="B130" s="197" t="str">
        <f t="shared" si="17"/>
        <v>China Tower</v>
      </c>
      <c r="C130" s="180" t="str">
        <f t="shared" si="17"/>
        <v>HKD 0.99</v>
      </c>
      <c r="D130" s="180" t="str">
        <f t="shared" si="17"/>
        <v>HKD 1.40</v>
      </c>
      <c r="E130" s="68">
        <f t="shared" si="17"/>
        <v>0.41414141414141414</v>
      </c>
      <c r="F130" s="44" t="str">
        <f t="shared" si="17"/>
        <v>Buy</v>
      </c>
      <c r="H130" s="564">
        <f>(ChinaTow!D$25/ChinaTow!D$33)</f>
        <v>-11.435344827586206</v>
      </c>
      <c r="I130" s="564">
        <f>(ChinaTow!E$25/ChinaTow!E$33)</f>
        <v>-26.068558218865984</v>
      </c>
      <c r="J130" s="564">
        <f>-(ChinaTow!F$25/ChinaTow!F$33)</f>
        <v>34.220715402284718</v>
      </c>
      <c r="K130" s="564">
        <f>-(ChinaTow!G$25/ChinaTow!G$33)</f>
        <v>42.318915294103178</v>
      </c>
      <c r="L130" s="574"/>
      <c r="M130" s="564">
        <f>ChinaTow!D$11/Prices!$C$152/1000</f>
        <v>1.8802426255599023</v>
      </c>
      <c r="N130" s="564">
        <f>ChinaTow!E$11/Prices!$C$152/1000</f>
        <v>1.8880734834922082</v>
      </c>
      <c r="O130" s="564">
        <f>ChinaTow!F$11/Prices!$C$152/1000</f>
        <v>1.8880734834922082</v>
      </c>
      <c r="P130" s="564">
        <f>ChinaTow!G$11/Prices!$C$152/1000</f>
        <v>1.8752437491264027</v>
      </c>
      <c r="Q130" s="575"/>
      <c r="R130" s="564">
        <f>ChinaTow!D$18/Prices!$C$152/1000</f>
        <v>3.0595850079364366</v>
      </c>
      <c r="S130" s="564">
        <f>ChinaTow!E$18/Prices!$C$152/1000</f>
        <v>2.942727147369558</v>
      </c>
      <c r="T130" s="564">
        <f>ChinaTow!F$18/Prices!$C$152/1000</f>
        <v>2.699973088905637</v>
      </c>
      <c r="U130" s="564">
        <f>ChinaTow!G$18/Prices!$C$152/1000</f>
        <v>2.4341198255209222</v>
      </c>
    </row>
    <row r="131" spans="1:49">
      <c r="A131" s="42"/>
      <c r="B131" s="48" t="str">
        <f t="shared" si="17"/>
        <v>Sarana Menara</v>
      </c>
      <c r="C131" s="44" t="str">
        <f t="shared" si="17"/>
        <v>IDR 840</v>
      </c>
      <c r="D131" s="44" t="str">
        <f t="shared" si="17"/>
        <v>IDR 1,500</v>
      </c>
      <c r="E131" s="45">
        <f t="shared" si="17"/>
        <v>0.78571428571428581</v>
      </c>
      <c r="F131" s="44" t="str">
        <f t="shared" si="17"/>
        <v>Buy</v>
      </c>
      <c r="H131" s="564">
        <f>-(TOWR!D$25/TOWR!D$33)</f>
        <v>1.2072565081754836</v>
      </c>
      <c r="I131" s="564">
        <f>-(TOWR!E$25/TOWR!E$33)</f>
        <v>2.3838902022599835</v>
      </c>
      <c r="J131" s="564">
        <f>-(TOWR!F$25/TOWR!F$33)</f>
        <v>2.7962695411047522</v>
      </c>
      <c r="K131" s="564">
        <f>-(TOWR!G$25/TOWR!G$33)</f>
        <v>3.2479055613222227</v>
      </c>
      <c r="L131" s="576"/>
      <c r="M131" s="564">
        <f>TOWR!D$11/Prices!$C$172</f>
        <v>2.7224986802148594</v>
      </c>
      <c r="N131" s="564">
        <f>TOWR!E$11/Prices!$C$172</f>
        <v>2.7224986802148594</v>
      </c>
      <c r="O131" s="564">
        <f>TOWR!F$11/Prices!$C$172</f>
        <v>2.7224986802148594</v>
      </c>
      <c r="P131" s="564">
        <f>TOWR!G$11/Prices!$C$172</f>
        <v>2.7224986802148594</v>
      </c>
      <c r="Q131" s="574"/>
      <c r="R131" s="564">
        <f>TOWR!D$18/Prices!$C$172</f>
        <v>5.6176695298620549</v>
      </c>
      <c r="S131" s="564">
        <f>TOWR!E$18/Prices!$C$172</f>
        <v>5.5522487740086905</v>
      </c>
      <c r="T131" s="564">
        <f>TOWR!F$18/Prices!$C$172</f>
        <v>5.3285009932657239</v>
      </c>
      <c r="U131" s="564">
        <f>TOWR!G$18/Prices!$C$172</f>
        <v>5.0517258850823126</v>
      </c>
    </row>
    <row r="132" spans="1:49">
      <c r="A132" s="42"/>
      <c r="B132" s="197" t="str">
        <f t="shared" si="17"/>
        <v>Tower Bersama</v>
      </c>
      <c r="C132" s="180" t="str">
        <f t="shared" si="17"/>
        <v>IDR 1,920</v>
      </c>
      <c r="D132" s="180" t="str">
        <f t="shared" si="17"/>
        <v>IDR 1,700</v>
      </c>
      <c r="E132" s="68">
        <f t="shared" si="17"/>
        <v>-0.11458333333333337</v>
      </c>
      <c r="F132" s="180" t="str">
        <f t="shared" si="17"/>
        <v>Neutral</v>
      </c>
      <c r="H132" s="563">
        <f>(TBIG!D$25/TBIG!D$33)</f>
        <v>-1.7791541571403342</v>
      </c>
      <c r="I132" s="563">
        <f>-(TBIG!E$25/TBIG!E$33)</f>
        <v>2.2331296220839234</v>
      </c>
      <c r="J132" s="563">
        <f>-(TBIG!F$25/TBIG!F$33)</f>
        <v>2.4146797748341937</v>
      </c>
      <c r="K132" s="563">
        <f>-(TBIG!G$25/TBIG!G$33)</f>
        <v>2.5376306927063808</v>
      </c>
      <c r="L132" s="574"/>
      <c r="M132" s="563">
        <f>TBIG!D$11/Prices!$C$172</f>
        <v>2.8286463756429301</v>
      </c>
      <c r="N132" s="563">
        <f>TBIG!E$11/Prices!$C$172</f>
        <v>2.8286463756429301</v>
      </c>
      <c r="O132" s="563">
        <f>TBIG!F$11/Prices!$C$172</f>
        <v>2.8286463756429301</v>
      </c>
      <c r="P132" s="563">
        <f>TBIG!G$11/Prices!$C$172</f>
        <v>2.8286463756429301</v>
      </c>
      <c r="Q132" s="575"/>
      <c r="R132" s="563">
        <f>TBIG!D$18/Prices!$C$172</f>
        <v>4.6119915247906587</v>
      </c>
      <c r="S132" s="563">
        <f>TBIG!E$18/Prices!$C$172</f>
        <v>4.6021940630567206</v>
      </c>
      <c r="T132" s="563">
        <f>TBIG!F$18/Prices!$C$172</f>
        <v>4.5245483763067442</v>
      </c>
      <c r="U132" s="563">
        <f>TBIG!G$18/Prices!$C$172</f>
        <v>4.4384132108120449</v>
      </c>
    </row>
    <row r="133" spans="1:49">
      <c r="A133" s="42"/>
      <c r="B133" s="197" t="s">
        <v>1397</v>
      </c>
      <c r="C133" s="180" t="str">
        <f t="shared" ref="C133:F133" si="18">C114</f>
        <v>IDR 660</v>
      </c>
      <c r="D133" s="180" t="str">
        <f t="shared" si="18"/>
        <v>IDR 1,135</v>
      </c>
      <c r="E133" s="68">
        <f t="shared" si="18"/>
        <v>0.71969696969696972</v>
      </c>
      <c r="F133" s="180" t="str">
        <f t="shared" si="18"/>
        <v>Buy</v>
      </c>
      <c r="H133" s="563">
        <f>(MITRA!D$25/MITRA!D$33)</f>
        <v>3.9287206496576625</v>
      </c>
      <c r="I133" s="563">
        <f>-(MITRA!E$25/MITRA!E$33)</f>
        <v>0.53249226994689813</v>
      </c>
      <c r="J133" s="563">
        <f>-(MITRA!F$25/MITRA!F$33)</f>
        <v>3.444920456047027</v>
      </c>
      <c r="K133" s="563">
        <f>-(MITRA!G$25/MITRA!G$33)</f>
        <v>5.7153611411311411</v>
      </c>
      <c r="L133" s="574"/>
      <c r="M133" s="563">
        <f>MITRA!D$11/Prices!$C$172</f>
        <v>3.548914894248298</v>
      </c>
      <c r="N133" s="563">
        <f>MITRA!E$11/Prices!$C$172</f>
        <v>3.548914894248298</v>
      </c>
      <c r="O133" s="563">
        <f>MITRA!F$11/Prices!$C$172</f>
        <v>3.548914894248298</v>
      </c>
      <c r="P133" s="563">
        <f>MITRA!G$11/Prices!$C$172</f>
        <v>3.548914894248298</v>
      </c>
      <c r="Q133" s="575"/>
      <c r="R133" s="563">
        <f>MITRA!D$18/Prices!$C$172</f>
        <v>4.653048112332697</v>
      </c>
      <c r="S133" s="563">
        <f>MITRA!E$18/Prices!$C$172</f>
        <v>4.8270120304644948</v>
      </c>
      <c r="T133" s="563">
        <f>MITRA!F$18/Prices!$C$172</f>
        <v>4.6060689479527381</v>
      </c>
      <c r="U133" s="563">
        <f>MITRA!G$18/Prices!$C$172</f>
        <v>4.3542490824979394</v>
      </c>
      <c r="AT133" s="198"/>
      <c r="AU133" s="198"/>
      <c r="AV133" s="198"/>
      <c r="AW133" s="198"/>
    </row>
    <row r="134" spans="1:49">
      <c r="A134" s="42"/>
      <c r="B134" s="48"/>
      <c r="C134" s="44"/>
      <c r="D134" s="44"/>
      <c r="E134" s="45"/>
      <c r="F134" s="44"/>
      <c r="H134" s="564"/>
      <c r="I134" s="564"/>
      <c r="J134" s="564"/>
      <c r="K134" s="564"/>
      <c r="L134" s="576"/>
      <c r="M134" s="564"/>
      <c r="N134" s="564"/>
      <c r="O134" s="564"/>
      <c r="P134" s="564"/>
      <c r="Q134" s="574"/>
      <c r="R134" s="564"/>
      <c r="S134" s="564"/>
      <c r="T134" s="564"/>
      <c r="U134" s="564"/>
    </row>
    <row r="135" spans="1:49">
      <c r="A135" s="42"/>
      <c r="B135" s="48" t="str">
        <f>B116</f>
        <v>IHS</v>
      </c>
      <c r="C135" s="44" t="str">
        <f>C116</f>
        <v>USD 3.2</v>
      </c>
      <c r="D135" s="44" t="str">
        <f>D116</f>
        <v>USD 8.0</v>
      </c>
      <c r="E135" s="45">
        <f>E116</f>
        <v>1.5078369905956115</v>
      </c>
      <c r="F135" s="44" t="str">
        <f>F116</f>
        <v>Buy</v>
      </c>
      <c r="H135" s="564">
        <f>(IHS!D$25/IHS!D$33)</f>
        <v>1.2890037217156687</v>
      </c>
      <c r="I135" s="564">
        <f>-(IHS!E$25/IHS!E$33)</f>
        <v>-1.4934166729213114</v>
      </c>
      <c r="J135" s="564">
        <f>-(IHS!F$25/IHS!F$33)</f>
        <v>-1.8036618577354822</v>
      </c>
      <c r="K135" s="564">
        <f>-(IHS!G$25/IHS!G$33)</f>
        <v>-2.1845438477309722</v>
      </c>
      <c r="L135" s="576"/>
      <c r="M135" s="564">
        <f>IHS!D$11/Prices!$C$172</f>
        <v>6.9172233701774569E-2</v>
      </c>
      <c r="N135" s="564">
        <f>IHS!E$11/Prices!$C$172</f>
        <v>6.8341774920808659E-2</v>
      </c>
      <c r="O135" s="564">
        <f>IHS!F$11/Prices!$C$172</f>
        <v>6.782273818270497E-2</v>
      </c>
      <c r="P135" s="564">
        <f>IHS!G$11/Prices!$C$172</f>
        <v>6.782273818270497E-2</v>
      </c>
      <c r="Q135" s="574"/>
      <c r="R135" s="563">
        <f>IHS!D$18/Prices!$C$172</f>
        <v>0.31772529269604344</v>
      </c>
      <c r="S135" s="563">
        <f>IHS!E$18/Prices!$C$172</f>
        <v>0.31135431165857014</v>
      </c>
      <c r="T135" s="563">
        <f>IHS!F$18/Prices!$C$172</f>
        <v>0.29989056062857572</v>
      </c>
      <c r="U135" s="563">
        <f>IHS!G$18/Prices!$C$172</f>
        <v>0.28160562044110454</v>
      </c>
    </row>
    <row r="136" spans="1:49">
      <c r="A136" s="42"/>
      <c r="B136" s="48"/>
      <c r="C136" s="44"/>
      <c r="D136" s="44"/>
      <c r="E136" s="45"/>
      <c r="F136" s="44"/>
      <c r="H136" s="564"/>
      <c r="I136" s="564"/>
      <c r="J136" s="564"/>
      <c r="K136" s="564"/>
      <c r="L136" s="576"/>
      <c r="M136" s="564"/>
      <c r="N136" s="564"/>
      <c r="O136" s="564"/>
      <c r="P136" s="564"/>
      <c r="Q136" s="574"/>
      <c r="R136" s="564"/>
      <c r="S136" s="564"/>
      <c r="T136" s="564"/>
      <c r="U136" s="564"/>
    </row>
    <row r="137" spans="1:49">
      <c r="A137" s="42"/>
      <c r="B137" s="199" t="str">
        <f t="shared" ref="B137:F137" si="19">B118</f>
        <v>Telesites</v>
      </c>
      <c r="C137" s="184" t="str">
        <f t="shared" si="19"/>
        <v>MXN 16.6</v>
      </c>
      <c r="D137" s="184" t="str">
        <f t="shared" si="19"/>
        <v>MXN 17.0</v>
      </c>
      <c r="E137" s="185">
        <f t="shared" si="19"/>
        <v>2.2248947684906817E-2</v>
      </c>
      <c r="F137" s="184" t="str">
        <f t="shared" si="19"/>
        <v>Neutral</v>
      </c>
      <c r="H137" s="565">
        <f>(SITES!D$25/SITES!D$33)</f>
        <v>6.8165719425041322</v>
      </c>
      <c r="I137" s="565">
        <f>-(SITES!E$25/SITES!E$33)</f>
        <v>-8.0145132012561451</v>
      </c>
      <c r="J137" s="565">
        <f>-(SITES!F$25/SITES!F$33)</f>
        <v>-9.6667791583800131</v>
      </c>
      <c r="K137" s="565">
        <f>-(SITES!G$25/SITES!G$33)</f>
        <v>-12.121382972012203</v>
      </c>
      <c r="L137" s="576"/>
      <c r="M137" s="565">
        <f>SITES!D$11/Prices!$C$172</f>
        <v>3.4028452064532893</v>
      </c>
      <c r="N137" s="565">
        <f>SITES!E$11/Prices!$C$172</f>
        <v>3.3487287114397191</v>
      </c>
      <c r="O137" s="565">
        <f>SITES!F$11/Prices!$C$172</f>
        <v>3.2946122164261489</v>
      </c>
      <c r="P137" s="565">
        <f>SITES!G$11/Prices!$C$172</f>
        <v>3.2404957214125787</v>
      </c>
      <c r="Q137" s="574"/>
      <c r="R137" s="565">
        <f>SITES!D$18/Prices!$C$172</f>
        <v>5.267861886233363</v>
      </c>
      <c r="S137" s="565">
        <f>SITES!E$18/Prices!$C$172</f>
        <v>5.0143318561181927</v>
      </c>
      <c r="T137" s="565">
        <f>SITES!F$18/Prices!$C$172</f>
        <v>4.7374924960438065</v>
      </c>
      <c r="U137" s="565">
        <f>SITES!G$18/Prices!$C$172</f>
        <v>4.427435902823265</v>
      </c>
    </row>
    <row r="138" spans="1:49">
      <c r="A138" s="42"/>
      <c r="B138" s="201"/>
      <c r="C138" s="181"/>
      <c r="D138" s="181"/>
      <c r="E138" s="68"/>
      <c r="F138" s="181"/>
      <c r="G138" s="77"/>
      <c r="H138" s="189"/>
      <c r="I138" s="189"/>
      <c r="J138" s="189"/>
      <c r="K138" s="189"/>
      <c r="L138" s="190"/>
      <c r="M138" s="189"/>
      <c r="N138" s="189"/>
      <c r="O138" s="189"/>
      <c r="P138" s="189"/>
      <c r="Q138" s="189"/>
      <c r="R138" s="189"/>
      <c r="S138" s="189"/>
      <c r="T138" s="189"/>
      <c r="U138" s="189"/>
    </row>
    <row r="139" spans="1:49">
      <c r="A139" s="42"/>
    </row>
    <row r="140" spans="1:49">
      <c r="A140" s="42"/>
    </row>
    <row r="141" spans="1:49">
      <c r="A141" s="42"/>
    </row>
    <row r="142" spans="1:49">
      <c r="A142" s="42"/>
    </row>
    <row r="143" spans="1:49">
      <c r="A143" s="42"/>
    </row>
    <row r="144" spans="1:49">
      <c r="A144" s="42"/>
    </row>
    <row r="145" spans="1:22">
      <c r="A145" s="42"/>
    </row>
    <row r="146" spans="1:22">
      <c r="A146" s="42"/>
    </row>
    <row r="147" spans="1:22">
      <c r="A147" s="42"/>
      <c r="V147" s="191"/>
    </row>
    <row r="148" spans="1:22">
      <c r="A148" s="42"/>
    </row>
    <row r="149" spans="1:22">
      <c r="A149" s="42"/>
    </row>
    <row r="150" spans="1:22">
      <c r="A150" s="42"/>
    </row>
    <row r="151" spans="1:22">
      <c r="A151" s="42"/>
      <c r="B151" s="201"/>
      <c r="C151" s="181"/>
      <c r="D151" s="181"/>
      <c r="E151" s="68"/>
      <c r="F151" s="181"/>
      <c r="G151" s="77"/>
      <c r="H151" s="189"/>
      <c r="I151" s="189"/>
      <c r="J151" s="189"/>
      <c r="K151" s="189"/>
      <c r="L151" s="190"/>
      <c r="M151" s="189"/>
      <c r="N151" s="189"/>
      <c r="O151" s="189"/>
      <c r="P151" s="189"/>
      <c r="Q151" s="189"/>
      <c r="R151" s="189"/>
      <c r="S151" s="189"/>
      <c r="T151" s="189"/>
      <c r="U151" s="189"/>
    </row>
    <row r="152" spans="1:22">
      <c r="A152" s="42"/>
    </row>
    <row r="153" spans="1:22">
      <c r="A153" s="42"/>
      <c r="B153" s="201"/>
      <c r="C153" s="181"/>
      <c r="D153" s="181"/>
      <c r="E153" s="68"/>
      <c r="F153" s="181"/>
      <c r="G153" s="77"/>
      <c r="H153" s="189"/>
      <c r="I153" s="189"/>
      <c r="J153" s="189"/>
      <c r="K153" s="189"/>
      <c r="L153" s="190"/>
      <c r="M153" s="189"/>
      <c r="N153" s="189"/>
      <c r="O153" s="189"/>
      <c r="P153" s="189"/>
      <c r="Q153" s="189"/>
      <c r="R153" s="189"/>
      <c r="S153" s="189"/>
      <c r="T153" s="189"/>
      <c r="U153" s="189"/>
    </row>
    <row r="154" spans="1:22">
      <c r="A154" s="42"/>
      <c r="B154" s="201"/>
      <c r="C154" s="181"/>
      <c r="D154" s="181"/>
      <c r="E154" s="68"/>
      <c r="F154" s="181"/>
      <c r="G154" s="77"/>
      <c r="H154" s="189"/>
      <c r="I154" s="189"/>
      <c r="J154" s="189"/>
      <c r="K154" s="189"/>
      <c r="L154" s="190"/>
      <c r="M154" s="189"/>
      <c r="N154" s="189"/>
      <c r="O154" s="189"/>
      <c r="P154" s="189"/>
      <c r="Q154" s="189"/>
      <c r="R154" s="189"/>
      <c r="S154" s="189"/>
      <c r="T154" s="189"/>
      <c r="U154" s="189"/>
    </row>
    <row r="155" spans="1:22">
      <c r="A155" s="42"/>
      <c r="B155" s="201"/>
      <c r="C155" s="181"/>
      <c r="D155" s="181"/>
      <c r="E155" s="68"/>
      <c r="F155" s="181"/>
      <c r="G155" s="77"/>
      <c r="H155" s="189"/>
      <c r="I155" s="189"/>
      <c r="J155" s="189"/>
      <c r="K155" s="189"/>
      <c r="L155" s="190"/>
      <c r="M155" s="189"/>
      <c r="N155" s="189"/>
      <c r="O155" s="189"/>
      <c r="P155" s="189"/>
      <c r="Q155" s="189"/>
      <c r="R155" s="189"/>
      <c r="S155" s="189"/>
      <c r="T155" s="189"/>
      <c r="U155" s="189"/>
    </row>
    <row r="156" spans="1:22">
      <c r="A156" s="42"/>
      <c r="B156" s="201"/>
      <c r="C156" s="181"/>
      <c r="D156" s="181"/>
      <c r="E156" s="68"/>
      <c r="F156" s="181"/>
      <c r="G156" s="77"/>
      <c r="H156" s="189"/>
      <c r="I156" s="189"/>
      <c r="J156" s="189"/>
      <c r="K156" s="189"/>
      <c r="L156" s="190"/>
      <c r="M156" s="189"/>
      <c r="N156" s="189"/>
      <c r="O156" s="189"/>
      <c r="P156" s="189"/>
      <c r="Q156" s="189"/>
      <c r="R156" s="189"/>
      <c r="S156" s="189"/>
      <c r="T156" s="189"/>
      <c r="U156" s="189"/>
    </row>
    <row r="157" spans="1:22">
      <c r="A157" s="42"/>
    </row>
    <row r="158" spans="1:22">
      <c r="A158" s="42"/>
      <c r="B158" s="201"/>
      <c r="C158" s="181"/>
      <c r="D158" s="181"/>
      <c r="E158" s="68"/>
      <c r="F158" s="181"/>
      <c r="G158" s="77"/>
      <c r="H158" s="189"/>
      <c r="I158" s="189"/>
      <c r="J158" s="189"/>
      <c r="K158" s="189"/>
      <c r="L158" s="190"/>
      <c r="M158" s="189"/>
      <c r="N158" s="189"/>
      <c r="O158" s="189"/>
      <c r="P158" s="189"/>
      <c r="Q158" s="189"/>
      <c r="R158" s="189"/>
      <c r="S158" s="189"/>
      <c r="T158" s="189"/>
      <c r="U158" s="189"/>
    </row>
    <row r="159" spans="1:22">
      <c r="A159" s="42"/>
      <c r="B159" s="201"/>
      <c r="C159" s="181"/>
      <c r="D159" s="181"/>
      <c r="E159" s="68"/>
      <c r="F159" s="181"/>
      <c r="G159" s="77"/>
      <c r="H159" s="189"/>
      <c r="I159" s="189"/>
      <c r="J159" s="189"/>
      <c r="K159" s="189"/>
      <c r="L159" s="190"/>
      <c r="M159" s="189"/>
      <c r="N159" s="189"/>
      <c r="O159" s="189"/>
      <c r="P159" s="189"/>
      <c r="Q159" s="189"/>
      <c r="R159" s="189"/>
      <c r="S159" s="189"/>
      <c r="T159" s="189"/>
      <c r="U159" s="189"/>
    </row>
    <row r="160" spans="1:22">
      <c r="A160" s="42"/>
      <c r="B160" s="201"/>
      <c r="C160" s="181"/>
      <c r="D160" s="181"/>
      <c r="E160" s="68"/>
      <c r="F160" s="181"/>
      <c r="G160" s="77"/>
      <c r="H160" s="189"/>
      <c r="I160" s="189"/>
      <c r="J160" s="189"/>
      <c r="K160" s="189"/>
      <c r="L160" s="190"/>
      <c r="M160" s="189"/>
      <c r="N160" s="189"/>
      <c r="O160" s="189"/>
      <c r="P160" s="189"/>
      <c r="Q160" s="189"/>
      <c r="R160" s="189"/>
      <c r="S160" s="189"/>
      <c r="T160" s="189"/>
      <c r="U160" s="189"/>
    </row>
    <row r="161" spans="1:21">
      <c r="A161" s="42"/>
      <c r="B161" s="201"/>
      <c r="C161" s="181"/>
      <c r="D161" s="181"/>
      <c r="E161" s="68"/>
      <c r="F161" s="181"/>
      <c r="G161" s="77"/>
      <c r="H161" s="189"/>
      <c r="I161" s="189"/>
      <c r="J161" s="189"/>
      <c r="K161" s="189"/>
      <c r="L161" s="190"/>
      <c r="M161" s="189"/>
      <c r="N161" s="189"/>
      <c r="O161" s="189"/>
      <c r="P161" s="189"/>
      <c r="Q161" s="189"/>
      <c r="R161" s="189"/>
      <c r="S161" s="189"/>
      <c r="T161" s="189"/>
      <c r="U161" s="189"/>
    </row>
    <row r="162" spans="1:21">
      <c r="A162" s="42"/>
      <c r="B162" s="201"/>
      <c r="C162" s="181"/>
      <c r="D162" s="181"/>
      <c r="E162" s="68"/>
      <c r="F162" s="181"/>
      <c r="G162" s="77"/>
      <c r="H162" s="189"/>
      <c r="I162" s="189"/>
      <c r="J162" s="189"/>
      <c r="K162" s="189"/>
      <c r="L162" s="190"/>
      <c r="M162" s="189"/>
      <c r="N162" s="189"/>
      <c r="O162" s="189"/>
      <c r="P162" s="189"/>
      <c r="Q162" s="189"/>
      <c r="R162" s="189"/>
      <c r="S162" s="189"/>
      <c r="T162" s="189"/>
      <c r="U162" s="189"/>
    </row>
    <row r="163" spans="1:21">
      <c r="A163" s="42"/>
      <c r="B163" s="201"/>
      <c r="C163" s="181"/>
      <c r="D163" s="181"/>
      <c r="E163" s="68"/>
      <c r="F163" s="181"/>
      <c r="G163" s="77"/>
      <c r="H163" s="189"/>
      <c r="I163" s="189"/>
      <c r="J163" s="189"/>
      <c r="K163" s="189"/>
      <c r="L163" s="190"/>
      <c r="M163" s="189"/>
      <c r="N163" s="189"/>
      <c r="O163" s="189"/>
      <c r="P163" s="189"/>
      <c r="Q163" s="189"/>
      <c r="R163" s="189"/>
      <c r="S163" s="189"/>
      <c r="T163" s="189"/>
      <c r="U163" s="189"/>
    </row>
    <row r="164" spans="1:21">
      <c r="A164" s="42"/>
      <c r="B164" s="201"/>
      <c r="C164" s="181"/>
      <c r="D164" s="181"/>
      <c r="E164" s="68"/>
      <c r="F164" s="181"/>
      <c r="G164" s="77"/>
      <c r="H164" s="189"/>
      <c r="I164" s="189"/>
      <c r="J164" s="189"/>
      <c r="K164" s="189"/>
      <c r="L164" s="190"/>
      <c r="M164" s="189"/>
      <c r="N164" s="189"/>
      <c r="O164" s="189"/>
      <c r="P164" s="189"/>
      <c r="Q164" s="189"/>
      <c r="R164" s="189"/>
      <c r="S164" s="189"/>
      <c r="T164" s="189"/>
      <c r="U164" s="189"/>
    </row>
    <row r="165" spans="1:21">
      <c r="A165" s="42"/>
      <c r="B165" s="201"/>
      <c r="C165" s="181"/>
      <c r="D165" s="181"/>
      <c r="E165" s="68"/>
      <c r="F165" s="181"/>
      <c r="G165" s="77"/>
      <c r="H165" s="189"/>
      <c r="I165" s="189"/>
      <c r="J165" s="189"/>
      <c r="K165" s="189"/>
      <c r="L165" s="190"/>
      <c r="M165" s="189"/>
      <c r="N165" s="189"/>
      <c r="O165" s="189"/>
      <c r="P165" s="189"/>
      <c r="Q165" s="189"/>
      <c r="R165" s="189"/>
      <c r="S165" s="189"/>
      <c r="T165" s="189"/>
      <c r="U165" s="189"/>
    </row>
    <row r="166" spans="1:21">
      <c r="A166" s="42"/>
      <c r="B166" s="201"/>
      <c r="C166" s="181"/>
      <c r="D166" s="181"/>
      <c r="E166" s="68"/>
      <c r="F166" s="181"/>
      <c r="G166" s="77"/>
      <c r="H166" s="189"/>
      <c r="I166" s="189"/>
      <c r="J166" s="189"/>
      <c r="K166" s="189"/>
      <c r="L166" s="190"/>
      <c r="M166" s="189"/>
      <c r="N166" s="189"/>
      <c r="O166" s="189"/>
      <c r="P166" s="189"/>
      <c r="Q166" s="189"/>
      <c r="R166" s="189"/>
      <c r="S166" s="189"/>
      <c r="T166" s="189"/>
      <c r="U166" s="189"/>
    </row>
    <row r="167" spans="1:21">
      <c r="A167" s="42"/>
      <c r="B167" s="201"/>
      <c r="C167" s="181"/>
      <c r="D167" s="181"/>
      <c r="E167" s="68"/>
      <c r="F167" s="181"/>
      <c r="G167" s="77"/>
      <c r="H167" s="189"/>
      <c r="I167" s="189"/>
      <c r="J167" s="189"/>
      <c r="K167" s="189"/>
      <c r="L167" s="190"/>
      <c r="M167" s="189"/>
      <c r="N167" s="189"/>
      <c r="O167" s="189"/>
      <c r="P167" s="189"/>
      <c r="Q167" s="189"/>
      <c r="R167" s="189"/>
      <c r="S167" s="189"/>
      <c r="T167" s="189"/>
      <c r="U167" s="189"/>
    </row>
    <row r="168" spans="1:21">
      <c r="A168" s="42"/>
      <c r="B168" s="201"/>
      <c r="C168" s="181"/>
      <c r="D168" s="181"/>
      <c r="E168" s="68"/>
      <c r="F168" s="181"/>
      <c r="G168" s="77"/>
      <c r="H168" s="189"/>
      <c r="I168" s="189"/>
      <c r="J168" s="189"/>
      <c r="K168" s="189"/>
      <c r="L168" s="190"/>
      <c r="M168" s="189"/>
      <c r="N168" s="189"/>
      <c r="O168" s="189"/>
      <c r="P168" s="189"/>
      <c r="Q168" s="189"/>
      <c r="R168" s="189"/>
      <c r="S168" s="189"/>
      <c r="T168" s="189"/>
      <c r="U168" s="189"/>
    </row>
    <row r="169" spans="1:21">
      <c r="A169" s="42"/>
      <c r="B169" s="201"/>
      <c r="C169" s="181"/>
      <c r="D169" s="181"/>
      <c r="E169" s="68"/>
      <c r="F169" s="181"/>
      <c r="G169" s="77"/>
      <c r="H169" s="189"/>
      <c r="I169" s="189"/>
      <c r="J169" s="189"/>
      <c r="K169" s="189"/>
      <c r="L169" s="190"/>
      <c r="M169" s="189"/>
      <c r="N169" s="189"/>
      <c r="O169" s="189"/>
      <c r="P169" s="189"/>
      <c r="Q169" s="189"/>
      <c r="R169" s="189"/>
      <c r="S169" s="189"/>
      <c r="T169" s="189"/>
      <c r="U169" s="189"/>
    </row>
    <row r="170" spans="1:21">
      <c r="A170" s="42"/>
      <c r="B170" s="201"/>
      <c r="C170" s="181"/>
      <c r="D170" s="181"/>
      <c r="E170" s="68"/>
      <c r="F170" s="181"/>
      <c r="G170" s="77"/>
      <c r="H170" s="189"/>
      <c r="I170" s="189"/>
      <c r="J170" s="189"/>
      <c r="K170" s="189"/>
      <c r="L170" s="190"/>
      <c r="M170" s="189"/>
      <c r="N170" s="189"/>
      <c r="O170" s="189"/>
      <c r="P170" s="189"/>
      <c r="Q170" s="189"/>
      <c r="R170" s="189"/>
      <c r="S170" s="189"/>
      <c r="T170" s="189"/>
      <c r="U170" s="189"/>
    </row>
    <row r="171" spans="1:21">
      <c r="A171" s="42"/>
      <c r="B171" s="201"/>
      <c r="C171" s="181"/>
      <c r="D171" s="181"/>
      <c r="E171" s="68"/>
      <c r="F171" s="181"/>
      <c r="G171" s="77"/>
      <c r="H171" s="189"/>
      <c r="I171" s="189"/>
      <c r="J171" s="189"/>
      <c r="K171" s="189"/>
      <c r="L171" s="190"/>
      <c r="M171" s="189"/>
      <c r="N171" s="189"/>
      <c r="O171" s="189"/>
      <c r="P171" s="189"/>
      <c r="Q171" s="189"/>
      <c r="R171" s="189"/>
      <c r="S171" s="189"/>
      <c r="T171" s="189"/>
      <c r="U171" s="189"/>
    </row>
    <row r="172" spans="1:21">
      <c r="A172" s="42"/>
      <c r="B172" s="201"/>
      <c r="C172" s="181"/>
      <c r="D172" s="181"/>
      <c r="E172" s="68"/>
      <c r="F172" s="181"/>
      <c r="G172" s="77"/>
      <c r="H172" s="189"/>
      <c r="I172" s="189"/>
      <c r="J172" s="189"/>
      <c r="K172" s="189"/>
      <c r="L172" s="190"/>
      <c r="M172" s="189"/>
      <c r="N172" s="189"/>
      <c r="O172" s="189"/>
      <c r="P172" s="189"/>
      <c r="Q172" s="189"/>
      <c r="R172" s="189"/>
      <c r="S172" s="189"/>
      <c r="T172" s="189"/>
      <c r="U172" s="189"/>
    </row>
    <row r="173" spans="1:21">
      <c r="A173" s="42"/>
      <c r="B173" s="201"/>
      <c r="C173" s="181"/>
      <c r="D173" s="181"/>
      <c r="E173" s="68"/>
      <c r="F173" s="181"/>
      <c r="G173" s="77"/>
      <c r="H173" s="189"/>
      <c r="I173" s="189"/>
      <c r="J173" s="189"/>
      <c r="K173" s="189"/>
      <c r="L173" s="190"/>
      <c r="M173" s="189"/>
      <c r="N173" s="189"/>
      <c r="O173" s="189"/>
      <c r="P173" s="189"/>
      <c r="Q173" s="189"/>
      <c r="R173" s="189"/>
      <c r="S173" s="189"/>
      <c r="T173" s="189"/>
      <c r="U173" s="189"/>
    </row>
    <row r="174" spans="1:21">
      <c r="B174" s="201"/>
      <c r="C174" s="181"/>
      <c r="D174" s="181"/>
      <c r="E174" s="68"/>
      <c r="F174" s="181"/>
      <c r="G174" s="77"/>
      <c r="H174" s="189"/>
      <c r="I174" s="189"/>
      <c r="J174" s="189"/>
      <c r="K174" s="189"/>
      <c r="L174" s="190"/>
      <c r="M174" s="189"/>
      <c r="N174" s="189"/>
      <c r="O174" s="189"/>
      <c r="P174" s="189"/>
      <c r="Q174" s="189"/>
      <c r="R174" s="189"/>
      <c r="S174" s="189"/>
      <c r="T174" s="189"/>
      <c r="U174" s="189"/>
    </row>
    <row r="175" spans="1:21">
      <c r="B175" s="201"/>
      <c r="C175" s="181"/>
      <c r="D175" s="181"/>
      <c r="E175" s="68"/>
      <c r="F175" s="181"/>
      <c r="G175" s="77"/>
      <c r="H175" s="189"/>
      <c r="I175" s="189"/>
      <c r="J175" s="189"/>
      <c r="K175" s="189"/>
      <c r="L175" s="190"/>
      <c r="M175" s="189"/>
      <c r="N175" s="189"/>
      <c r="O175" s="189"/>
      <c r="P175" s="189"/>
      <c r="Q175" s="189"/>
      <c r="R175" s="189"/>
      <c r="S175" s="189"/>
      <c r="T175" s="189"/>
      <c r="U175" s="189"/>
    </row>
    <row r="176" spans="1:21">
      <c r="A176" s="42"/>
    </row>
    <row r="177" spans="1:12">
      <c r="A177" s="42"/>
      <c r="L177" s="179"/>
    </row>
    <row r="178" spans="1:12">
      <c r="A178" s="42"/>
      <c r="L178" s="179"/>
    </row>
    <row r="179" spans="1:12">
      <c r="A179" s="42"/>
      <c r="L179" s="179"/>
    </row>
    <row r="180" spans="1:12">
      <c r="A180" s="42"/>
      <c r="L180" s="179"/>
    </row>
    <row r="181" spans="1:12">
      <c r="A181" s="42"/>
      <c r="L181" s="179"/>
    </row>
    <row r="182" spans="1:12">
      <c r="A182" s="42"/>
      <c r="L182" s="179"/>
    </row>
    <row r="183" spans="1:12">
      <c r="L183" s="179"/>
    </row>
    <row r="184" spans="1:12">
      <c r="L184" s="179"/>
    </row>
    <row r="185" spans="1:12">
      <c r="A185" s="42"/>
    </row>
    <row r="186" spans="1:12">
      <c r="A186" s="42"/>
      <c r="L186" s="179"/>
    </row>
    <row r="187" spans="1:12">
      <c r="A187" s="42"/>
      <c r="L187" s="179"/>
    </row>
    <row r="188" spans="1:12">
      <c r="A188" s="42"/>
      <c r="L188" s="179"/>
    </row>
    <row r="189" spans="1:12">
      <c r="A189" s="42"/>
      <c r="L189" s="179"/>
    </row>
    <row r="190" spans="1:12">
      <c r="A190" s="42"/>
      <c r="L190" s="179"/>
    </row>
    <row r="191" spans="1:12">
      <c r="A191" s="42"/>
      <c r="L191" s="179"/>
    </row>
    <row r="192" spans="1:12">
      <c r="L192" s="179"/>
    </row>
    <row r="193" spans="1:12">
      <c r="L193" s="179"/>
    </row>
    <row r="194" spans="1:12">
      <c r="A194" s="42"/>
    </row>
    <row r="195" spans="1:12">
      <c r="A195" s="42"/>
      <c r="L195" s="179"/>
    </row>
    <row r="196" spans="1:12">
      <c r="A196" s="42"/>
      <c r="L196" s="179"/>
    </row>
    <row r="197" spans="1:12">
      <c r="A197" s="42"/>
      <c r="L197" s="179"/>
    </row>
    <row r="198" spans="1:12">
      <c r="A198" s="42"/>
      <c r="L198" s="179"/>
    </row>
    <row r="199" spans="1:12">
      <c r="A199" s="42"/>
      <c r="L199" s="179"/>
    </row>
    <row r="200" spans="1:12">
      <c r="A200" s="42"/>
      <c r="L200" s="179"/>
    </row>
    <row r="201" spans="1:12">
      <c r="L201" s="179"/>
    </row>
    <row r="202" spans="1:12">
      <c r="L202" s="179"/>
    </row>
    <row r="203" spans="1:12">
      <c r="A203" s="42"/>
    </row>
    <row r="204" spans="1:12">
      <c r="A204" s="42"/>
    </row>
    <row r="205" spans="1:12">
      <c r="A205" s="42"/>
    </row>
    <row r="206" spans="1:12">
      <c r="A206" s="42"/>
    </row>
    <row r="207" spans="1:12">
      <c r="A207" s="42"/>
    </row>
    <row r="208" spans="1:12">
      <c r="A208" s="42"/>
    </row>
    <row r="209" spans="1:1">
      <c r="A209" s="42"/>
    </row>
  </sheetData>
  <conditionalFormatting sqref="B8:F23 H8:K23 M8:P23 R8:U23 B27:F42 H27:K42 M27:P42 R27:U42 B46:F61 H46:K61 M46:P61 R46:U61 B65:F80 H65:K80 M65:P80 R65:U80 B84:F99 H84:K99 M84:P99 R84:U99 B103:F118 H103:K118 M103:P118 R103:U118 B122:F137 H122:K137 M122:P137 R122:U137">
    <cfRule type="expression" dxfId="1" priority="40">
      <formula>EVEN(ROW())=ROW()</formula>
    </cfRule>
  </conditionalFormatting>
  <hyperlinks>
    <hyperlink ref="Y1" location="Prices!A1" display="Jump to Prices" xr:uid="{57AD22EB-6356-4026-B96D-08B07E3847B4}"/>
  </hyperlinks>
  <pageMargins left="0.70866141732283472" right="0.70866141732283472" top="0.74803149606299213" bottom="0.74803149606299213" header="0.31496062992125984" footer="0.31496062992125984"/>
  <pageSetup paperSize="9" scale="63" fitToHeight="0" orientation="landscape" r:id="rId1"/>
  <rowBreaks count="2" manualBreakCount="2">
    <brk id="62" max="21" man="1"/>
    <brk id="119" max="21"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5">
    <pageSetUpPr fitToPage="1"/>
  </sheetPr>
  <dimension ref="B1:AR165"/>
  <sheetViews>
    <sheetView showGridLines="0" zoomScale="80" zoomScaleNormal="80" zoomScaleSheetLayoutView="80" workbookViewId="0">
      <selection activeCell="I11" sqref="I11"/>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454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267</v>
      </c>
      <c r="C9" s="287">
        <f>Prices!C12</f>
        <v>15.08</v>
      </c>
      <c r="D9" s="531">
        <v>0</v>
      </c>
      <c r="E9" s="532">
        <v>0</v>
      </c>
      <c r="F9" s="532">
        <v>0</v>
      </c>
      <c r="G9" s="532">
        <v>0</v>
      </c>
      <c r="H9" s="249"/>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44">
      <c r="B10" s="5" t="s">
        <v>269</v>
      </c>
      <c r="C10" s="5"/>
      <c r="D10" s="527">
        <v>424.45560800000004</v>
      </c>
      <c r="E10" s="527">
        <v>411.26656463140262</v>
      </c>
      <c r="F10" s="527">
        <v>395.04888314870237</v>
      </c>
      <c r="G10" s="527">
        <v>379.86605205997586</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44">
      <c r="B11" s="41" t="s">
        <v>270</v>
      </c>
      <c r="C11" s="5"/>
      <c r="D11" s="528">
        <f>$C$9*D10</f>
        <v>6400.7905686400009</v>
      </c>
      <c r="E11" s="528">
        <f>$C$9*E10</f>
        <v>6201.8997946415511</v>
      </c>
      <c r="F11" s="528">
        <f>$C$9*F10</f>
        <v>5957.3371578824317</v>
      </c>
      <c r="G11" s="528">
        <f>$C$9*G10</f>
        <v>5728.3800650644362</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44">
      <c r="B12" s="5" t="s">
        <v>24</v>
      </c>
      <c r="C12" s="249"/>
      <c r="D12" s="529">
        <v>783.2</v>
      </c>
      <c r="E12" s="529">
        <v>783.2</v>
      </c>
      <c r="F12" s="529">
        <v>783.2</v>
      </c>
      <c r="G12" s="529">
        <v>783.2</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44">
      <c r="B13" s="5" t="s">
        <v>524</v>
      </c>
      <c r="C13" s="257"/>
      <c r="D13" s="529">
        <v>978.79827974605246</v>
      </c>
      <c r="E13" s="529">
        <v>978.79827974605246</v>
      </c>
      <c r="F13" s="529">
        <v>978.79827974605246</v>
      </c>
      <c r="G13" s="529">
        <v>978.79827974605246</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44">
      <c r="B15" s="5" t="s">
        <v>526</v>
      </c>
      <c r="C15" s="274"/>
      <c r="D15" s="529">
        <f>OTESOP!T19</f>
        <v>24.840000000000003</v>
      </c>
      <c r="E15" s="529">
        <f t="shared" si="2"/>
        <v>24.840000000000003</v>
      </c>
      <c r="F15" s="529">
        <f t="shared" si="2"/>
        <v>24.840000000000003</v>
      </c>
      <c r="G15" s="529">
        <f t="shared" si="2"/>
        <v>24.840000000000003</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44">
      <c r="B16" s="5" t="s">
        <v>529</v>
      </c>
      <c r="C16" s="257"/>
      <c r="D16" s="529">
        <v>0</v>
      </c>
      <c r="E16" s="529">
        <v>301.36348168000001</v>
      </c>
      <c r="F16" s="529">
        <v>607.96270561271058</v>
      </c>
      <c r="G16" s="529">
        <v>917.19709511943609</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238.5091365374825</v>
      </c>
      <c r="E17" s="529">
        <v>238.5091365374825</v>
      </c>
      <c r="F17" s="529">
        <v>238.5091365374825</v>
      </c>
      <c r="G17" s="529">
        <v>238.5091365374825</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578</v>
      </c>
      <c r="C18" s="249"/>
      <c r="D18" s="530">
        <f>D11+D12+D13-D14+D15-D16-D17</f>
        <v>7949.1197118485707</v>
      </c>
      <c r="E18" s="530">
        <f>E11+E12+E13-E14+E15-E16-E17</f>
        <v>7448.8654561701205</v>
      </c>
      <c r="F18" s="530">
        <f>F11+F12+F13-F14+F15-F16-F17</f>
        <v>6897.7035954782914</v>
      </c>
      <c r="G18" s="530">
        <f>G11+G12+G13-G14+G15-G16-G17</f>
        <v>6359.5121131535698</v>
      </c>
      <c r="H18" s="276">
        <f>IF(D18=0,"nm",IF(G18=0,"nm",(G18/D18)^(1/3)-1))</f>
        <v>-7.1671706252293577E-2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918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3468.9000000000005</v>
      </c>
      <c r="D23" s="536">
        <v>3623.8457463657223</v>
      </c>
      <c r="E23" s="536">
        <v>3678.1243791527177</v>
      </c>
      <c r="F23" s="536">
        <v>3715.861172644521</v>
      </c>
      <c r="G23" s="536">
        <v>3768.8749276345757</v>
      </c>
      <c r="H23" s="279">
        <f t="shared" ref="H23:H32" si="4">IF(D23=0,"nm",IF(G23=0,"nm",(G23/D23)^(1/3)-1))</f>
        <v>1.3166155968846738E-2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1348</v>
      </c>
      <c r="D24" s="536">
        <v>1342.5000000000005</v>
      </c>
      <c r="E24" s="536">
        <v>1365.5855907484097</v>
      </c>
      <c r="F24" s="536">
        <v>1398.998318120767</v>
      </c>
      <c r="G24" s="536">
        <v>1419.153339095805</v>
      </c>
      <c r="H24" s="279">
        <f t="shared" si="4"/>
        <v>1.8681321449494304E-2</v>
      </c>
      <c r="I24" s="249"/>
      <c r="J24" s="17"/>
      <c r="K24" s="17"/>
      <c r="L24" s="17"/>
      <c r="M24" s="17"/>
      <c r="N24" s="17"/>
      <c r="O24" s="248"/>
      <c r="S24" s="88"/>
      <c r="T24" s="42"/>
      <c r="U24" s="42"/>
      <c r="V24" s="42"/>
      <c r="W24" s="42" t="s">
        <v>454</v>
      </c>
      <c r="X24" s="42" t="s">
        <v>246</v>
      </c>
      <c r="Y24" s="42"/>
      <c r="Z24" s="42"/>
      <c r="AA24" s="42"/>
    </row>
    <row r="25" spans="2:27">
      <c r="B25" s="5" t="s">
        <v>179</v>
      </c>
      <c r="C25" s="544">
        <v>709.5</v>
      </c>
      <c r="D25" s="536">
        <v>719.80000000000041</v>
      </c>
      <c r="E25" s="536">
        <v>745.13153734810828</v>
      </c>
      <c r="F25" s="536">
        <v>773.99831812076695</v>
      </c>
      <c r="G25" s="536">
        <v>794.15333909580499</v>
      </c>
      <c r="H25" s="279">
        <f t="shared" si="4"/>
        <v>3.3310497185752741E-2</v>
      </c>
      <c r="I25" s="248"/>
      <c r="J25" s="247" t="s">
        <v>10</v>
      </c>
      <c r="K25" s="247"/>
      <c r="L25" s="321">
        <v>793</v>
      </c>
      <c r="M25" s="321">
        <v>793</v>
      </c>
      <c r="N25" s="321">
        <v>793</v>
      </c>
      <c r="O25" s="321">
        <v>793</v>
      </c>
      <c r="P25" s="279">
        <f>IF(L25=0,"nm",IF(O25=0,"nm",(O25/L25)^(1/3)-1))</f>
        <v>0</v>
      </c>
      <c r="S25" s="88"/>
      <c r="T25" s="42"/>
      <c r="U25" s="42"/>
      <c r="V25" s="147" t="s">
        <v>268</v>
      </c>
      <c r="W25" s="288">
        <f>D37/L9</f>
        <v>0.9447261296679017</v>
      </c>
      <c r="X25" s="288">
        <v>1</v>
      </c>
      <c r="Y25" s="42"/>
      <c r="Z25" s="42"/>
      <c r="AA25" s="42"/>
    </row>
    <row r="26" spans="2:27">
      <c r="B26" s="5" t="s">
        <v>581</v>
      </c>
      <c r="C26" s="544">
        <v>539.0200000000001</v>
      </c>
      <c r="D26" s="536">
        <v>545.28000000000065</v>
      </c>
      <c r="E26" s="536">
        <v>565.08440083940911</v>
      </c>
      <c r="F26" s="536">
        <v>588.01452462751365</v>
      </c>
      <c r="G26" s="536">
        <v>603.36209859709993</v>
      </c>
      <c r="H26" s="279">
        <f t="shared" si="4"/>
        <v>3.431499031583507E-2</v>
      </c>
      <c r="I26" s="249"/>
      <c r="J26" s="249" t="s">
        <v>11</v>
      </c>
      <c r="K26" s="249"/>
      <c r="L26" s="281">
        <f>D11+L25</f>
        <v>7193.7905686400009</v>
      </c>
      <c r="M26" s="281">
        <f>E11+M25</f>
        <v>6994.8997946415511</v>
      </c>
      <c r="N26" s="281">
        <f>F11+N25</f>
        <v>6750.3371578824317</v>
      </c>
      <c r="O26" s="281">
        <f>G11+O25</f>
        <v>6521.3800650644362</v>
      </c>
      <c r="P26" s="279">
        <f>IF(L26=0,"nm",IF(O26=0,"nm",(O26/L26)^(1/3)-1))</f>
        <v>-3.2181527447934344E-2</v>
      </c>
      <c r="Q26" s="5"/>
      <c r="S26" s="88"/>
      <c r="T26" s="42"/>
      <c r="U26" s="42"/>
      <c r="V26" s="147" t="s">
        <v>180</v>
      </c>
      <c r="W26" s="288">
        <f t="shared" ref="W26:W33" si="6">D38/L10</f>
        <v>0.84666242115365908</v>
      </c>
      <c r="X26" s="288">
        <v>1</v>
      </c>
      <c r="Y26" s="42"/>
      <c r="Z26" s="42"/>
      <c r="AA26" s="42"/>
    </row>
    <row r="27" spans="2:27">
      <c r="B27" s="5" t="s">
        <v>582</v>
      </c>
      <c r="C27" s="545">
        <v>2764.6</v>
      </c>
      <c r="D27" s="536">
        <v>2727</v>
      </c>
      <c r="E27" s="536">
        <v>2747.802279747003</v>
      </c>
      <c r="F27" s="536">
        <v>2743.1902891804957</v>
      </c>
      <c r="G27" s="536">
        <v>2745.5022499043371</v>
      </c>
      <c r="H27" s="279">
        <f t="shared" si="4"/>
        <v>2.2565165636820872E-3</v>
      </c>
      <c r="I27" s="249"/>
      <c r="J27" s="248"/>
      <c r="K27" s="248"/>
      <c r="L27" s="248"/>
      <c r="M27" s="248"/>
      <c r="N27" s="248"/>
      <c r="O27" s="248"/>
      <c r="Q27" s="41"/>
      <c r="S27" s="88"/>
      <c r="T27" s="42"/>
      <c r="U27" s="42"/>
      <c r="V27" s="147" t="s">
        <v>181</v>
      </c>
      <c r="W27" s="288">
        <f t="shared" si="6"/>
        <v>0.7658799232764979</v>
      </c>
      <c r="X27" s="288">
        <v>1</v>
      </c>
      <c r="Y27" s="42"/>
      <c r="Z27" s="42"/>
      <c r="AA27" s="42"/>
    </row>
    <row r="28" spans="2:27" ht="12.6" thickBot="1">
      <c r="B28" s="5" t="s">
        <v>587</v>
      </c>
      <c r="C28" s="544">
        <v>2081.1</v>
      </c>
      <c r="D28" s="536">
        <v>2188.3000000000002</v>
      </c>
      <c r="E28" s="536">
        <v>2141.5851583243857</v>
      </c>
      <c r="F28" s="536">
        <v>2109.4960463352618</v>
      </c>
      <c r="G28" s="536">
        <v>2084.3308856364856</v>
      </c>
      <c r="H28" s="279">
        <f t="shared" si="4"/>
        <v>-1.609477277511917E-2</v>
      </c>
      <c r="I28" s="248"/>
      <c r="J28" s="306" t="s">
        <v>1352</v>
      </c>
      <c r="K28" s="306"/>
      <c r="L28" s="306"/>
      <c r="M28" s="306"/>
      <c r="N28" s="266"/>
      <c r="O28" s="266"/>
      <c r="P28" s="266"/>
      <c r="Q28" s="5"/>
      <c r="S28" s="88"/>
      <c r="T28" s="42"/>
      <c r="U28" s="42"/>
      <c r="V28" s="147" t="s">
        <v>461</v>
      </c>
      <c r="W28" s="288">
        <f t="shared" si="6"/>
        <v>0.75378716183003769</v>
      </c>
      <c r="X28" s="288">
        <v>1</v>
      </c>
      <c r="Y28" s="42"/>
      <c r="Z28" s="42"/>
      <c r="AA28" s="42"/>
    </row>
    <row r="29" spans="2:27" ht="12.6" thickTop="1">
      <c r="B29" s="5" t="s">
        <v>583</v>
      </c>
      <c r="C29" s="544">
        <v>545.86157857646231</v>
      </c>
      <c r="D29" s="536">
        <v>537.7228785773832</v>
      </c>
      <c r="E29" s="536">
        <v>564.7851378630279</v>
      </c>
      <c r="F29" s="536">
        <v>578.18098148737158</v>
      </c>
      <c r="G29" s="536">
        <v>581.23384132832666</v>
      </c>
      <c r="H29" s="279">
        <f t="shared" si="4"/>
        <v>2.6275888995822116E-2</v>
      </c>
      <c r="I29" s="252"/>
      <c r="J29" s="249"/>
      <c r="K29" s="249"/>
      <c r="L29" s="249"/>
      <c r="M29" s="249"/>
      <c r="N29" s="249"/>
      <c r="O29" s="251"/>
      <c r="Q29" s="5"/>
      <c r="S29" s="88"/>
      <c r="T29" s="42"/>
      <c r="U29" s="42"/>
      <c r="V29" s="147" t="s">
        <v>525</v>
      </c>
      <c r="W29" s="288">
        <f t="shared" si="6"/>
        <v>1.948041637688168</v>
      </c>
      <c r="X29" s="288">
        <v>1</v>
      </c>
      <c r="Y29" s="42"/>
      <c r="Z29" s="42"/>
      <c r="AA29" s="42"/>
    </row>
    <row r="30" spans="2:27">
      <c r="B30" s="5" t="s">
        <v>584</v>
      </c>
      <c r="C30" s="545">
        <v>389.26157857646234</v>
      </c>
      <c r="D30" s="536">
        <v>493.92287857738319</v>
      </c>
      <c r="E30" s="536">
        <v>518.0702961874124</v>
      </c>
      <c r="F30" s="536">
        <v>546.09186949824823</v>
      </c>
      <c r="G30" s="536">
        <v>556.06868062954982</v>
      </c>
      <c r="H30" s="279">
        <f t="shared" si="4"/>
        <v>4.0294807143788525E-2</v>
      </c>
      <c r="I30" s="254"/>
      <c r="J30" s="248"/>
      <c r="K30" s="248"/>
      <c r="L30" s="248"/>
      <c r="M30" s="248"/>
      <c r="N30" s="248"/>
      <c r="O30" s="5"/>
      <c r="Q30" s="5"/>
      <c r="S30" s="88"/>
      <c r="T30" s="42"/>
      <c r="U30" s="42"/>
      <c r="V30" s="147" t="s">
        <v>588</v>
      </c>
      <c r="W30" s="288">
        <f t="shared" si="6"/>
        <v>1.1001602714465191</v>
      </c>
      <c r="X30" s="288">
        <v>1</v>
      </c>
      <c r="Y30" s="42"/>
      <c r="Z30" s="42"/>
      <c r="AA30" s="42"/>
    </row>
    <row r="31" spans="2:27">
      <c r="B31" s="5" t="s">
        <v>585</v>
      </c>
      <c r="C31" s="545">
        <v>250.96635264</v>
      </c>
      <c r="D31" s="536">
        <v>301.36348168000001</v>
      </c>
      <c r="E31" s="536">
        <v>306.59922393271063</v>
      </c>
      <c r="F31" s="536">
        <v>309.23438950672551</v>
      </c>
      <c r="G31" s="536">
        <v>312.21713134631</v>
      </c>
      <c r="H31" s="279">
        <f t="shared" si="4"/>
        <v>1.1863743516651537E-2</v>
      </c>
      <c r="I31" s="254"/>
      <c r="J31" s="252"/>
      <c r="K31" s="252"/>
      <c r="L31" s="252"/>
      <c r="M31" s="252"/>
      <c r="N31" s="252"/>
      <c r="O31" s="5"/>
      <c r="Q31" s="5"/>
      <c r="S31" s="88"/>
      <c r="T31" s="42"/>
      <c r="U31" s="42"/>
      <c r="V31" s="147" t="s">
        <v>470</v>
      </c>
      <c r="W31" s="288">
        <f t="shared" si="6"/>
        <v>0.76738343071610826</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0.80519592688910213</v>
      </c>
      <c r="X32" s="288">
        <v>1</v>
      </c>
      <c r="Y32" s="42"/>
      <c r="Z32" s="42"/>
      <c r="AA32" s="42"/>
    </row>
    <row r="33" spans="2:27">
      <c r="B33" s="5" t="s">
        <v>5</v>
      </c>
      <c r="C33" s="545">
        <v>37.200000000000003</v>
      </c>
      <c r="D33" s="536">
        <v>20.200000000000003</v>
      </c>
      <c r="E33" s="536">
        <v>-8.617600261314557</v>
      </c>
      <c r="F33" s="536">
        <v>-0.62852849259662591</v>
      </c>
      <c r="G33" s="536">
        <v>13.367062012655351</v>
      </c>
      <c r="H33" s="279">
        <f>IF(D33=0,"nm",IF(G33=0,"nm",(G33/D33)^(1/3)-1))</f>
        <v>-0.12857864645814032</v>
      </c>
      <c r="I33" s="5"/>
      <c r="J33" s="254"/>
      <c r="K33" s="254"/>
      <c r="L33" s="254"/>
      <c r="M33" s="254"/>
      <c r="N33" s="254"/>
      <c r="O33" s="251"/>
      <c r="Q33" s="5"/>
      <c r="S33" s="88"/>
      <c r="T33" s="42"/>
      <c r="U33" s="42"/>
      <c r="V33" s="147" t="s">
        <v>575</v>
      </c>
      <c r="W33" s="288">
        <f t="shared" si="6"/>
        <v>1.062250537306326</v>
      </c>
      <c r="X33" s="288">
        <v>1</v>
      </c>
      <c r="Y33" s="42"/>
      <c r="Z33" s="42"/>
      <c r="AA33" s="42"/>
    </row>
    <row r="34" spans="2:27">
      <c r="B34" s="5" t="s">
        <v>203</v>
      </c>
      <c r="C34" s="249" t="e">
        <v>#N/A</v>
      </c>
      <c r="D34" s="322" t="e">
        <v>#N/A</v>
      </c>
      <c r="E34" s="322" t="e">
        <v>#N/A</v>
      </c>
      <c r="F34" s="322" t="e">
        <v>#N/A</v>
      </c>
      <c r="G34" s="322" t="e">
        <v>#N/A</v>
      </c>
      <c r="I34" s="49"/>
      <c r="J34" s="254"/>
      <c r="K34" s="254"/>
      <c r="L34" s="254"/>
      <c r="M34" s="254"/>
      <c r="N34" s="254"/>
      <c r="O34" s="251"/>
      <c r="Q34" s="5"/>
      <c r="S34" s="88"/>
      <c r="T34" s="42"/>
      <c r="U34" s="42"/>
      <c r="V34" s="147" t="s">
        <v>576</v>
      </c>
      <c r="W34" s="288">
        <f>D47/L19</f>
        <v>1.3031295177520554</v>
      </c>
      <c r="X34" s="288">
        <v>1</v>
      </c>
      <c r="Y34" s="288"/>
      <c r="Z34" s="288"/>
      <c r="AA34" s="42"/>
    </row>
    <row r="35" spans="2:27" ht="12.6" thickBot="1">
      <c r="B35" s="306" t="s">
        <v>598</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2.1935590718287536</v>
      </c>
      <c r="E37" s="525">
        <f t="shared" ref="E37:G41" si="8">E$18/E23</f>
        <v>2.0251804148847246</v>
      </c>
      <c r="F37" s="525">
        <f t="shared" si="8"/>
        <v>1.8562866789152142</v>
      </c>
      <c r="G37" s="525">
        <f t="shared" si="8"/>
        <v>1.6873767995121376</v>
      </c>
      <c r="H37" s="17">
        <f t="shared" ref="H37:H45" si="9">H23</f>
        <v>1.3166155968846738E-2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5.9211320013769591</v>
      </c>
      <c r="E38" s="525">
        <f t="shared" si="8"/>
        <v>5.4547041991617435</v>
      </c>
      <c r="F38" s="525">
        <f t="shared" si="8"/>
        <v>4.930458819095489</v>
      </c>
      <c r="G38" s="525">
        <f t="shared" si="8"/>
        <v>4.4812015290789153</v>
      </c>
      <c r="H38" s="17">
        <f t="shared" si="9"/>
        <v>1.8681321449494304E-2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11.043511686369222</v>
      </c>
      <c r="E39" s="525">
        <f t="shared" si="8"/>
        <v>9.9967121009000888</v>
      </c>
      <c r="F39" s="525">
        <f t="shared" si="8"/>
        <v>8.911781116302171</v>
      </c>
      <c r="G39" s="525">
        <f t="shared" si="8"/>
        <v>8.0079145929100868</v>
      </c>
      <c r="H39" s="17">
        <f t="shared" si="9"/>
        <v>3.3310497185752741E-2</v>
      </c>
      <c r="I39" s="17"/>
      <c r="J39" s="5"/>
      <c r="K39" s="5"/>
      <c r="L39" s="5"/>
      <c r="M39" s="5"/>
      <c r="N39" s="5"/>
      <c r="O39" s="5"/>
      <c r="Q39" s="5"/>
      <c r="R39" s="5"/>
      <c r="S39" s="42"/>
      <c r="T39" s="42"/>
      <c r="U39" s="42"/>
      <c r="V39" s="42"/>
      <c r="W39" s="42"/>
      <c r="X39" s="42"/>
      <c r="Y39" s="42"/>
      <c r="Z39" s="42"/>
      <c r="AA39" s="42"/>
    </row>
    <row r="40" spans="2:27">
      <c r="B40" s="5" t="s">
        <v>461</v>
      </c>
      <c r="C40" s="247"/>
      <c r="D40" s="525">
        <f>D$18/D26</f>
        <v>14.578051114745747</v>
      </c>
      <c r="E40" s="525">
        <f t="shared" si="8"/>
        <v>13.181863532430102</v>
      </c>
      <c r="F40" s="525">
        <f t="shared" si="8"/>
        <v>11.730498663868451</v>
      </c>
      <c r="G40" s="525">
        <f t="shared" si="8"/>
        <v>10.540125287850053</v>
      </c>
      <c r="H40" s="17">
        <f t="shared" si="9"/>
        <v>3.431499031583507E-2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2.9149687245502642</v>
      </c>
      <c r="E41" s="525">
        <f t="shared" si="8"/>
        <v>2.7108447762318457</v>
      </c>
      <c r="F41" s="525">
        <f t="shared" si="8"/>
        <v>2.5144823611704021</v>
      </c>
      <c r="G41" s="525">
        <f t="shared" si="8"/>
        <v>2.3163383360458574</v>
      </c>
      <c r="H41" s="17">
        <f t="shared" si="9"/>
        <v>2.2565165636820872E-3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3.6325548196538731</v>
      </c>
      <c r="E42" s="525">
        <f>E18/E28</f>
        <v>3.4782018483907713</v>
      </c>
      <c r="F42" s="525">
        <f>F18/F28</f>
        <v>3.2698348060245856</v>
      </c>
      <c r="G42" s="525">
        <f>G18/G28</f>
        <v>3.0511048687030251</v>
      </c>
      <c r="H42" s="17">
        <f t="shared" si="9"/>
        <v>-1.609477277511917E-2</v>
      </c>
      <c r="I42" s="248"/>
      <c r="J42" s="5"/>
      <c r="K42" s="5"/>
      <c r="L42" s="5"/>
      <c r="M42" s="5"/>
      <c r="N42" s="5"/>
      <c r="O42" s="5"/>
      <c r="Q42" s="5"/>
      <c r="R42" s="5"/>
      <c r="S42" s="42"/>
      <c r="T42" s="42"/>
      <c r="U42" s="42"/>
      <c r="V42" s="42"/>
      <c r="W42" s="288"/>
      <c r="X42" s="288"/>
      <c r="Y42" s="288"/>
      <c r="Z42" s="288"/>
      <c r="AA42" s="42"/>
    </row>
    <row r="43" spans="2:27">
      <c r="B43" s="5" t="s">
        <v>470</v>
      </c>
      <c r="C43" s="247"/>
      <c r="D43" s="525">
        <f>L26/D29</f>
        <v>13.378249011223257</v>
      </c>
      <c r="E43" s="525">
        <f>M26/E29</f>
        <v>12.385063497081539</v>
      </c>
      <c r="F43" s="525">
        <f>N26/F29</f>
        <v>11.675128331819524</v>
      </c>
      <c r="G43" s="525">
        <f>O26/G29</f>
        <v>11.219890518006929</v>
      </c>
      <c r="H43" s="17">
        <f t="shared" si="9"/>
        <v>2.6275888995822116E-2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12.959089052679275</v>
      </c>
      <c r="E44" s="525">
        <f>E11/E30</f>
        <v>11.971154957700969</v>
      </c>
      <c r="F44" s="525">
        <f>F11/F30</f>
        <v>10.909038369965224</v>
      </c>
      <c r="G44" s="525">
        <f>G11/G30</f>
        <v>10.301569328772635</v>
      </c>
      <c r="H44" s="17">
        <f t="shared" si="9"/>
        <v>4.0294807143788525E-2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4.7082228116710867E-2</v>
      </c>
      <c r="E45" s="248">
        <f>E31/E11</f>
        <v>4.9436339522546419E-2</v>
      </c>
      <c r="F45" s="248">
        <f>F31/F11</f>
        <v>5.1908156498673745E-2</v>
      </c>
      <c r="G45" s="248">
        <f>G31/G11</f>
        <v>5.450356432360743E-2</v>
      </c>
      <c r="H45" s="17">
        <f t="shared" si="9"/>
        <v>1.1863743516651537E-2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4.7082228116710867E-2</v>
      </c>
      <c r="E46" s="248">
        <f>(E31+E32)/E11</f>
        <v>4.9436339522546419E-2</v>
      </c>
      <c r="F46" s="248">
        <f>(F31+F32)/F11</f>
        <v>5.1908156498673745E-2</v>
      </c>
      <c r="G46" s="248">
        <f>(G31+G32)/G11</f>
        <v>5.450356432360743E-2</v>
      </c>
      <c r="H46" s="279">
        <f>((G31+G32)/(D31+D32))^(1/3)-1</f>
        <v>1.1863743516651537E-2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7.4748197552690326E-2</v>
      </c>
      <c r="E47" s="248">
        <f>1/E43</f>
        <v>8.0742420112391314E-2</v>
      </c>
      <c r="F47" s="248">
        <f>1/F43</f>
        <v>8.5652163434862552E-2</v>
      </c>
      <c r="G47" s="248">
        <f>1/G43</f>
        <v>8.9127429398271646E-2</v>
      </c>
      <c r="H47" s="17">
        <f>H29</f>
        <v>2.6275888995822116E-2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0.56044385256081508</v>
      </c>
      <c r="E48" s="305">
        <f>E31/E29</f>
        <v>0.54285993624546702</v>
      </c>
      <c r="F48" s="305">
        <f>F31/F29</f>
        <v>0.53484012689455729</v>
      </c>
      <c r="G48" s="305">
        <f>G31/G29</f>
        <v>0.53716268590414917</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OTESOP!A1" display="Jump to OTE SOP" xr:uid="{00000000-0004-0000-4600-000001000000}"/>
  </hyperlinks>
  <pageMargins left="0.75" right="0.75" top="1" bottom="1" header="0.5" footer="0.5"/>
  <pageSetup scale="71"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pageSetUpPr fitToPage="1"/>
  </sheetPr>
  <dimension ref="B1:AR165"/>
  <sheetViews>
    <sheetView showGridLines="0" zoomScale="80" zoomScaleNormal="80" zoomScaleSheetLayoutView="80" workbookViewId="0">
      <selection activeCell="E13" sqref="E13"/>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7" width="8.6640625" style="39" customWidth="1"/>
    <col min="18" max="28" width="8.6640625" style="5" customWidth="1"/>
    <col min="29" max="44" width="9.109375" style="5"/>
    <col min="45" max="16384" width="9.109375" style="39"/>
  </cols>
  <sheetData>
    <row r="1" spans="2:44" s="312" customFormat="1">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809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267</v>
      </c>
      <c r="C9" s="267">
        <f>Prices!C13</f>
        <v>6.82</v>
      </c>
      <c r="D9" s="529">
        <v>0</v>
      </c>
      <c r="E9" s="529">
        <v>0</v>
      </c>
      <c r="F9" s="529">
        <v>0</v>
      </c>
      <c r="G9" s="529">
        <v>0</v>
      </c>
      <c r="H9" s="249" t="s">
        <v>22</v>
      </c>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42"/>
      <c r="T9" s="42"/>
      <c r="U9" s="42"/>
      <c r="V9" s="42"/>
      <c r="W9" s="42"/>
      <c r="X9" s="42"/>
      <c r="Y9" s="42"/>
      <c r="Z9" s="42"/>
      <c r="AA9" s="42"/>
    </row>
    <row r="10" spans="2:44">
      <c r="B10" s="5" t="s">
        <v>269</v>
      </c>
      <c r="C10" s="5"/>
      <c r="D10" s="527">
        <v>323.435135</v>
      </c>
      <c r="E10" s="527">
        <v>323.435135</v>
      </c>
      <c r="F10" s="527">
        <v>323.435135</v>
      </c>
      <c r="G10" s="527">
        <v>323.435135</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42"/>
      <c r="T10" s="42"/>
      <c r="U10" s="42"/>
      <c r="V10" s="42"/>
      <c r="W10" s="288"/>
      <c r="X10" s="288"/>
      <c r="Y10" s="288"/>
      <c r="Z10" s="288"/>
      <c r="AA10" s="42"/>
    </row>
    <row r="11" spans="2:44">
      <c r="B11" s="41" t="s">
        <v>187</v>
      </c>
      <c r="C11" s="5"/>
      <c r="D11" s="528">
        <f>$C$9*(D10-D9)</f>
        <v>2205.8276206999999</v>
      </c>
      <c r="E11" s="528">
        <f>$C$9*(E10-E9)</f>
        <v>2205.8276206999999</v>
      </c>
      <c r="F11" s="528">
        <f>$C$9*(F10-F9)</f>
        <v>2205.8276206999999</v>
      </c>
      <c r="G11" s="528">
        <f>$C$9*(G10-G9)</f>
        <v>2205.8276206999999</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42"/>
      <c r="T11" s="42"/>
      <c r="U11" s="42"/>
      <c r="V11" s="42"/>
      <c r="W11" s="288"/>
      <c r="X11" s="288"/>
      <c r="Y11" s="288"/>
      <c r="Z11" s="288"/>
      <c r="AA11" s="42"/>
    </row>
    <row r="12" spans="2:44">
      <c r="B12" s="5" t="s">
        <v>24</v>
      </c>
      <c r="C12" s="249"/>
      <c r="D12" s="529">
        <v>5651</v>
      </c>
      <c r="E12" s="529">
        <v>4152.5488575867821</v>
      </c>
      <c r="F12" s="529">
        <v>4076.5845956658313</v>
      </c>
      <c r="G12" s="529">
        <v>3973.6049379711403</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42"/>
      <c r="T12" s="42"/>
      <c r="U12" s="42"/>
      <c r="V12" s="42"/>
      <c r="W12" s="288"/>
      <c r="X12" s="288"/>
      <c r="Y12" s="288"/>
      <c r="Z12" s="288"/>
      <c r="AA12" s="42"/>
    </row>
    <row r="13" spans="2:44">
      <c r="B13" s="5" t="s">
        <v>524</v>
      </c>
      <c r="C13" s="257"/>
      <c r="D13" s="529">
        <v>1000.3591402227333</v>
      </c>
      <c r="E13" s="529">
        <v>990.92375160480799</v>
      </c>
      <c r="F13" s="529">
        <v>1090.9608681535362</v>
      </c>
      <c r="G13" s="529">
        <v>1094.3611458439411</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42"/>
      <c r="T13" s="42"/>
      <c r="U13" s="42"/>
      <c r="V13" s="42"/>
      <c r="W13" s="42"/>
      <c r="X13" s="42"/>
      <c r="Y13" s="42"/>
      <c r="Z13" s="42"/>
      <c r="AA13" s="42"/>
    </row>
    <row r="14" spans="2:44">
      <c r="B14" s="5" t="s">
        <v>527</v>
      </c>
      <c r="C14" s="257"/>
      <c r="D14" s="529">
        <f>PROXSOP!R28-PROXSOP!R27</f>
        <v>0</v>
      </c>
      <c r="E14" s="529">
        <f t="shared" ref="E14:G15" si="2">D14</f>
        <v>0</v>
      </c>
      <c r="F14" s="529">
        <f t="shared" si="2"/>
        <v>0</v>
      </c>
      <c r="G14" s="529">
        <f t="shared" si="2"/>
        <v>0</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42"/>
      <c r="T14" s="42"/>
      <c r="U14" s="42"/>
      <c r="V14" s="42"/>
      <c r="W14" s="42"/>
      <c r="X14" s="42"/>
      <c r="Y14" s="42"/>
      <c r="Z14" s="42"/>
      <c r="AA14" s="42"/>
    </row>
    <row r="15" spans="2:44">
      <c r="B15" s="5" t="s">
        <v>526</v>
      </c>
      <c r="C15" s="274"/>
      <c r="D15" s="529">
        <f>PROXSOP!T18</f>
        <v>619.07020577920639</v>
      </c>
      <c r="E15" s="529">
        <f t="shared" si="2"/>
        <v>619.07020577920639</v>
      </c>
      <c r="F15" s="529">
        <f t="shared" si="2"/>
        <v>619.07020577920639</v>
      </c>
      <c r="G15" s="529">
        <f t="shared" si="2"/>
        <v>619.07020577920639</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42"/>
      <c r="T15" s="42"/>
      <c r="U15" s="42"/>
      <c r="V15" s="42"/>
      <c r="W15" s="42"/>
      <c r="X15" s="42"/>
      <c r="Y15" s="42"/>
      <c r="Z15" s="42"/>
      <c r="AA15" s="42"/>
    </row>
    <row r="16" spans="2:44">
      <c r="B16" s="5" t="s">
        <v>529</v>
      </c>
      <c r="C16" s="257"/>
      <c r="D16" s="529">
        <v>0</v>
      </c>
      <c r="E16" s="529">
        <v>161.7175675</v>
      </c>
      <c r="F16" s="529">
        <v>355.77864850000003</v>
      </c>
      <c r="G16" s="529">
        <v>549.83972949999998</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42"/>
      <c r="T16" s="42"/>
      <c r="U16" s="42"/>
      <c r="V16" s="42"/>
      <c r="W16" s="42"/>
      <c r="X16" s="42"/>
      <c r="Y16" s="42"/>
      <c r="Z16" s="42"/>
      <c r="AA16" s="42"/>
    </row>
    <row r="17" spans="2:27">
      <c r="B17" s="5" t="s">
        <v>6</v>
      </c>
      <c r="C17" s="257"/>
      <c r="D17" s="529">
        <v>124.98393437236641</v>
      </c>
      <c r="E17" s="529">
        <v>124.98393437236641</v>
      </c>
      <c r="F17" s="529">
        <v>124.98393437236641</v>
      </c>
      <c r="G17" s="529">
        <v>124.98393437236641</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42"/>
      <c r="T17" s="42"/>
      <c r="U17" s="42"/>
      <c r="V17" s="42"/>
      <c r="W17" s="42"/>
      <c r="X17" s="42"/>
      <c r="Y17" s="42"/>
      <c r="Z17" s="42"/>
      <c r="AA17" s="42"/>
    </row>
    <row r="18" spans="2:27" ht="12.6" thickBot="1">
      <c r="B18" s="41" t="s">
        <v>578</v>
      </c>
      <c r="C18" s="249"/>
      <c r="D18" s="530">
        <f>D11+D12+D13-D14+D15-D16-D17</f>
        <v>9351.2730323295727</v>
      </c>
      <c r="E18" s="530">
        <f>E11+E12+E13-E14+E15-E16-E17</f>
        <v>7681.6689337984308</v>
      </c>
      <c r="F18" s="530">
        <f>F11+F12+F13-F14+F15-F16-F17</f>
        <v>7511.6807074262078</v>
      </c>
      <c r="G18" s="530">
        <f>G11+G12+G13-G14+G15-G16-G17</f>
        <v>7218.0402464219214</v>
      </c>
      <c r="H18" s="276">
        <f>IF(D18=0,"nm",IF(G18=0,"nm",(G18/D18)^(1/3)-1))</f>
        <v>-8.2689874718552825E-2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42"/>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42"/>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42"/>
      <c r="T20" s="42"/>
      <c r="U20" s="42"/>
      <c r="V20" s="42"/>
      <c r="W20" s="42"/>
      <c r="X20" s="42"/>
      <c r="Y20" s="42"/>
      <c r="Z20" s="42"/>
      <c r="AA20" s="42"/>
    </row>
    <row r="21" spans="2:27" ht="12.6" thickBot="1">
      <c r="B21" s="306" t="s">
        <v>918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6149</v>
      </c>
      <c r="D23" s="536">
        <v>6682.2195223888557</v>
      </c>
      <c r="E23" s="536">
        <v>6879.5988128333029</v>
      </c>
      <c r="F23" s="536">
        <v>7032.7054198078094</v>
      </c>
      <c r="G23" s="536">
        <v>7116.6273910768659</v>
      </c>
      <c r="H23" s="279">
        <f t="shared" ref="H23:H30" si="4">IF(D23=0,"nm",IF(G23=0,"nm",(G23/D23)^(1/3)-1))</f>
        <v>2.1216515260999547E-2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478</v>
      </c>
      <c r="C24" s="544">
        <v>1786.1093835399997</v>
      </c>
      <c r="D24" s="536">
        <v>1757</v>
      </c>
      <c r="E24" s="536">
        <v>1854.4424508415934</v>
      </c>
      <c r="F24" s="536">
        <v>1925.6344751484594</v>
      </c>
      <c r="G24" s="536">
        <v>1970.0954593313068</v>
      </c>
      <c r="H24" s="279">
        <f t="shared" si="4"/>
        <v>3.8895430789765983E-2</v>
      </c>
      <c r="I24" s="249"/>
      <c r="J24" s="17"/>
      <c r="K24" s="17"/>
      <c r="L24" s="17"/>
      <c r="M24" s="17"/>
      <c r="N24" s="17"/>
      <c r="O24" s="248"/>
      <c r="S24" s="42"/>
      <c r="T24" s="42"/>
      <c r="U24" s="42"/>
      <c r="V24" s="42"/>
      <c r="W24" s="42" t="s">
        <v>53</v>
      </c>
      <c r="X24" s="42" t="s">
        <v>245</v>
      </c>
      <c r="Y24" s="42"/>
      <c r="Z24" s="42"/>
      <c r="AA24" s="42"/>
    </row>
    <row r="25" spans="2:27">
      <c r="B25" s="5" t="s">
        <v>179</v>
      </c>
      <c r="C25" s="544">
        <v>481.94958797221034</v>
      </c>
      <c r="D25" s="536">
        <v>432</v>
      </c>
      <c r="E25" s="536">
        <v>613.34895084159348</v>
      </c>
      <c r="F25" s="536">
        <v>722.05657748686895</v>
      </c>
      <c r="G25" s="536">
        <v>786.59724630404912</v>
      </c>
      <c r="H25" s="279">
        <f t="shared" si="4"/>
        <v>0.22111404086623665</v>
      </c>
      <c r="I25" s="248"/>
      <c r="J25" s="247" t="s">
        <v>10</v>
      </c>
      <c r="K25" s="247"/>
      <c r="L25" s="321">
        <v>453</v>
      </c>
      <c r="M25" s="321">
        <v>453</v>
      </c>
      <c r="N25" s="321">
        <v>453</v>
      </c>
      <c r="O25" s="321">
        <v>453</v>
      </c>
      <c r="P25" s="279">
        <f>IF(L25=0,"nm",IF(O25=0,"nm",(O25/L25)^(1/3)-1))</f>
        <v>0</v>
      </c>
      <c r="S25" s="42"/>
      <c r="T25" s="42"/>
      <c r="U25" s="42"/>
      <c r="V25" s="147" t="s">
        <v>268</v>
      </c>
      <c r="W25" s="288">
        <f>D37/L9</f>
        <v>0.60270749431839332</v>
      </c>
      <c r="X25" s="288">
        <v>1</v>
      </c>
      <c r="Y25" s="42"/>
      <c r="Z25" s="42"/>
      <c r="AA25" s="42"/>
    </row>
    <row r="26" spans="2:27">
      <c r="B26" s="5" t="s">
        <v>581</v>
      </c>
      <c r="C26" s="544">
        <v>361.46219097915775</v>
      </c>
      <c r="D26" s="536">
        <v>324</v>
      </c>
      <c r="E26" s="536">
        <v>460.01171313119511</v>
      </c>
      <c r="F26" s="536">
        <v>541.54243311515165</v>
      </c>
      <c r="G26" s="536">
        <v>589.9479347280369</v>
      </c>
      <c r="H26" s="279">
        <f t="shared" si="4"/>
        <v>0.22111404086623665</v>
      </c>
      <c r="I26" s="249"/>
      <c r="J26" s="249" t="s">
        <v>11</v>
      </c>
      <c r="K26" s="249"/>
      <c r="L26" s="281">
        <f>D11+L25</f>
        <v>2658.8276206999999</v>
      </c>
      <c r="M26" s="281">
        <f>E11+M25</f>
        <v>2658.8276206999999</v>
      </c>
      <c r="N26" s="281">
        <f>F11+N25</f>
        <v>2658.8276206999999</v>
      </c>
      <c r="O26" s="281">
        <f>G11+O25</f>
        <v>2658.8276206999999</v>
      </c>
      <c r="P26" s="279">
        <f>IF(L26=0,"nm",IF(O26=0,"nm",(O26/L26)^(1/3)-1))</f>
        <v>0</v>
      </c>
      <c r="Q26" s="5"/>
      <c r="S26" s="42"/>
      <c r="T26" s="42"/>
      <c r="U26" s="42"/>
      <c r="V26" s="147" t="s">
        <v>180</v>
      </c>
      <c r="W26" s="288">
        <f t="shared" ref="W26:W33" si="6">D38/L10</f>
        <v>0.76103480135429735</v>
      </c>
      <c r="X26" s="288">
        <v>1</v>
      </c>
      <c r="Y26" s="42"/>
      <c r="Z26" s="42"/>
      <c r="AA26" s="42"/>
    </row>
    <row r="27" spans="2:27">
      <c r="B27" s="5" t="s">
        <v>582</v>
      </c>
      <c r="C27" s="544">
        <v>6273.1621430502773</v>
      </c>
      <c r="D27" s="536">
        <v>8951</v>
      </c>
      <c r="E27" s="536">
        <v>7919.5426212018756</v>
      </c>
      <c r="F27" s="536">
        <v>7791.423169419917</v>
      </c>
      <c r="G27" s="536">
        <v>7577.683887754617</v>
      </c>
      <c r="H27" s="279">
        <f t="shared" si="4"/>
        <v>-5.400615870502079E-2</v>
      </c>
      <c r="I27" s="249"/>
      <c r="J27" s="248"/>
      <c r="K27" s="248"/>
      <c r="L27" s="248"/>
      <c r="M27" s="248"/>
      <c r="N27" s="248"/>
      <c r="O27" s="248"/>
      <c r="Q27" s="41"/>
      <c r="S27" s="42"/>
      <c r="T27" s="42"/>
      <c r="U27" s="42"/>
      <c r="V27" s="147" t="s">
        <v>181</v>
      </c>
      <c r="W27" s="288">
        <f t="shared" si="6"/>
        <v>1.5012066536707314</v>
      </c>
      <c r="X27" s="288">
        <v>1</v>
      </c>
      <c r="Y27" s="42"/>
      <c r="Z27" s="42"/>
      <c r="AA27" s="42"/>
    </row>
    <row r="28" spans="2:27" ht="12.6" thickBot="1">
      <c r="B28" s="5" t="s">
        <v>587</v>
      </c>
      <c r="C28" s="544">
        <v>3530.9287196999999</v>
      </c>
      <c r="D28" s="536">
        <v>3834</v>
      </c>
      <c r="E28" s="536">
        <v>4952.8109267248765</v>
      </c>
      <c r="F28" s="536">
        <v>5292.6104302116764</v>
      </c>
      <c r="G28" s="536">
        <v>5605.6484733489051</v>
      </c>
      <c r="H28" s="279">
        <f t="shared" si="4"/>
        <v>0.13498794936079017</v>
      </c>
      <c r="I28" s="248"/>
      <c r="J28" s="306" t="s">
        <v>1352</v>
      </c>
      <c r="K28" s="306"/>
      <c r="L28" s="306"/>
      <c r="M28" s="306"/>
      <c r="N28" s="266"/>
      <c r="O28" s="266"/>
      <c r="P28" s="266"/>
      <c r="Q28" s="5"/>
      <c r="S28" s="42"/>
      <c r="T28" s="42"/>
      <c r="U28" s="42"/>
      <c r="V28" s="147" t="s">
        <v>461</v>
      </c>
      <c r="W28" s="288">
        <f t="shared" si="6"/>
        <v>1.4923647935623983</v>
      </c>
      <c r="X28" s="288">
        <v>1</v>
      </c>
      <c r="Y28" s="42"/>
      <c r="Z28" s="42"/>
      <c r="AA28" s="42"/>
    </row>
    <row r="29" spans="2:27" ht="12.6" thickTop="1">
      <c r="B29" s="5" t="s">
        <v>583</v>
      </c>
      <c r="C29" s="544">
        <v>284.94958797221022</v>
      </c>
      <c r="D29" s="536">
        <v>67.702523606916827</v>
      </c>
      <c r="E29" s="536">
        <v>109.5033981401571</v>
      </c>
      <c r="F29" s="536">
        <v>166.24337457807468</v>
      </c>
      <c r="G29" s="536">
        <v>164.7550905005919</v>
      </c>
      <c r="H29" s="279">
        <f>IF(D29=0,"nm",IF(G29=0,"nm",(G29/D29)^(1/3)-1))</f>
        <v>0.34506930359817867</v>
      </c>
      <c r="I29" s="252"/>
      <c r="J29" s="249"/>
      <c r="K29" s="249"/>
      <c r="L29" s="249"/>
      <c r="M29" s="249"/>
      <c r="N29" s="249"/>
      <c r="O29" s="251"/>
      <c r="Q29" s="5"/>
      <c r="S29" s="42"/>
      <c r="T29" s="42"/>
      <c r="U29" s="42"/>
      <c r="V29" s="147" t="s">
        <v>525</v>
      </c>
      <c r="W29" s="288">
        <f t="shared" si="6"/>
        <v>0.69817375000125603</v>
      </c>
      <c r="X29" s="288">
        <v>1</v>
      </c>
      <c r="Y29" s="42"/>
      <c r="Z29" s="42"/>
      <c r="AA29" s="42"/>
    </row>
    <row r="30" spans="2:27">
      <c r="B30" s="5" t="s">
        <v>584</v>
      </c>
      <c r="C30" s="544">
        <v>646.45850607936256</v>
      </c>
      <c r="D30" s="536">
        <v>422.02968617431259</v>
      </c>
      <c r="E30" s="536">
        <v>302.17961100472786</v>
      </c>
      <c r="F30" s="536">
        <v>177.27769177380185</v>
      </c>
      <c r="G30" s="536">
        <v>110.34809548687744</v>
      </c>
      <c r="H30" s="279">
        <f t="shared" si="4"/>
        <v>-0.36054898602874064</v>
      </c>
      <c r="I30" s="254"/>
      <c r="J30" s="248"/>
      <c r="K30" s="248"/>
      <c r="L30" s="248"/>
      <c r="M30" s="248"/>
      <c r="N30" s="248"/>
      <c r="O30" s="5"/>
      <c r="Q30" s="5"/>
      <c r="S30" s="42"/>
      <c r="T30" s="42"/>
      <c r="U30" s="42"/>
      <c r="V30" s="147" t="s">
        <v>588</v>
      </c>
      <c r="W30" s="288">
        <f t="shared" si="6"/>
        <v>0.73869032291975667</v>
      </c>
      <c r="X30" s="288">
        <v>1</v>
      </c>
      <c r="Y30" s="42"/>
      <c r="Z30" s="42"/>
      <c r="AA30" s="42"/>
    </row>
    <row r="31" spans="2:27">
      <c r="B31" s="5" t="s">
        <v>585</v>
      </c>
      <c r="C31" s="544">
        <v>388.122162</v>
      </c>
      <c r="D31" s="536">
        <v>388.122162</v>
      </c>
      <c r="E31" s="536">
        <v>323.435135</v>
      </c>
      <c r="F31" s="536">
        <v>194.061081</v>
      </c>
      <c r="G31" s="536">
        <v>194.061081</v>
      </c>
      <c r="H31" s="279">
        <f>IF(D31=0,"nm",IF(G31=0,"nm",(G31/D31)^(1/3)-1))</f>
        <v>-0.20629947401590021</v>
      </c>
      <c r="I31" s="254"/>
      <c r="J31" s="252"/>
      <c r="K31" s="252"/>
      <c r="L31" s="252"/>
      <c r="M31" s="252"/>
      <c r="N31" s="252"/>
      <c r="O31" s="5"/>
      <c r="Q31" s="5"/>
      <c r="S31" s="42"/>
      <c r="T31" s="42"/>
      <c r="U31" s="42"/>
      <c r="V31" s="147" t="s">
        <v>470</v>
      </c>
      <c r="W31" s="288">
        <f t="shared" si="6"/>
        <v>2.2526746241916089</v>
      </c>
      <c r="X31" s="288">
        <v>1</v>
      </c>
      <c r="Y31" s="42"/>
      <c r="Z31" s="42"/>
      <c r="AA31" s="42"/>
    </row>
    <row r="32" spans="2:27">
      <c r="B32" s="5" t="s">
        <v>601</v>
      </c>
      <c r="C32" s="546">
        <v>0</v>
      </c>
      <c r="D32" s="536">
        <v>0</v>
      </c>
      <c r="E32" s="536">
        <v>0</v>
      </c>
      <c r="F32" s="536">
        <v>0</v>
      </c>
      <c r="G32" s="536">
        <v>0</v>
      </c>
      <c r="H32" s="279" t="str">
        <f>IF(D32=0,"nm",IF(G32=0,"nm",(G32/D32)^(1/3)-1))</f>
        <v>nm</v>
      </c>
      <c r="I32" s="254"/>
      <c r="J32" s="254"/>
      <c r="K32" s="254"/>
      <c r="L32" s="254"/>
      <c r="M32" s="254"/>
      <c r="N32" s="254"/>
      <c r="O32" s="251"/>
      <c r="Q32" s="5"/>
      <c r="S32" s="42"/>
      <c r="T32" s="42"/>
      <c r="U32" s="42"/>
      <c r="V32" s="147" t="s">
        <v>528</v>
      </c>
      <c r="W32" s="288">
        <f t="shared" si="6"/>
        <v>0.32475486416916954</v>
      </c>
      <c r="X32" s="288">
        <v>1</v>
      </c>
      <c r="Y32" s="42"/>
      <c r="Z32" s="42"/>
      <c r="AA32" s="42"/>
    </row>
    <row r="33" spans="2:27">
      <c r="B33" s="5" t="s">
        <v>5</v>
      </c>
      <c r="C33" s="544">
        <v>49</v>
      </c>
      <c r="D33" s="536">
        <v>110.23740855</v>
      </c>
      <c r="E33" s="536">
        <v>122.49398834456706</v>
      </c>
      <c r="F33" s="536">
        <v>109.42825457694626</v>
      </c>
      <c r="G33" s="536">
        <v>107.03128560982238</v>
      </c>
      <c r="H33" s="279">
        <f>IF(D33=0,"nm",IF(G33=0,"nm",(G33/D33)^(1/3)-1))</f>
        <v>-9.7901345471764767E-3</v>
      </c>
      <c r="I33" s="5"/>
      <c r="J33" s="254"/>
      <c r="K33" s="254"/>
      <c r="L33" s="254"/>
      <c r="M33" s="254"/>
      <c r="N33" s="254"/>
      <c r="O33" s="251"/>
      <c r="Q33" s="5"/>
      <c r="S33" s="42"/>
      <c r="T33" s="42"/>
      <c r="U33" s="42"/>
      <c r="V33" s="147" t="s">
        <v>575</v>
      </c>
      <c r="W33" s="288">
        <f t="shared" si="6"/>
        <v>3.9697835122661767</v>
      </c>
      <c r="X33" s="288">
        <v>1</v>
      </c>
      <c r="Y33" s="42"/>
      <c r="Z33" s="42"/>
      <c r="AA33" s="42"/>
    </row>
    <row r="34" spans="2:27">
      <c r="B34" s="5"/>
      <c r="C34" s="247"/>
      <c r="D34" s="17"/>
      <c r="E34" s="17"/>
      <c r="F34" s="17"/>
      <c r="G34" s="17"/>
      <c r="H34" s="277"/>
      <c r="I34" s="49"/>
      <c r="J34" s="254"/>
      <c r="K34" s="254"/>
      <c r="L34" s="254"/>
      <c r="M34" s="254"/>
      <c r="N34" s="254"/>
      <c r="O34" s="251"/>
      <c r="Q34" s="5"/>
      <c r="S34" s="42"/>
      <c r="T34" s="42"/>
      <c r="U34" s="42"/>
      <c r="V34" s="147" t="s">
        <v>576</v>
      </c>
      <c r="W34" s="288">
        <f>D47/L19</f>
        <v>0.44391675089732868</v>
      </c>
      <c r="X34" s="288">
        <v>1</v>
      </c>
      <c r="Y34" s="288"/>
      <c r="Z34" s="288"/>
      <c r="AA34" s="42"/>
    </row>
    <row r="35" spans="2:27" ht="12.6" thickBot="1">
      <c r="B35" s="306" t="s">
        <v>468</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1.3994261937965404</v>
      </c>
      <c r="E37" s="525">
        <f t="shared" ref="E37:G41" si="8">E$18/E23</f>
        <v>1.1165867578599111</v>
      </c>
      <c r="F37" s="525">
        <f t="shared" si="8"/>
        <v>1.0681068321544296</v>
      </c>
      <c r="G37" s="525">
        <f>G$18/G23</f>
        <v>1.014250128575259</v>
      </c>
      <c r="H37" s="17">
        <f t="shared" ref="H37:H45" si="9">H23</f>
        <v>2.1216515260999547E-2</v>
      </c>
      <c r="I37" s="5"/>
      <c r="J37" s="259"/>
      <c r="K37" s="259"/>
      <c r="L37" s="259"/>
      <c r="M37" s="259"/>
      <c r="N37" s="259"/>
      <c r="O37" s="18"/>
      <c r="Q37" s="5"/>
      <c r="S37" s="42"/>
      <c r="T37" s="42"/>
      <c r="U37" s="42"/>
      <c r="V37" s="42"/>
      <c r="W37" s="42"/>
      <c r="X37" s="42"/>
      <c r="Y37" s="42"/>
      <c r="Z37" s="42"/>
      <c r="AA37" s="42"/>
    </row>
    <row r="38" spans="2:27">
      <c r="B38" s="5" t="s">
        <v>180</v>
      </c>
      <c r="C38" s="247"/>
      <c r="D38" s="525">
        <f>D$18/D24</f>
        <v>5.3222954082695351</v>
      </c>
      <c r="E38" s="525">
        <f t="shared" si="8"/>
        <v>4.1423064545962553</v>
      </c>
      <c r="F38" s="525">
        <f t="shared" si="8"/>
        <v>3.9008860738469511</v>
      </c>
      <c r="G38" s="525">
        <f t="shared" si="8"/>
        <v>3.6638022854343726</v>
      </c>
      <c r="H38" s="17">
        <f t="shared" si="9"/>
        <v>3.8895430789765983E-2</v>
      </c>
      <c r="I38" s="259"/>
      <c r="J38" s="17"/>
      <c r="K38" s="17"/>
      <c r="L38" s="17"/>
      <c r="M38" s="17"/>
      <c r="N38" s="17"/>
      <c r="O38" s="5"/>
      <c r="Q38" s="5"/>
      <c r="S38" s="42"/>
      <c r="T38" s="42"/>
      <c r="U38" s="42"/>
      <c r="V38" s="42"/>
      <c r="W38" s="42"/>
      <c r="X38" s="42"/>
      <c r="Y38" s="42"/>
      <c r="Z38" s="42"/>
      <c r="AA38" s="42"/>
    </row>
    <row r="39" spans="2:27">
      <c r="B39" s="5" t="s">
        <v>181</v>
      </c>
      <c r="C39" s="247"/>
      <c r="D39" s="525">
        <f>D$18/D25</f>
        <v>21.646465352614751</v>
      </c>
      <c r="E39" s="525">
        <f t="shared" si="8"/>
        <v>12.524141311822895</v>
      </c>
      <c r="F39" s="525">
        <f t="shared" si="8"/>
        <v>10.403174684137287</v>
      </c>
      <c r="G39" s="525">
        <f t="shared" si="8"/>
        <v>9.1762846619880989</v>
      </c>
      <c r="H39" s="17">
        <f t="shared" si="9"/>
        <v>0.22111404086623665</v>
      </c>
      <c r="I39" s="17"/>
      <c r="J39" s="5"/>
      <c r="K39" s="5"/>
      <c r="L39" s="5"/>
      <c r="M39" s="5"/>
      <c r="N39" s="5"/>
      <c r="O39" s="5"/>
      <c r="Q39" s="5"/>
      <c r="S39" s="42"/>
      <c r="T39" s="42"/>
      <c r="U39" s="42"/>
      <c r="V39" s="42"/>
      <c r="W39" s="42"/>
      <c r="X39" s="42"/>
      <c r="Y39" s="42"/>
      <c r="Z39" s="42"/>
      <c r="AA39" s="42"/>
    </row>
    <row r="40" spans="2:27">
      <c r="B40" s="5" t="s">
        <v>461</v>
      </c>
      <c r="C40" s="247"/>
      <c r="D40" s="525">
        <f>D$18/D26</f>
        <v>28.861953803486337</v>
      </c>
      <c r="E40" s="525">
        <f t="shared" si="8"/>
        <v>16.698855082430526</v>
      </c>
      <c r="F40" s="525">
        <f t="shared" si="8"/>
        <v>13.870899578849716</v>
      </c>
      <c r="G40" s="525">
        <f t="shared" si="8"/>
        <v>12.235046215984132</v>
      </c>
      <c r="H40" s="17">
        <f t="shared" si="9"/>
        <v>0.22111404086623665</v>
      </c>
      <c r="I40" s="5"/>
      <c r="J40" s="259"/>
      <c r="K40" s="259"/>
      <c r="L40" s="259"/>
      <c r="M40" s="259"/>
      <c r="N40" s="259"/>
      <c r="O40" s="18"/>
      <c r="Q40" s="5"/>
      <c r="S40" s="42"/>
      <c r="T40" s="42"/>
      <c r="U40" s="42"/>
      <c r="V40" s="42"/>
      <c r="W40" s="288"/>
      <c r="X40" s="288"/>
      <c r="Y40" s="42"/>
      <c r="Z40" s="42"/>
      <c r="AA40" s="42"/>
    </row>
    <row r="41" spans="2:27">
      <c r="B41" s="5" t="s">
        <v>525</v>
      </c>
      <c r="C41" s="247"/>
      <c r="D41" s="525">
        <f>D$18/D27</f>
        <v>1.0447182473834848</v>
      </c>
      <c r="E41" s="525">
        <f t="shared" si="8"/>
        <v>0.96996370891841421</v>
      </c>
      <c r="F41" s="525">
        <f t="shared" si="8"/>
        <v>0.96409610209702723</v>
      </c>
      <c r="G41" s="525">
        <f t="shared" si="8"/>
        <v>0.9525391073763485</v>
      </c>
      <c r="H41" s="17">
        <f t="shared" si="9"/>
        <v>-5.400615870502079E-2</v>
      </c>
      <c r="I41" s="247"/>
      <c r="J41" s="17"/>
      <c r="K41" s="17"/>
      <c r="L41" s="17"/>
      <c r="M41" s="17"/>
      <c r="N41" s="17"/>
      <c r="O41" s="5"/>
      <c r="Q41" s="5"/>
      <c r="S41" s="42"/>
      <c r="T41" s="42"/>
      <c r="U41" s="42"/>
      <c r="V41" s="42"/>
      <c r="W41" s="288"/>
      <c r="X41" s="288"/>
      <c r="Y41" s="288"/>
      <c r="Z41" s="288"/>
      <c r="AA41" s="42"/>
    </row>
    <row r="42" spans="2:27">
      <c r="B42" s="5" t="s">
        <v>588</v>
      </c>
      <c r="C42" s="247"/>
      <c r="D42" s="525">
        <f>D18/D28</f>
        <v>2.4390383495903944</v>
      </c>
      <c r="E42" s="525">
        <f>E18/E28</f>
        <v>1.5509715689627697</v>
      </c>
      <c r="F42" s="525">
        <f>F18/F28</f>
        <v>1.4192770857547852</v>
      </c>
      <c r="G42" s="525">
        <f>G18/G28</f>
        <v>1.2876369755861177</v>
      </c>
      <c r="H42" s="17">
        <f t="shared" si="9"/>
        <v>0.13498794936079017</v>
      </c>
      <c r="I42" s="248"/>
      <c r="J42" s="5"/>
      <c r="K42" s="5"/>
      <c r="L42" s="5"/>
      <c r="M42" s="5"/>
      <c r="N42" s="5"/>
      <c r="O42" s="5"/>
      <c r="Q42" s="5"/>
      <c r="S42" s="42"/>
      <c r="T42" s="42"/>
      <c r="U42" s="42"/>
      <c r="V42" s="42"/>
      <c r="W42" s="288"/>
      <c r="X42" s="288"/>
      <c r="Y42" s="288"/>
      <c r="Z42" s="288"/>
      <c r="AA42" s="42"/>
    </row>
    <row r="43" spans="2:27">
      <c r="B43" s="5" t="s">
        <v>470</v>
      </c>
      <c r="C43" s="247"/>
      <c r="D43" s="525">
        <f>L26/D29</f>
        <v>39.272208465038084</v>
      </c>
      <c r="E43" s="525">
        <f>M26/E29</f>
        <v>24.280777271376333</v>
      </c>
      <c r="F43" s="525">
        <f>N26/F29</f>
        <v>15.993585473394646</v>
      </c>
      <c r="G43" s="525">
        <f>O26/G29</f>
        <v>16.13806051528616</v>
      </c>
      <c r="H43" s="17">
        <f t="shared" si="9"/>
        <v>0.34506930359817867</v>
      </c>
      <c r="I43" s="247"/>
      <c r="J43" s="247"/>
      <c r="K43" s="247"/>
      <c r="L43" s="247"/>
      <c r="M43" s="247"/>
      <c r="N43" s="247"/>
      <c r="O43" s="18"/>
      <c r="Q43" s="5"/>
      <c r="S43" s="42"/>
      <c r="T43" s="42"/>
      <c r="U43" s="42"/>
      <c r="V43" s="42"/>
      <c r="W43" s="288"/>
      <c r="X43" s="288"/>
      <c r="Y43" s="288"/>
      <c r="Z43" s="288"/>
      <c r="AA43" s="42"/>
    </row>
    <row r="44" spans="2:27">
      <c r="B44" s="5" t="s">
        <v>528</v>
      </c>
      <c r="C44" s="69"/>
      <c r="D44" s="525">
        <f>D11/D30</f>
        <v>5.226711989613257</v>
      </c>
      <c r="E44" s="525">
        <f>E11/E30</f>
        <v>7.2997235431131982</v>
      </c>
      <c r="F44" s="525">
        <f>F11/F30</f>
        <v>12.442781709469312</v>
      </c>
      <c r="G44" s="525">
        <f>G11/G30</f>
        <v>19.989720810019019</v>
      </c>
      <c r="H44" s="17">
        <f t="shared" si="9"/>
        <v>-0.36054898602874064</v>
      </c>
      <c r="I44" s="247"/>
      <c r="J44" s="248"/>
      <c r="K44" s="248"/>
      <c r="L44" s="248"/>
      <c r="M44" s="248"/>
      <c r="N44" s="248"/>
      <c r="O44" s="248"/>
      <c r="Q44" s="5"/>
      <c r="S44" s="42"/>
      <c r="T44" s="42"/>
      <c r="U44" s="42"/>
      <c r="V44" s="42"/>
      <c r="W44" s="325"/>
      <c r="X44" s="325"/>
      <c r="Y44" s="288"/>
      <c r="Z44" s="288"/>
      <c r="AA44" s="42"/>
    </row>
    <row r="45" spans="2:27">
      <c r="B45" s="5" t="s">
        <v>575</v>
      </c>
      <c r="C45" s="247"/>
      <c r="D45" s="248">
        <f>D31/D11</f>
        <v>0.17595307917888564</v>
      </c>
      <c r="E45" s="248">
        <f>E31/E11</f>
        <v>0.1466275659824047</v>
      </c>
      <c r="F45" s="248">
        <f>F31/F11</f>
        <v>8.797653958944282E-2</v>
      </c>
      <c r="G45" s="248">
        <f>G31/G11</f>
        <v>8.797653958944282E-2</v>
      </c>
      <c r="H45" s="17">
        <f t="shared" si="9"/>
        <v>-0.20629947401590021</v>
      </c>
      <c r="I45" s="248"/>
      <c r="J45" s="247"/>
      <c r="K45" s="247"/>
      <c r="L45" s="247"/>
      <c r="M45" s="247"/>
      <c r="N45" s="247"/>
      <c r="O45" s="248"/>
      <c r="Q45" s="5"/>
      <c r="S45" s="42"/>
      <c r="T45" s="42"/>
      <c r="U45" s="42"/>
      <c r="V45" s="42"/>
      <c r="W45" s="42"/>
      <c r="X45" s="42"/>
      <c r="Y45" s="325"/>
      <c r="Z45" s="325"/>
      <c r="AA45" s="42"/>
    </row>
    <row r="46" spans="2:27">
      <c r="B46" s="5" t="s">
        <v>600</v>
      </c>
      <c r="C46" s="247"/>
      <c r="D46" s="248">
        <f>(D31+D32)/D11</f>
        <v>0.17595307917888564</v>
      </c>
      <c r="E46" s="248">
        <f>(E31+E32)/E11</f>
        <v>0.1466275659824047</v>
      </c>
      <c r="F46" s="248">
        <f>(F31+F32)/F11</f>
        <v>8.797653958944282E-2</v>
      </c>
      <c r="G46" s="248">
        <f>(G31+G32)/G11</f>
        <v>8.797653958944282E-2</v>
      </c>
      <c r="H46" s="279">
        <f>((G31+G32)/(D31+D32))^(1/3)-1</f>
        <v>-0.20629947401590021</v>
      </c>
      <c r="I46" s="247"/>
      <c r="J46" s="247"/>
      <c r="K46" s="247"/>
      <c r="L46" s="247"/>
      <c r="M46" s="247"/>
      <c r="N46" s="247"/>
      <c r="O46" s="18"/>
      <c r="Q46" s="5"/>
      <c r="S46" s="42"/>
      <c r="T46" s="42"/>
      <c r="U46" s="42"/>
      <c r="V46" s="42"/>
      <c r="W46" s="42"/>
      <c r="X46" s="42"/>
      <c r="Y46" s="42"/>
      <c r="Z46" s="42"/>
      <c r="AA46" s="326"/>
    </row>
    <row r="47" spans="2:27">
      <c r="B47" s="5" t="s">
        <v>576</v>
      </c>
      <c r="C47" s="5"/>
      <c r="D47" s="248">
        <f>1/D43</f>
        <v>2.5463299342848154E-2</v>
      </c>
      <c r="E47" s="248">
        <f>1/E43</f>
        <v>4.1184843006605937E-2</v>
      </c>
      <c r="F47" s="248">
        <f>1/F43</f>
        <v>6.2525066794028236E-2</v>
      </c>
      <c r="G47" s="248">
        <f>1/G43</f>
        <v>6.1965314794351418E-2</v>
      </c>
      <c r="H47" s="17">
        <f>H29</f>
        <v>0.34506930359817867</v>
      </c>
      <c r="I47" s="17"/>
      <c r="J47" s="248"/>
      <c r="K47" s="248"/>
      <c r="L47" s="248"/>
      <c r="M47" s="248"/>
      <c r="N47" s="248"/>
      <c r="O47" s="248"/>
      <c r="Q47" s="5"/>
      <c r="S47" s="42"/>
      <c r="T47" s="42"/>
      <c r="U47" s="42"/>
      <c r="V47" s="42"/>
      <c r="W47" s="42"/>
      <c r="X47" s="42"/>
      <c r="Y47" s="42"/>
      <c r="Z47" s="42"/>
      <c r="AA47" s="326"/>
    </row>
    <row r="48" spans="2:27">
      <c r="B48" s="5" t="s">
        <v>613</v>
      </c>
      <c r="C48" s="5"/>
      <c r="D48" s="305">
        <f>D31/D29</f>
        <v>5.7327576775933871</v>
      </c>
      <c r="E48" s="305">
        <f>E31/E29</f>
        <v>2.9536538636547558</v>
      </c>
      <c r="F48" s="305">
        <f>F31/F29</f>
        <v>1.1673312184171345</v>
      </c>
      <c r="G48" s="305">
        <f>G31/G29</f>
        <v>1.1778760851052601</v>
      </c>
      <c r="H48" s="279" t="s">
        <v>602</v>
      </c>
      <c r="I48" s="247"/>
      <c r="J48" s="247"/>
      <c r="K48" s="247"/>
      <c r="L48" s="247"/>
      <c r="M48" s="247"/>
      <c r="N48" s="247"/>
      <c r="O48" s="248"/>
      <c r="Q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Y52" s="10"/>
      <c r="Z52" s="10"/>
    </row>
    <row r="53" spans="2:27">
      <c r="B53" s="5"/>
      <c r="C53" s="257"/>
      <c r="D53" s="257"/>
      <c r="E53" s="257"/>
      <c r="F53" s="5"/>
      <c r="G53" s="5"/>
      <c r="H53" s="259"/>
      <c r="I53" s="17"/>
      <c r="J53" s="259"/>
      <c r="K53" s="259"/>
      <c r="L53" s="259"/>
      <c r="M53" s="259"/>
      <c r="N53" s="259"/>
      <c r="O53" s="18"/>
      <c r="Q53" s="5"/>
    </row>
    <row r="54" spans="2:27">
      <c r="B54" s="41"/>
      <c r="C54" s="249"/>
      <c r="D54" s="254"/>
      <c r="E54" s="254"/>
      <c r="F54" s="254"/>
      <c r="G54" s="254"/>
      <c r="H54" s="254"/>
      <c r="I54" s="259"/>
      <c r="J54" s="254"/>
      <c r="K54" s="254"/>
      <c r="L54" s="254"/>
      <c r="M54" s="254"/>
      <c r="N54" s="254"/>
      <c r="O54" s="251"/>
      <c r="Q54" s="5"/>
    </row>
    <row r="55" spans="2:27">
      <c r="B55" s="5"/>
      <c r="C55" s="257"/>
      <c r="D55" s="17"/>
      <c r="E55" s="17"/>
      <c r="F55" s="17"/>
      <c r="G55" s="17"/>
      <c r="H55" s="17"/>
      <c r="I55" s="249"/>
      <c r="J55" s="17"/>
      <c r="K55" s="17"/>
      <c r="L55" s="17"/>
      <c r="M55" s="17"/>
      <c r="N55" s="17"/>
      <c r="O55" s="18"/>
      <c r="Q55" s="5"/>
    </row>
    <row r="56" spans="2:27">
      <c r="B56" s="5"/>
      <c r="C56" s="248"/>
      <c r="D56" s="248"/>
      <c r="E56" s="248"/>
      <c r="F56" s="5"/>
      <c r="G56" s="5"/>
      <c r="H56" s="259"/>
      <c r="I56" s="248"/>
      <c r="J56" s="259"/>
      <c r="K56" s="259"/>
      <c r="L56" s="259"/>
      <c r="M56" s="259"/>
      <c r="N56" s="259"/>
      <c r="O56" s="18"/>
      <c r="Q56" s="5"/>
    </row>
    <row r="57" spans="2:27">
      <c r="B57" s="41"/>
      <c r="C57" s="249"/>
      <c r="D57" s="249"/>
      <c r="E57" s="249"/>
      <c r="F57" s="249"/>
      <c r="G57" s="249"/>
      <c r="H57" s="249"/>
      <c r="I57" s="5"/>
      <c r="J57" s="249"/>
      <c r="K57" s="249"/>
      <c r="L57" s="249"/>
      <c r="M57" s="249"/>
      <c r="N57" s="249"/>
      <c r="O57" s="251"/>
      <c r="Q57" s="5"/>
    </row>
    <row r="58" spans="2:27">
      <c r="B58" s="5"/>
      <c r="C58" s="5"/>
      <c r="D58" s="248"/>
      <c r="E58" s="248"/>
      <c r="F58" s="248"/>
      <c r="G58" s="248"/>
      <c r="H58" s="248"/>
      <c r="I58" s="17"/>
      <c r="J58" s="248"/>
      <c r="K58" s="248"/>
      <c r="L58" s="248"/>
      <c r="M58" s="248"/>
      <c r="N58" s="248"/>
      <c r="O58" s="18"/>
      <c r="Q58" s="5"/>
    </row>
    <row r="59" spans="2:27">
      <c r="B59" s="5"/>
      <c r="C59" s="5"/>
      <c r="D59" s="5"/>
      <c r="E59" s="5"/>
      <c r="F59" s="5"/>
      <c r="G59" s="5"/>
      <c r="H59" s="5"/>
      <c r="I59" s="5"/>
      <c r="J59" s="5"/>
      <c r="K59" s="5"/>
      <c r="L59" s="5"/>
      <c r="M59" s="5"/>
      <c r="N59" s="5"/>
      <c r="O59" s="5"/>
      <c r="Q59" s="5"/>
    </row>
    <row r="60" spans="2:27">
      <c r="B60" s="41"/>
      <c r="C60" s="17"/>
      <c r="D60" s="17"/>
      <c r="E60" s="17"/>
      <c r="F60" s="17"/>
      <c r="G60" s="17"/>
      <c r="H60" s="17"/>
      <c r="I60" s="249"/>
      <c r="J60" s="17"/>
      <c r="K60" s="17"/>
      <c r="L60" s="17"/>
      <c r="M60" s="17"/>
      <c r="N60" s="17"/>
      <c r="O60" s="251"/>
      <c r="Q60" s="5"/>
    </row>
    <row r="61" spans="2:27">
      <c r="B61" s="5"/>
      <c r="C61" s="5"/>
      <c r="D61" s="5"/>
      <c r="E61" s="5"/>
      <c r="F61" s="5"/>
      <c r="G61" s="5"/>
      <c r="H61" s="5"/>
      <c r="I61" s="5"/>
      <c r="J61" s="5"/>
      <c r="K61" s="5"/>
      <c r="L61" s="5"/>
      <c r="M61" s="5"/>
      <c r="N61" s="5"/>
      <c r="O61" s="5"/>
      <c r="Q61" s="41"/>
    </row>
    <row r="62" spans="2:27">
      <c r="B62" s="41"/>
      <c r="C62" s="249"/>
      <c r="D62" s="249"/>
      <c r="E62" s="249"/>
      <c r="F62" s="249"/>
      <c r="G62" s="249"/>
      <c r="H62" s="249"/>
      <c r="I62" s="5"/>
      <c r="J62" s="249"/>
      <c r="K62" s="249"/>
      <c r="L62" s="249"/>
      <c r="M62" s="249"/>
      <c r="N62" s="249"/>
      <c r="O62" s="251"/>
      <c r="Q62" s="5"/>
    </row>
    <row r="63" spans="2:27">
      <c r="B63" s="5"/>
      <c r="C63" s="5"/>
      <c r="D63" s="5"/>
      <c r="E63" s="5"/>
      <c r="F63" s="5"/>
      <c r="G63" s="5"/>
      <c r="H63" s="5"/>
      <c r="I63" s="254"/>
      <c r="J63" s="5"/>
      <c r="K63" s="5"/>
      <c r="L63" s="5"/>
      <c r="M63" s="5"/>
      <c r="N63" s="5"/>
      <c r="O63" s="5"/>
      <c r="Q63" s="5"/>
    </row>
    <row r="64" spans="2:27">
      <c r="B64" s="5"/>
      <c r="C64" s="5"/>
      <c r="D64" s="5"/>
      <c r="E64" s="5"/>
      <c r="F64" s="5"/>
      <c r="G64" s="5"/>
      <c r="H64" s="5"/>
      <c r="I64" s="17"/>
      <c r="J64" s="5"/>
      <c r="K64" s="5"/>
      <c r="L64" s="5"/>
      <c r="M64" s="5"/>
      <c r="N64" s="5"/>
      <c r="O64" s="5"/>
      <c r="Q64" s="5"/>
    </row>
    <row r="65" spans="2:26">
      <c r="B65" s="41"/>
      <c r="C65" s="249"/>
      <c r="D65" s="254"/>
      <c r="E65" s="254"/>
      <c r="F65" s="254"/>
      <c r="G65" s="254"/>
      <c r="H65" s="254"/>
      <c r="I65" s="254"/>
      <c r="J65" s="254"/>
      <c r="K65" s="254"/>
      <c r="L65" s="254"/>
      <c r="M65" s="254"/>
      <c r="N65" s="254"/>
      <c r="O65" s="251"/>
      <c r="Q65" s="5"/>
    </row>
    <row r="66" spans="2:26">
      <c r="B66" s="5"/>
      <c r="C66" s="5"/>
      <c r="D66" s="17"/>
      <c r="E66" s="17"/>
      <c r="F66" s="17"/>
      <c r="G66" s="17"/>
      <c r="H66" s="17"/>
      <c r="I66" s="248"/>
      <c r="J66" s="17"/>
      <c r="K66" s="17"/>
      <c r="L66" s="17"/>
      <c r="M66" s="17"/>
      <c r="N66" s="17"/>
      <c r="O66" s="5"/>
      <c r="Q66" s="5"/>
    </row>
    <row r="67" spans="2:26">
      <c r="B67" s="41"/>
      <c r="C67" s="249"/>
      <c r="D67" s="254"/>
      <c r="E67" s="254"/>
      <c r="F67" s="254"/>
      <c r="G67" s="254"/>
      <c r="H67" s="254"/>
      <c r="I67" s="5"/>
      <c r="J67" s="254"/>
      <c r="K67" s="254"/>
      <c r="L67" s="254"/>
      <c r="M67" s="254"/>
      <c r="N67" s="254"/>
      <c r="O67" s="251"/>
      <c r="Q67" s="41"/>
    </row>
    <row r="68" spans="2:26">
      <c r="B68" s="5"/>
      <c r="C68" s="5"/>
      <c r="D68" s="248"/>
      <c r="E68" s="248"/>
      <c r="F68" s="248"/>
      <c r="G68" s="248"/>
      <c r="H68" s="248"/>
      <c r="I68" s="245"/>
      <c r="J68" s="248"/>
      <c r="K68" s="248"/>
      <c r="L68" s="248"/>
      <c r="M68" s="248"/>
      <c r="N68" s="248"/>
      <c r="O68" s="5"/>
      <c r="Q68" s="5"/>
    </row>
    <row r="69" spans="2:26">
      <c r="B69" s="41"/>
      <c r="C69" s="5"/>
      <c r="D69" s="5"/>
      <c r="E69" s="5"/>
      <c r="F69" s="5"/>
      <c r="G69" s="5"/>
      <c r="H69" s="5"/>
      <c r="I69" s="248"/>
      <c r="J69" s="5"/>
      <c r="K69" s="5"/>
      <c r="L69" s="5"/>
      <c r="M69" s="5"/>
      <c r="N69" s="5"/>
      <c r="O69" s="5"/>
      <c r="Q69" s="5"/>
    </row>
    <row r="70" spans="2:26">
      <c r="B70" s="41"/>
      <c r="C70" s="245"/>
      <c r="D70" s="245"/>
      <c r="E70" s="245"/>
      <c r="F70" s="245"/>
      <c r="G70" s="245"/>
      <c r="H70" s="245"/>
      <c r="I70" s="5"/>
      <c r="J70" s="245"/>
      <c r="K70" s="245"/>
      <c r="L70" s="245"/>
      <c r="M70" s="245"/>
      <c r="N70" s="245"/>
      <c r="O70" s="251"/>
      <c r="Q70" s="5"/>
      <c r="W70" s="76"/>
      <c r="X70" s="76"/>
    </row>
    <row r="71" spans="2:26">
      <c r="B71" s="5"/>
      <c r="C71" s="5"/>
      <c r="D71" s="248"/>
      <c r="E71" s="248"/>
      <c r="F71" s="248"/>
      <c r="G71" s="248"/>
      <c r="H71" s="248"/>
      <c r="I71" s="245"/>
      <c r="J71" s="248"/>
      <c r="K71" s="248"/>
      <c r="L71" s="248"/>
      <c r="M71" s="248"/>
      <c r="N71" s="248"/>
      <c r="O71" s="5"/>
      <c r="Q71" s="5"/>
      <c r="W71" s="76"/>
      <c r="X71" s="76"/>
      <c r="Y71" s="76"/>
      <c r="Z71" s="76"/>
    </row>
    <row r="72" spans="2:26">
      <c r="B72" s="41"/>
      <c r="C72" s="5"/>
      <c r="D72" s="5"/>
      <c r="E72" s="5"/>
      <c r="F72" s="5"/>
      <c r="G72" s="5"/>
      <c r="H72" s="5"/>
      <c r="I72" s="18"/>
      <c r="J72" s="5"/>
      <c r="K72" s="5"/>
      <c r="L72" s="5"/>
      <c r="M72" s="5"/>
      <c r="N72" s="5"/>
      <c r="O72" s="5"/>
      <c r="Q72" s="5"/>
      <c r="Y72" s="76"/>
      <c r="Z72" s="76"/>
    </row>
    <row r="73" spans="2:26">
      <c r="B73" s="41"/>
      <c r="C73" s="245"/>
      <c r="D73" s="245"/>
      <c r="E73" s="245"/>
      <c r="F73" s="245"/>
      <c r="G73" s="245"/>
      <c r="H73" s="245"/>
      <c r="I73" s="5"/>
      <c r="J73" s="245"/>
      <c r="K73" s="245"/>
      <c r="L73" s="245"/>
      <c r="M73" s="245"/>
      <c r="N73" s="245"/>
      <c r="O73" s="251"/>
      <c r="Q73" s="5"/>
    </row>
    <row r="74" spans="2:26">
      <c r="B74" s="5"/>
      <c r="C74" s="5"/>
      <c r="D74" s="18"/>
      <c r="E74" s="18"/>
      <c r="F74" s="18"/>
      <c r="G74" s="18"/>
      <c r="H74" s="18"/>
      <c r="I74" s="249"/>
      <c r="J74" s="18"/>
      <c r="K74" s="18"/>
      <c r="L74" s="18"/>
      <c r="M74" s="18"/>
      <c r="N74" s="18"/>
      <c r="O74" s="5"/>
      <c r="Q74" s="5"/>
    </row>
    <row r="75" spans="2:26">
      <c r="B75" s="41"/>
      <c r="C75" s="5"/>
      <c r="D75" s="5"/>
      <c r="E75" s="5"/>
      <c r="F75" s="5"/>
      <c r="G75" s="5"/>
      <c r="H75" s="5"/>
      <c r="I75" s="248"/>
      <c r="J75" s="5"/>
      <c r="K75" s="5"/>
      <c r="L75" s="5"/>
      <c r="M75" s="5"/>
      <c r="N75" s="5"/>
      <c r="O75" s="5"/>
      <c r="Q75" s="5"/>
    </row>
    <row r="76" spans="2:26">
      <c r="B76" s="41"/>
      <c r="C76" s="249"/>
      <c r="D76" s="249"/>
      <c r="E76" s="249"/>
      <c r="F76" s="249"/>
      <c r="G76" s="249"/>
      <c r="H76" s="249"/>
      <c r="I76" s="5"/>
      <c r="J76" s="249"/>
      <c r="K76" s="249"/>
      <c r="L76" s="249"/>
      <c r="M76" s="249"/>
      <c r="N76" s="249"/>
      <c r="O76" s="251"/>
      <c r="Q76" s="5"/>
    </row>
    <row r="77" spans="2:26">
      <c r="B77" s="5"/>
      <c r="C77" s="5"/>
      <c r="D77" s="248"/>
      <c r="E77" s="248"/>
      <c r="F77" s="248"/>
      <c r="G77" s="248"/>
      <c r="H77" s="248"/>
      <c r="I77" s="245"/>
      <c r="J77" s="248"/>
      <c r="K77" s="248"/>
      <c r="L77" s="248"/>
      <c r="M77" s="248"/>
      <c r="N77" s="248"/>
      <c r="O77" s="5"/>
      <c r="Q77" s="5"/>
    </row>
    <row r="78" spans="2:26">
      <c r="B78" s="41"/>
      <c r="C78" s="5"/>
      <c r="D78" s="5"/>
      <c r="E78" s="5"/>
      <c r="F78" s="5"/>
      <c r="G78" s="5"/>
      <c r="H78" s="5"/>
      <c r="I78" s="248"/>
      <c r="J78" s="5"/>
      <c r="K78" s="5"/>
      <c r="L78" s="5"/>
      <c r="M78" s="5"/>
      <c r="N78" s="5"/>
      <c r="O78" s="5"/>
      <c r="Q78" s="5"/>
    </row>
    <row r="79" spans="2:26">
      <c r="B79" s="41"/>
      <c r="C79" s="245"/>
      <c r="D79" s="245"/>
      <c r="E79" s="245"/>
      <c r="F79" s="245"/>
      <c r="G79" s="245"/>
      <c r="H79" s="245"/>
      <c r="I79" s="5"/>
      <c r="J79" s="245"/>
      <c r="K79" s="245"/>
      <c r="L79" s="245"/>
      <c r="M79" s="245"/>
      <c r="N79" s="245"/>
      <c r="O79" s="251"/>
      <c r="Q79" s="5"/>
    </row>
    <row r="80" spans="2:26">
      <c r="B80" s="5"/>
      <c r="C80" s="5"/>
      <c r="D80" s="248"/>
      <c r="E80" s="248"/>
      <c r="F80" s="248"/>
      <c r="G80" s="248"/>
      <c r="H80" s="248"/>
      <c r="I80" s="249"/>
      <c r="J80" s="248"/>
      <c r="K80" s="248"/>
      <c r="L80" s="248"/>
      <c r="M80" s="248"/>
      <c r="N80" s="248"/>
      <c r="O80" s="5"/>
      <c r="Q80" s="5"/>
    </row>
    <row r="81" spans="2:26">
      <c r="B81" s="41"/>
      <c r="C81" s="5"/>
      <c r="D81" s="5"/>
      <c r="E81" s="5"/>
      <c r="F81" s="5"/>
      <c r="G81" s="5"/>
      <c r="H81" s="5"/>
      <c r="I81" s="248"/>
      <c r="J81" s="5"/>
      <c r="K81" s="5"/>
      <c r="L81" s="5"/>
      <c r="M81" s="5"/>
      <c r="N81" s="5"/>
      <c r="O81" s="5"/>
      <c r="Q81" s="5"/>
    </row>
    <row r="82" spans="2:26">
      <c r="B82" s="41"/>
      <c r="C82" s="249"/>
      <c r="D82" s="249"/>
      <c r="E82" s="249"/>
      <c r="F82" s="249"/>
      <c r="G82" s="249"/>
      <c r="H82" s="249"/>
      <c r="I82" s="259"/>
      <c r="J82" s="249"/>
      <c r="K82" s="249"/>
      <c r="L82" s="249"/>
      <c r="M82" s="249"/>
      <c r="N82" s="249"/>
      <c r="O82" s="251"/>
      <c r="Q82" s="5"/>
    </row>
    <row r="83" spans="2:26">
      <c r="B83" s="5"/>
      <c r="C83" s="5"/>
      <c r="D83" s="248"/>
      <c r="E83" s="248"/>
      <c r="F83" s="248"/>
      <c r="G83" s="248"/>
      <c r="H83" s="248"/>
      <c r="I83" s="5"/>
      <c r="J83" s="248"/>
      <c r="K83" s="248"/>
      <c r="L83" s="248"/>
      <c r="M83" s="248"/>
      <c r="N83" s="248"/>
      <c r="O83" s="5"/>
      <c r="Q83" s="5"/>
    </row>
    <row r="84" spans="2:26">
      <c r="B84" s="5"/>
      <c r="C84" s="259"/>
      <c r="D84" s="259"/>
      <c r="E84" s="259"/>
      <c r="F84" s="259"/>
      <c r="G84" s="259"/>
      <c r="H84" s="259"/>
      <c r="I84" s="245"/>
      <c r="J84" s="259"/>
      <c r="K84" s="259"/>
      <c r="L84" s="259"/>
      <c r="M84" s="259"/>
      <c r="N84" s="259"/>
      <c r="O84" s="251"/>
      <c r="Q84" s="5"/>
    </row>
    <row r="85" spans="2:26">
      <c r="B85" s="41"/>
      <c r="C85" s="5"/>
      <c r="D85" s="5"/>
      <c r="E85" s="5"/>
      <c r="F85" s="5"/>
      <c r="G85" s="5"/>
      <c r="H85" s="5"/>
      <c r="I85" s="248"/>
      <c r="J85" s="5"/>
      <c r="K85" s="5"/>
      <c r="L85" s="5"/>
      <c r="M85" s="5"/>
      <c r="N85" s="5"/>
      <c r="O85" s="5"/>
      <c r="Q85" s="5"/>
    </row>
    <row r="86" spans="2:26">
      <c r="B86" s="41"/>
      <c r="C86" s="245"/>
      <c r="D86" s="245"/>
      <c r="E86" s="245"/>
      <c r="F86" s="245"/>
      <c r="G86" s="245"/>
      <c r="H86" s="245"/>
      <c r="I86" s="5"/>
      <c r="J86" s="245"/>
      <c r="K86" s="245"/>
      <c r="L86" s="245"/>
      <c r="M86" s="245"/>
      <c r="N86" s="245"/>
      <c r="O86" s="251"/>
      <c r="Q86" s="5"/>
    </row>
    <row r="87" spans="2:26">
      <c r="B87" s="5"/>
      <c r="C87" s="5"/>
      <c r="D87" s="248"/>
      <c r="E87" s="248"/>
      <c r="F87" s="248"/>
      <c r="G87" s="248"/>
      <c r="H87" s="248"/>
      <c r="I87" s="5"/>
      <c r="J87" s="248"/>
      <c r="K87" s="248"/>
      <c r="L87" s="248"/>
      <c r="M87" s="248"/>
      <c r="N87" s="248"/>
      <c r="O87" s="5"/>
      <c r="Q87" s="5"/>
    </row>
    <row r="88" spans="2:26">
      <c r="B88" s="41"/>
      <c r="C88" s="5"/>
      <c r="D88" s="5"/>
      <c r="E88" s="5"/>
      <c r="F88" s="5"/>
      <c r="G88" s="5"/>
      <c r="H88" s="5"/>
      <c r="I88" s="5"/>
      <c r="J88" s="5"/>
      <c r="K88" s="5"/>
      <c r="L88" s="5"/>
      <c r="M88" s="5"/>
      <c r="N88" s="5"/>
      <c r="O88" s="5"/>
      <c r="Q88" s="5"/>
    </row>
    <row r="89" spans="2:26">
      <c r="B89" s="41"/>
      <c r="C89" s="5"/>
      <c r="D89" s="5"/>
      <c r="E89" s="5"/>
      <c r="F89" s="5"/>
      <c r="G89" s="5"/>
      <c r="H89" s="5"/>
      <c r="I89" s="5"/>
      <c r="J89" s="5"/>
      <c r="K89" s="5"/>
      <c r="L89" s="5"/>
      <c r="M89" s="5"/>
      <c r="N89" s="5"/>
      <c r="O89" s="5"/>
      <c r="Q89" s="5"/>
    </row>
    <row r="90" spans="2:26">
      <c r="B90" s="41"/>
      <c r="C90" s="5"/>
      <c r="D90" s="5"/>
      <c r="E90" s="5"/>
      <c r="F90" s="5"/>
      <c r="G90" s="5"/>
      <c r="H90" s="5"/>
      <c r="I90" s="49"/>
      <c r="J90" s="5"/>
      <c r="K90" s="5"/>
      <c r="L90" s="5"/>
      <c r="M90" s="5"/>
      <c r="N90" s="5"/>
      <c r="O90" s="5"/>
      <c r="Q90" s="41"/>
    </row>
    <row r="91" spans="2:26">
      <c r="B91" s="5"/>
      <c r="C91" s="5"/>
      <c r="D91" s="5"/>
      <c r="E91" s="5"/>
      <c r="F91" s="5"/>
      <c r="G91" s="5"/>
      <c r="H91" s="5"/>
      <c r="I91" s="5"/>
      <c r="J91" s="5"/>
      <c r="K91" s="5"/>
      <c r="L91" s="5"/>
      <c r="M91" s="5"/>
      <c r="N91" s="5"/>
      <c r="O91" s="5"/>
      <c r="Q91" s="5"/>
    </row>
    <row r="92" spans="2:26">
      <c r="B92" s="41"/>
      <c r="C92" s="49"/>
      <c r="D92" s="49"/>
      <c r="E92" s="49"/>
      <c r="F92" s="49"/>
      <c r="G92" s="49"/>
      <c r="H92" s="49"/>
      <c r="I92" s="247"/>
      <c r="J92" s="49"/>
      <c r="K92" s="49"/>
      <c r="L92" s="49"/>
      <c r="M92" s="49"/>
      <c r="N92" s="49"/>
      <c r="O92" s="49"/>
      <c r="Q92" s="5"/>
      <c r="W92" s="21"/>
      <c r="X92" s="21"/>
    </row>
    <row r="93" spans="2:26">
      <c r="B93" s="5"/>
      <c r="C93" s="5"/>
      <c r="D93" s="5"/>
      <c r="E93" s="5"/>
      <c r="F93" s="5"/>
      <c r="G93" s="5"/>
      <c r="H93" s="5"/>
      <c r="I93" s="247"/>
      <c r="J93" s="5"/>
      <c r="K93" s="5"/>
      <c r="L93" s="5"/>
      <c r="M93" s="5"/>
      <c r="N93" s="5"/>
      <c r="O93" s="5"/>
      <c r="Q93" s="5"/>
      <c r="W93" s="21"/>
      <c r="X93" s="21"/>
      <c r="Y93" s="21"/>
      <c r="Z93" s="21"/>
    </row>
    <row r="94" spans="2:26">
      <c r="B94" s="5"/>
      <c r="C94" s="259"/>
      <c r="D94" s="247"/>
      <c r="E94" s="247"/>
      <c r="F94" s="247"/>
      <c r="G94" s="247"/>
      <c r="H94" s="247"/>
      <c r="I94" s="247"/>
      <c r="J94" s="247"/>
      <c r="K94" s="247"/>
      <c r="L94" s="247"/>
      <c r="M94" s="247"/>
      <c r="N94" s="247"/>
      <c r="O94" s="248"/>
      <c r="Q94" s="5"/>
      <c r="Y94" s="21"/>
      <c r="Z94" s="21"/>
    </row>
    <row r="95" spans="2:26">
      <c r="B95" s="5"/>
      <c r="C95" s="259"/>
      <c r="D95" s="247"/>
      <c r="E95" s="247"/>
      <c r="F95" s="247"/>
      <c r="G95" s="247"/>
      <c r="H95" s="247"/>
      <c r="I95" s="248"/>
      <c r="J95" s="247"/>
      <c r="K95" s="247"/>
      <c r="L95" s="247"/>
      <c r="M95" s="247"/>
      <c r="N95" s="247"/>
      <c r="O95" s="248"/>
      <c r="Q95" s="5"/>
    </row>
    <row r="96" spans="2:26">
      <c r="B96" s="5"/>
      <c r="C96" s="259"/>
      <c r="D96" s="247"/>
      <c r="E96" s="247"/>
      <c r="F96" s="247"/>
      <c r="G96" s="247"/>
      <c r="H96" s="247"/>
      <c r="I96" s="247"/>
      <c r="J96" s="247"/>
      <c r="K96" s="247"/>
      <c r="L96" s="247"/>
      <c r="M96" s="247"/>
      <c r="N96" s="247"/>
      <c r="O96" s="248"/>
      <c r="Q96" s="5"/>
    </row>
    <row r="97" spans="2:17">
      <c r="B97" s="5"/>
      <c r="C97" s="259"/>
      <c r="D97" s="248"/>
      <c r="E97" s="248"/>
      <c r="F97" s="248"/>
      <c r="G97" s="248"/>
      <c r="H97" s="248"/>
      <c r="I97" s="249"/>
      <c r="J97" s="248"/>
      <c r="K97" s="248"/>
      <c r="L97" s="248"/>
      <c r="M97" s="248"/>
      <c r="N97" s="248"/>
      <c r="O97" s="248"/>
      <c r="Q97" s="5"/>
    </row>
    <row r="98" spans="2:17">
      <c r="B98" s="5"/>
      <c r="C98" s="259"/>
      <c r="D98" s="247"/>
      <c r="E98" s="247"/>
      <c r="F98" s="247"/>
      <c r="G98" s="247"/>
      <c r="H98" s="247"/>
      <c r="I98" s="248"/>
      <c r="J98" s="247"/>
      <c r="K98" s="247"/>
      <c r="L98" s="247"/>
      <c r="M98" s="247"/>
      <c r="N98" s="247"/>
      <c r="O98" s="248"/>
      <c r="Q98" s="5"/>
    </row>
    <row r="99" spans="2:17">
      <c r="B99" s="41"/>
      <c r="C99" s="249"/>
      <c r="D99" s="249"/>
      <c r="E99" s="249"/>
      <c r="F99" s="249"/>
      <c r="G99" s="249"/>
      <c r="H99" s="249"/>
      <c r="I99" s="5"/>
      <c r="J99" s="249"/>
      <c r="K99" s="249"/>
      <c r="L99" s="249"/>
      <c r="M99" s="249"/>
      <c r="N99" s="249"/>
      <c r="O99" s="248"/>
      <c r="Q99" s="5"/>
    </row>
    <row r="100" spans="2:17">
      <c r="B100" s="41"/>
      <c r="C100" s="257"/>
      <c r="D100" s="248"/>
      <c r="E100" s="248"/>
      <c r="F100" s="248"/>
      <c r="G100" s="248"/>
      <c r="H100" s="248"/>
      <c r="I100" s="259"/>
      <c r="J100" s="248"/>
      <c r="K100" s="248"/>
      <c r="L100" s="248"/>
      <c r="M100" s="248"/>
      <c r="N100" s="248"/>
      <c r="O100" s="248"/>
      <c r="Q100" s="5"/>
    </row>
    <row r="101" spans="2:17" s="5" customFormat="1">
      <c r="B101" s="41"/>
      <c r="I101" s="259"/>
      <c r="O101" s="248"/>
      <c r="P101" s="39"/>
    </row>
    <row r="102" spans="2:17">
      <c r="B102" s="5"/>
      <c r="C102" s="259"/>
      <c r="D102" s="259"/>
      <c r="E102" s="259"/>
      <c r="F102" s="259"/>
      <c r="G102" s="259"/>
      <c r="H102" s="259"/>
      <c r="I102" s="247"/>
      <c r="J102" s="259"/>
      <c r="K102" s="259"/>
      <c r="L102" s="259"/>
      <c r="M102" s="259"/>
      <c r="N102" s="259"/>
      <c r="O102" s="5"/>
      <c r="Q102" s="5"/>
    </row>
    <row r="103" spans="2:17">
      <c r="B103" s="5"/>
      <c r="C103" s="259"/>
      <c r="D103" s="259"/>
      <c r="E103" s="259"/>
      <c r="F103" s="259"/>
      <c r="G103" s="259"/>
      <c r="H103" s="259"/>
      <c r="I103" s="5"/>
      <c r="J103" s="259"/>
      <c r="K103" s="259"/>
      <c r="L103" s="259"/>
      <c r="M103" s="259"/>
      <c r="N103" s="259"/>
      <c r="O103" s="5"/>
      <c r="P103" s="5"/>
      <c r="Q103" s="5"/>
    </row>
    <row r="104" spans="2:17">
      <c r="B104" s="5"/>
      <c r="C104" s="247"/>
      <c r="D104" s="247"/>
      <c r="E104" s="247"/>
      <c r="F104" s="247"/>
      <c r="G104" s="247"/>
      <c r="H104" s="247"/>
      <c r="I104" s="247"/>
      <c r="J104" s="247"/>
      <c r="K104" s="247"/>
      <c r="L104" s="247"/>
      <c r="M104" s="247"/>
      <c r="N104" s="247"/>
      <c r="O104" s="5"/>
      <c r="Q104" s="5"/>
    </row>
    <row r="105" spans="2:17" s="5" customFormat="1">
      <c r="P105" s="39"/>
    </row>
    <row r="106" spans="2:17" s="5" customFormat="1">
      <c r="C106" s="259"/>
      <c r="D106" s="247"/>
      <c r="E106" s="247"/>
      <c r="F106" s="247"/>
      <c r="G106" s="247"/>
      <c r="H106" s="247"/>
      <c r="I106" s="259"/>
      <c r="J106" s="247"/>
      <c r="K106" s="247"/>
      <c r="L106" s="247"/>
      <c r="M106" s="247"/>
      <c r="N106" s="247"/>
      <c r="P106" s="39"/>
    </row>
    <row r="107" spans="2:17">
      <c r="B107" s="5"/>
      <c r="C107" s="259"/>
      <c r="D107" s="5"/>
      <c r="E107" s="5"/>
      <c r="F107" s="5"/>
      <c r="G107" s="5"/>
      <c r="H107" s="5"/>
      <c r="I107" s="247"/>
      <c r="J107" s="5"/>
      <c r="K107" s="5"/>
      <c r="L107" s="5"/>
      <c r="M107" s="5"/>
      <c r="N107" s="5"/>
      <c r="O107" s="5"/>
      <c r="P107" s="5"/>
      <c r="Q107" s="5"/>
    </row>
    <row r="108" spans="2:17">
      <c r="B108" s="5"/>
      <c r="C108" s="259"/>
      <c r="D108" s="259"/>
      <c r="E108" s="259"/>
      <c r="F108" s="259"/>
      <c r="G108" s="259"/>
      <c r="H108" s="259"/>
      <c r="I108" s="249"/>
      <c r="J108" s="259"/>
      <c r="K108" s="259"/>
      <c r="L108" s="259"/>
      <c r="M108" s="259"/>
      <c r="N108" s="259"/>
      <c r="O108" s="5"/>
      <c r="P108" s="5"/>
      <c r="Q108" s="5"/>
    </row>
    <row r="109" spans="2:17">
      <c r="B109" s="5"/>
      <c r="C109" s="247"/>
      <c r="D109" s="247"/>
      <c r="E109" s="247"/>
      <c r="F109" s="247"/>
      <c r="G109" s="247"/>
      <c r="H109" s="247"/>
      <c r="I109" s="249"/>
      <c r="J109" s="247"/>
      <c r="K109" s="247"/>
      <c r="L109" s="247"/>
      <c r="M109" s="247"/>
      <c r="N109" s="247"/>
      <c r="O109" s="5"/>
      <c r="Q109" s="5"/>
    </row>
    <row r="110" spans="2:17">
      <c r="B110" s="41"/>
      <c r="C110" s="249"/>
      <c r="D110" s="249"/>
      <c r="E110" s="249"/>
      <c r="F110" s="249"/>
      <c r="G110" s="249"/>
      <c r="H110" s="249"/>
      <c r="I110" s="247"/>
      <c r="J110" s="249"/>
      <c r="K110" s="249"/>
      <c r="L110" s="249"/>
      <c r="M110" s="249"/>
      <c r="N110" s="249"/>
      <c r="O110" s="5"/>
      <c r="Q110" s="5"/>
    </row>
    <row r="111" spans="2:17">
      <c r="B111" s="5"/>
      <c r="C111" s="249"/>
      <c r="D111" s="249"/>
      <c r="E111" s="249"/>
      <c r="F111" s="249"/>
      <c r="G111" s="249"/>
      <c r="H111" s="249"/>
      <c r="I111" s="5"/>
      <c r="J111" s="249"/>
      <c r="K111" s="249"/>
      <c r="L111" s="249"/>
      <c r="M111" s="249"/>
      <c r="N111" s="249"/>
      <c r="O111" s="5"/>
      <c r="Q111" s="5"/>
    </row>
    <row r="112" spans="2:17">
      <c r="B112" s="5"/>
      <c r="C112" s="247"/>
      <c r="D112" s="247"/>
      <c r="E112" s="247"/>
      <c r="F112" s="247"/>
      <c r="G112" s="247"/>
      <c r="H112" s="247"/>
      <c r="I112" s="5"/>
      <c r="J112" s="247"/>
      <c r="K112" s="247"/>
      <c r="L112" s="247"/>
      <c r="M112" s="247"/>
      <c r="N112" s="247"/>
      <c r="O112" s="5"/>
      <c r="Q112" s="5"/>
    </row>
    <row r="113" spans="2:17">
      <c r="B113" s="5"/>
      <c r="C113" s="5"/>
      <c r="D113" s="5"/>
      <c r="E113" s="5"/>
      <c r="F113" s="5"/>
      <c r="G113" s="5"/>
      <c r="H113" s="5"/>
      <c r="I113" s="5"/>
      <c r="J113" s="5"/>
      <c r="K113" s="5"/>
      <c r="L113" s="5"/>
      <c r="M113" s="5"/>
      <c r="N113" s="5"/>
      <c r="O113" s="5"/>
      <c r="Q113" s="5"/>
    </row>
    <row r="114" spans="2:17">
      <c r="B114" s="5"/>
      <c r="C114" s="5"/>
      <c r="D114" s="5"/>
      <c r="E114" s="5"/>
      <c r="F114" s="5"/>
      <c r="G114" s="5"/>
      <c r="H114" s="5"/>
      <c r="I114" s="5"/>
      <c r="J114" s="5"/>
      <c r="K114" s="5"/>
      <c r="L114" s="5"/>
      <c r="M114" s="5"/>
      <c r="N114" s="5"/>
      <c r="O114" s="5"/>
      <c r="Q114" s="5"/>
    </row>
    <row r="115" spans="2:17">
      <c r="B115" s="5"/>
      <c r="C115" s="5"/>
      <c r="D115" s="5"/>
      <c r="E115" s="5"/>
      <c r="F115" s="5"/>
      <c r="G115" s="5"/>
      <c r="H115" s="5"/>
      <c r="I115" s="49"/>
      <c r="J115" s="5"/>
      <c r="K115" s="5"/>
      <c r="L115" s="5"/>
      <c r="M115" s="5"/>
      <c r="N115" s="5"/>
      <c r="O115" s="5"/>
      <c r="Q115" s="41"/>
    </row>
    <row r="116" spans="2:17">
      <c r="B116" s="5"/>
      <c r="C116" s="5"/>
      <c r="D116" s="5"/>
      <c r="E116" s="5"/>
      <c r="F116" s="5"/>
      <c r="G116" s="5"/>
      <c r="H116" s="5"/>
      <c r="I116" s="5"/>
      <c r="J116" s="5"/>
      <c r="K116" s="5"/>
      <c r="L116" s="5"/>
      <c r="M116" s="5"/>
      <c r="N116" s="5"/>
      <c r="O116" s="5"/>
      <c r="Q116" s="5"/>
    </row>
    <row r="117" spans="2:17">
      <c r="B117" s="41"/>
      <c r="C117" s="49"/>
      <c r="D117" s="49"/>
      <c r="E117" s="49"/>
      <c r="F117" s="49"/>
      <c r="G117" s="49"/>
      <c r="H117" s="49"/>
      <c r="I117" s="254"/>
      <c r="J117" s="49"/>
      <c r="K117" s="49"/>
      <c r="L117" s="49"/>
      <c r="M117" s="49"/>
      <c r="N117" s="49"/>
      <c r="O117" s="49"/>
      <c r="Q117" s="5"/>
    </row>
    <row r="118" spans="2:17">
      <c r="B118" s="5"/>
      <c r="C118" s="5"/>
      <c r="D118" s="5"/>
      <c r="E118" s="5"/>
      <c r="F118" s="5"/>
      <c r="G118" s="5"/>
      <c r="H118" s="5"/>
      <c r="I118" s="249"/>
      <c r="J118" s="5"/>
      <c r="K118" s="5"/>
      <c r="L118" s="5"/>
      <c r="M118" s="5"/>
      <c r="N118" s="5"/>
      <c r="O118" s="5"/>
      <c r="Q118" s="5"/>
    </row>
    <row r="119" spans="2:17">
      <c r="B119" s="41"/>
      <c r="C119" s="254"/>
      <c r="D119" s="254"/>
      <c r="E119" s="254"/>
      <c r="F119" s="254"/>
      <c r="G119" s="254"/>
      <c r="H119" s="254"/>
      <c r="I119" s="254"/>
      <c r="J119" s="254"/>
      <c r="K119" s="254"/>
      <c r="L119" s="254"/>
      <c r="M119" s="254"/>
      <c r="N119" s="254"/>
      <c r="O119" s="248"/>
      <c r="Q119" s="5"/>
    </row>
    <row r="120" spans="2:17">
      <c r="B120" s="41"/>
      <c r="C120" s="254"/>
      <c r="D120" s="249"/>
      <c r="E120" s="249"/>
      <c r="F120" s="249"/>
      <c r="G120" s="249"/>
      <c r="H120" s="249"/>
      <c r="I120" s="254"/>
      <c r="J120" s="249"/>
      <c r="K120" s="249"/>
      <c r="L120" s="249"/>
      <c r="M120" s="249"/>
      <c r="N120" s="249"/>
      <c r="O120" s="248"/>
      <c r="Q120" s="5"/>
    </row>
    <row r="121" spans="2:17">
      <c r="B121" s="41"/>
      <c r="C121" s="254"/>
      <c r="D121" s="254"/>
      <c r="E121" s="254"/>
      <c r="F121" s="254"/>
      <c r="G121" s="254"/>
      <c r="H121" s="254"/>
      <c r="I121" s="254"/>
      <c r="J121" s="254"/>
      <c r="K121" s="254"/>
      <c r="L121" s="254"/>
      <c r="M121" s="254"/>
      <c r="N121" s="254"/>
      <c r="O121" s="248"/>
      <c r="Q121" s="5"/>
    </row>
    <row r="122" spans="2:17">
      <c r="B122" s="41"/>
      <c r="C122" s="254"/>
      <c r="D122" s="254"/>
      <c r="E122" s="254"/>
      <c r="F122" s="254"/>
      <c r="G122" s="254"/>
      <c r="H122" s="254"/>
      <c r="I122" s="254"/>
      <c r="J122" s="254"/>
      <c r="K122" s="254"/>
      <c r="L122" s="254"/>
      <c r="M122" s="254"/>
      <c r="N122" s="254"/>
      <c r="O122" s="248"/>
      <c r="Q122" s="5"/>
    </row>
    <row r="123" spans="2:17">
      <c r="B123" s="41"/>
      <c r="C123" s="254"/>
      <c r="D123" s="254"/>
      <c r="E123" s="254"/>
      <c r="F123" s="254"/>
      <c r="G123" s="254"/>
      <c r="H123" s="254"/>
      <c r="I123" s="254"/>
      <c r="J123" s="254"/>
      <c r="K123" s="254"/>
      <c r="L123" s="254"/>
      <c r="M123" s="254"/>
      <c r="N123" s="254"/>
      <c r="O123" s="248"/>
      <c r="Q123" s="5"/>
    </row>
    <row r="124" spans="2:17">
      <c r="B124" s="41"/>
      <c r="C124" s="254"/>
      <c r="D124" s="254"/>
      <c r="E124" s="254"/>
      <c r="F124" s="254"/>
      <c r="G124" s="254"/>
      <c r="H124" s="254"/>
      <c r="I124" s="254"/>
      <c r="J124" s="254"/>
      <c r="K124" s="254"/>
      <c r="L124" s="254"/>
      <c r="M124" s="254"/>
      <c r="N124" s="254"/>
      <c r="O124" s="248"/>
      <c r="Q124" s="5"/>
    </row>
    <row r="125" spans="2:17">
      <c r="B125" s="41"/>
      <c r="C125" s="254"/>
      <c r="D125" s="254"/>
      <c r="E125" s="254"/>
      <c r="F125" s="254"/>
      <c r="G125" s="254"/>
      <c r="H125" s="254"/>
      <c r="I125" s="254"/>
      <c r="J125" s="254"/>
      <c r="K125" s="254"/>
      <c r="L125" s="254"/>
      <c r="M125" s="254"/>
      <c r="N125" s="254"/>
      <c r="O125" s="5"/>
      <c r="Q125" s="5"/>
    </row>
    <row r="126" spans="2:17">
      <c r="B126" s="41"/>
      <c r="C126" s="254"/>
      <c r="D126" s="254"/>
      <c r="E126" s="254"/>
      <c r="F126" s="254"/>
      <c r="G126" s="254"/>
      <c r="H126" s="254"/>
      <c r="I126" s="254"/>
      <c r="J126" s="254"/>
      <c r="K126" s="254"/>
      <c r="L126" s="254"/>
      <c r="M126" s="254"/>
      <c r="N126" s="254"/>
      <c r="O126" s="5"/>
      <c r="Q126" s="5"/>
    </row>
    <row r="127" spans="2:17">
      <c r="B127" s="41"/>
      <c r="C127" s="254"/>
      <c r="D127" s="254"/>
      <c r="E127" s="254"/>
      <c r="F127" s="254"/>
      <c r="G127" s="254"/>
      <c r="H127" s="254"/>
      <c r="I127" s="18"/>
      <c r="J127" s="254"/>
      <c r="K127" s="254"/>
      <c r="L127" s="254"/>
      <c r="M127" s="254"/>
      <c r="N127" s="254"/>
      <c r="O127" s="5"/>
      <c r="Q127" s="5"/>
    </row>
    <row r="128" spans="2:17">
      <c r="B128" s="41"/>
      <c r="C128" s="254"/>
      <c r="D128" s="254"/>
      <c r="E128" s="254"/>
      <c r="F128" s="254"/>
      <c r="G128" s="254"/>
      <c r="H128" s="254"/>
      <c r="I128" s="5"/>
      <c r="J128" s="254"/>
      <c r="K128" s="254"/>
      <c r="L128" s="254"/>
      <c r="M128" s="254"/>
      <c r="N128" s="254"/>
      <c r="O128" s="5"/>
      <c r="Q128" s="5"/>
    </row>
    <row r="129" spans="2:27">
      <c r="B129" s="5"/>
      <c r="C129" s="5"/>
      <c r="D129" s="18"/>
      <c r="E129" s="18"/>
      <c r="F129" s="18"/>
      <c r="G129" s="18"/>
      <c r="H129" s="18"/>
      <c r="I129" s="254"/>
      <c r="J129" s="18"/>
      <c r="K129" s="18"/>
      <c r="L129" s="18"/>
      <c r="M129" s="18"/>
      <c r="N129" s="18"/>
      <c r="O129" s="5"/>
      <c r="Q129" s="5"/>
    </row>
    <row r="130" spans="2:27">
      <c r="B130" s="5"/>
      <c r="C130" s="5"/>
      <c r="D130" s="5"/>
      <c r="E130" s="5"/>
      <c r="F130" s="5"/>
      <c r="G130" s="5"/>
      <c r="H130" s="5"/>
      <c r="I130" s="18"/>
      <c r="J130" s="5"/>
      <c r="K130" s="5"/>
      <c r="L130" s="5"/>
      <c r="M130" s="5"/>
      <c r="N130" s="5"/>
      <c r="O130" s="5"/>
      <c r="Q130" s="5"/>
    </row>
    <row r="131" spans="2:27">
      <c r="B131" s="41"/>
      <c r="C131" s="254"/>
      <c r="D131" s="254"/>
      <c r="E131" s="254"/>
      <c r="F131" s="254"/>
      <c r="G131" s="254"/>
      <c r="H131" s="254"/>
      <c r="I131" s="5"/>
      <c r="J131" s="254"/>
      <c r="K131" s="254"/>
      <c r="L131" s="254"/>
      <c r="M131" s="254"/>
      <c r="N131" s="254"/>
      <c r="O131" s="5"/>
      <c r="Q131" s="5"/>
    </row>
    <row r="132" spans="2:27">
      <c r="B132" s="5"/>
      <c r="C132" s="259"/>
      <c r="D132" s="18"/>
      <c r="E132" s="18"/>
      <c r="F132" s="18"/>
      <c r="G132" s="18"/>
      <c r="H132" s="18"/>
      <c r="I132" s="5"/>
      <c r="J132" s="18"/>
      <c r="K132" s="18"/>
      <c r="L132" s="18"/>
      <c r="M132" s="18"/>
      <c r="N132" s="18"/>
      <c r="O132" s="5"/>
      <c r="Q132" s="5"/>
    </row>
    <row r="133" spans="2:27">
      <c r="B133" s="5"/>
      <c r="C133" s="5"/>
      <c r="D133" s="5"/>
      <c r="E133" s="5"/>
      <c r="F133" s="5"/>
      <c r="G133" s="5"/>
      <c r="H133" s="5"/>
      <c r="I133" s="17"/>
      <c r="J133" s="5"/>
      <c r="K133" s="5"/>
      <c r="L133" s="5"/>
      <c r="M133" s="5"/>
      <c r="N133" s="5"/>
      <c r="O133" s="5"/>
      <c r="Q133" s="5"/>
    </row>
    <row r="134" spans="2:27">
      <c r="B134" s="41"/>
      <c r="C134" s="5"/>
      <c r="D134" s="5"/>
      <c r="E134" s="5"/>
      <c r="F134" s="5"/>
      <c r="G134" s="5"/>
      <c r="H134" s="5"/>
      <c r="I134" s="17"/>
      <c r="J134" s="5"/>
      <c r="K134" s="5"/>
      <c r="L134" s="5"/>
      <c r="M134" s="5"/>
      <c r="N134" s="5"/>
      <c r="O134" s="5"/>
      <c r="Q134" s="5"/>
    </row>
    <row r="135" spans="2:27">
      <c r="B135" s="5"/>
      <c r="C135" s="17"/>
      <c r="D135" s="17"/>
      <c r="E135" s="17"/>
      <c r="F135" s="17"/>
      <c r="G135" s="17"/>
      <c r="H135" s="17"/>
      <c r="I135" s="17"/>
      <c r="J135" s="17"/>
      <c r="K135" s="17"/>
      <c r="L135" s="17"/>
      <c r="M135" s="17"/>
      <c r="N135" s="17"/>
      <c r="O135" s="5"/>
      <c r="Q135" s="41"/>
    </row>
    <row r="136" spans="2:27">
      <c r="B136" s="5"/>
      <c r="C136" s="17"/>
      <c r="D136" s="17"/>
      <c r="E136" s="17"/>
      <c r="F136" s="17"/>
      <c r="G136" s="17"/>
      <c r="H136" s="17"/>
      <c r="I136" s="17"/>
      <c r="J136" s="17"/>
      <c r="K136" s="17"/>
      <c r="L136" s="17"/>
      <c r="M136" s="17"/>
      <c r="N136" s="17"/>
      <c r="O136" s="5"/>
      <c r="Q136" s="5"/>
      <c r="X136" s="304"/>
    </row>
    <row r="137" spans="2:27">
      <c r="B137" s="5"/>
      <c r="C137" s="5"/>
      <c r="D137" s="17"/>
      <c r="E137" s="17"/>
      <c r="F137" s="17"/>
      <c r="G137" s="17"/>
      <c r="H137" s="17"/>
      <c r="I137" s="17"/>
      <c r="J137" s="17"/>
      <c r="K137" s="17"/>
      <c r="L137" s="17"/>
      <c r="M137" s="17"/>
      <c r="N137" s="17"/>
      <c r="O137" s="5"/>
      <c r="Q137" s="5"/>
      <c r="X137" s="10"/>
      <c r="Y137" s="304"/>
      <c r="Z137" s="304"/>
      <c r="AA137" s="304"/>
    </row>
    <row r="138" spans="2:27">
      <c r="B138" s="5"/>
      <c r="C138" s="5"/>
      <c r="D138" s="17"/>
      <c r="E138" s="17"/>
      <c r="F138" s="17"/>
      <c r="G138" s="17"/>
      <c r="H138" s="17"/>
      <c r="I138" s="17"/>
      <c r="J138" s="17"/>
      <c r="K138" s="17"/>
      <c r="L138" s="17"/>
      <c r="M138" s="17"/>
      <c r="N138" s="17"/>
      <c r="O138" s="5"/>
      <c r="Q138" s="5"/>
      <c r="Y138" s="10"/>
      <c r="Z138" s="10"/>
      <c r="AA138" s="10"/>
    </row>
    <row r="139" spans="2:27">
      <c r="B139" s="5"/>
      <c r="C139" s="5"/>
      <c r="D139" s="17"/>
      <c r="E139" s="17"/>
      <c r="F139" s="17"/>
      <c r="G139" s="17"/>
      <c r="H139" s="17"/>
      <c r="I139" s="5"/>
      <c r="J139" s="17"/>
      <c r="K139" s="17"/>
      <c r="L139" s="17"/>
      <c r="M139" s="17"/>
      <c r="N139" s="17"/>
      <c r="O139" s="5"/>
      <c r="Q139" s="5"/>
    </row>
    <row r="140" spans="2:27">
      <c r="B140" s="5"/>
      <c r="C140" s="17"/>
      <c r="D140" s="17"/>
      <c r="E140" s="17"/>
      <c r="F140" s="17"/>
      <c r="G140" s="17"/>
      <c r="H140" s="17"/>
      <c r="I140" s="5"/>
      <c r="J140" s="17"/>
      <c r="K140" s="17"/>
      <c r="L140" s="17"/>
      <c r="M140" s="17"/>
      <c r="N140" s="17"/>
      <c r="O140" s="5"/>
      <c r="Q140" s="5"/>
    </row>
    <row r="141" spans="2:27">
      <c r="B141" s="5"/>
      <c r="C141" s="5"/>
      <c r="D141" s="5"/>
      <c r="E141" s="5"/>
      <c r="F141" s="5"/>
      <c r="G141" s="5"/>
      <c r="H141" s="5"/>
      <c r="I141" s="5"/>
      <c r="J141" s="5"/>
      <c r="K141" s="5"/>
      <c r="L141" s="5"/>
      <c r="M141" s="5"/>
      <c r="N141" s="5"/>
      <c r="O141" s="5"/>
      <c r="Q141" s="5"/>
    </row>
    <row r="142" spans="2:27">
      <c r="B142" s="5"/>
      <c r="C142" s="5"/>
      <c r="D142" s="5"/>
      <c r="E142" s="5"/>
      <c r="F142" s="5"/>
      <c r="G142" s="5"/>
      <c r="H142" s="5"/>
      <c r="I142" s="5"/>
      <c r="J142" s="5"/>
      <c r="K142" s="5"/>
      <c r="L142" s="5"/>
      <c r="M142" s="5"/>
      <c r="N142" s="5"/>
      <c r="O142" s="5"/>
      <c r="Q142" s="5"/>
    </row>
    <row r="143" spans="2:27">
      <c r="B143" s="5"/>
      <c r="C143" s="5"/>
      <c r="D143" s="5"/>
      <c r="E143" s="5"/>
      <c r="F143" s="5"/>
      <c r="G143" s="5"/>
      <c r="H143" s="5"/>
      <c r="I143" s="5"/>
      <c r="J143" s="5"/>
      <c r="K143" s="5"/>
      <c r="L143" s="5"/>
      <c r="M143" s="5"/>
      <c r="N143" s="5"/>
      <c r="O143" s="5"/>
      <c r="Q143" s="5"/>
    </row>
    <row r="144" spans="2:27">
      <c r="B144" s="5"/>
      <c r="C144" s="5"/>
      <c r="D144" s="5"/>
      <c r="E144" s="5"/>
      <c r="F144" s="5"/>
      <c r="G144" s="5"/>
      <c r="H144" s="5"/>
      <c r="I144" s="5"/>
      <c r="J144" s="5"/>
      <c r="K144" s="5"/>
      <c r="L144" s="5"/>
      <c r="M144" s="5"/>
      <c r="N144" s="5"/>
      <c r="O144" s="5"/>
      <c r="Q144" s="5"/>
    </row>
    <row r="145" spans="2:17">
      <c r="B145" s="5"/>
      <c r="C145" s="5"/>
      <c r="D145" s="5"/>
      <c r="E145" s="5"/>
      <c r="F145" s="5"/>
      <c r="G145" s="5"/>
      <c r="H145" s="5"/>
      <c r="I145" s="5"/>
      <c r="J145" s="5"/>
      <c r="K145" s="5"/>
      <c r="L145" s="5"/>
      <c r="M145" s="5"/>
      <c r="N145" s="5"/>
      <c r="O145" s="5"/>
      <c r="Q145" s="5"/>
    </row>
    <row r="146" spans="2:17">
      <c r="B146" s="5"/>
      <c r="C146" s="5"/>
      <c r="D146" s="5"/>
      <c r="E146" s="5"/>
      <c r="F146" s="5"/>
      <c r="G146" s="5"/>
      <c r="H146" s="5"/>
      <c r="I146" s="5"/>
      <c r="J146" s="5"/>
      <c r="K146" s="5"/>
      <c r="L146" s="5"/>
      <c r="M146" s="5"/>
      <c r="N146" s="5"/>
      <c r="O146" s="5"/>
      <c r="Q146" s="5"/>
    </row>
    <row r="147" spans="2:17">
      <c r="B147" s="5"/>
      <c r="C147" s="5"/>
      <c r="D147" s="5"/>
      <c r="E147" s="5"/>
      <c r="F147" s="5"/>
      <c r="G147" s="5"/>
      <c r="H147" s="5"/>
      <c r="I147" s="5"/>
      <c r="J147" s="5"/>
      <c r="K147" s="5"/>
      <c r="L147" s="5"/>
      <c r="M147" s="5"/>
      <c r="N147" s="5"/>
      <c r="O147" s="5"/>
      <c r="Q147" s="5"/>
    </row>
    <row r="148" spans="2:17">
      <c r="B148" s="5"/>
      <c r="C148" s="5"/>
      <c r="D148" s="5"/>
      <c r="E148" s="5"/>
      <c r="F148" s="5"/>
      <c r="G148" s="5"/>
      <c r="H148" s="5"/>
      <c r="I148" s="5"/>
      <c r="J148" s="5"/>
      <c r="K148" s="5"/>
      <c r="L148" s="5"/>
      <c r="M148" s="5"/>
      <c r="N148" s="5"/>
      <c r="O148" s="5"/>
      <c r="Q148" s="5"/>
    </row>
    <row r="149" spans="2:17">
      <c r="B149" s="5"/>
      <c r="C149" s="5"/>
      <c r="D149" s="5"/>
      <c r="E149" s="5"/>
      <c r="F149" s="5"/>
      <c r="G149" s="5"/>
      <c r="H149" s="5"/>
      <c r="J149" s="5"/>
      <c r="K149" s="5"/>
      <c r="L149" s="5"/>
      <c r="M149" s="5"/>
      <c r="N149" s="5"/>
      <c r="O149" s="5"/>
      <c r="Q149" s="5"/>
    </row>
    <row r="150" spans="2:17">
      <c r="B150" s="5"/>
      <c r="C150" s="5"/>
      <c r="D150" s="5"/>
      <c r="E150" s="5"/>
      <c r="F150" s="5"/>
      <c r="G150" s="5"/>
      <c r="H150" s="5"/>
      <c r="J150" s="5"/>
      <c r="K150" s="5"/>
      <c r="L150" s="5"/>
      <c r="M150" s="5"/>
      <c r="N150" s="5"/>
      <c r="O150" s="5"/>
      <c r="Q150" s="5"/>
    </row>
    <row r="151" spans="2:17">
      <c r="Q151" s="5"/>
    </row>
    <row r="152" spans="2:17">
      <c r="Q152" s="5"/>
    </row>
    <row r="153" spans="2:17">
      <c r="C153" s="263"/>
      <c r="Q153" s="5"/>
    </row>
    <row r="154" spans="2:17">
      <c r="Q154" s="5"/>
    </row>
    <row r="155" spans="2:17">
      <c r="Q155" s="5"/>
    </row>
    <row r="156" spans="2:17">
      <c r="Q156" s="5"/>
    </row>
    <row r="157" spans="2:17">
      <c r="Q157" s="5"/>
    </row>
    <row r="158" spans="2:17">
      <c r="Q158" s="5"/>
    </row>
    <row r="159" spans="2:17">
      <c r="Q159" s="5"/>
    </row>
    <row r="160" spans="2:17">
      <c r="Q160" s="5"/>
    </row>
    <row r="161" spans="17:17">
      <c r="Q161" s="5"/>
    </row>
    <row r="162" spans="17:17">
      <c r="Q162" s="5"/>
    </row>
    <row r="163" spans="17:17">
      <c r="Q163" s="5"/>
    </row>
    <row r="164" spans="17:17">
      <c r="Q164" s="5"/>
    </row>
    <row r="165" spans="17:17">
      <c r="Q165" s="5"/>
    </row>
  </sheetData>
  <phoneticPr fontId="7" type="noConversion"/>
  <hyperlinks>
    <hyperlink ref="C2" location="PROXSOP!A1" display="Jump to Prox SOP" xr:uid="{00000000-0004-0000-4900-000001000000}"/>
  </hyperlinks>
  <pageMargins left="0.75" right="0.75" top="1" bottom="1" header="0.5" footer="0.5"/>
  <pageSetup scale="71"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2">
    <pageSetUpPr fitToPage="1"/>
  </sheetPr>
  <dimension ref="B1:CE165"/>
  <sheetViews>
    <sheetView showGridLines="0" zoomScale="80" zoomScaleNormal="80" workbookViewId="0">
      <selection activeCell="D12" sqref="D12"/>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83" width="9.109375" style="5"/>
    <col min="84" max="16384" width="9.109375" style="39"/>
  </cols>
  <sheetData>
    <row r="1" spans="2:83"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row>
    <row r="2" spans="2:83" s="149" customFormat="1"/>
    <row r="3" spans="2:83" s="149" customFormat="1">
      <c r="H3" s="153"/>
      <c r="P3" s="153"/>
    </row>
    <row r="4" spans="2:83" s="156" customFormat="1" ht="21">
      <c r="B4" s="129" t="s">
        <v>147</v>
      </c>
      <c r="H4" s="222"/>
      <c r="P4" s="222"/>
    </row>
    <row r="5" spans="2:8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83">
      <c r="I6" s="5"/>
      <c r="J6" s="5"/>
      <c r="K6" s="5"/>
      <c r="L6" s="5"/>
      <c r="M6" s="5"/>
      <c r="N6" s="5"/>
      <c r="O6" s="49"/>
    </row>
    <row r="7" spans="2:83" ht="12.6" thickBot="1">
      <c r="B7" s="306" t="s">
        <v>266</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83" ht="12.6" thickTop="1">
      <c r="B8" s="5"/>
      <c r="C8" s="5"/>
      <c r="D8" s="5"/>
      <c r="E8" s="5"/>
      <c r="F8" s="5"/>
      <c r="G8" s="5"/>
      <c r="H8" s="5"/>
      <c r="I8" s="5"/>
      <c r="J8" s="5"/>
      <c r="K8" s="5"/>
      <c r="L8" s="5"/>
      <c r="M8" s="5"/>
      <c r="N8" s="5"/>
      <c r="S8" s="42"/>
      <c r="T8" s="42"/>
      <c r="U8" s="42"/>
      <c r="V8" s="42"/>
      <c r="W8" s="42"/>
      <c r="X8" s="42"/>
      <c r="Y8" s="42"/>
      <c r="Z8" s="42"/>
      <c r="AA8" s="42"/>
    </row>
    <row r="9" spans="2:83">
      <c r="B9" s="41" t="s">
        <v>146</v>
      </c>
      <c r="C9" s="285">
        <f>Prices!C77</f>
        <v>3040</v>
      </c>
      <c r="D9" s="531">
        <v>0</v>
      </c>
      <c r="E9" s="532">
        <v>0</v>
      </c>
      <c r="F9" s="532">
        <v>0</v>
      </c>
      <c r="G9" s="532">
        <v>0</v>
      </c>
      <c r="H9" s="249"/>
      <c r="I9" s="249"/>
      <c r="J9" s="5" t="s">
        <v>268</v>
      </c>
      <c r="L9" s="525">
        <f>'AGG ASIA INCUMB'!D37</f>
        <v>1.2719441813172812</v>
      </c>
      <c r="M9" s="525">
        <f>'AGG ASIA INCUMB'!E37</f>
        <v>1.2095974060822232</v>
      </c>
      <c r="N9" s="525">
        <f>'AGG ASIA INCUMB'!F37</f>
        <v>1.0996822317000925</v>
      </c>
      <c r="O9" s="525">
        <f>'AGG ASIA INCUMB'!G37</f>
        <v>0.99635076165065495</v>
      </c>
      <c r="P9" s="286">
        <f>'AGG ASIA INCUMB'!H37</f>
        <v>3.2483076143146272E-2</v>
      </c>
      <c r="S9" s="42"/>
      <c r="T9" s="42"/>
      <c r="U9" s="42"/>
      <c r="V9" s="42"/>
      <c r="W9" s="42"/>
      <c r="X9" s="42"/>
      <c r="Y9" s="42"/>
      <c r="Z9" s="42"/>
      <c r="AA9" s="42"/>
    </row>
    <row r="10" spans="2:83">
      <c r="B10" s="5" t="s">
        <v>269</v>
      </c>
      <c r="C10" s="5"/>
      <c r="D10" s="527">
        <v>99.062216599999999</v>
      </c>
      <c r="E10" s="527">
        <v>99.062216599999999</v>
      </c>
      <c r="F10" s="527">
        <v>99.062216599999999</v>
      </c>
      <c r="G10" s="527">
        <v>99.062216599999999</v>
      </c>
      <c r="H10" s="247"/>
      <c r="I10" s="247"/>
      <c r="J10" s="5" t="s">
        <v>180</v>
      </c>
      <c r="L10" s="525">
        <f>'AGG ASIA INCUMB'!D38</f>
        <v>4.6234760036627636</v>
      </c>
      <c r="M10" s="525">
        <f>'AGG ASIA INCUMB'!E38</f>
        <v>4.4228353660546906</v>
      </c>
      <c r="N10" s="525">
        <f>'AGG ASIA INCUMB'!F38</f>
        <v>3.9347110260162674</v>
      </c>
      <c r="O10" s="525">
        <f>'AGG ASIA INCUMB'!G38</f>
        <v>3.5504425976257274</v>
      </c>
      <c r="P10" s="286">
        <f>'AGG ASIA INCUMB'!H38</f>
        <v>3.9344958775427097E-2</v>
      </c>
      <c r="S10" s="42"/>
      <c r="T10" s="42"/>
      <c r="U10" s="42"/>
      <c r="V10" s="42"/>
      <c r="W10" s="288"/>
      <c r="X10" s="288"/>
      <c r="Y10" s="288"/>
      <c r="Z10" s="288"/>
      <c r="AA10" s="42"/>
    </row>
    <row r="11" spans="2:83">
      <c r="B11" s="41" t="s">
        <v>868</v>
      </c>
      <c r="C11" s="5"/>
      <c r="D11" s="528">
        <f>$C$9*D10</f>
        <v>301149.13846400002</v>
      </c>
      <c r="E11" s="528">
        <f>$C$9*E10</f>
        <v>301149.13846400002</v>
      </c>
      <c r="F11" s="528">
        <f>$C$9*F10</f>
        <v>301149.13846400002</v>
      </c>
      <c r="G11" s="528">
        <f>$C$9*G10</f>
        <v>301149.13846400002</v>
      </c>
      <c r="H11" s="249"/>
      <c r="I11" s="249"/>
      <c r="J11" s="5" t="s">
        <v>181</v>
      </c>
      <c r="L11" s="525">
        <f>'AGG ASIA INCUMB'!D39</f>
        <v>11.794671519746432</v>
      </c>
      <c r="M11" s="525">
        <f>'AGG ASIA INCUMB'!E39</f>
        <v>10.669369371390847</v>
      </c>
      <c r="N11" s="525">
        <f>'AGG ASIA INCUMB'!F39</f>
        <v>8.6767991012662229</v>
      </c>
      <c r="O11" s="525">
        <f>'AGG ASIA INCUMB'!G39</f>
        <v>7.5891310442771198</v>
      </c>
      <c r="P11" s="286">
        <f>'AGG ASIA INCUMB'!H39</f>
        <v>0.10245856505371931</v>
      </c>
      <c r="S11" s="42"/>
      <c r="T11" s="42"/>
      <c r="U11" s="42"/>
      <c r="V11" s="42"/>
      <c r="W11" s="288"/>
      <c r="X11" s="288"/>
      <c r="Y11" s="288"/>
      <c r="Z11" s="288"/>
      <c r="AA11" s="42"/>
    </row>
    <row r="12" spans="2:83">
      <c r="B12" s="5" t="s">
        <v>24</v>
      </c>
      <c r="C12" s="249"/>
      <c r="D12" s="529">
        <v>39117</v>
      </c>
      <c r="E12" s="529">
        <v>28682.187065914681</v>
      </c>
      <c r="F12" s="529">
        <v>17808.611042524266</v>
      </c>
      <c r="G12" s="529">
        <v>7246.793709763966</v>
      </c>
      <c r="H12" s="247"/>
      <c r="I12" s="247"/>
      <c r="J12" s="5" t="s">
        <v>461</v>
      </c>
      <c r="L12" s="525">
        <f>'AGG ASIA INCUMB'!D40</f>
        <v>15.854102984572272</v>
      </c>
      <c r="M12" s="525">
        <f>'AGG ASIA INCUMB'!E40</f>
        <v>14.308248533194654</v>
      </c>
      <c r="N12" s="525">
        <f>'AGG ASIA INCUMB'!F40</f>
        <v>11.663579867439855</v>
      </c>
      <c r="O12" s="525">
        <f>'AGG ASIA INCUMB'!G40</f>
        <v>10.196208292202796</v>
      </c>
      <c r="P12" s="286">
        <f>'AGG ASIA INCUMB'!H40</f>
        <v>0.10263557885889418</v>
      </c>
      <c r="S12" s="42"/>
      <c r="T12" s="42"/>
      <c r="U12" s="42"/>
      <c r="V12" s="42"/>
      <c r="W12" s="288"/>
      <c r="X12" s="288"/>
      <c r="Y12" s="288"/>
      <c r="Z12" s="288"/>
      <c r="AA12" s="42"/>
    </row>
    <row r="13" spans="2:83">
      <c r="B13" s="5" t="s">
        <v>524</v>
      </c>
      <c r="C13" s="257"/>
      <c r="D13" s="529">
        <v>0</v>
      </c>
      <c r="E13" s="529">
        <v>0</v>
      </c>
      <c r="F13" s="529">
        <v>0</v>
      </c>
      <c r="G13" s="529">
        <v>0</v>
      </c>
      <c r="H13" s="247"/>
      <c r="I13" s="247"/>
      <c r="J13" s="5" t="s">
        <v>525</v>
      </c>
      <c r="L13" s="525">
        <f>'AGG ASIA INCUMB'!D41</f>
        <v>1.1460518303805354</v>
      </c>
      <c r="M13" s="525">
        <f>'AGG ASIA INCUMB'!E41</f>
        <v>1.0866662606716921</v>
      </c>
      <c r="N13" s="525">
        <f>'AGG ASIA INCUMB'!F41</f>
        <v>0.99834975778923052</v>
      </c>
      <c r="O13" s="525">
        <f>'AGG ASIA INCUMB'!G41</f>
        <v>0.90898439887584492</v>
      </c>
      <c r="P13" s="286">
        <f>'AGG ASIA INCUMB'!H41</f>
        <v>2.8206361075399977E-2</v>
      </c>
      <c r="S13" s="42"/>
      <c r="T13" s="42"/>
      <c r="U13" s="42"/>
      <c r="V13" s="42"/>
      <c r="W13" s="42"/>
      <c r="X13" s="42"/>
      <c r="Y13" s="42"/>
      <c r="Z13" s="42"/>
      <c r="AA13" s="42"/>
    </row>
    <row r="14" spans="2:83">
      <c r="B14" s="5" t="s">
        <v>527</v>
      </c>
      <c r="C14" s="257"/>
      <c r="D14" s="534">
        <v>0</v>
      </c>
      <c r="E14" s="526">
        <f t="shared" ref="E14:G15" si="2">D14</f>
        <v>0</v>
      </c>
      <c r="F14" s="526">
        <f t="shared" si="2"/>
        <v>0</v>
      </c>
      <c r="G14" s="526">
        <f t="shared" si="2"/>
        <v>0</v>
      </c>
      <c r="H14" s="247"/>
      <c r="I14" s="247"/>
      <c r="J14" s="5" t="s">
        <v>588</v>
      </c>
      <c r="L14" s="525">
        <f>'AGG ASIA INCUMB'!D42</f>
        <v>1.5276634915643974</v>
      </c>
      <c r="M14" s="525">
        <f>'AGG ASIA INCUMB'!E42</f>
        <v>1.4907282921032592</v>
      </c>
      <c r="N14" s="525">
        <f>'AGG ASIA INCUMB'!F42</f>
        <v>1.4247632256720226</v>
      </c>
      <c r="O14" s="525">
        <f>'AGG ASIA INCUMB'!G42</f>
        <v>1.3972444432688993</v>
      </c>
      <c r="P14" s="286">
        <f>'AGG ASIA INCUMB'!H42</f>
        <v>-1.9495827781895958E-2</v>
      </c>
      <c r="S14" s="42"/>
      <c r="T14" s="42"/>
      <c r="U14" s="42"/>
      <c r="V14" s="42"/>
      <c r="W14" s="42"/>
      <c r="X14" s="42"/>
      <c r="Y14" s="42"/>
      <c r="Z14" s="42"/>
      <c r="AA14" s="42"/>
    </row>
    <row r="15" spans="2:83">
      <c r="B15" s="5" t="s">
        <v>526</v>
      </c>
      <c r="C15" s="274"/>
      <c r="D15" s="534">
        <v>182410.84615384613</v>
      </c>
      <c r="E15" s="526">
        <f t="shared" si="2"/>
        <v>182410.84615384613</v>
      </c>
      <c r="F15" s="526">
        <f t="shared" si="2"/>
        <v>182410.84615384613</v>
      </c>
      <c r="G15" s="526">
        <f t="shared" si="2"/>
        <v>182410.84615384613</v>
      </c>
      <c r="H15" s="247"/>
      <c r="I15" s="247"/>
      <c r="J15" s="5" t="s">
        <v>470</v>
      </c>
      <c r="L15" s="525">
        <f>'AGG ASIA INCUMB'!D43</f>
        <v>15.273312397129398</v>
      </c>
      <c r="M15" s="525">
        <f>'AGG ASIA INCUMB'!E43</f>
        <v>13.757505713732883</v>
      </c>
      <c r="N15" s="525">
        <f>'AGG ASIA INCUMB'!F43</f>
        <v>11.624732006664775</v>
      </c>
      <c r="O15" s="525">
        <f>'AGG ASIA INCUMB'!G43</f>
        <v>10.50556297379473</v>
      </c>
      <c r="P15" s="286">
        <f>'AGG ASIA INCUMB'!H43</f>
        <v>0.12108281340051441</v>
      </c>
      <c r="S15" s="42"/>
      <c r="T15" s="42"/>
      <c r="U15" s="42"/>
      <c r="V15" s="42"/>
      <c r="W15" s="42"/>
      <c r="X15" s="42"/>
      <c r="Y15" s="42"/>
      <c r="Z15" s="42"/>
      <c r="AA15" s="42"/>
    </row>
    <row r="16" spans="2:83">
      <c r="B16" s="5" t="s">
        <v>529</v>
      </c>
      <c r="C16" s="257"/>
      <c r="D16" s="529">
        <v>0</v>
      </c>
      <c r="E16" s="529">
        <v>0</v>
      </c>
      <c r="F16" s="529">
        <v>20286.243460301292</v>
      </c>
      <c r="G16" s="529">
        <v>42731.478638713408</v>
      </c>
      <c r="H16" s="247"/>
      <c r="I16" s="247"/>
      <c r="J16" s="5" t="s">
        <v>528</v>
      </c>
      <c r="L16" s="525">
        <f>'AGG ASIA INCUMB'!D44</f>
        <v>13.678025117962957</v>
      </c>
      <c r="M16" s="525">
        <f>'AGG ASIA INCUMB'!E44</f>
        <v>12.517033973894927</v>
      </c>
      <c r="N16" s="525">
        <f>'AGG ASIA INCUMB'!F44</f>
        <v>11.122029574192924</v>
      </c>
      <c r="O16" s="525">
        <f>'AGG ASIA INCUMB'!G44</f>
        <v>10.11878172223563</v>
      </c>
      <c r="P16" s="286">
        <f>'AGG ASIA INCUMB'!H44</f>
        <v>9.9914942744836699E-2</v>
      </c>
      <c r="S16" s="42"/>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INCUMB'!D45</f>
        <v>4.5509267152536094E-2</v>
      </c>
      <c r="M17" s="248">
        <f>'AGG ASIA INCUMB'!E45</f>
        <v>5.1800129870851246E-2</v>
      </c>
      <c r="N17" s="248">
        <f>'AGG ASIA INCUMB'!F45</f>
        <v>5.7884939069478336E-2</v>
      </c>
      <c r="O17" s="248">
        <f>'AGG ASIA INCUMB'!G45</f>
        <v>6.5680371296715834E-2</v>
      </c>
      <c r="P17" s="286">
        <f>'AGG ASIA INCUMB'!H45</f>
        <v>0.12418891359974715</v>
      </c>
      <c r="S17" s="42"/>
      <c r="T17" s="42"/>
      <c r="U17" s="42"/>
      <c r="V17" s="42"/>
      <c r="W17" s="42"/>
      <c r="X17" s="42"/>
      <c r="Y17" s="42"/>
      <c r="Z17" s="42"/>
      <c r="AA17" s="42"/>
    </row>
    <row r="18" spans="2:27" ht="12.6" thickBot="1">
      <c r="B18" s="41" t="s">
        <v>578</v>
      </c>
      <c r="C18" s="249"/>
      <c r="D18" s="530">
        <f>D11+D12+D13-D14+D15-D16-D17</f>
        <v>522676.98461784614</v>
      </c>
      <c r="E18" s="530">
        <f>E11+E12+E13-E14+E15-E16-E17</f>
        <v>512242.17168376083</v>
      </c>
      <c r="F18" s="530">
        <f>F11+F12+F13-F14+F15-F16-F17</f>
        <v>481082.35220006912</v>
      </c>
      <c r="G18" s="530">
        <f>G11+G12+G13-G14+G15-G16-G17</f>
        <v>448075.29968889669</v>
      </c>
      <c r="H18" s="276">
        <f>IF(D18=0,"nm",IF(G18=0,"nm",(G18/D18)^(1/3)-1))</f>
        <v>-5.0038781979518387E-2</v>
      </c>
      <c r="I18" s="254"/>
      <c r="J18" s="5" t="s">
        <v>36</v>
      </c>
      <c r="L18" s="248">
        <f>'AGG ASIA INCUMB'!D46</f>
        <v>4.5540516507029512E-2</v>
      </c>
      <c r="M18" s="248">
        <f>'AGG ASIA INCUMB'!E46</f>
        <v>5.1831531492466568E-2</v>
      </c>
      <c r="N18" s="248">
        <f>'AGG ASIA INCUMB'!F46</f>
        <v>5.8199730113416448E-2</v>
      </c>
      <c r="O18" s="248">
        <f>'AGG ASIA INCUMB'!G46</f>
        <v>6.6192895380097247E-2</v>
      </c>
      <c r="P18" s="286">
        <f>'AGG ASIA INCUMB'!H46</f>
        <v>0.12684760968524134</v>
      </c>
      <c r="S18" s="42"/>
      <c r="T18" s="42"/>
      <c r="U18" s="42"/>
      <c r="V18" s="42"/>
      <c r="W18" s="42"/>
      <c r="X18" s="42"/>
      <c r="Y18" s="42"/>
      <c r="Z18" s="42"/>
      <c r="AA18" s="42"/>
    </row>
    <row r="19" spans="2:27" ht="12.6" thickTop="1">
      <c r="B19" s="41"/>
      <c r="C19" s="249"/>
      <c r="D19" s="229"/>
      <c r="E19" s="229"/>
      <c r="F19" s="229"/>
      <c r="G19" s="229"/>
      <c r="H19" s="276"/>
      <c r="I19" s="254"/>
      <c r="J19" s="5" t="s">
        <v>576</v>
      </c>
      <c r="L19" s="248">
        <f>'AGG ASIA INCUMB'!D47</f>
        <v>6.5473682067024891E-2</v>
      </c>
      <c r="M19" s="248">
        <f>'AGG ASIA INCUMB'!E47</f>
        <v>7.2687594743412673E-2</v>
      </c>
      <c r="N19" s="248">
        <f>'AGG ASIA INCUMB'!F47</f>
        <v>8.6023488492179667E-2</v>
      </c>
      <c r="O19" s="248">
        <f>'AGG ASIA INCUMB'!G47</f>
        <v>9.5187664144645884E-2</v>
      </c>
      <c r="P19" s="286">
        <f>'AGG ASIA INCUMB'!H47</f>
        <v>0.12108281340051441</v>
      </c>
      <c r="S19" s="42"/>
      <c r="T19" s="42"/>
      <c r="U19" s="42"/>
      <c r="V19" s="42"/>
      <c r="W19" s="42"/>
      <c r="X19" s="42"/>
      <c r="Y19" s="42"/>
      <c r="Z19" s="42"/>
      <c r="AA19" s="42"/>
    </row>
    <row r="20" spans="2:27">
      <c r="H20" s="277"/>
      <c r="I20" s="17"/>
      <c r="J20" s="5" t="s">
        <v>599</v>
      </c>
      <c r="L20" s="305">
        <f>'AGG ASIA INCUMB'!D48</f>
        <v>0.59351892336330403</v>
      </c>
      <c r="M20" s="305">
        <f>'AGG ASIA INCUMB'!E48</f>
        <v>0.60592876311616806</v>
      </c>
      <c r="N20" s="305">
        <f>'AGG ASIA INCUMB'!F48</f>
        <v>0.57735687268970703</v>
      </c>
      <c r="O20" s="305">
        <f>'AGG ASIA INCUMB'!G48</f>
        <v>0.59846585949408893</v>
      </c>
      <c r="P20" s="286" t="str">
        <f>'AGG ASIA INCUMB'!H48</f>
        <v>nm</v>
      </c>
      <c r="S20" s="42"/>
      <c r="T20" s="42"/>
      <c r="U20" s="42"/>
      <c r="V20" s="42"/>
      <c r="W20" s="42"/>
      <c r="X20" s="42"/>
      <c r="Y20" s="42"/>
      <c r="Z20" s="42"/>
      <c r="AA20" s="42"/>
    </row>
    <row r="21" spans="2:27" ht="12.6" thickBot="1">
      <c r="B21" s="306" t="s">
        <v>940</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147306</v>
      </c>
      <c r="D23" s="536">
        <v>149216</v>
      </c>
      <c r="E23" s="536">
        <v>154694.84619692381</v>
      </c>
      <c r="F23" s="536">
        <v>162436.91913984306</v>
      </c>
      <c r="G23" s="536">
        <v>169897.87129610588</v>
      </c>
      <c r="H23" s="279">
        <f t="shared" ref="H23:H32" si="4">IF(D23=0,"nm",IF(G23=0,"nm",(G23/D23)^(1/3)-1))</f>
        <v>4.4217213024553947E-2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478</v>
      </c>
      <c r="C24" s="545">
        <v>78992</v>
      </c>
      <c r="D24" s="536">
        <v>77579</v>
      </c>
      <c r="E24" s="536">
        <v>78951.929775264158</v>
      </c>
      <c r="F24" s="536">
        <v>83108.57242857237</v>
      </c>
      <c r="G24" s="536">
        <v>87070.169937540864</v>
      </c>
      <c r="H24" s="279">
        <f t="shared" si="4"/>
        <v>3.922217449285248E-2</v>
      </c>
      <c r="I24" s="249"/>
      <c r="J24" s="17"/>
      <c r="K24" s="17"/>
      <c r="L24" s="17"/>
      <c r="M24" s="17"/>
      <c r="N24" s="17"/>
      <c r="O24" s="248"/>
      <c r="S24" s="42"/>
      <c r="T24" s="42"/>
      <c r="U24" s="42"/>
      <c r="V24" s="42"/>
      <c r="W24" s="42" t="s">
        <v>148</v>
      </c>
      <c r="X24" s="42" t="s">
        <v>254</v>
      </c>
      <c r="Y24" s="42"/>
      <c r="Z24" s="42"/>
      <c r="AA24" s="42"/>
    </row>
    <row r="25" spans="2:27">
      <c r="B25" s="5" t="s">
        <v>179</v>
      </c>
      <c r="C25" s="544">
        <v>44836</v>
      </c>
      <c r="D25" s="536">
        <v>44611</v>
      </c>
      <c r="E25" s="536">
        <v>47050.171737059543</v>
      </c>
      <c r="F25" s="536">
        <v>51230.180915437631</v>
      </c>
      <c r="G25" s="536">
        <v>54730.470896138286</v>
      </c>
      <c r="H25" s="279">
        <f t="shared" si="4"/>
        <v>7.0522358187728118E-2</v>
      </c>
      <c r="I25" s="248"/>
      <c r="J25" s="247" t="s">
        <v>10</v>
      </c>
      <c r="K25" s="247"/>
      <c r="L25" s="321">
        <v>0</v>
      </c>
      <c r="M25" s="321">
        <v>0</v>
      </c>
      <c r="N25" s="321">
        <v>0</v>
      </c>
      <c r="O25" s="321">
        <v>0</v>
      </c>
      <c r="P25" s="279" t="str">
        <f>IF(L25=0,"nm",IF(O25=0,"nm",(O25/L25)^(1/3)-1))</f>
        <v>nm</v>
      </c>
      <c r="S25" s="42"/>
      <c r="T25" s="42"/>
      <c r="U25" s="42"/>
      <c r="V25" s="147" t="s">
        <v>268</v>
      </c>
      <c r="W25" s="288">
        <f>D37/L9</f>
        <v>2.7539111869980837</v>
      </c>
      <c r="X25" s="288">
        <v>1</v>
      </c>
      <c r="Y25" s="42"/>
      <c r="Z25" s="42"/>
      <c r="AA25" s="42"/>
    </row>
    <row r="26" spans="2:27">
      <c r="B26" s="5" t="s">
        <v>581</v>
      </c>
      <c r="C26" s="544">
        <v>34152.301384187791</v>
      </c>
      <c r="D26" s="536">
        <v>35221.627886453891</v>
      </c>
      <c r="E26" s="536">
        <v>35838.871561732798</v>
      </c>
      <c r="F26" s="536">
        <v>39022.851694854391</v>
      </c>
      <c r="G26" s="536">
        <v>41689.078797025453</v>
      </c>
      <c r="H26" s="279">
        <f t="shared" si="4"/>
        <v>5.7801774880395396E-2</v>
      </c>
      <c r="I26" s="249"/>
      <c r="J26" s="249" t="s">
        <v>11</v>
      </c>
      <c r="K26" s="249"/>
      <c r="L26" s="281">
        <f>D11+L25</f>
        <v>301149.13846400002</v>
      </c>
      <c r="M26" s="281">
        <f>E11+M25</f>
        <v>301149.13846400002</v>
      </c>
      <c r="N26" s="281">
        <f>F11+N25</f>
        <v>301149.13846400002</v>
      </c>
      <c r="O26" s="281">
        <f>G11+O25</f>
        <v>301149.13846400002</v>
      </c>
      <c r="P26" s="279">
        <f>IF(L26=0,"nm",IF(O26=0,"nm",(O26/L26)^(1/3)-1))</f>
        <v>0</v>
      </c>
      <c r="Q26" s="5"/>
      <c r="S26" s="42"/>
      <c r="T26" s="42"/>
      <c r="U26" s="42"/>
      <c r="V26" s="147" t="s">
        <v>180</v>
      </c>
      <c r="W26" s="288">
        <f t="shared" ref="W26:W33" si="6">D38/L10</f>
        <v>1.4572047955407441</v>
      </c>
      <c r="X26" s="288">
        <v>1</v>
      </c>
      <c r="Y26" s="42"/>
      <c r="Z26" s="42"/>
      <c r="AA26" s="42"/>
    </row>
    <row r="27" spans="2:27">
      <c r="B27" s="5" t="s">
        <v>582</v>
      </c>
      <c r="C27" s="545">
        <v>187283</v>
      </c>
      <c r="D27" s="536">
        <v>203327</v>
      </c>
      <c r="E27" s="536">
        <v>201391.58469384749</v>
      </c>
      <c r="F27" s="536">
        <v>200943.36817527391</v>
      </c>
      <c r="G27" s="536">
        <v>201734.31826432506</v>
      </c>
      <c r="H27" s="279">
        <f t="shared" si="4"/>
        <v>-2.6178823198161894E-3</v>
      </c>
      <c r="I27" s="249"/>
      <c r="Q27" s="41"/>
      <c r="S27" s="42"/>
      <c r="T27" s="42"/>
      <c r="U27" s="42"/>
      <c r="V27" s="147" t="s">
        <v>181</v>
      </c>
      <c r="W27" s="288">
        <f t="shared" si="6"/>
        <v>0.99335748397105716</v>
      </c>
      <c r="X27" s="288">
        <v>1</v>
      </c>
      <c r="Y27" s="42"/>
      <c r="Z27" s="42"/>
      <c r="AA27" s="42"/>
    </row>
    <row r="28" spans="2:27" ht="12.6" thickBot="1">
      <c r="B28" s="5" t="s">
        <v>587</v>
      </c>
      <c r="C28" s="544">
        <v>173329</v>
      </c>
      <c r="D28" s="536">
        <v>169745.2</v>
      </c>
      <c r="E28" s="536">
        <v>164680.80067316251</v>
      </c>
      <c r="F28" s="536">
        <v>160541.70799713308</v>
      </c>
      <c r="G28" s="536">
        <v>157591.22529565822</v>
      </c>
      <c r="H28" s="279">
        <f t="shared" si="4"/>
        <v>-2.4460534890270336E-2</v>
      </c>
      <c r="I28" s="248"/>
      <c r="J28" s="306" t="s">
        <v>1352</v>
      </c>
      <c r="K28" s="306"/>
      <c r="L28" s="306"/>
      <c r="M28" s="306"/>
      <c r="N28" s="266"/>
      <c r="O28" s="266"/>
      <c r="P28" s="266"/>
      <c r="Q28" s="5"/>
      <c r="S28" s="42"/>
      <c r="T28" s="42"/>
      <c r="U28" s="42"/>
      <c r="V28" s="147" t="s">
        <v>461</v>
      </c>
      <c r="W28" s="288">
        <f t="shared" si="6"/>
        <v>0.93601385553601568</v>
      </c>
      <c r="X28" s="288">
        <v>1</v>
      </c>
      <c r="Y28" s="42"/>
      <c r="Z28" s="42"/>
      <c r="AA28" s="42"/>
    </row>
    <row r="29" spans="2:27" ht="12.6" thickTop="1">
      <c r="B29" s="5" t="s">
        <v>583</v>
      </c>
      <c r="C29" s="544">
        <v>28627.599999999999</v>
      </c>
      <c r="D29" s="536">
        <v>28246.800000000003</v>
      </c>
      <c r="E29" s="536">
        <v>28435.905437681249</v>
      </c>
      <c r="F29" s="536">
        <v>31575.930879597159</v>
      </c>
      <c r="G29" s="536">
        <v>34176.19752175764</v>
      </c>
      <c r="H29" s="279">
        <f t="shared" si="4"/>
        <v>6.5576977468659647E-2</v>
      </c>
      <c r="I29" s="252"/>
      <c r="J29" s="249"/>
      <c r="K29" s="249"/>
      <c r="L29" s="249"/>
      <c r="M29" s="249"/>
      <c r="N29" s="249"/>
      <c r="O29" s="251"/>
      <c r="Q29" s="5"/>
      <c r="S29" s="42"/>
      <c r="T29" s="42"/>
      <c r="U29" s="42"/>
      <c r="V29" s="147" t="s">
        <v>525</v>
      </c>
      <c r="W29" s="288">
        <f t="shared" si="6"/>
        <v>2.2430247461152026</v>
      </c>
      <c r="X29" s="288">
        <v>1</v>
      </c>
      <c r="Y29" s="42"/>
      <c r="Z29" s="42"/>
      <c r="AA29" s="42"/>
    </row>
    <row r="30" spans="2:27">
      <c r="B30" s="5" t="s">
        <v>584</v>
      </c>
      <c r="C30" s="545">
        <v>26909</v>
      </c>
      <c r="D30" s="536">
        <v>25092</v>
      </c>
      <c r="E30" s="536">
        <v>23942.38191466414</v>
      </c>
      <c r="F30" s="536">
        <v>27048.324613735058</v>
      </c>
      <c r="G30" s="536">
        <v>29926.980237882817</v>
      </c>
      <c r="H30" s="279">
        <f t="shared" si="4"/>
        <v>6.0496418101977145E-2</v>
      </c>
      <c r="I30" s="254"/>
      <c r="J30" s="248"/>
      <c r="K30" s="248"/>
      <c r="L30" s="248"/>
      <c r="M30" s="248"/>
      <c r="N30" s="248"/>
      <c r="O30" s="5"/>
      <c r="Q30" s="5"/>
      <c r="S30" s="42"/>
      <c r="T30" s="42"/>
      <c r="U30" s="42"/>
      <c r="V30" s="147" t="s">
        <v>588</v>
      </c>
      <c r="W30" s="288">
        <f t="shared" si="6"/>
        <v>2.0156177526425947</v>
      </c>
      <c r="X30" s="288">
        <v>1</v>
      </c>
      <c r="Y30" s="42"/>
      <c r="Z30" s="42"/>
      <c r="AA30" s="42"/>
    </row>
    <row r="31" spans="2:27">
      <c r="B31" s="5" t="s">
        <v>585</v>
      </c>
      <c r="C31" s="545">
        <v>16601.836879994</v>
      </c>
      <c r="D31" s="536">
        <v>17682.605663099999</v>
      </c>
      <c r="E31" s="536">
        <v>17956.786435998092</v>
      </c>
      <c r="F31" s="536">
        <v>20286.243460301292</v>
      </c>
      <c r="G31" s="536">
        <v>22445.235178412113</v>
      </c>
      <c r="H31" s="279">
        <f t="shared" si="4"/>
        <v>8.2744449600624881E-2</v>
      </c>
      <c r="I31" s="254"/>
      <c r="J31" s="252"/>
      <c r="K31" s="252"/>
      <c r="L31" s="252"/>
      <c r="M31" s="252"/>
      <c r="N31" s="252"/>
      <c r="O31" s="5"/>
      <c r="Q31" s="5"/>
      <c r="S31" s="42"/>
      <c r="T31" s="42"/>
      <c r="U31" s="42"/>
      <c r="V31" s="147" t="s">
        <v>470</v>
      </c>
      <c r="W31" s="288">
        <f t="shared" si="6"/>
        <v>0.6980381121596213</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42"/>
      <c r="T32" s="42"/>
      <c r="U32" s="42"/>
      <c r="V32" s="147" t="s">
        <v>528</v>
      </c>
      <c r="W32" s="288">
        <f t="shared" si="6"/>
        <v>0.87745115358635783</v>
      </c>
      <c r="X32" s="288">
        <v>1</v>
      </c>
      <c r="Y32" s="42"/>
      <c r="Z32" s="42"/>
      <c r="AA32" s="42"/>
    </row>
    <row r="33" spans="2:27">
      <c r="B33" s="5" t="s">
        <v>5</v>
      </c>
      <c r="C33" s="545">
        <v>3155</v>
      </c>
      <c r="D33" s="536">
        <v>3591</v>
      </c>
      <c r="E33" s="536">
        <v>3482.7338515957995</v>
      </c>
      <c r="F33" s="536">
        <v>3176.9011083037894</v>
      </c>
      <c r="G33" s="536">
        <v>2898.9266318277578</v>
      </c>
      <c r="H33" s="279">
        <f>IF(D33=0,"nm",IF(G33=0,"nm",(G33/D33)^(1/3)-1))</f>
        <v>-6.8876531471010582E-2</v>
      </c>
      <c r="I33" s="5"/>
      <c r="J33" s="254"/>
      <c r="K33" s="254"/>
      <c r="L33" s="254"/>
      <c r="M33" s="254"/>
      <c r="N33" s="254"/>
      <c r="O33" s="251"/>
      <c r="Q33" s="5"/>
      <c r="S33" s="42"/>
      <c r="T33" s="42"/>
      <c r="U33" s="42"/>
      <c r="V33" s="147" t="s">
        <v>575</v>
      </c>
      <c r="W33" s="288">
        <f t="shared" si="6"/>
        <v>1.2902230454810952</v>
      </c>
      <c r="X33" s="288">
        <v>1</v>
      </c>
      <c r="Y33" s="42"/>
      <c r="Z33" s="42"/>
      <c r="AA33" s="42"/>
    </row>
    <row r="34" spans="2:27">
      <c r="H34" s="277"/>
      <c r="I34" s="49"/>
      <c r="J34" s="254"/>
      <c r="K34" s="254"/>
      <c r="L34" s="254"/>
      <c r="M34" s="254"/>
      <c r="N34" s="254"/>
      <c r="O34" s="251"/>
      <c r="Q34" s="5"/>
      <c r="S34" s="42"/>
      <c r="T34" s="42"/>
      <c r="U34" s="42"/>
      <c r="V34" s="147" t="s">
        <v>576</v>
      </c>
      <c r="W34" s="288">
        <f>D47/L19</f>
        <v>1.4325865344317026</v>
      </c>
      <c r="X34" s="288">
        <v>1</v>
      </c>
      <c r="Y34" s="288"/>
      <c r="Z34" s="288"/>
      <c r="AA34" s="42"/>
    </row>
    <row r="35" spans="2:27" ht="12.6" thickBot="1">
      <c r="B35" s="306" t="s">
        <v>232</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3.5028213101667793</v>
      </c>
      <c r="E37" s="525">
        <f t="shared" ref="E37:G41" si="8">E$18/E23</f>
        <v>3.3113072883610197</v>
      </c>
      <c r="F37" s="525">
        <f t="shared" si="8"/>
        <v>2.9616564679234161</v>
      </c>
      <c r="G37" s="525">
        <f t="shared" si="8"/>
        <v>2.6373214465293113</v>
      </c>
      <c r="H37" s="17">
        <f t="shared" ref="H37:H45" si="9">H23</f>
        <v>4.4217213024553947E-2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6.7373514046049339</v>
      </c>
      <c r="E38" s="525">
        <f t="shared" si="8"/>
        <v>6.4880259816555821</v>
      </c>
      <c r="F38" s="525">
        <f t="shared" si="8"/>
        <v>5.7886008403469464</v>
      </c>
      <c r="G38" s="525">
        <f t="shared" si="8"/>
        <v>5.1461401764843249</v>
      </c>
      <c r="H38" s="17">
        <f t="shared" si="9"/>
        <v>3.922217449285248E-2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11.7163252251204</v>
      </c>
      <c r="E39" s="525">
        <f t="shared" si="8"/>
        <v>10.887147756791036</v>
      </c>
      <c r="F39" s="525">
        <f t="shared" si="8"/>
        <v>9.3906042025141563</v>
      </c>
      <c r="G39" s="525">
        <f t="shared" si="8"/>
        <v>8.186943988463149</v>
      </c>
      <c r="H39" s="17">
        <f t="shared" si="9"/>
        <v>7.0522358187728118E-2</v>
      </c>
      <c r="I39" s="17"/>
      <c r="J39" s="5"/>
      <c r="K39" s="5"/>
      <c r="L39" s="5"/>
      <c r="M39" s="5"/>
      <c r="N39" s="5"/>
      <c r="O39" s="5"/>
      <c r="Q39" s="5"/>
      <c r="R39" s="5"/>
      <c r="S39" s="42"/>
      <c r="T39" s="42"/>
      <c r="U39" s="42"/>
      <c r="V39" s="42"/>
      <c r="W39" s="42"/>
      <c r="X39" s="42"/>
      <c r="Y39" s="42"/>
      <c r="Z39" s="42"/>
      <c r="AA39" s="42"/>
    </row>
    <row r="40" spans="2:27">
      <c r="B40" s="5" t="s">
        <v>461</v>
      </c>
      <c r="C40" s="247"/>
      <c r="D40" s="525">
        <f>D$18/D26</f>
        <v>14.839660060654545</v>
      </c>
      <c r="E40" s="525">
        <f t="shared" si="8"/>
        <v>14.29292132709644</v>
      </c>
      <c r="F40" s="525">
        <f t="shared" si="8"/>
        <v>12.328221319189375</v>
      </c>
      <c r="G40" s="525">
        <f t="shared" si="8"/>
        <v>10.748025924738524</v>
      </c>
      <c r="H40" s="17">
        <f t="shared" si="9"/>
        <v>5.7801774880395396E-2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2.5706226158741639</v>
      </c>
      <c r="E41" s="525">
        <f t="shared" si="8"/>
        <v>2.5435132876205517</v>
      </c>
      <c r="F41" s="525">
        <f t="shared" si="8"/>
        <v>2.3941190822502909</v>
      </c>
      <c r="G41" s="525">
        <f t="shared" si="8"/>
        <v>2.2211158891755844</v>
      </c>
      <c r="H41" s="17">
        <f t="shared" si="9"/>
        <v>-2.6178823198161894E-3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3.0791856536611704</v>
      </c>
      <c r="E42" s="525">
        <f>E18/E28</f>
        <v>3.1105154310027547</v>
      </c>
      <c r="F42" s="525">
        <f>F18/F28</f>
        <v>2.9966191228553529</v>
      </c>
      <c r="G42" s="525">
        <f>G18/G28</f>
        <v>2.8432756890382622</v>
      </c>
      <c r="H42" s="17">
        <f t="shared" si="9"/>
        <v>-2.4460534890270336E-2</v>
      </c>
      <c r="I42" s="248"/>
      <c r="J42" s="5"/>
      <c r="K42" s="5"/>
      <c r="L42" s="5"/>
      <c r="M42" s="5"/>
      <c r="N42" s="5"/>
      <c r="O42" s="5"/>
      <c r="Q42" s="5"/>
      <c r="R42" s="5"/>
      <c r="S42" s="42"/>
      <c r="T42" s="42"/>
      <c r="U42" s="42"/>
      <c r="V42" s="42"/>
      <c r="W42" s="288"/>
      <c r="X42" s="288"/>
      <c r="Y42" s="288"/>
      <c r="Z42" s="288"/>
      <c r="AA42" s="42"/>
    </row>
    <row r="43" spans="2:27">
      <c r="B43" s="5" t="s">
        <v>470</v>
      </c>
      <c r="C43" s="247"/>
      <c r="D43" s="525">
        <f>L26/D29</f>
        <v>10.661354152116346</v>
      </c>
      <c r="E43" s="525">
        <f>M26/E29</f>
        <v>10.590453647554282</v>
      </c>
      <c r="F43" s="525">
        <f>N26/F29</f>
        <v>9.53730040809622</v>
      </c>
      <c r="G43" s="525">
        <f>O26/G29</f>
        <v>8.8116630959977051</v>
      </c>
      <c r="H43" s="17">
        <f t="shared" si="9"/>
        <v>6.5576977468659647E-2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12.001798918539775</v>
      </c>
      <c r="E44" s="525">
        <f>E11/E30</f>
        <v>12.578077633936385</v>
      </c>
      <c r="F44" s="525">
        <f>F11/F30</f>
        <v>11.133744613190474</v>
      </c>
      <c r="G44" s="525">
        <f>G11/G30</f>
        <v>10.062797384508341</v>
      </c>
      <c r="H44" s="17">
        <f t="shared" si="9"/>
        <v>6.0496418101977145E-2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5.871710526315789E-2</v>
      </c>
      <c r="E45" s="248">
        <f>E31/E11</f>
        <v>5.9627553734956755E-2</v>
      </c>
      <c r="F45" s="248">
        <f>F31/F11</f>
        <v>6.7362780992070978E-2</v>
      </c>
      <c r="G45" s="248">
        <f>G31/G11</f>
        <v>7.453195879255442E-2</v>
      </c>
      <c r="H45" s="17">
        <f t="shared" si="9"/>
        <v>8.2744449600624881E-2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5.871710526315789E-2</v>
      </c>
      <c r="E46" s="248">
        <f>(E31+E32)/E11</f>
        <v>5.9627553734956755E-2</v>
      </c>
      <c r="F46" s="248">
        <f>(F31+F32)/F11</f>
        <v>6.7362780992070978E-2</v>
      </c>
      <c r="G46" s="248">
        <f>(G31+G32)/G11</f>
        <v>7.453195879255442E-2</v>
      </c>
      <c r="H46" s="279">
        <f>((G31+G32)/(D31+D32))^(1/3)-1</f>
        <v>8.2744449600624881E-2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9.3796715288882296E-2</v>
      </c>
      <c r="E47" s="248">
        <f>1/E43</f>
        <v>9.4424661424294704E-2</v>
      </c>
      <c r="F47" s="248">
        <f>1/F43</f>
        <v>0.10485147339503949</v>
      </c>
      <c r="G47" s="248">
        <f>1/G43</f>
        <v>0.11348595481983466</v>
      </c>
      <c r="H47" s="17">
        <f>H29</f>
        <v>6.5576977468659647E-2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0.62600385399762093</v>
      </c>
      <c r="E48" s="305">
        <f>E31/E29</f>
        <v>0.63148284394711163</v>
      </c>
      <c r="F48" s="305">
        <f>F31/F29</f>
        <v>0.6424590786461748</v>
      </c>
      <c r="G48" s="305">
        <f>G31/G29</f>
        <v>0.65675051076477342</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hyperlinks>
    <hyperlink ref="C2" location="PTTSOP!A1" display="Jump to PTT SOP" xr:uid="{00000000-0004-0000-4A00-000001000000}"/>
  </hyperlinks>
  <pageMargins left="0.75" right="0.75" top="1" bottom="1" header="0.5" footer="0.5"/>
  <pageSetup scale="71"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46">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1047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964</v>
      </c>
      <c r="C9" s="285">
        <f>Prices!C64</f>
        <v>946.4</v>
      </c>
      <c r="D9" s="529">
        <v>0</v>
      </c>
      <c r="E9" s="529">
        <v>0</v>
      </c>
      <c r="F9" s="529">
        <v>0</v>
      </c>
      <c r="G9" s="529">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44">
      <c r="B10" s="5" t="s">
        <v>269</v>
      </c>
      <c r="C10" s="5"/>
      <c r="D10" s="527">
        <v>2142</v>
      </c>
      <c r="E10" s="527">
        <v>2142</v>
      </c>
      <c r="F10" s="527">
        <v>2142</v>
      </c>
      <c r="G10" s="527">
        <v>2142</v>
      </c>
      <c r="H10" s="249"/>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44">
      <c r="B11" s="41" t="s">
        <v>868</v>
      </c>
      <c r="C11" s="5"/>
      <c r="D11" s="528">
        <f>($C$9*D10)/1000</f>
        <v>2027.1888000000001</v>
      </c>
      <c r="E11" s="528">
        <f t="shared" ref="E11:G11" si="2">($C$9*E10)/1000</f>
        <v>2027.1888000000001</v>
      </c>
      <c r="F11" s="528">
        <f t="shared" si="2"/>
        <v>2027.1888000000001</v>
      </c>
      <c r="G11" s="528">
        <f t="shared" si="2"/>
        <v>2027.1888000000001</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44">
      <c r="B12" s="5" t="s">
        <v>24</v>
      </c>
      <c r="C12" s="249"/>
      <c r="D12" s="529">
        <v>89</v>
      </c>
      <c r="E12" s="529">
        <v>89</v>
      </c>
      <c r="F12" s="529">
        <v>89</v>
      </c>
      <c r="G12" s="529">
        <v>89</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44">
      <c r="B13" s="5" t="s">
        <v>524</v>
      </c>
      <c r="C13" s="257"/>
      <c r="D13" s="529">
        <v>211.61572052401746</v>
      </c>
      <c r="E13" s="529">
        <v>211.61572052401746</v>
      </c>
      <c r="F13" s="529">
        <v>211.61572052401746</v>
      </c>
      <c r="G13" s="529">
        <v>211.61572052401746</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44">
      <c r="B14" s="5" t="s">
        <v>527</v>
      </c>
      <c r="C14" s="257"/>
      <c r="D14" s="529">
        <v>0</v>
      </c>
      <c r="E14" s="529">
        <v>0</v>
      </c>
      <c r="F14" s="529">
        <v>0</v>
      </c>
      <c r="G14" s="529">
        <v>0</v>
      </c>
      <c r="H14" s="249"/>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44">
      <c r="B16" s="5" t="s">
        <v>529</v>
      </c>
      <c r="C16" s="257"/>
      <c r="D16" s="529">
        <v>0</v>
      </c>
      <c r="E16" s="529">
        <v>4.3549769470928323</v>
      </c>
      <c r="F16" s="529">
        <v>7.9956798968812608</v>
      </c>
      <c r="G16" s="529">
        <v>13.445683362030032</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1048</v>
      </c>
      <c r="C18" s="249"/>
      <c r="D18" s="530">
        <f>D11+D12+D13-RAK!D14+D15-D16-D17</f>
        <v>2327.8045205240173</v>
      </c>
      <c r="E18" s="530">
        <f>E11+E12+E13-E14+E15-E16-E17</f>
        <v>2323.4495435769245</v>
      </c>
      <c r="F18" s="530">
        <f>F11+F12+F13-F14+F15-F16-F17</f>
        <v>2319.8088406271359</v>
      </c>
      <c r="G18" s="530">
        <f>G11+G12+G13-G14+G15-G16-G17</f>
        <v>2314.3588371619871</v>
      </c>
      <c r="H18" s="276">
        <f>IF(D18=0,"nm",IF(G18=0,"nm",(G18/D18)^(1/3)-1))</f>
        <v>-1.9290930728828037E-3</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965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1920.8939999999998</v>
      </c>
      <c r="D23" s="536">
        <v>2071.3150000000001</v>
      </c>
      <c r="E23" s="536">
        <v>2273.5608567927193</v>
      </c>
      <c r="F23" s="536">
        <v>2495.7880933967099</v>
      </c>
      <c r="G23" s="536">
        <v>2716.6928363990305</v>
      </c>
      <c r="H23" s="279">
        <f t="shared" ref="H23:H32" si="4">IF(D23=0,"nm",IF(G23=0,"nm",(G23/D23)^(1/3)-1))</f>
        <v>9.4623571043125354E-2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-69.918000000000006</v>
      </c>
      <c r="D24" s="536">
        <v>148.17899999999997</v>
      </c>
      <c r="E24" s="536">
        <v>192.28040725216161</v>
      </c>
      <c r="F24" s="536">
        <v>264.32180566089664</v>
      </c>
      <c r="G24" s="536">
        <v>346.15820091470056</v>
      </c>
      <c r="H24" s="279">
        <f t="shared" si="4"/>
        <v>0.32687289283357424</v>
      </c>
      <c r="I24" s="249"/>
      <c r="J24" s="17"/>
      <c r="K24" s="17"/>
      <c r="L24" s="17"/>
      <c r="M24" s="17"/>
      <c r="N24" s="17"/>
      <c r="O24" s="248"/>
      <c r="S24" s="88"/>
      <c r="T24" s="42"/>
      <c r="U24" s="42"/>
      <c r="V24" s="42"/>
      <c r="W24" s="42" t="s">
        <v>1043</v>
      </c>
      <c r="X24" s="42" t="s">
        <v>252</v>
      </c>
      <c r="Y24" s="42"/>
      <c r="Z24" s="42"/>
      <c r="AA24" s="42"/>
    </row>
    <row r="25" spans="2:27">
      <c r="B25" s="5" t="s">
        <v>179</v>
      </c>
      <c r="C25" s="544">
        <v>-658.13700000000006</v>
      </c>
      <c r="D25" s="536">
        <v>-237.69500000000005</v>
      </c>
      <c r="E25" s="536">
        <v>-82.148963503643785</v>
      </c>
      <c r="F25" s="536">
        <v>-3.263319668161671</v>
      </c>
      <c r="G25" s="536">
        <v>5.5841059972876792</v>
      </c>
      <c r="H25" s="279">
        <f t="shared" si="4"/>
        <v>-1.2864032019758365</v>
      </c>
      <c r="I25" s="248"/>
      <c r="J25" s="247" t="s">
        <v>10</v>
      </c>
      <c r="K25" s="247"/>
      <c r="L25" s="321">
        <v>0</v>
      </c>
      <c r="M25" s="321">
        <v>0</v>
      </c>
      <c r="N25" s="321">
        <v>0</v>
      </c>
      <c r="O25" s="321">
        <v>0</v>
      </c>
      <c r="P25" s="279" t="str">
        <f>IF(L25=0,"nm",IF(O25=0,"nm",(O25/L25)^(1/3)-1))</f>
        <v>nm</v>
      </c>
      <c r="S25" s="88"/>
      <c r="T25" s="42"/>
      <c r="U25" s="42"/>
      <c r="V25" s="147" t="s">
        <v>268</v>
      </c>
      <c r="W25" s="288">
        <f>D37/L9</f>
        <v>0.52202582842858813</v>
      </c>
      <c r="X25" s="288">
        <v>1</v>
      </c>
      <c r="Y25" s="42"/>
      <c r="Z25" s="42"/>
      <c r="AA25" s="42"/>
    </row>
    <row r="26" spans="2:27">
      <c r="B26" s="5" t="s">
        <v>581</v>
      </c>
      <c r="C26" s="544">
        <v>-454.11453</v>
      </c>
      <c r="D26" s="536">
        <v>-164.00955000000002</v>
      </c>
      <c r="E26" s="536">
        <v>-56.682784817514204</v>
      </c>
      <c r="F26" s="536">
        <v>-2.2516905710315527</v>
      </c>
      <c r="G26" s="536">
        <v>3.8530331381284983</v>
      </c>
      <c r="H26" s="279">
        <f t="shared" si="4"/>
        <v>-1.2864032019758365</v>
      </c>
      <c r="I26" s="249"/>
      <c r="J26" s="249" t="s">
        <v>11</v>
      </c>
      <c r="K26" s="249"/>
      <c r="L26" s="281">
        <f>D11+L25</f>
        <v>2027.1888000000001</v>
      </c>
      <c r="M26" s="281">
        <f>E11+M25</f>
        <v>2027.1888000000001</v>
      </c>
      <c r="N26" s="281">
        <f>F11+N25</f>
        <v>2027.1888000000001</v>
      </c>
      <c r="O26" s="281">
        <f>G11+O25</f>
        <v>2027.1888000000001</v>
      </c>
      <c r="P26" s="279">
        <f>IF(L26=0,"nm",IF(O26=0,"nm",(O26/L26)^(1/3)-1))</f>
        <v>0</v>
      </c>
      <c r="Q26" s="5"/>
      <c r="S26" s="88"/>
      <c r="T26" s="42"/>
      <c r="U26" s="42"/>
      <c r="V26" s="147" t="s">
        <v>180</v>
      </c>
      <c r="W26" s="288">
        <f t="shared" ref="W26:W33" si="6">D38/L10</f>
        <v>2.381237007060232</v>
      </c>
      <c r="X26" s="288">
        <v>1</v>
      </c>
      <c r="Y26" s="42"/>
      <c r="Z26" s="42"/>
      <c r="AA26" s="42"/>
    </row>
    <row r="27" spans="2:27">
      <c r="B27" s="5" t="s">
        <v>582</v>
      </c>
      <c r="C27" s="545">
        <v>2018.2260000000003</v>
      </c>
      <c r="D27" s="536">
        <v>1576.2639999999997</v>
      </c>
      <c r="E27" s="536">
        <v>1609.6648715771341</v>
      </c>
      <c r="F27" s="536">
        <v>1598.1548809037558</v>
      </c>
      <c r="G27" s="536">
        <v>1658.0264773933659</v>
      </c>
      <c r="H27" s="279">
        <f t="shared" si="4"/>
        <v>1.6999723635801933E-2</v>
      </c>
      <c r="I27" s="249"/>
      <c r="J27" s="248"/>
      <c r="K27" s="248"/>
      <c r="L27" s="248"/>
      <c r="M27" s="248"/>
      <c r="N27" s="248"/>
      <c r="O27" s="248"/>
      <c r="Q27" s="41"/>
      <c r="S27" s="88"/>
      <c r="T27" s="42"/>
      <c r="U27" s="42"/>
      <c r="V27" s="147" t="s">
        <v>181</v>
      </c>
      <c r="W27" s="288">
        <f t="shared" si="6"/>
        <v>-0.77024373713008965</v>
      </c>
      <c r="X27" s="288">
        <v>1</v>
      </c>
      <c r="Y27" s="42"/>
      <c r="Z27" s="42"/>
      <c r="AA27" s="42"/>
    </row>
    <row r="28" spans="2:27" ht="12.6" thickBot="1">
      <c r="B28" s="5" t="s">
        <v>587</v>
      </c>
      <c r="C28" s="544">
        <v>1262.115</v>
      </c>
      <c r="D28" s="536">
        <v>1267.837</v>
      </c>
      <c r="E28" s="536">
        <v>1304.6140696586649</v>
      </c>
      <c r="F28" s="536">
        <v>1344.627259784108</v>
      </c>
      <c r="G28" s="536">
        <v>1388.0053623729204</v>
      </c>
      <c r="H28" s="279">
        <f t="shared" si="4"/>
        <v>3.0645332235550216E-2</v>
      </c>
      <c r="I28" s="248"/>
      <c r="J28" s="306" t="s">
        <v>1352</v>
      </c>
      <c r="K28" s="306"/>
      <c r="L28" s="306"/>
      <c r="M28" s="306"/>
      <c r="N28" s="266"/>
      <c r="O28" s="266"/>
      <c r="P28" s="266"/>
      <c r="Q28" s="5"/>
      <c r="S28" s="88"/>
      <c r="T28" s="42"/>
      <c r="U28" s="42"/>
      <c r="V28" s="147" t="s">
        <v>461</v>
      </c>
      <c r="W28" s="288">
        <f t="shared" si="6"/>
        <v>-0.85735927713296123</v>
      </c>
      <c r="X28" s="288">
        <v>1</v>
      </c>
      <c r="Y28" s="42"/>
      <c r="Z28" s="42"/>
      <c r="AA28" s="42"/>
    </row>
    <row r="29" spans="2:27" ht="12.6" thickTop="1">
      <c r="B29" s="5" t="s">
        <v>583</v>
      </c>
      <c r="C29" s="544">
        <v>-699.31799999999998</v>
      </c>
      <c r="D29" s="536">
        <v>-410.93199999999996</v>
      </c>
      <c r="E29" s="536">
        <v>-191.44297024934457</v>
      </c>
      <c r="F29" s="536">
        <v>-146.04710315219438</v>
      </c>
      <c r="G29" s="536">
        <v>-174.90494180994804</v>
      </c>
      <c r="H29" s="279">
        <f t="shared" si="4"/>
        <v>-0.24778144930655122</v>
      </c>
      <c r="I29" s="252"/>
      <c r="J29" s="249"/>
      <c r="K29" s="249"/>
      <c r="L29" s="249"/>
      <c r="M29" s="249"/>
      <c r="N29" s="249"/>
      <c r="O29" s="251"/>
      <c r="Q29" s="5"/>
      <c r="S29" s="88"/>
      <c r="T29" s="42"/>
      <c r="U29" s="42"/>
      <c r="V29" s="147" t="s">
        <v>525</v>
      </c>
      <c r="W29" s="288">
        <f t="shared" si="6"/>
        <v>0.995894830867324</v>
      </c>
      <c r="X29" s="288">
        <v>1</v>
      </c>
      <c r="Y29" s="42"/>
      <c r="Z29" s="42"/>
      <c r="AA29" s="42"/>
    </row>
    <row r="30" spans="2:27">
      <c r="B30" s="5" t="s">
        <v>584</v>
      </c>
      <c r="C30" s="545">
        <v>-377.21699999999998</v>
      </c>
      <c r="D30" s="536">
        <v>-339.47399999999999</v>
      </c>
      <c r="E30" s="536">
        <v>-197.4878114198853</v>
      </c>
      <c r="F30" s="536">
        <v>-183.38397524894447</v>
      </c>
      <c r="G30" s="536">
        <v>-171.66662844782653</v>
      </c>
      <c r="H30" s="279">
        <f t="shared" si="4"/>
        <v>-0.2033031134195652</v>
      </c>
      <c r="I30" s="254"/>
      <c r="J30" s="248"/>
      <c r="K30" s="248"/>
      <c r="L30" s="248"/>
      <c r="M30" s="248"/>
      <c r="N30" s="248"/>
      <c r="O30" s="5"/>
      <c r="Q30" s="5"/>
      <c r="S30" s="88"/>
      <c r="T30" s="42"/>
      <c r="U30" s="42"/>
      <c r="V30" s="147" t="s">
        <v>588</v>
      </c>
      <c r="W30" s="288">
        <f t="shared" si="6"/>
        <v>0.60345435022207972</v>
      </c>
      <c r="X30" s="288">
        <v>1</v>
      </c>
      <c r="Y30" s="42"/>
      <c r="Z30" s="42"/>
      <c r="AA30" s="42"/>
    </row>
    <row r="31" spans="2:27">
      <c r="B31" s="5" t="s">
        <v>585</v>
      </c>
      <c r="C31" s="545">
        <v>7.1570834999999997</v>
      </c>
      <c r="D31" s="536">
        <v>0</v>
      </c>
      <c r="E31" s="536">
        <v>0</v>
      </c>
      <c r="F31" s="536">
        <v>0</v>
      </c>
      <c r="G31" s="536">
        <v>0</v>
      </c>
      <c r="H31" s="279" t="str">
        <f t="shared" si="4"/>
        <v>nm</v>
      </c>
      <c r="I31" s="254"/>
      <c r="J31" s="252"/>
      <c r="K31" s="252"/>
      <c r="L31" s="252"/>
      <c r="M31" s="252"/>
      <c r="N31" s="252"/>
      <c r="O31" s="5"/>
      <c r="Q31" s="5"/>
      <c r="S31" s="88"/>
      <c r="T31" s="42"/>
      <c r="U31" s="42"/>
      <c r="V31" s="147" t="s">
        <v>470</v>
      </c>
      <c r="W31" s="288">
        <f t="shared" si="6"/>
        <v>-0.25058892434941737</v>
      </c>
      <c r="X31" s="288">
        <v>1</v>
      </c>
      <c r="Y31" s="42"/>
      <c r="Z31" s="42"/>
      <c r="AA31" s="42"/>
    </row>
    <row r="32" spans="2:27">
      <c r="B32" s="5" t="s">
        <v>601</v>
      </c>
      <c r="C32" s="546">
        <v>-99.960999999999999</v>
      </c>
      <c r="D32" s="536">
        <v>0</v>
      </c>
      <c r="E32" s="536">
        <v>0</v>
      </c>
      <c r="F32" s="536">
        <v>0</v>
      </c>
      <c r="G32" s="536">
        <v>-552.97299999999996</v>
      </c>
      <c r="H32" s="279" t="str">
        <f t="shared" si="4"/>
        <v>nm</v>
      </c>
      <c r="I32" s="254"/>
      <c r="J32" s="254"/>
      <c r="K32" s="254"/>
      <c r="L32" s="254"/>
      <c r="M32" s="254"/>
      <c r="N32" s="254"/>
      <c r="O32" s="251"/>
      <c r="Q32" s="5"/>
      <c r="S32" s="88"/>
      <c r="T32" s="42"/>
      <c r="U32" s="42"/>
      <c r="V32" s="147" t="s">
        <v>528</v>
      </c>
      <c r="W32" s="288">
        <f t="shared" si="6"/>
        <v>-0.27907834034653406</v>
      </c>
      <c r="X32" s="288">
        <v>1</v>
      </c>
      <c r="Y32" s="42"/>
      <c r="Z32" s="42"/>
      <c r="AA32" s="42"/>
    </row>
    <row r="33" spans="2:27">
      <c r="B33" s="5" t="s">
        <v>5</v>
      </c>
      <c r="C33" s="545">
        <v>41.451999999999984</v>
      </c>
      <c r="D33" s="536">
        <v>-8.8470000000000084</v>
      </c>
      <c r="E33" s="536">
        <v>133.07667319027814</v>
      </c>
      <c r="F33" s="536">
        <v>160.95430117531197</v>
      </c>
      <c r="G33" s="536">
        <v>184.6559097878087</v>
      </c>
      <c r="H33" s="279">
        <f>IF(D33=0,"nm",IF(G33=0,"nm",(G33/D33)^(1/3)-1))</f>
        <v>-3.7533139050012334</v>
      </c>
      <c r="I33" s="5"/>
      <c r="J33" s="254"/>
      <c r="K33" s="254"/>
      <c r="L33" s="254"/>
      <c r="M33" s="254"/>
      <c r="N33" s="254"/>
      <c r="O33" s="251"/>
      <c r="Q33" s="5"/>
      <c r="S33" s="88"/>
      <c r="T33" s="42"/>
      <c r="U33" s="42"/>
      <c r="V33" s="147" t="s">
        <v>575</v>
      </c>
      <c r="W33" s="288">
        <f t="shared" si="6"/>
        <v>0</v>
      </c>
      <c r="X33" s="288">
        <v>1</v>
      </c>
      <c r="Y33" s="42"/>
      <c r="Z33" s="42"/>
      <c r="AA33" s="42"/>
    </row>
    <row r="34" spans="2:27">
      <c r="B34" s="5"/>
      <c r="H34" s="277"/>
      <c r="I34" s="49"/>
      <c r="J34" s="254"/>
      <c r="K34" s="254"/>
      <c r="L34" s="254"/>
      <c r="M34" s="254"/>
      <c r="N34" s="254"/>
      <c r="O34" s="251"/>
      <c r="Q34" s="5"/>
      <c r="S34" s="88"/>
      <c r="T34" s="42"/>
      <c r="U34" s="42"/>
      <c r="V34" s="147" t="s">
        <v>576</v>
      </c>
      <c r="W34" s="288">
        <f>D47/L19</f>
        <v>-3.9905993554831474</v>
      </c>
      <c r="X34" s="288">
        <v>1</v>
      </c>
      <c r="Y34" s="288"/>
      <c r="Z34" s="288"/>
      <c r="AA34" s="42"/>
    </row>
    <row r="35" spans="2:27" ht="12.6" thickBot="1">
      <c r="B35" s="306" t="s">
        <v>1049</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1.1238293164120461</v>
      </c>
      <c r="E37" s="525">
        <f t="shared" ref="E37:G41" si="8">E$18/E23</f>
        <v>1.0219429740071186</v>
      </c>
      <c r="F37" s="525">
        <f t="shared" si="8"/>
        <v>0.92948950544512365</v>
      </c>
      <c r="G37" s="525">
        <f t="shared" si="8"/>
        <v>0.85190302199554657</v>
      </c>
      <c r="H37" s="17">
        <f t="shared" ref="H37:H45" si="9">H23</f>
        <v>9.4623571043125354E-2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15.709409029106808</v>
      </c>
      <c r="E38" s="525">
        <f t="shared" si="8"/>
        <v>12.083652082814092</v>
      </c>
      <c r="F38" s="525">
        <f t="shared" si="8"/>
        <v>8.7764565425346017</v>
      </c>
      <c r="G38" s="525">
        <f t="shared" si="8"/>
        <v>6.6858414188843263</v>
      </c>
      <c r="H38" s="17">
        <f t="shared" si="9"/>
        <v>0.32687289283357424</v>
      </c>
      <c r="I38" s="259"/>
      <c r="J38" s="17"/>
      <c r="K38" s="17"/>
      <c r="L38" s="17"/>
      <c r="M38" s="17"/>
      <c r="N38" s="17"/>
      <c r="O38" s="5"/>
      <c r="Q38" s="5"/>
      <c r="R38" s="5"/>
      <c r="S38" s="42"/>
      <c r="T38" s="42"/>
      <c r="U38" s="42"/>
      <c r="V38" s="42"/>
      <c r="W38" s="42"/>
      <c r="X38" s="42"/>
      <c r="Y38" s="42"/>
      <c r="Z38" s="42"/>
      <c r="AA38" s="42"/>
    </row>
    <row r="39" spans="2:27">
      <c r="B39" s="5" t="s">
        <v>181</v>
      </c>
      <c r="C39" s="247"/>
      <c r="D39" s="525">
        <f>D$18/D25</f>
        <v>-9.7932414250363564</v>
      </c>
      <c r="E39" s="525">
        <f t="shared" si="8"/>
        <v>-28.283370166610393</v>
      </c>
      <c r="F39" s="525">
        <f t="shared" si="8"/>
        <v>-710.87391874604668</v>
      </c>
      <c r="G39" s="525">
        <f t="shared" si="8"/>
        <v>414.4546751594832</v>
      </c>
      <c r="H39" s="17">
        <f t="shared" si="9"/>
        <v>-1.2864032019758365</v>
      </c>
      <c r="I39" s="17"/>
      <c r="J39" s="5"/>
      <c r="K39" s="5"/>
      <c r="L39" s="5"/>
      <c r="M39" s="5"/>
      <c r="N39" s="5"/>
      <c r="O39" s="5"/>
      <c r="Q39" s="5"/>
      <c r="R39" s="5"/>
      <c r="S39" s="42"/>
      <c r="T39" s="42"/>
      <c r="U39" s="42"/>
      <c r="V39" s="42"/>
      <c r="W39" s="42"/>
      <c r="X39" s="42"/>
      <c r="Y39" s="42"/>
      <c r="Z39" s="42"/>
      <c r="AA39" s="42"/>
    </row>
    <row r="40" spans="2:27">
      <c r="B40" s="5" t="s">
        <v>461</v>
      </c>
      <c r="C40" s="247"/>
      <c r="D40" s="525">
        <f>D$18/D26</f>
        <v>-14.193103514545447</v>
      </c>
      <c r="E40" s="525">
        <f t="shared" si="8"/>
        <v>-40.990391545812166</v>
      </c>
      <c r="F40" s="525">
        <f t="shared" si="8"/>
        <v>-1030.252056153691</v>
      </c>
      <c r="G40" s="525">
        <f t="shared" si="8"/>
        <v>600.65894950649749</v>
      </c>
      <c r="H40" s="17">
        <f t="shared" si="9"/>
        <v>-1.2864032019758365</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1.4767859448188996</v>
      </c>
      <c r="E41" s="525">
        <f t="shared" si="8"/>
        <v>1.4434368200508911</v>
      </c>
      <c r="F41" s="525">
        <f t="shared" si="8"/>
        <v>1.451554457172064</v>
      </c>
      <c r="G41" s="525">
        <f t="shared" si="8"/>
        <v>1.3958515552782134</v>
      </c>
      <c r="H41" s="17">
        <f t="shared" si="9"/>
        <v>1.6999723635801933E-2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1.836044002915215</v>
      </c>
      <c r="E42" s="525">
        <f>E18/E28</f>
        <v>1.7809477895519128</v>
      </c>
      <c r="F42" s="525">
        <f>F18/F28</f>
        <v>1.7252430543462298</v>
      </c>
      <c r="G42" s="525">
        <f>G18/G28</f>
        <v>1.6673990604801281</v>
      </c>
      <c r="H42" s="17">
        <f t="shared" si="9"/>
        <v>3.0645332235550216E-2</v>
      </c>
      <c r="I42" s="248"/>
      <c r="J42" s="5"/>
      <c r="K42" s="5"/>
      <c r="L42" s="5"/>
      <c r="M42" s="5"/>
      <c r="N42" s="5"/>
      <c r="O42" s="5"/>
      <c r="Q42" s="5"/>
      <c r="R42" s="5"/>
      <c r="S42" s="42"/>
      <c r="T42" s="42"/>
      <c r="U42" s="42"/>
      <c r="V42" s="42"/>
      <c r="W42" s="288"/>
      <c r="X42" s="288"/>
      <c r="Y42" s="288"/>
      <c r="Z42" s="288"/>
      <c r="AA42" s="42"/>
    </row>
    <row r="43" spans="2:27">
      <c r="B43" s="5" t="s">
        <v>470</v>
      </c>
      <c r="C43" s="247"/>
      <c r="D43" s="525">
        <f>L26/D29</f>
        <v>-4.9331490368236119</v>
      </c>
      <c r="E43" s="525">
        <f>M26/E29</f>
        <v>-10.588995758683078</v>
      </c>
      <c r="F43" s="525">
        <f>N26/F29</f>
        <v>-13.880376647303198</v>
      </c>
      <c r="G43" s="525">
        <f>O26/G29</f>
        <v>-11.590231693983503</v>
      </c>
      <c r="H43" s="17">
        <f t="shared" si="9"/>
        <v>-0.24778144930655122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-5.971558352038743</v>
      </c>
      <c r="E44" s="525">
        <f>E11/E30</f>
        <v>-10.264880578831914</v>
      </c>
      <c r="F44" s="525">
        <f>F11/F30</f>
        <v>-11.054339929364511</v>
      </c>
      <c r="G44" s="525">
        <f>G11/G30</f>
        <v>-11.808869425172579</v>
      </c>
      <c r="H44" s="17">
        <f t="shared" si="9"/>
        <v>-0.2033031134195652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D31/1/D11</f>
        <v>0</v>
      </c>
      <c r="E45" s="248">
        <f t="shared" ref="E45:G45" si="10">E31/1/E11</f>
        <v>0</v>
      </c>
      <c r="F45" s="248">
        <f t="shared" si="10"/>
        <v>0</v>
      </c>
      <c r="G45" s="248">
        <f t="shared" si="10"/>
        <v>0</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(D31/1+D32)/D11</f>
        <v>0</v>
      </c>
      <c r="E46" s="248">
        <f t="shared" ref="E46:G46" si="11">(E31/1+E32)/E11</f>
        <v>0</v>
      </c>
      <c r="F46" s="248">
        <f t="shared" si="11"/>
        <v>0</v>
      </c>
      <c r="G46" s="248">
        <f t="shared" si="11"/>
        <v>-0.27277824344728024</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-0.20271027543167164</v>
      </c>
      <c r="E47" s="248">
        <f t="shared" ref="E47:G47" si="12">1/E43</f>
        <v>-9.4437661775432336E-2</v>
      </c>
      <c r="F47" s="248">
        <f t="shared" si="12"/>
        <v>-7.2044154521865147E-2</v>
      </c>
      <c r="G47" s="248">
        <f t="shared" si="12"/>
        <v>-8.6279552161075496E-2</v>
      </c>
      <c r="H47" s="17">
        <f>H29</f>
        <v>-0.24778144930655122</v>
      </c>
      <c r="I47" s="17"/>
      <c r="J47" s="248"/>
      <c r="K47" s="248"/>
      <c r="L47" s="248"/>
      <c r="M47" s="248"/>
      <c r="N47" s="248"/>
      <c r="O47" s="248"/>
      <c r="Q47" s="5"/>
      <c r="R47" s="5"/>
      <c r="S47" s="42"/>
      <c r="T47" s="42"/>
      <c r="U47" s="42"/>
      <c r="V47" s="42"/>
      <c r="W47" s="42"/>
      <c r="X47" s="42"/>
      <c r="Y47" s="42"/>
      <c r="Z47" s="42"/>
      <c r="AA47" s="326"/>
    </row>
    <row r="48" spans="2:27">
      <c r="B48" s="5" t="s">
        <v>613</v>
      </c>
      <c r="C48" s="5"/>
      <c r="D48" s="305">
        <f>D31/1/D29</f>
        <v>0</v>
      </c>
      <c r="E48" s="305">
        <f t="shared" ref="E48:G48" si="13">E31/1/E29</f>
        <v>0</v>
      </c>
      <c r="F48" s="305">
        <f t="shared" si="13"/>
        <v>0</v>
      </c>
      <c r="G48" s="305">
        <f t="shared" si="13"/>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f>D31/1000</f>
        <v>0</v>
      </c>
      <c r="E52" s="17">
        <f t="shared" ref="E52:G52" si="14">E31/1000</f>
        <v>0</v>
      </c>
      <c r="F52" s="17">
        <f t="shared" si="14"/>
        <v>0</v>
      </c>
      <c r="G52" s="17">
        <f t="shared" si="14"/>
        <v>0</v>
      </c>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
  <dimension ref="B1:AR168"/>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617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618</v>
      </c>
      <c r="C9" s="267">
        <f>Prices!C111</f>
        <v>14.8</v>
      </c>
      <c r="D9" s="531">
        <v>0</v>
      </c>
      <c r="E9" s="532">
        <v>0</v>
      </c>
      <c r="F9" s="532">
        <v>0</v>
      </c>
      <c r="G9" s="532">
        <v>0</v>
      </c>
      <c r="H9" s="249"/>
      <c r="I9" s="249"/>
      <c r="J9" s="5" t="s">
        <v>268</v>
      </c>
      <c r="L9" s="525">
        <f>'EMEA CELLULAR'!D37</f>
        <v>3.1810559293853995</v>
      </c>
      <c r="M9" s="525">
        <f>'EMEA CELLULAR'!E37</f>
        <v>3.2323872383219907</v>
      </c>
      <c r="N9" s="525">
        <f>'EMEA CELLULAR'!F37</f>
        <v>2.8967593532646405</v>
      </c>
      <c r="O9" s="525">
        <f>'EMEA CELLULAR'!G37</f>
        <v>2.5822840300404155</v>
      </c>
      <c r="P9" s="286">
        <f>'EMEA CELLULAR'!H37</f>
        <v>4.7493644526533263E-2</v>
      </c>
      <c r="S9" s="88"/>
      <c r="T9" s="42"/>
      <c r="U9" s="42"/>
      <c r="V9" s="42"/>
      <c r="W9" s="42"/>
      <c r="X9" s="42"/>
      <c r="Y9" s="42"/>
      <c r="Z9" s="42"/>
      <c r="AA9" s="42"/>
    </row>
    <row r="10" spans="2:44">
      <c r="B10" s="5" t="s">
        <v>269</v>
      </c>
      <c r="C10" s="5"/>
      <c r="D10" s="527">
        <v>40065.4</v>
      </c>
      <c r="E10" s="527">
        <v>40065.4</v>
      </c>
      <c r="F10" s="527">
        <v>40065.4</v>
      </c>
      <c r="G10" s="527">
        <v>40065.4</v>
      </c>
      <c r="H10" s="247"/>
      <c r="I10" s="247"/>
      <c r="J10" s="5" t="s">
        <v>180</v>
      </c>
      <c r="L10" s="525">
        <f>'EMEA CELLULAR'!D38</f>
        <v>7.7572766871744339</v>
      </c>
      <c r="M10" s="525">
        <f>'EMEA CELLULAR'!E38</f>
        <v>8.095415565986066</v>
      </c>
      <c r="N10" s="525">
        <f>'EMEA CELLULAR'!F38</f>
        <v>7.1463601536743644</v>
      </c>
      <c r="O10" s="525">
        <f>'EMEA CELLULAR'!G38</f>
        <v>6.3123163660270478</v>
      </c>
      <c r="P10" s="286">
        <f>'EMEA CELLULAR'!H38</f>
        <v>4.6652398847596643E-2</v>
      </c>
      <c r="S10" s="88"/>
      <c r="T10" s="42"/>
      <c r="U10" s="42"/>
      <c r="V10" s="42"/>
      <c r="W10" s="288"/>
      <c r="X10" s="288"/>
      <c r="Y10" s="288"/>
      <c r="Z10" s="288"/>
      <c r="AA10" s="42"/>
    </row>
    <row r="11" spans="2:44">
      <c r="B11" s="41" t="s">
        <v>270</v>
      </c>
      <c r="C11" s="5"/>
      <c r="D11" s="528">
        <f>$C$9*D10</f>
        <v>592967.92000000004</v>
      </c>
      <c r="E11" s="528">
        <f>$C$9*E10</f>
        <v>592967.92000000004</v>
      </c>
      <c r="F11" s="528">
        <f>$C$9*F10</f>
        <v>592967.92000000004</v>
      </c>
      <c r="G11" s="528">
        <f>$C$9*G10</f>
        <v>592967.92000000004</v>
      </c>
      <c r="H11" s="249"/>
      <c r="I11" s="249"/>
      <c r="J11" s="5" t="s">
        <v>181</v>
      </c>
      <c r="L11" s="525">
        <f>'EMEA CELLULAR'!D39</f>
        <v>15.605152275252255</v>
      </c>
      <c r="M11" s="525">
        <f>'EMEA CELLULAR'!E39</f>
        <v>14.854063145861112</v>
      </c>
      <c r="N11" s="525">
        <f>'EMEA CELLULAR'!F39</f>
        <v>12.469863163008389</v>
      </c>
      <c r="O11" s="525">
        <f>'EMEA CELLULAR'!G39</f>
        <v>10.733351248281235</v>
      </c>
      <c r="P11" s="286">
        <f>'EMEA CELLULAR'!H39</f>
        <v>0.10698020388173712</v>
      </c>
      <c r="S11" s="88"/>
      <c r="T11" s="42"/>
      <c r="U11" s="42"/>
      <c r="V11" s="42"/>
      <c r="W11" s="288"/>
      <c r="X11" s="288"/>
      <c r="Y11" s="288"/>
      <c r="Z11" s="288"/>
      <c r="AA11" s="42"/>
    </row>
    <row r="12" spans="2:44">
      <c r="B12" s="5" t="s">
        <v>24</v>
      </c>
      <c r="C12" s="249"/>
      <c r="D12" s="529">
        <v>115607.31500682788</v>
      </c>
      <c r="E12" s="529">
        <v>134209.18771282941</v>
      </c>
      <c r="F12" s="529">
        <v>135087.54616091397</v>
      </c>
      <c r="G12" s="529">
        <v>121209.50210698078</v>
      </c>
      <c r="H12" s="247"/>
      <c r="I12" s="247"/>
      <c r="J12" s="5" t="s">
        <v>461</v>
      </c>
      <c r="L12" s="525">
        <f>'EMEA CELLULAR'!D40</f>
        <v>19.965576466556715</v>
      </c>
      <c r="M12" s="525">
        <f>'EMEA CELLULAR'!E40</f>
        <v>18.915055159311862</v>
      </c>
      <c r="N12" s="525">
        <f>'EMEA CELLULAR'!F40</f>
        <v>18.041615049136492</v>
      </c>
      <c r="O12" s="525">
        <f>'EMEA CELLULAR'!G40</f>
        <v>15.593250523045757</v>
      </c>
      <c r="P12" s="286">
        <f>'EMEA CELLULAR'!H40</f>
        <v>6.1069987666233061E-2</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'EMEA CELLULAR'!D41</f>
        <v>2.9187139333758294</v>
      </c>
      <c r="M13" s="525">
        <f>'EMEA CELLULAR'!E41</f>
        <v>2.9515664246277606</v>
      </c>
      <c r="N13" s="525">
        <f>'EMEA CELLULAR'!F41</f>
        <v>2.8267562188907287</v>
      </c>
      <c r="O13" s="525">
        <f>'EMEA CELLULAR'!G41</f>
        <v>2.6673762180421927</v>
      </c>
      <c r="P13" s="286">
        <f>'EMEA CELLULAR'!H41</f>
        <v>6.9271484573356634E-3</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'EMEA CELLULAR'!D42</f>
        <v>4.7109464900339777</v>
      </c>
      <c r="M14" s="525">
        <f>'EMEA CELLULAR'!E42</f>
        <v>4.3550930553623157</v>
      </c>
      <c r="N14" s="525">
        <f>'EMEA CELLULAR'!F42</f>
        <v>4.15717737946275</v>
      </c>
      <c r="O14" s="525">
        <f>'EMEA CELLULAR'!G42</f>
        <v>3.8993389218542824</v>
      </c>
      <c r="P14" s="286">
        <f>'EMEA CELLULAR'!H42</f>
        <v>4.0721900193509741E-2</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'EMEA CELLULAR'!D43</f>
        <v>44.913387794396655</v>
      </c>
      <c r="M15" s="525">
        <f>'EMEA CELLULAR'!E43</f>
        <v>29.995057672440403</v>
      </c>
      <c r="N15" s="525">
        <f>'EMEA CELLULAR'!F43</f>
        <v>25.064246666873888</v>
      </c>
      <c r="O15" s="525">
        <f>'EMEA CELLULAR'!G43</f>
        <v>21.218892573865638</v>
      </c>
      <c r="P15" s="286">
        <f>'EMEA CELLULAR'!H43</f>
        <v>0.28395863860305148</v>
      </c>
      <c r="S15" s="88"/>
      <c r="T15" s="42"/>
      <c r="U15" s="42"/>
      <c r="V15" s="42"/>
      <c r="W15" s="42"/>
      <c r="X15" s="42"/>
      <c r="Y15" s="42"/>
      <c r="Z15" s="42"/>
      <c r="AA15" s="42"/>
      <c r="AB15" s="39"/>
      <c r="AC15" s="39"/>
      <c r="AD15" s="39"/>
      <c r="AE15" s="39"/>
      <c r="AF15" s="39"/>
      <c r="AG15" s="39"/>
      <c r="AH15" s="39"/>
      <c r="AI15" s="39"/>
      <c r="AJ15" s="39"/>
      <c r="AK15" s="39"/>
      <c r="AL15" s="39"/>
      <c r="AM15" s="39"/>
      <c r="AN15" s="39"/>
      <c r="AO15" s="39"/>
      <c r="AP15" s="39"/>
      <c r="AQ15" s="39"/>
      <c r="AR15" s="39"/>
    </row>
    <row r="16" spans="2:44">
      <c r="B16" s="5" t="s">
        <v>529</v>
      </c>
      <c r="C16" s="257"/>
      <c r="D16" s="529">
        <v>0</v>
      </c>
      <c r="E16" s="529">
        <v>44873.248000000007</v>
      </c>
      <c r="F16" s="529">
        <v>90216.124996170212</v>
      </c>
      <c r="G16" s="529">
        <v>151168.82758012373</v>
      </c>
      <c r="H16" s="247"/>
      <c r="I16" s="247"/>
      <c r="J16" s="5" t="s">
        <v>528</v>
      </c>
      <c r="L16" s="525">
        <f>'EMEA CELLULAR'!D44</f>
        <v>29.727847806043954</v>
      </c>
      <c r="M16" s="525">
        <f>'EMEA CELLULAR'!E44</f>
        <v>27.159249380804312</v>
      </c>
      <c r="N16" s="525">
        <f>'EMEA CELLULAR'!F44</f>
        <v>19.560820863413703</v>
      </c>
      <c r="O16" s="525">
        <f>'EMEA CELLULAR'!G44</f>
        <v>16.324783869234651</v>
      </c>
      <c r="P16" s="286">
        <f>'EMEA CELLULAR'!H44</f>
        <v>0.22067184815723828</v>
      </c>
      <c r="S16" s="88"/>
      <c r="T16" s="42"/>
      <c r="U16" s="42"/>
      <c r="V16" s="42"/>
      <c r="W16" s="42"/>
      <c r="X16" s="42"/>
      <c r="Y16" s="42"/>
      <c r="Z16" s="42"/>
      <c r="AA16" s="42"/>
      <c r="AB16" s="39"/>
      <c r="AC16" s="39"/>
      <c r="AD16" s="39"/>
      <c r="AE16" s="39"/>
      <c r="AF16" s="39"/>
      <c r="AG16" s="39"/>
      <c r="AH16" s="39"/>
      <c r="AI16" s="39"/>
      <c r="AJ16" s="39"/>
      <c r="AK16" s="39"/>
      <c r="AL16" s="39"/>
      <c r="AM16" s="39"/>
      <c r="AN16" s="39"/>
      <c r="AO16" s="39"/>
      <c r="AP16" s="39"/>
      <c r="AQ16" s="39"/>
      <c r="AR16" s="39"/>
    </row>
    <row r="17" spans="2:44">
      <c r="B17" s="5" t="s">
        <v>6</v>
      </c>
      <c r="C17" s="257"/>
      <c r="D17" s="529">
        <v>0</v>
      </c>
      <c r="E17" s="529">
        <v>0</v>
      </c>
      <c r="F17" s="529">
        <v>0</v>
      </c>
      <c r="G17" s="529">
        <v>0</v>
      </c>
      <c r="H17" s="247"/>
      <c r="I17" s="247"/>
      <c r="J17" s="5" t="s">
        <v>575</v>
      </c>
      <c r="L17" s="248">
        <f>'EMEA CELLULAR'!D45</f>
        <v>1.8067342047517077E-2</v>
      </c>
      <c r="M17" s="248">
        <f>'EMEA CELLULAR'!E45</f>
        <v>2.1685197442238385E-2</v>
      </c>
      <c r="N17" s="248">
        <f>'EMEA CELLULAR'!F45</f>
        <v>2.716595241137466E-2</v>
      </c>
      <c r="O17" s="248">
        <f>'EMEA CELLULAR'!G45</f>
        <v>2.9076456344932108E-2</v>
      </c>
      <c r="P17" s="286">
        <f>'EMEA CELLULAR'!H45</f>
        <v>0.17141106606848178</v>
      </c>
      <c r="S17" s="88"/>
      <c r="T17" s="42"/>
      <c r="U17" s="42"/>
      <c r="V17" s="42"/>
      <c r="W17" s="42"/>
      <c r="X17" s="42"/>
      <c r="Y17" s="42"/>
      <c r="Z17" s="42"/>
      <c r="AA17" s="42"/>
      <c r="AB17" s="39"/>
      <c r="AC17" s="39"/>
      <c r="AD17" s="39"/>
      <c r="AE17" s="39"/>
      <c r="AF17" s="39"/>
      <c r="AG17" s="39"/>
      <c r="AH17" s="39"/>
      <c r="AI17" s="39"/>
      <c r="AJ17" s="39"/>
      <c r="AK17" s="39"/>
      <c r="AL17" s="39"/>
      <c r="AM17" s="39"/>
      <c r="AN17" s="39"/>
      <c r="AO17" s="39"/>
      <c r="AP17" s="39"/>
      <c r="AQ17" s="39"/>
      <c r="AR17" s="39"/>
    </row>
    <row r="18" spans="2:44" ht="12.6" thickBot="1">
      <c r="B18" s="41" t="s">
        <v>578</v>
      </c>
      <c r="C18" s="249"/>
      <c r="D18" s="530">
        <f>D11+D12+D13-D14+D15-D16-D17</f>
        <v>708575.23500682786</v>
      </c>
      <c r="E18" s="530">
        <f>E11+E12+E13-E14+E15-E16-E17</f>
        <v>682303.85971282946</v>
      </c>
      <c r="F18" s="530">
        <f>F11+F12+F13-F14+F15-F16-F17</f>
        <v>637839.34116474388</v>
      </c>
      <c r="G18" s="530">
        <f>G11+G12+G13-G14+G15-G16-G17</f>
        <v>563008.59452685714</v>
      </c>
      <c r="H18" s="276">
        <f>IF(D18=0,"nm",IF(G18=0,"nm",(G18/D18)^(1/3)-1))</f>
        <v>-7.3789532095009269E-2</v>
      </c>
      <c r="I18" s="254"/>
      <c r="J18" s="5" t="s">
        <v>36</v>
      </c>
      <c r="L18" s="248">
        <f>'EMEA CELLULAR'!D46</f>
        <v>1.9060999328690584E-2</v>
      </c>
      <c r="M18" s="248">
        <f>'EMEA CELLULAR'!E46</f>
        <v>1.6448875575029897E-2</v>
      </c>
      <c r="N18" s="248">
        <f>'EMEA CELLULAR'!F46</f>
        <v>3.2525613186693281E-2</v>
      </c>
      <c r="O18" s="248">
        <f>'EMEA CELLULAR'!G46</f>
        <v>2.8728545035796364E-2</v>
      </c>
      <c r="P18" s="286">
        <f>'EMEA CELLULAR'!H46</f>
        <v>0.14608344960699671</v>
      </c>
      <c r="S18" s="88"/>
      <c r="T18" s="42"/>
      <c r="U18" s="42"/>
      <c r="V18" s="42"/>
      <c r="W18" s="42"/>
      <c r="X18" s="42"/>
      <c r="Y18" s="42"/>
      <c r="Z18" s="42"/>
      <c r="AA18" s="42"/>
      <c r="AB18" s="39"/>
      <c r="AC18" s="39"/>
      <c r="AD18" s="39"/>
      <c r="AE18" s="39"/>
      <c r="AF18" s="39"/>
      <c r="AG18" s="39"/>
      <c r="AH18" s="39"/>
      <c r="AI18" s="39"/>
      <c r="AJ18" s="39"/>
      <c r="AK18" s="39"/>
      <c r="AL18" s="39"/>
      <c r="AM18" s="39"/>
      <c r="AN18" s="39"/>
      <c r="AO18" s="39"/>
      <c r="AP18" s="39"/>
      <c r="AQ18" s="39"/>
      <c r="AR18" s="39"/>
    </row>
    <row r="19" spans="2:44" ht="12.6" thickTop="1">
      <c r="B19" s="41"/>
      <c r="C19" s="249"/>
      <c r="D19" s="229"/>
      <c r="E19" s="229"/>
      <c r="F19" s="229"/>
      <c r="G19" s="229"/>
      <c r="H19" s="276"/>
      <c r="I19" s="254"/>
      <c r="J19" s="5" t="s">
        <v>576</v>
      </c>
      <c r="L19" s="248">
        <f>'EMEA CELLULAR'!D47</f>
        <v>2.226507616343203E-2</v>
      </c>
      <c r="M19" s="248">
        <f>'EMEA CELLULAR'!E47</f>
        <v>3.3338825713237569E-2</v>
      </c>
      <c r="N19" s="248">
        <f>'EMEA CELLULAR'!F47</f>
        <v>3.9897468824452963E-2</v>
      </c>
      <c r="O19" s="248">
        <f>'EMEA CELLULAR'!G47</f>
        <v>4.712781293928861E-2</v>
      </c>
      <c r="P19" s="286">
        <f>'EMEA CELLULAR'!H47</f>
        <v>0.28395863860305148</v>
      </c>
      <c r="S19" s="88"/>
      <c r="T19" s="42"/>
      <c r="U19" s="42"/>
      <c r="V19" s="42"/>
      <c r="W19" s="42"/>
      <c r="X19" s="42"/>
      <c r="Y19" s="42"/>
      <c r="Z19" s="42"/>
      <c r="AA19" s="42"/>
      <c r="AB19" s="39"/>
      <c r="AC19" s="39"/>
      <c r="AD19" s="39"/>
      <c r="AE19" s="39"/>
      <c r="AF19" s="39"/>
      <c r="AG19" s="39"/>
      <c r="AH19" s="39"/>
      <c r="AI19" s="39"/>
      <c r="AJ19" s="39"/>
      <c r="AK19" s="39"/>
      <c r="AL19" s="39"/>
      <c r="AM19" s="39"/>
      <c r="AN19" s="39"/>
      <c r="AO19" s="39"/>
      <c r="AP19" s="39"/>
      <c r="AQ19" s="39"/>
      <c r="AR19" s="39"/>
    </row>
    <row r="20" spans="2:44">
      <c r="H20" s="277"/>
      <c r="I20" s="17"/>
      <c r="J20" s="5" t="s">
        <v>599</v>
      </c>
      <c r="L20" s="305">
        <f>'EMEA CELLULAR'!D48</f>
        <v>0.86093645070473657</v>
      </c>
      <c r="M20" s="305">
        <f>'EMEA CELLULAR'!E48</f>
        <v>0.6892786925982729</v>
      </c>
      <c r="N20" s="305">
        <f>'EMEA CELLULAR'!F48</f>
        <v>0.72154157991457057</v>
      </c>
      <c r="O20" s="305">
        <f>'EMEA CELLULAR'!G48</f>
        <v>0.65380157418816365</v>
      </c>
      <c r="P20" s="286" t="str">
        <f>'EMEA CELLULAR'!H48</f>
        <v>nm</v>
      </c>
      <c r="S20" s="88"/>
      <c r="T20" s="42"/>
      <c r="U20" s="42"/>
      <c r="V20" s="42"/>
      <c r="W20" s="42"/>
      <c r="X20" s="42"/>
      <c r="Y20" s="42"/>
      <c r="Z20" s="42"/>
      <c r="AA20" s="42"/>
      <c r="AB20" s="39"/>
      <c r="AC20" s="39"/>
      <c r="AD20" s="39"/>
      <c r="AE20" s="39"/>
      <c r="AF20" s="39"/>
      <c r="AG20" s="39"/>
      <c r="AH20" s="39"/>
      <c r="AI20" s="39"/>
      <c r="AJ20" s="39"/>
      <c r="AK20" s="39"/>
      <c r="AL20" s="39"/>
      <c r="AM20" s="39"/>
      <c r="AN20" s="39"/>
      <c r="AO20" s="39"/>
      <c r="AP20" s="39"/>
      <c r="AQ20" s="39"/>
      <c r="AR20" s="39"/>
    </row>
    <row r="21" spans="2:44" ht="12.6" thickBot="1">
      <c r="B21" s="306" t="s">
        <v>941</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c r="AB21" s="39"/>
      <c r="AC21" s="39"/>
      <c r="AD21" s="39"/>
      <c r="AE21" s="39"/>
      <c r="AF21" s="39"/>
      <c r="AG21" s="39"/>
      <c r="AH21" s="39"/>
      <c r="AI21" s="39"/>
      <c r="AJ21" s="39"/>
      <c r="AK21" s="39"/>
      <c r="AL21" s="39"/>
      <c r="AM21" s="39"/>
      <c r="AN21" s="39"/>
      <c r="AO21" s="39"/>
      <c r="AP21" s="39"/>
      <c r="AQ21" s="39"/>
      <c r="AR21" s="39"/>
    </row>
    <row r="22" spans="2:44" ht="12.6" thickTop="1">
      <c r="B22" s="5"/>
      <c r="C22" s="257"/>
      <c r="D22" s="17"/>
      <c r="E22" s="17"/>
      <c r="F22" s="17"/>
      <c r="G22" s="17"/>
      <c r="H22" s="17"/>
      <c r="I22" s="17"/>
      <c r="P22" s="277"/>
      <c r="S22" s="88"/>
      <c r="T22" s="42"/>
      <c r="U22" s="42"/>
      <c r="V22" s="42"/>
      <c r="W22" s="42"/>
      <c r="X22" s="42"/>
      <c r="Y22" s="42"/>
      <c r="Z22" s="42"/>
      <c r="AA22" s="42"/>
      <c r="AB22" s="39"/>
      <c r="AC22" s="39"/>
      <c r="AD22" s="39"/>
      <c r="AE22" s="39"/>
      <c r="AF22" s="39"/>
      <c r="AG22" s="39"/>
      <c r="AH22" s="39"/>
      <c r="AI22" s="39"/>
      <c r="AJ22" s="39"/>
      <c r="AK22" s="39"/>
      <c r="AL22" s="39"/>
      <c r="AM22" s="39"/>
      <c r="AN22" s="39"/>
      <c r="AO22" s="39"/>
      <c r="AP22" s="39"/>
      <c r="AQ22" s="39"/>
      <c r="AR22" s="39"/>
    </row>
    <row r="23" spans="2:44" ht="12.6" thickBot="1">
      <c r="B23" s="5" t="s">
        <v>579</v>
      </c>
      <c r="C23" s="544">
        <v>310904.8</v>
      </c>
      <c r="D23" s="536">
        <v>329319.87720890978</v>
      </c>
      <c r="E23" s="536">
        <v>355784.31304878771</v>
      </c>
      <c r="F23" s="536">
        <v>381558.85652638238</v>
      </c>
      <c r="G23" s="536">
        <v>405369.9035739635</v>
      </c>
      <c r="H23" s="279">
        <f t="shared" ref="H23:H32" si="3">IF(D23=0,"nm",IF(G23=0,"nm",(G23/D23)^(1/3)-1))</f>
        <v>7.1711404607406992E-2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c r="AB23" s="39"/>
      <c r="AC23" s="39"/>
      <c r="AD23" s="39"/>
      <c r="AE23" s="39"/>
      <c r="AF23" s="39"/>
      <c r="AG23" s="39"/>
      <c r="AH23" s="39"/>
      <c r="AI23" s="39"/>
      <c r="AJ23" s="39"/>
      <c r="AK23" s="39"/>
      <c r="AL23" s="39"/>
      <c r="AM23" s="39"/>
      <c r="AN23" s="39"/>
      <c r="AO23" s="39"/>
      <c r="AP23" s="39"/>
      <c r="AQ23" s="39"/>
      <c r="AR23" s="39"/>
    </row>
    <row r="24" spans="2:44" ht="12.6" thickTop="1">
      <c r="B24" s="5" t="s">
        <v>478</v>
      </c>
      <c r="C24" s="545">
        <v>139862.39999999999</v>
      </c>
      <c r="D24" s="536">
        <v>166344.4971583242</v>
      </c>
      <c r="E24" s="536">
        <v>180463.69936964969</v>
      </c>
      <c r="F24" s="536">
        <v>197221.42693674724</v>
      </c>
      <c r="G24" s="536">
        <v>208423.91934972297</v>
      </c>
      <c r="H24" s="279">
        <f t="shared" si="3"/>
        <v>7.8068541407177117E-2</v>
      </c>
      <c r="I24" s="249"/>
      <c r="J24" s="17"/>
      <c r="K24" s="17"/>
      <c r="L24" s="17"/>
      <c r="M24" s="17"/>
      <c r="N24" s="17"/>
      <c r="O24" s="248"/>
      <c r="S24" s="88"/>
      <c r="T24" s="42"/>
      <c r="U24" s="42"/>
      <c r="V24" s="42"/>
      <c r="W24" s="42" t="s">
        <v>409</v>
      </c>
      <c r="X24" s="42" t="s">
        <v>508</v>
      </c>
      <c r="Y24" s="42"/>
      <c r="Z24" s="42"/>
      <c r="AA24" s="42"/>
      <c r="AB24" s="39"/>
      <c r="AC24" s="39"/>
      <c r="AD24" s="39"/>
      <c r="AE24" s="39"/>
      <c r="AF24" s="39"/>
      <c r="AG24" s="39"/>
      <c r="AH24" s="39"/>
      <c r="AI24" s="39"/>
      <c r="AJ24" s="39"/>
      <c r="AK24" s="39"/>
      <c r="AL24" s="39"/>
      <c r="AM24" s="39"/>
      <c r="AN24" s="39"/>
      <c r="AO24" s="39"/>
      <c r="AP24" s="39"/>
      <c r="AQ24" s="39"/>
      <c r="AR24" s="39"/>
    </row>
    <row r="25" spans="2:44">
      <c r="B25" s="5" t="s">
        <v>179</v>
      </c>
      <c r="C25" s="544">
        <v>43696.2</v>
      </c>
      <c r="D25" s="536">
        <v>77136.744914808631</v>
      </c>
      <c r="E25" s="536">
        <v>68789.930408563989</v>
      </c>
      <c r="F25" s="536">
        <v>105252.83642317035</v>
      </c>
      <c r="G25" s="536">
        <v>134136.05590784285</v>
      </c>
      <c r="H25" s="279">
        <f>IF(D25=0,"nm",IF(G25=0,"nm",(G25/D25)^(1/3)-1))</f>
        <v>0.20252673734908933</v>
      </c>
      <c r="I25" s="248"/>
      <c r="J25" s="247" t="s">
        <v>10</v>
      </c>
      <c r="K25" s="247"/>
      <c r="L25" s="321">
        <v>0</v>
      </c>
      <c r="M25" s="321">
        <v>0</v>
      </c>
      <c r="N25" s="321">
        <v>0</v>
      </c>
      <c r="O25" s="321">
        <v>0</v>
      </c>
      <c r="P25" s="279" t="str">
        <f>IF(L25=0,"nm",IF(O25=0,"nm",(O25/L25)^(1/3)-1))</f>
        <v>nm</v>
      </c>
      <c r="S25" s="88"/>
      <c r="T25" s="42"/>
      <c r="U25" s="42"/>
      <c r="V25" s="147" t="s">
        <v>268</v>
      </c>
      <c r="W25" s="288">
        <f>D37/L9</f>
        <v>0.67638928596588588</v>
      </c>
      <c r="X25" s="288">
        <v>1</v>
      </c>
      <c r="Y25" s="42"/>
      <c r="Z25" s="42"/>
      <c r="AA25" s="42"/>
      <c r="AB25" s="39"/>
      <c r="AC25" s="39"/>
      <c r="AD25" s="39"/>
      <c r="AE25" s="39"/>
      <c r="AF25" s="39"/>
      <c r="AG25" s="39"/>
      <c r="AH25" s="39"/>
      <c r="AI25" s="39"/>
      <c r="AJ25" s="39"/>
      <c r="AK25" s="39"/>
      <c r="AL25" s="39"/>
      <c r="AM25" s="39"/>
      <c r="AN25" s="39"/>
      <c r="AO25" s="39"/>
      <c r="AP25" s="39"/>
      <c r="AQ25" s="39"/>
      <c r="AR25" s="39"/>
    </row>
    <row r="26" spans="2:44">
      <c r="B26" s="5" t="s">
        <v>581</v>
      </c>
      <c r="C26" s="544">
        <v>30587.339999999997</v>
      </c>
      <c r="D26" s="536">
        <v>53995.72144036604</v>
      </c>
      <c r="E26" s="536">
        <v>48152.951285994786</v>
      </c>
      <c r="F26" s="536">
        <v>73676.985496219233</v>
      </c>
      <c r="G26" s="536">
        <v>93895.239135489988</v>
      </c>
      <c r="H26" s="279">
        <f>IF(D26=0,"nm",IF(G26=0,"nm",(G26/D26)^(1/3)-1))</f>
        <v>0.20252673734908933</v>
      </c>
      <c r="I26" s="249"/>
      <c r="J26" s="249" t="s">
        <v>11</v>
      </c>
      <c r="K26" s="249"/>
      <c r="L26" s="281">
        <f>D11+L25</f>
        <v>592967.92000000004</v>
      </c>
      <c r="M26" s="281">
        <f>E11+M25</f>
        <v>592967.92000000004</v>
      </c>
      <c r="N26" s="281">
        <f>F11+N25</f>
        <v>592967.92000000004</v>
      </c>
      <c r="O26" s="281">
        <f>G11+O25</f>
        <v>592967.92000000004</v>
      </c>
      <c r="P26" s="279">
        <f>IF(L26=0,"nm",IF(O26=0,"nm",(O26/L26)^(1/3)-1))</f>
        <v>0</v>
      </c>
      <c r="Q26" s="5"/>
      <c r="S26" s="88"/>
      <c r="T26" s="42"/>
      <c r="U26" s="42"/>
      <c r="V26" s="147" t="s">
        <v>180</v>
      </c>
      <c r="W26" s="288">
        <f t="shared" ref="W26:W33" si="5">D38/L10</f>
        <v>0.54912124788528838</v>
      </c>
      <c r="X26" s="288">
        <v>1</v>
      </c>
      <c r="Y26" s="42"/>
      <c r="Z26" s="42"/>
      <c r="AA26" s="42"/>
      <c r="AB26" s="39"/>
      <c r="AC26" s="39"/>
      <c r="AD26" s="39"/>
      <c r="AE26" s="39"/>
      <c r="AF26" s="39"/>
      <c r="AG26" s="39"/>
      <c r="AH26" s="39"/>
      <c r="AI26" s="39"/>
      <c r="AJ26" s="39"/>
      <c r="AK26" s="39"/>
      <c r="AL26" s="39"/>
      <c r="AM26" s="39"/>
      <c r="AN26" s="39"/>
      <c r="AO26" s="39"/>
      <c r="AP26" s="39"/>
      <c r="AQ26" s="39"/>
      <c r="AR26" s="39"/>
    </row>
    <row r="27" spans="2:44">
      <c r="B27" s="5" t="s">
        <v>582</v>
      </c>
      <c r="C27" s="545">
        <v>210529.00000000003</v>
      </c>
      <c r="D27" s="536">
        <v>326781.36608214444</v>
      </c>
      <c r="E27" s="536">
        <v>426503.50512776879</v>
      </c>
      <c r="F27" s="536">
        <v>531044.34127623576</v>
      </c>
      <c r="G27" s="536">
        <v>619700.2804444033</v>
      </c>
      <c r="H27" s="279">
        <f t="shared" si="3"/>
        <v>0.23777432397007026</v>
      </c>
      <c r="I27" s="249"/>
      <c r="J27" s="248"/>
      <c r="K27" s="248"/>
      <c r="L27" s="248"/>
      <c r="M27" s="248"/>
      <c r="N27" s="248"/>
      <c r="O27" s="248"/>
      <c r="Q27" s="41"/>
      <c r="S27" s="88"/>
      <c r="T27" s="42"/>
      <c r="U27" s="42"/>
      <c r="V27" s="147" t="s">
        <v>181</v>
      </c>
      <c r="W27" s="288">
        <f t="shared" si="5"/>
        <v>0.58864932513248469</v>
      </c>
      <c r="X27" s="288">
        <v>1</v>
      </c>
      <c r="Y27" s="42"/>
      <c r="Z27" s="42"/>
      <c r="AA27" s="42"/>
      <c r="AB27" s="39"/>
      <c r="AC27" s="39"/>
      <c r="AD27" s="39"/>
      <c r="AE27" s="39"/>
      <c r="AF27" s="39"/>
      <c r="AG27" s="39"/>
      <c r="AH27" s="39"/>
      <c r="AI27" s="39"/>
      <c r="AJ27" s="39"/>
      <c r="AK27" s="39"/>
      <c r="AL27" s="39"/>
      <c r="AM27" s="39"/>
      <c r="AN27" s="39"/>
      <c r="AO27" s="39"/>
      <c r="AP27" s="39"/>
      <c r="AQ27" s="39"/>
      <c r="AR27" s="39"/>
    </row>
    <row r="28" spans="2:44" ht="12.6" thickBot="1">
      <c r="B28" s="5" t="s">
        <v>587</v>
      </c>
      <c r="C28" s="544">
        <v>221987.6</v>
      </c>
      <c r="D28" s="536">
        <v>265545.72261128447</v>
      </c>
      <c r="E28" s="536">
        <v>281023.96868593432</v>
      </c>
      <c r="F28" s="536">
        <v>285145.98987395456</v>
      </c>
      <c r="G28" s="536">
        <v>285860.99681478203</v>
      </c>
      <c r="H28" s="279">
        <f t="shared" si="3"/>
        <v>2.4877277502107997E-2</v>
      </c>
      <c r="I28" s="248"/>
      <c r="J28" s="306" t="s">
        <v>1352</v>
      </c>
      <c r="K28" s="306"/>
      <c r="L28" s="306"/>
      <c r="M28" s="306"/>
      <c r="N28" s="266"/>
      <c r="O28" s="266"/>
      <c r="P28" s="266"/>
      <c r="Q28" s="5"/>
      <c r="S28" s="88"/>
      <c r="T28" s="42"/>
      <c r="U28" s="42"/>
      <c r="V28" s="147" t="s">
        <v>461</v>
      </c>
      <c r="W28" s="288">
        <f t="shared" si="5"/>
        <v>0.65727144852855102</v>
      </c>
      <c r="X28" s="288">
        <v>1</v>
      </c>
      <c r="Y28" s="42"/>
      <c r="Z28" s="42"/>
      <c r="AA28" s="42"/>
      <c r="AB28" s="39"/>
      <c r="AC28" s="39"/>
      <c r="AD28" s="39"/>
      <c r="AE28" s="39"/>
      <c r="AF28" s="39"/>
      <c r="AG28" s="39"/>
      <c r="AH28" s="39"/>
      <c r="AI28" s="39"/>
      <c r="AJ28" s="39"/>
      <c r="AK28" s="39"/>
      <c r="AL28" s="39"/>
      <c r="AM28" s="39"/>
      <c r="AN28" s="39"/>
      <c r="AO28" s="39"/>
      <c r="AP28" s="39"/>
      <c r="AQ28" s="39"/>
      <c r="AR28" s="39"/>
    </row>
    <row r="29" spans="2:44" ht="12.6" thickTop="1">
      <c r="B29" s="5" t="s">
        <v>583</v>
      </c>
      <c r="C29" s="544">
        <v>29385.599999999991</v>
      </c>
      <c r="D29" s="536">
        <v>54077.498388288222</v>
      </c>
      <c r="E29" s="536">
        <v>41791.394062692212</v>
      </c>
      <c r="F29" s="536">
        <v>73137.84418672169</v>
      </c>
      <c r="G29" s="536">
        <v>95924.882576064789</v>
      </c>
      <c r="H29" s="279">
        <f>IF(D29=0,"nm",IF(G29=0,"nm",(G29/D29)^(1/3)-1))</f>
        <v>0.21051886246874441</v>
      </c>
      <c r="I29" s="252"/>
      <c r="J29" s="249"/>
      <c r="K29" s="249"/>
      <c r="L29" s="249"/>
      <c r="M29" s="249"/>
      <c r="N29" s="249"/>
      <c r="O29" s="251"/>
      <c r="Q29" s="5"/>
      <c r="S29" s="88"/>
      <c r="T29" s="42"/>
      <c r="U29" s="42"/>
      <c r="V29" s="147" t="s">
        <v>525</v>
      </c>
      <c r="W29" s="288">
        <f t="shared" si="5"/>
        <v>0.74291162495003882</v>
      </c>
      <c r="X29" s="288">
        <v>1</v>
      </c>
      <c r="Y29" s="42"/>
      <c r="Z29" s="42"/>
      <c r="AA29" s="42"/>
      <c r="AB29" s="39"/>
      <c r="AC29" s="39"/>
      <c r="AD29" s="39"/>
      <c r="AE29" s="39"/>
      <c r="AF29" s="39"/>
      <c r="AG29" s="39"/>
      <c r="AH29" s="39"/>
      <c r="AI29" s="39"/>
      <c r="AJ29" s="39"/>
      <c r="AK29" s="39"/>
      <c r="AL29" s="39"/>
      <c r="AM29" s="39"/>
      <c r="AN29" s="39"/>
      <c r="AO29" s="39"/>
      <c r="AP29" s="39"/>
      <c r="AQ29" s="39"/>
      <c r="AR29" s="39"/>
    </row>
    <row r="30" spans="2:44">
      <c r="B30" s="5" t="s">
        <v>584</v>
      </c>
      <c r="C30" s="545">
        <v>62268.899999999994</v>
      </c>
      <c r="D30" s="536">
        <v>65532.197996753879</v>
      </c>
      <c r="E30" s="536">
        <v>64986.877003339861</v>
      </c>
      <c r="F30" s="536">
        <v>70135.688793696172</v>
      </c>
      <c r="G30" s="536">
        <v>75346.231946245302</v>
      </c>
      <c r="H30" s="279">
        <f t="shared" si="3"/>
        <v>4.7616350087195558E-2</v>
      </c>
      <c r="I30" s="254"/>
      <c r="J30" s="248"/>
      <c r="K30" s="248"/>
      <c r="L30" s="248"/>
      <c r="M30" s="248"/>
      <c r="N30" s="248"/>
      <c r="O30" s="5"/>
      <c r="Q30" s="5"/>
      <c r="S30" s="88"/>
      <c r="T30" s="42"/>
      <c r="U30" s="42"/>
      <c r="V30" s="147" t="s">
        <v>588</v>
      </c>
      <c r="W30" s="288">
        <f t="shared" si="5"/>
        <v>0.56641988043332148</v>
      </c>
      <c r="X30" s="288">
        <v>1</v>
      </c>
      <c r="Y30" s="42"/>
      <c r="Z30" s="42"/>
      <c r="AA30" s="42"/>
      <c r="AB30" s="39"/>
      <c r="AC30" s="39"/>
      <c r="AD30" s="39"/>
      <c r="AE30" s="39"/>
      <c r="AF30" s="39"/>
      <c r="AG30" s="39"/>
      <c r="AH30" s="39"/>
      <c r="AI30" s="39"/>
      <c r="AJ30" s="39"/>
      <c r="AK30" s="39"/>
      <c r="AL30" s="39"/>
      <c r="AM30" s="39"/>
      <c r="AN30" s="39"/>
      <c r="AO30" s="39"/>
      <c r="AP30" s="39"/>
      <c r="AQ30" s="39"/>
      <c r="AR30" s="39"/>
    </row>
    <row r="31" spans="2:44">
      <c r="B31" s="5" t="s">
        <v>585</v>
      </c>
      <c r="C31" s="545">
        <v>48078.48</v>
      </c>
      <c r="D31" s="536">
        <v>39974.640778019864</v>
      </c>
      <c r="E31" s="536">
        <v>51989.501602671895</v>
      </c>
      <c r="F31" s="536">
        <v>63122.119914326548</v>
      </c>
      <c r="G31" s="536">
        <v>71578.920348933039</v>
      </c>
      <c r="H31" s="279">
        <f>IF(D31=0,"nm",IF(G31=0,"nm",(G31/D31)^(1/3)-1))</f>
        <v>0.21432105304348426</v>
      </c>
      <c r="I31" s="254"/>
      <c r="J31" s="252"/>
      <c r="K31" s="252"/>
      <c r="L31" s="252"/>
      <c r="M31" s="252"/>
      <c r="N31" s="252"/>
      <c r="O31" s="5"/>
      <c r="Q31" s="5"/>
      <c r="S31" s="88"/>
      <c r="T31" s="42"/>
      <c r="U31" s="42"/>
      <c r="V31" s="147" t="s">
        <v>470</v>
      </c>
      <c r="W31" s="288">
        <f t="shared" si="5"/>
        <v>0.24413991576450553</v>
      </c>
      <c r="X31" s="288">
        <v>1</v>
      </c>
      <c r="Y31" s="42"/>
      <c r="Z31" s="42"/>
      <c r="AA31" s="42"/>
      <c r="AB31" s="39"/>
      <c r="AC31" s="39"/>
      <c r="AD31" s="39"/>
      <c r="AE31" s="39"/>
      <c r="AF31" s="39"/>
      <c r="AG31" s="39"/>
      <c r="AH31" s="39"/>
      <c r="AI31" s="39"/>
      <c r="AJ31" s="39"/>
      <c r="AK31" s="39"/>
      <c r="AL31" s="39"/>
      <c r="AM31" s="39"/>
      <c r="AN31" s="39"/>
      <c r="AO31" s="39"/>
      <c r="AP31" s="39"/>
      <c r="AQ31" s="39"/>
      <c r="AR31" s="39"/>
    </row>
    <row r="32" spans="2:44">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0.304377814712955</v>
      </c>
      <c r="X32" s="288">
        <v>1</v>
      </c>
      <c r="Y32" s="42"/>
      <c r="Z32" s="42"/>
      <c r="AA32" s="42"/>
      <c r="AB32" s="39"/>
      <c r="AC32" s="39"/>
      <c r="AD32" s="39"/>
      <c r="AE32" s="39"/>
      <c r="AF32" s="39"/>
      <c r="AG32" s="39"/>
      <c r="AH32" s="39"/>
      <c r="AI32" s="39"/>
      <c r="AJ32" s="39"/>
      <c r="AK32" s="39"/>
      <c r="AL32" s="39"/>
      <c r="AM32" s="39"/>
      <c r="AN32" s="39"/>
      <c r="AO32" s="39"/>
      <c r="AP32" s="39"/>
      <c r="AQ32" s="39"/>
      <c r="AR32" s="39"/>
    </row>
    <row r="33" spans="2:44">
      <c r="B33" s="5" t="s">
        <v>5</v>
      </c>
      <c r="C33" s="545">
        <v>9098.7999999999993</v>
      </c>
      <c r="D33" s="536">
        <v>13183.151441594298</v>
      </c>
      <c r="E33" s="536">
        <v>14967.929543996705</v>
      </c>
      <c r="F33" s="536">
        <v>15601.654400209301</v>
      </c>
      <c r="G33" s="536">
        <v>15258.340266083447</v>
      </c>
      <c r="H33" s="279">
        <f>IF(D33=0,"nm",IF(G33=0,"nm",(G33/D33)^(1/3)-1))</f>
        <v>4.9935656357972036E-2</v>
      </c>
      <c r="I33" s="5"/>
      <c r="J33" s="254"/>
      <c r="K33" s="254"/>
      <c r="L33" s="254"/>
      <c r="M33" s="254"/>
      <c r="N33" s="254"/>
      <c r="O33" s="251"/>
      <c r="Q33" s="5"/>
      <c r="S33" s="88"/>
      <c r="T33" s="42"/>
      <c r="U33" s="42"/>
      <c r="V33" s="147" t="s">
        <v>575</v>
      </c>
      <c r="W33" s="288">
        <f t="shared" si="5"/>
        <v>3.7312908642314175</v>
      </c>
      <c r="X33" s="288">
        <v>1</v>
      </c>
      <c r="Y33" s="42"/>
      <c r="Z33" s="42"/>
      <c r="AA33" s="42"/>
      <c r="AB33" s="39"/>
      <c r="AC33" s="39"/>
      <c r="AD33" s="39"/>
      <c r="AE33" s="39"/>
      <c r="AF33" s="39"/>
      <c r="AG33" s="39"/>
      <c r="AH33" s="39"/>
      <c r="AI33" s="39"/>
      <c r="AJ33" s="39"/>
      <c r="AK33" s="39"/>
      <c r="AL33" s="39"/>
      <c r="AM33" s="39"/>
      <c r="AN33" s="39"/>
      <c r="AO33" s="39"/>
      <c r="AP33" s="39"/>
      <c r="AQ33" s="39"/>
      <c r="AR33" s="39"/>
    </row>
    <row r="34" spans="2:44">
      <c r="B34" s="5"/>
      <c r="C34" s="5"/>
      <c r="D34" s="5"/>
      <c r="E34" s="5"/>
      <c r="F34" s="5"/>
      <c r="G34" s="5"/>
      <c r="H34" s="5"/>
      <c r="I34" s="49"/>
      <c r="J34" s="254"/>
      <c r="K34" s="254"/>
      <c r="L34" s="254"/>
      <c r="M34" s="254"/>
      <c r="N34" s="254"/>
      <c r="O34" s="251"/>
      <c r="Q34" s="5"/>
      <c r="S34" s="88"/>
      <c r="T34" s="42"/>
      <c r="U34" s="42"/>
      <c r="V34" s="147" t="s">
        <v>576</v>
      </c>
      <c r="W34" s="288">
        <f>D47/L19</f>
        <v>4.0960118990316525</v>
      </c>
      <c r="X34" s="288">
        <v>1</v>
      </c>
      <c r="Y34" s="288"/>
      <c r="Z34" s="288"/>
      <c r="AA34" s="42"/>
      <c r="AB34" s="39"/>
      <c r="AC34" s="39"/>
      <c r="AD34" s="39"/>
      <c r="AE34" s="39"/>
      <c r="AF34" s="39"/>
      <c r="AG34" s="39"/>
      <c r="AH34" s="39"/>
      <c r="AI34" s="39"/>
      <c r="AJ34" s="39"/>
      <c r="AK34" s="39"/>
      <c r="AL34" s="39"/>
      <c r="AM34" s="39"/>
      <c r="AN34" s="39"/>
      <c r="AO34" s="39"/>
      <c r="AP34" s="39"/>
      <c r="AQ34" s="39"/>
      <c r="AR34" s="39"/>
    </row>
    <row r="35" spans="2:44" ht="12.6" thickBot="1">
      <c r="B35" s="306" t="s">
        <v>643</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c r="AB35" s="39"/>
      <c r="AC35" s="39"/>
      <c r="AD35" s="39"/>
      <c r="AE35" s="39"/>
      <c r="AF35" s="39"/>
      <c r="AG35" s="39"/>
      <c r="AH35" s="39"/>
      <c r="AI35" s="39"/>
      <c r="AJ35" s="39"/>
      <c r="AK35" s="39"/>
      <c r="AL35" s="39"/>
      <c r="AM35" s="39"/>
      <c r="AN35" s="39"/>
      <c r="AO35" s="39"/>
      <c r="AP35" s="39"/>
      <c r="AQ35" s="39"/>
      <c r="AR35" s="39"/>
    </row>
    <row r="36" spans="2:44"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c r="AB36" s="39"/>
      <c r="AC36" s="39"/>
      <c r="AD36" s="39"/>
      <c r="AE36" s="39"/>
      <c r="AF36" s="39"/>
      <c r="AG36" s="39"/>
      <c r="AH36" s="39"/>
      <c r="AI36" s="39"/>
      <c r="AJ36" s="39"/>
      <c r="AK36" s="39"/>
      <c r="AL36" s="39"/>
      <c r="AM36" s="39"/>
      <c r="AN36" s="39"/>
      <c r="AO36" s="39"/>
      <c r="AP36" s="39"/>
      <c r="AQ36" s="39"/>
      <c r="AR36" s="39"/>
    </row>
    <row r="37" spans="2:44">
      <c r="B37" s="5" t="s">
        <v>268</v>
      </c>
      <c r="C37" s="247"/>
      <c r="D37" s="525">
        <f>D$18/D23</f>
        <v>2.1516321486945378</v>
      </c>
      <c r="E37" s="525">
        <f t="shared" ref="E37:G41" si="7">E$18/E23</f>
        <v>1.9177457653094083</v>
      </c>
      <c r="F37" s="525">
        <f t="shared" si="7"/>
        <v>1.6716669794313668</v>
      </c>
      <c r="G37" s="525">
        <f t="shared" si="7"/>
        <v>1.3888761586962042</v>
      </c>
      <c r="H37" s="17">
        <f t="shared" ref="H37:H44" si="8">H23</f>
        <v>7.1711404607406992E-2</v>
      </c>
      <c r="I37" s="5"/>
      <c r="J37" s="259"/>
      <c r="K37" s="259"/>
      <c r="L37" s="259"/>
      <c r="M37" s="259"/>
      <c r="N37" s="259"/>
      <c r="O37" s="18"/>
      <c r="Q37" s="5"/>
      <c r="R37" s="5"/>
      <c r="S37" s="42"/>
      <c r="T37" s="42"/>
      <c r="U37" s="42"/>
      <c r="V37" s="42"/>
      <c r="W37" s="42"/>
      <c r="X37" s="42"/>
      <c r="Y37" s="42"/>
      <c r="Z37" s="42"/>
      <c r="AA37" s="42"/>
      <c r="AB37" s="39"/>
      <c r="AC37" s="39"/>
      <c r="AD37" s="39"/>
      <c r="AE37" s="39"/>
      <c r="AF37" s="39"/>
      <c r="AG37" s="39"/>
      <c r="AH37" s="39"/>
      <c r="AI37" s="39"/>
      <c r="AJ37" s="39"/>
      <c r="AK37" s="39"/>
      <c r="AL37" s="39"/>
      <c r="AM37" s="39"/>
      <c r="AN37" s="39"/>
      <c r="AO37" s="39"/>
      <c r="AP37" s="39"/>
      <c r="AQ37" s="39"/>
      <c r="AR37" s="39"/>
    </row>
    <row r="38" spans="2:44">
      <c r="B38" s="5" t="s">
        <v>180</v>
      </c>
      <c r="C38" s="247"/>
      <c r="D38" s="525">
        <f>D$18/D24</f>
        <v>4.259685454652681</v>
      </c>
      <c r="E38" s="525">
        <f t="shared" si="7"/>
        <v>3.7808371550404947</v>
      </c>
      <c r="F38" s="525">
        <f t="shared" si="7"/>
        <v>3.2341280106918169</v>
      </c>
      <c r="G38" s="525">
        <f t="shared" si="7"/>
        <v>2.7012667081754764</v>
      </c>
      <c r="H38" s="17">
        <f t="shared" si="8"/>
        <v>7.8068541407177117E-2</v>
      </c>
      <c r="I38" s="259"/>
      <c r="J38" s="17"/>
      <c r="K38" s="17"/>
      <c r="L38" s="17"/>
      <c r="M38" s="17"/>
      <c r="N38" s="17"/>
      <c r="O38" s="5"/>
      <c r="Q38" s="5"/>
      <c r="R38" s="5"/>
      <c r="S38" s="42"/>
      <c r="T38" s="42"/>
      <c r="U38" s="42"/>
      <c r="V38" s="42"/>
      <c r="W38" s="42"/>
      <c r="X38" s="42"/>
      <c r="Y38" s="42"/>
      <c r="Z38" s="42"/>
      <c r="AA38" s="42"/>
      <c r="AB38" s="39"/>
      <c r="AC38" s="39"/>
      <c r="AD38" s="39"/>
      <c r="AE38" s="39"/>
      <c r="AF38" s="39"/>
      <c r="AG38" s="39"/>
      <c r="AH38" s="39"/>
      <c r="AI38" s="39"/>
      <c r="AJ38" s="39"/>
      <c r="AK38" s="39"/>
      <c r="AL38" s="39"/>
      <c r="AM38" s="39"/>
      <c r="AN38" s="39"/>
      <c r="AO38" s="39"/>
      <c r="AP38" s="39"/>
      <c r="AQ38" s="39"/>
      <c r="AR38" s="39"/>
    </row>
    <row r="39" spans="2:44">
      <c r="B39" s="5" t="s">
        <v>181</v>
      </c>
      <c r="C39" s="247"/>
      <c r="D39" s="525">
        <f>D$18/D25</f>
        <v>9.1859623554168977</v>
      </c>
      <c r="E39" s="525">
        <f t="shared" si="7"/>
        <v>9.9186589615721754</v>
      </c>
      <c r="F39" s="525">
        <f t="shared" si="7"/>
        <v>6.0600679548463932</v>
      </c>
      <c r="G39" s="525">
        <f t="shared" si="7"/>
        <v>4.1972949831898134</v>
      </c>
      <c r="H39" s="17">
        <f t="shared" si="8"/>
        <v>0.20252673734908933</v>
      </c>
      <c r="I39" s="17"/>
      <c r="J39" s="5"/>
      <c r="K39" s="5"/>
      <c r="L39" s="5"/>
      <c r="M39" s="5"/>
      <c r="N39" s="5"/>
      <c r="O39" s="5"/>
      <c r="Q39" s="5"/>
      <c r="R39" s="5"/>
      <c r="S39" s="42"/>
      <c r="T39" s="42"/>
      <c r="U39" s="42"/>
      <c r="V39" s="42"/>
      <c r="W39" s="42"/>
      <c r="X39" s="42"/>
      <c r="Y39" s="42"/>
      <c r="Z39" s="42"/>
      <c r="AA39" s="42"/>
      <c r="AB39" s="39"/>
      <c r="AC39" s="39"/>
      <c r="AD39" s="39"/>
      <c r="AE39" s="39"/>
      <c r="AF39" s="39"/>
      <c r="AG39" s="39"/>
      <c r="AH39" s="39"/>
      <c r="AI39" s="39"/>
      <c r="AJ39" s="39"/>
      <c r="AK39" s="39"/>
      <c r="AL39" s="39"/>
      <c r="AM39" s="39"/>
      <c r="AN39" s="39"/>
      <c r="AO39" s="39"/>
      <c r="AP39" s="39"/>
      <c r="AQ39" s="39"/>
      <c r="AR39" s="39"/>
    </row>
    <row r="40" spans="2:44">
      <c r="B40" s="5" t="s">
        <v>461</v>
      </c>
      <c r="C40" s="247"/>
      <c r="D40" s="525">
        <f>D$18/D26</f>
        <v>13.122803364881282</v>
      </c>
      <c r="E40" s="525">
        <f t="shared" si="7"/>
        <v>14.169512802245965</v>
      </c>
      <c r="F40" s="525">
        <f t="shared" si="7"/>
        <v>8.6572399354948484</v>
      </c>
      <c r="G40" s="525">
        <f t="shared" si="7"/>
        <v>5.9961356902711627</v>
      </c>
      <c r="H40" s="17">
        <f>H26</f>
        <v>0.20252673734908933</v>
      </c>
      <c r="I40" s="5"/>
      <c r="J40" s="259"/>
      <c r="K40" s="259"/>
      <c r="L40" s="259"/>
      <c r="M40" s="259"/>
      <c r="N40" s="259"/>
      <c r="O40" s="18"/>
      <c r="Q40" s="5"/>
      <c r="R40" s="5"/>
      <c r="S40" s="42"/>
      <c r="T40" s="42"/>
      <c r="U40" s="42"/>
      <c r="V40" s="42"/>
      <c r="W40" s="288"/>
      <c r="X40" s="288"/>
      <c r="Y40" s="42"/>
      <c r="Z40" s="42"/>
      <c r="AA40" s="42"/>
      <c r="AB40" s="39"/>
      <c r="AC40" s="39"/>
      <c r="AD40" s="39"/>
      <c r="AE40" s="39"/>
      <c r="AF40" s="39"/>
      <c r="AG40" s="39"/>
      <c r="AH40" s="39"/>
      <c r="AI40" s="39"/>
      <c r="AJ40" s="39"/>
      <c r="AK40" s="39"/>
      <c r="AL40" s="39"/>
      <c r="AM40" s="39"/>
      <c r="AN40" s="39"/>
      <c r="AO40" s="39"/>
      <c r="AP40" s="39"/>
      <c r="AQ40" s="39"/>
      <c r="AR40" s="39"/>
    </row>
    <row r="41" spans="2:44">
      <c r="B41" s="5" t="s">
        <v>525</v>
      </c>
      <c r="C41" s="247"/>
      <c r="D41" s="525">
        <f>D$18/D27</f>
        <v>2.1683465110085569</v>
      </c>
      <c r="E41" s="525">
        <f t="shared" si="7"/>
        <v>1.5997614357434879</v>
      </c>
      <c r="F41" s="525">
        <f t="shared" si="7"/>
        <v>1.2011037338837889</v>
      </c>
      <c r="G41" s="525">
        <f t="shared" si="7"/>
        <v>0.90851757259672195</v>
      </c>
      <c r="H41" s="17">
        <f t="shared" si="8"/>
        <v>0.23777432397007026</v>
      </c>
      <c r="I41" s="247"/>
      <c r="J41" s="17"/>
      <c r="K41" s="17"/>
      <c r="L41" s="17"/>
      <c r="M41" s="17"/>
      <c r="N41" s="17"/>
      <c r="O41" s="5"/>
      <c r="Q41" s="5"/>
      <c r="R41" s="5"/>
      <c r="S41" s="42"/>
      <c r="T41" s="42"/>
      <c r="U41" s="42"/>
      <c r="V41" s="42"/>
      <c r="W41" s="288"/>
      <c r="X41" s="288"/>
      <c r="Y41" s="288"/>
      <c r="Z41" s="288"/>
      <c r="AA41" s="42"/>
      <c r="AB41" s="39"/>
      <c r="AC41" s="39"/>
      <c r="AD41" s="39"/>
      <c r="AE41" s="39"/>
      <c r="AF41" s="39"/>
      <c r="AG41" s="39"/>
      <c r="AH41" s="39"/>
      <c r="AI41" s="39"/>
      <c r="AJ41" s="39"/>
      <c r="AK41" s="39"/>
      <c r="AL41" s="39"/>
      <c r="AM41" s="39"/>
      <c r="AN41" s="39"/>
      <c r="AO41" s="39"/>
      <c r="AP41" s="39"/>
      <c r="AQ41" s="39"/>
      <c r="AR41" s="39"/>
    </row>
    <row r="42" spans="2:44">
      <c r="B42" s="5" t="s">
        <v>588</v>
      </c>
      <c r="C42" s="247"/>
      <c r="D42" s="525">
        <f>D18/D28</f>
        <v>2.6683737476128213</v>
      </c>
      <c r="E42" s="525">
        <f>E18/E28</f>
        <v>2.4279205183218941</v>
      </c>
      <c r="F42" s="525">
        <f>F18/F28</f>
        <v>2.2368869414810755</v>
      </c>
      <c r="G42" s="525">
        <f>G18/G28</f>
        <v>1.9695187549200615</v>
      </c>
      <c r="H42" s="17">
        <f t="shared" si="8"/>
        <v>2.4877277502107997E-2</v>
      </c>
      <c r="I42" s="248"/>
      <c r="J42" s="5"/>
      <c r="K42" s="5"/>
      <c r="L42" s="5"/>
      <c r="M42" s="5"/>
      <c r="N42" s="5"/>
      <c r="O42" s="5"/>
      <c r="Q42" s="5"/>
      <c r="R42" s="5"/>
      <c r="S42" s="42"/>
      <c r="T42" s="42"/>
      <c r="U42" s="42"/>
      <c r="V42" s="42"/>
      <c r="W42" s="288"/>
      <c r="X42" s="288"/>
      <c r="Y42" s="288"/>
      <c r="Z42" s="288"/>
      <c r="AA42" s="42"/>
      <c r="AB42" s="39"/>
      <c r="AC42" s="39"/>
      <c r="AD42" s="39"/>
      <c r="AE42" s="39"/>
      <c r="AF42" s="39"/>
      <c r="AG42" s="39"/>
      <c r="AH42" s="39"/>
      <c r="AI42" s="39"/>
      <c r="AJ42" s="39"/>
      <c r="AK42" s="39"/>
      <c r="AL42" s="39"/>
      <c r="AM42" s="39"/>
      <c r="AN42" s="39"/>
      <c r="AO42" s="39"/>
      <c r="AP42" s="39"/>
      <c r="AQ42" s="39"/>
      <c r="AR42" s="39"/>
    </row>
    <row r="43" spans="2:44">
      <c r="B43" s="5" t="s">
        <v>470</v>
      </c>
      <c r="C43" s="247"/>
      <c r="D43" s="525">
        <f>L26/D29</f>
        <v>10.96515071282257</v>
      </c>
      <c r="E43" s="525">
        <f>M26/E29</f>
        <v>14.188756639954999</v>
      </c>
      <c r="F43" s="525">
        <f>N26/F29</f>
        <v>8.1075389436711678</v>
      </c>
      <c r="G43" s="525">
        <f>O26/G29</f>
        <v>6.1815860919068522</v>
      </c>
      <c r="H43" s="17">
        <f t="shared" si="8"/>
        <v>0.21051886246874441</v>
      </c>
      <c r="I43" s="247"/>
      <c r="J43" s="247"/>
      <c r="K43" s="247"/>
      <c r="L43" s="247"/>
      <c r="M43" s="247"/>
      <c r="N43" s="247"/>
      <c r="O43" s="18"/>
      <c r="Q43" s="5"/>
      <c r="R43" s="5"/>
      <c r="S43" s="42"/>
      <c r="T43" s="42"/>
      <c r="U43" s="42"/>
      <c r="V43" s="42"/>
      <c r="W43" s="288"/>
      <c r="X43" s="288"/>
      <c r="Y43" s="288"/>
      <c r="Z43" s="288"/>
      <c r="AA43" s="42"/>
      <c r="AB43" s="39"/>
      <c r="AC43" s="39"/>
      <c r="AD43" s="39"/>
      <c r="AE43" s="39"/>
      <c r="AF43" s="39"/>
      <c r="AG43" s="39"/>
      <c r="AH43" s="39"/>
      <c r="AI43" s="39"/>
      <c r="AJ43" s="39"/>
      <c r="AK43" s="39"/>
      <c r="AL43" s="39"/>
      <c r="AM43" s="39"/>
      <c r="AN43" s="39"/>
      <c r="AO43" s="39"/>
      <c r="AP43" s="39"/>
      <c r="AQ43" s="39"/>
      <c r="AR43" s="39"/>
    </row>
    <row r="44" spans="2:44">
      <c r="B44" s="5" t="s">
        <v>528</v>
      </c>
      <c r="C44" s="69"/>
      <c r="D44" s="525">
        <f>D11/D30</f>
        <v>9.0484973513229718</v>
      </c>
      <c r="E44" s="525">
        <f>E11/E30</f>
        <v>9.1244255354742734</v>
      </c>
      <c r="F44" s="525">
        <f>F11/F30</f>
        <v>8.4545818284356287</v>
      </c>
      <c r="G44" s="525">
        <f>G11/G30</f>
        <v>7.8699080854241599</v>
      </c>
      <c r="H44" s="17">
        <f t="shared" si="8"/>
        <v>4.7616350087195558E-2</v>
      </c>
      <c r="I44" s="247"/>
      <c r="J44" s="248"/>
      <c r="K44" s="248"/>
      <c r="L44" s="248"/>
      <c r="M44" s="248"/>
      <c r="N44" s="248"/>
      <c r="O44" s="248"/>
      <c r="Q44" s="5"/>
      <c r="R44" s="5"/>
      <c r="S44" s="42"/>
      <c r="T44" s="42"/>
      <c r="U44" s="42"/>
      <c r="V44" s="42"/>
      <c r="W44" s="325"/>
      <c r="X44" s="325"/>
      <c r="Y44" s="288"/>
      <c r="Z44" s="288"/>
      <c r="AA44" s="42"/>
      <c r="AB44" s="39"/>
      <c r="AC44" s="39"/>
      <c r="AD44" s="39"/>
      <c r="AE44" s="39"/>
      <c r="AF44" s="39"/>
      <c r="AG44" s="39"/>
      <c r="AH44" s="39"/>
      <c r="AI44" s="39"/>
      <c r="AJ44" s="39"/>
      <c r="AK44" s="39"/>
      <c r="AL44" s="39"/>
      <c r="AM44" s="39"/>
      <c r="AN44" s="39"/>
      <c r="AO44" s="39"/>
      <c r="AP44" s="39"/>
      <c r="AQ44" s="39"/>
      <c r="AR44" s="39"/>
    </row>
    <row r="45" spans="2:44">
      <c r="B45" s="5" t="s">
        <v>575</v>
      </c>
      <c r="C45" s="247"/>
      <c r="D45" s="248">
        <f>D31/D11</f>
        <v>6.7414508322844624E-2</v>
      </c>
      <c r="E45" s="248">
        <f>E31/E11</f>
        <v>8.7676752568118507E-2</v>
      </c>
      <c r="F45" s="248">
        <f>F31/F11</f>
        <v>0.10645115491969033</v>
      </c>
      <c r="G45" s="248">
        <f>G31/G11</f>
        <v>0.12071297271685968</v>
      </c>
      <c r="H45" s="17">
        <f>H31</f>
        <v>0.21432105304348426</v>
      </c>
      <c r="I45" s="248"/>
      <c r="J45" s="247"/>
      <c r="K45" s="247"/>
      <c r="L45" s="247"/>
      <c r="M45" s="247"/>
      <c r="N45" s="247"/>
      <c r="O45" s="248"/>
      <c r="Q45" s="5"/>
      <c r="R45" s="5"/>
      <c r="S45" s="42"/>
      <c r="T45" s="42"/>
      <c r="U45" s="42"/>
      <c r="V45" s="42"/>
      <c r="W45" s="42"/>
      <c r="X45" s="42"/>
      <c r="Y45" s="325"/>
      <c r="Z45" s="325"/>
      <c r="AA45" s="42"/>
      <c r="AB45" s="39"/>
      <c r="AC45" s="39"/>
      <c r="AD45" s="39"/>
      <c r="AE45" s="39"/>
      <c r="AF45" s="39"/>
      <c r="AG45" s="39"/>
      <c r="AH45" s="39"/>
      <c r="AI45" s="39"/>
      <c r="AJ45" s="39"/>
      <c r="AK45" s="39"/>
      <c r="AL45" s="39"/>
      <c r="AM45" s="39"/>
      <c r="AN45" s="39"/>
      <c r="AO45" s="39"/>
      <c r="AP45" s="39"/>
      <c r="AQ45" s="39"/>
      <c r="AR45" s="39"/>
    </row>
    <row r="46" spans="2:44">
      <c r="B46" s="5" t="s">
        <v>600</v>
      </c>
      <c r="C46" s="247"/>
      <c r="D46" s="248">
        <f>(D31+D32)/D11</f>
        <v>6.7414508322844624E-2</v>
      </c>
      <c r="E46" s="248">
        <f>(E31+E32)/E11</f>
        <v>8.7676752568118507E-2</v>
      </c>
      <c r="F46" s="248">
        <f>(F31+F32)/F11</f>
        <v>0.10645115491969033</v>
      </c>
      <c r="G46" s="248">
        <f>(G31+G32)/G11</f>
        <v>0.12071297271685968</v>
      </c>
      <c r="H46" s="279">
        <f>((G31+G32)/(D31+D32))^(1/3)-1</f>
        <v>0.21432105304348426</v>
      </c>
      <c r="I46" s="247"/>
      <c r="J46" s="247"/>
      <c r="K46" s="247"/>
      <c r="L46" s="247"/>
      <c r="M46" s="247"/>
      <c r="N46" s="247"/>
      <c r="O46" s="18"/>
      <c r="Q46" s="5"/>
      <c r="R46" s="5"/>
      <c r="S46" s="42"/>
      <c r="T46" s="42"/>
      <c r="U46" s="42"/>
      <c r="V46" s="42"/>
      <c r="W46" s="42"/>
      <c r="X46" s="42"/>
      <c r="Y46" s="42"/>
      <c r="Z46" s="42"/>
      <c r="AA46" s="326"/>
      <c r="AB46" s="39"/>
      <c r="AC46" s="39"/>
      <c r="AD46" s="39"/>
      <c r="AE46" s="39"/>
      <c r="AF46" s="39"/>
      <c r="AG46" s="39"/>
      <c r="AH46" s="39"/>
      <c r="AI46" s="39"/>
      <c r="AJ46" s="39"/>
      <c r="AK46" s="39"/>
      <c r="AL46" s="39"/>
      <c r="AM46" s="39"/>
      <c r="AN46" s="39"/>
      <c r="AO46" s="39"/>
      <c r="AP46" s="39"/>
      <c r="AQ46" s="39"/>
      <c r="AR46" s="39"/>
    </row>
    <row r="47" spans="2:44">
      <c r="B47" s="5" t="s">
        <v>576</v>
      </c>
      <c r="C47" s="5"/>
      <c r="D47" s="248">
        <f>1/D43</f>
        <v>9.1198016898263609E-2</v>
      </c>
      <c r="E47" s="248">
        <f>1/E43</f>
        <v>7.0478338967632864E-2</v>
      </c>
      <c r="F47" s="248">
        <f>1/F43</f>
        <v>0.12334199156460553</v>
      </c>
      <c r="G47" s="248">
        <f>1/G43</f>
        <v>0.16177077939741627</v>
      </c>
      <c r="H47" s="17">
        <f>H29</f>
        <v>0.21051886246874441</v>
      </c>
      <c r="I47" s="17"/>
      <c r="J47" s="248"/>
      <c r="K47" s="248"/>
      <c r="L47" s="248"/>
      <c r="M47" s="248"/>
      <c r="N47" s="248"/>
      <c r="O47" s="248"/>
      <c r="Q47" s="5"/>
      <c r="R47" s="5"/>
      <c r="S47" s="42"/>
      <c r="T47" s="42"/>
      <c r="U47" s="42"/>
      <c r="V47" s="42"/>
      <c r="W47" s="42"/>
      <c r="X47" s="42"/>
      <c r="Y47" s="42"/>
      <c r="Z47" s="42"/>
      <c r="AA47" s="326"/>
      <c r="AB47" s="39"/>
      <c r="AC47" s="39"/>
      <c r="AD47" s="39"/>
      <c r="AE47" s="39"/>
      <c r="AF47" s="39"/>
      <c r="AG47" s="39"/>
      <c r="AH47" s="39"/>
      <c r="AI47" s="39"/>
      <c r="AJ47" s="39"/>
      <c r="AK47" s="39"/>
      <c r="AL47" s="39"/>
      <c r="AM47" s="39"/>
      <c r="AN47" s="39"/>
      <c r="AO47" s="39"/>
      <c r="AP47" s="39"/>
      <c r="AQ47" s="39"/>
      <c r="AR47" s="39"/>
    </row>
    <row r="48" spans="2:44">
      <c r="B48" s="5" t="s">
        <v>613</v>
      </c>
      <c r="C48" s="5"/>
      <c r="D48" s="305">
        <f>D31/D29</f>
        <v>0.7392102439908228</v>
      </c>
      <c r="E48" s="305">
        <f>E31/E29</f>
        <v>1.2440241051705829</v>
      </c>
      <c r="F48" s="305">
        <f>F31/F29</f>
        <v>0.86305688411016201</v>
      </c>
      <c r="G48" s="305">
        <f>G31/G29</f>
        <v>0.74619763325927113</v>
      </c>
      <c r="H48" s="279" t="s">
        <v>602</v>
      </c>
      <c r="I48" s="247"/>
      <c r="J48" s="247"/>
      <c r="K48" s="247"/>
      <c r="L48" s="247"/>
      <c r="M48" s="247"/>
      <c r="N48" s="247"/>
      <c r="O48" s="248"/>
      <c r="Q48" s="5"/>
      <c r="R48" s="5"/>
      <c r="S48" s="42"/>
      <c r="T48" s="42"/>
      <c r="U48" s="42"/>
      <c r="V48" s="42"/>
      <c r="W48" s="42"/>
      <c r="X48" s="42"/>
      <c r="Y48" s="42"/>
      <c r="Z48" s="42"/>
      <c r="AA48" s="326"/>
      <c r="AB48" s="39"/>
      <c r="AC48" s="39"/>
      <c r="AD48" s="39"/>
      <c r="AE48" s="39"/>
      <c r="AF48" s="39"/>
      <c r="AG48" s="39"/>
      <c r="AH48" s="39"/>
      <c r="AI48" s="39"/>
      <c r="AJ48" s="39"/>
      <c r="AK48" s="39"/>
      <c r="AL48" s="39"/>
      <c r="AM48" s="39"/>
      <c r="AN48" s="39"/>
      <c r="AO48" s="39"/>
      <c r="AP48" s="39"/>
      <c r="AQ48" s="39"/>
      <c r="AR48" s="39"/>
    </row>
    <row r="49" spans="2:44">
      <c r="B49" s="41"/>
      <c r="C49" s="17"/>
      <c r="D49" s="17"/>
      <c r="E49" s="17"/>
      <c r="F49" s="17"/>
      <c r="G49" s="17"/>
      <c r="H49" s="17"/>
      <c r="I49" s="254"/>
      <c r="J49" s="17"/>
      <c r="K49" s="17"/>
      <c r="L49" s="17"/>
      <c r="M49" s="17"/>
      <c r="N49" s="17"/>
      <c r="O49" s="248"/>
      <c r="Q49" s="5"/>
      <c r="R49" s="5"/>
      <c r="S49" s="42"/>
      <c r="T49" s="42"/>
      <c r="U49" s="42"/>
      <c r="V49" s="42"/>
      <c r="W49" s="42"/>
      <c r="X49" s="42"/>
      <c r="Y49" s="42"/>
      <c r="Z49" s="42"/>
      <c r="AA49" s="326"/>
      <c r="AB49" s="39"/>
      <c r="AC49" s="39"/>
      <c r="AD49" s="39"/>
      <c r="AE49" s="39"/>
      <c r="AF49" s="39"/>
      <c r="AG49" s="39"/>
      <c r="AH49" s="39"/>
      <c r="AI49" s="39"/>
      <c r="AJ49" s="39"/>
      <c r="AK49" s="39"/>
      <c r="AL49" s="39"/>
      <c r="AM49" s="39"/>
      <c r="AN49" s="39"/>
      <c r="AO49" s="39"/>
      <c r="AP49" s="39"/>
      <c r="AQ49" s="39"/>
      <c r="AR49" s="39"/>
    </row>
    <row r="50" spans="2:44">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c r="AB50" s="39"/>
      <c r="AC50" s="39"/>
      <c r="AD50" s="39"/>
      <c r="AE50" s="39"/>
      <c r="AF50" s="39"/>
      <c r="AG50" s="39"/>
      <c r="AH50" s="39"/>
      <c r="AI50" s="39"/>
      <c r="AJ50" s="39"/>
      <c r="AK50" s="39"/>
      <c r="AL50" s="39"/>
      <c r="AM50" s="39"/>
      <c r="AN50" s="39"/>
      <c r="AO50" s="39"/>
      <c r="AP50" s="39"/>
      <c r="AQ50" s="39"/>
      <c r="AR50" s="39"/>
    </row>
    <row r="51" spans="2:44">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c r="AB51" s="39"/>
      <c r="AC51" s="39"/>
      <c r="AD51" s="39"/>
      <c r="AE51" s="39"/>
      <c r="AF51" s="39"/>
      <c r="AG51" s="39"/>
      <c r="AH51" s="39"/>
      <c r="AI51" s="39"/>
      <c r="AJ51" s="39"/>
      <c r="AK51" s="39"/>
      <c r="AL51" s="39"/>
      <c r="AM51" s="39"/>
      <c r="AN51" s="39"/>
      <c r="AO51" s="39"/>
      <c r="AP51" s="39"/>
      <c r="AQ51" s="39"/>
      <c r="AR51" s="39"/>
    </row>
    <row r="52" spans="2:44">
      <c r="B52" s="5"/>
      <c r="C52" s="257"/>
      <c r="D52" s="17"/>
      <c r="E52" s="17"/>
      <c r="F52" s="17"/>
      <c r="G52" s="17"/>
      <c r="H52" s="17"/>
      <c r="I52" s="254"/>
      <c r="J52" s="17"/>
      <c r="K52" s="17"/>
      <c r="L52" s="17"/>
      <c r="M52" s="17"/>
      <c r="N52" s="17"/>
      <c r="O52" s="248"/>
      <c r="Q52" s="5"/>
      <c r="R52" s="5"/>
      <c r="S52" s="5"/>
      <c r="Y52" s="10"/>
      <c r="Z52" s="10"/>
      <c r="AB52" s="39"/>
      <c r="AC52" s="39"/>
      <c r="AD52" s="39"/>
      <c r="AE52" s="39"/>
      <c r="AF52" s="39"/>
      <c r="AG52" s="39"/>
      <c r="AH52" s="39"/>
      <c r="AI52" s="39"/>
      <c r="AJ52" s="39"/>
      <c r="AK52" s="39"/>
      <c r="AL52" s="39"/>
      <c r="AM52" s="39"/>
      <c r="AN52" s="39"/>
      <c r="AO52" s="39"/>
      <c r="AP52" s="39"/>
      <c r="AQ52" s="39"/>
      <c r="AR52" s="39"/>
    </row>
    <row r="53" spans="2:44">
      <c r="B53" s="5"/>
      <c r="C53" s="257"/>
      <c r="D53" s="257"/>
      <c r="E53" s="257"/>
      <c r="F53" s="5"/>
      <c r="G53" s="5"/>
      <c r="H53" s="259"/>
      <c r="I53" s="17"/>
      <c r="J53" s="259"/>
      <c r="K53" s="259"/>
      <c r="L53" s="259"/>
      <c r="M53" s="259"/>
      <c r="N53" s="259"/>
      <c r="O53" s="18"/>
      <c r="Q53" s="5"/>
      <c r="R53" s="5"/>
      <c r="S53" s="5"/>
      <c r="AB53" s="39"/>
      <c r="AC53" s="39"/>
      <c r="AD53" s="39"/>
      <c r="AE53" s="39"/>
      <c r="AF53" s="39"/>
      <c r="AG53" s="39"/>
      <c r="AH53" s="39"/>
      <c r="AI53" s="39"/>
      <c r="AJ53" s="39"/>
      <c r="AK53" s="39"/>
      <c r="AL53" s="39"/>
      <c r="AM53" s="39"/>
      <c r="AN53" s="39"/>
      <c r="AO53" s="39"/>
      <c r="AP53" s="39"/>
      <c r="AQ53" s="39"/>
      <c r="AR53" s="39"/>
    </row>
    <row r="54" spans="2:44">
      <c r="B54" s="41"/>
      <c r="C54" s="249"/>
      <c r="D54" s="254"/>
      <c r="E54" s="254"/>
      <c r="F54" s="254"/>
      <c r="G54" s="254"/>
      <c r="H54" s="254"/>
      <c r="I54" s="259"/>
      <c r="J54" s="254"/>
      <c r="K54" s="254"/>
      <c r="L54" s="254"/>
      <c r="M54" s="254"/>
      <c r="N54" s="254"/>
      <c r="O54" s="251"/>
      <c r="Q54" s="5"/>
      <c r="R54" s="5"/>
      <c r="S54" s="5"/>
      <c r="AB54" s="39"/>
      <c r="AC54" s="39"/>
      <c r="AD54" s="39"/>
      <c r="AE54" s="39"/>
      <c r="AF54" s="39"/>
      <c r="AG54" s="39"/>
      <c r="AH54" s="39"/>
      <c r="AI54" s="39"/>
      <c r="AJ54" s="39"/>
      <c r="AK54" s="39"/>
      <c r="AL54" s="39"/>
      <c r="AM54" s="39"/>
      <c r="AN54" s="39"/>
      <c r="AO54" s="39"/>
      <c r="AP54" s="39"/>
      <c r="AQ54" s="39"/>
      <c r="AR54" s="39"/>
    </row>
    <row r="55" spans="2:44">
      <c r="B55" s="5"/>
      <c r="C55" s="257"/>
      <c r="D55" s="17"/>
      <c r="E55" s="17"/>
      <c r="F55" s="17"/>
      <c r="G55" s="17"/>
      <c r="H55" s="17"/>
      <c r="I55" s="249"/>
      <c r="J55" s="17"/>
      <c r="K55" s="17"/>
      <c r="L55" s="17"/>
      <c r="M55" s="17"/>
      <c r="N55" s="17"/>
      <c r="O55" s="18"/>
      <c r="Q55" s="5"/>
      <c r="R55" s="5"/>
      <c r="S55" s="5"/>
      <c r="AB55" s="39"/>
      <c r="AC55" s="39"/>
      <c r="AD55" s="39"/>
      <c r="AE55" s="39"/>
      <c r="AF55" s="39"/>
      <c r="AG55" s="39"/>
      <c r="AH55" s="39"/>
      <c r="AI55" s="39"/>
      <c r="AJ55" s="39"/>
      <c r="AK55" s="39"/>
      <c r="AL55" s="39"/>
      <c r="AM55" s="39"/>
      <c r="AN55" s="39"/>
      <c r="AO55" s="39"/>
      <c r="AP55" s="39"/>
      <c r="AQ55" s="39"/>
      <c r="AR55" s="39"/>
    </row>
    <row r="56" spans="2:44">
      <c r="B56" s="5"/>
      <c r="C56" s="248"/>
      <c r="D56" s="248"/>
      <c r="E56" s="248"/>
      <c r="F56" s="5"/>
      <c r="G56" s="5"/>
      <c r="H56" s="259"/>
      <c r="I56" s="248"/>
      <c r="J56" s="259"/>
      <c r="K56" s="259"/>
      <c r="L56" s="259"/>
      <c r="M56" s="259"/>
      <c r="N56" s="259"/>
      <c r="O56" s="18"/>
      <c r="Q56" s="5"/>
      <c r="R56" s="5"/>
      <c r="S56" s="5"/>
      <c r="AB56" s="39"/>
      <c r="AC56" s="39"/>
      <c r="AD56" s="39"/>
      <c r="AE56" s="39"/>
      <c r="AF56" s="39"/>
      <c r="AG56" s="39"/>
      <c r="AH56" s="39"/>
      <c r="AI56" s="39"/>
      <c r="AJ56" s="39"/>
      <c r="AK56" s="39"/>
      <c r="AL56" s="39"/>
      <c r="AM56" s="39"/>
      <c r="AN56" s="39"/>
      <c r="AO56" s="39"/>
      <c r="AP56" s="39"/>
      <c r="AQ56" s="39"/>
      <c r="AR56" s="39"/>
    </row>
    <row r="57" spans="2:44">
      <c r="B57" s="41"/>
      <c r="C57" s="249"/>
      <c r="D57" s="249"/>
      <c r="E57" s="249"/>
      <c r="F57" s="249"/>
      <c r="G57" s="249"/>
      <c r="H57" s="249"/>
      <c r="I57" s="5"/>
      <c r="J57" s="249"/>
      <c r="K57" s="249"/>
      <c r="L57" s="249"/>
      <c r="M57" s="249"/>
      <c r="N57" s="249"/>
      <c r="O57" s="251"/>
      <c r="Q57" s="5"/>
      <c r="R57" s="5"/>
      <c r="S57" s="5"/>
      <c r="AB57" s="39"/>
      <c r="AC57" s="39"/>
      <c r="AD57" s="39"/>
      <c r="AE57" s="39"/>
      <c r="AF57" s="39"/>
      <c r="AG57" s="39"/>
      <c r="AH57" s="39"/>
      <c r="AI57" s="39"/>
      <c r="AJ57" s="39"/>
      <c r="AK57" s="39"/>
      <c r="AL57" s="39"/>
      <c r="AM57" s="39"/>
      <c r="AN57" s="39"/>
      <c r="AO57" s="39"/>
      <c r="AP57" s="39"/>
      <c r="AQ57" s="39"/>
      <c r="AR57" s="39"/>
    </row>
    <row r="58" spans="2:44">
      <c r="B58" s="5"/>
      <c r="C58" s="5"/>
      <c r="D58" s="248"/>
      <c r="E58" s="248"/>
      <c r="F58" s="248"/>
      <c r="G58" s="248"/>
      <c r="H58" s="248"/>
      <c r="I58" s="17"/>
      <c r="J58" s="248"/>
      <c r="K58" s="248"/>
      <c r="L58" s="248"/>
      <c r="M58" s="248"/>
      <c r="N58" s="248"/>
      <c r="O58" s="18"/>
      <c r="Q58" s="5"/>
      <c r="R58" s="5"/>
      <c r="S58" s="5"/>
      <c r="AB58" s="39"/>
      <c r="AC58" s="39"/>
      <c r="AD58" s="39"/>
      <c r="AE58" s="39"/>
      <c r="AF58" s="39"/>
      <c r="AG58" s="39"/>
      <c r="AH58" s="39"/>
      <c r="AI58" s="39"/>
      <c r="AJ58" s="39"/>
      <c r="AK58" s="39"/>
      <c r="AL58" s="39"/>
      <c r="AM58" s="39"/>
      <c r="AN58" s="39"/>
      <c r="AO58" s="39"/>
      <c r="AP58" s="39"/>
      <c r="AQ58" s="39"/>
      <c r="AR58" s="39"/>
    </row>
    <row r="59" spans="2:44">
      <c r="B59" s="5"/>
      <c r="C59" s="5"/>
      <c r="D59" s="5"/>
      <c r="E59" s="5"/>
      <c r="F59" s="5"/>
      <c r="G59" s="5"/>
      <c r="H59" s="5"/>
      <c r="I59" s="5"/>
      <c r="J59" s="5"/>
      <c r="K59" s="5"/>
      <c r="L59" s="5"/>
      <c r="M59" s="5"/>
      <c r="N59" s="5"/>
      <c r="O59" s="5"/>
      <c r="Q59" s="5"/>
      <c r="R59" s="5"/>
      <c r="S59" s="5"/>
      <c r="AB59" s="39"/>
      <c r="AC59" s="39"/>
      <c r="AD59" s="39"/>
      <c r="AE59" s="39"/>
      <c r="AF59" s="39"/>
      <c r="AG59" s="39"/>
      <c r="AH59" s="39"/>
      <c r="AI59" s="39"/>
      <c r="AJ59" s="39"/>
      <c r="AK59" s="39"/>
      <c r="AL59" s="39"/>
      <c r="AM59" s="39"/>
      <c r="AN59" s="39"/>
      <c r="AO59" s="39"/>
      <c r="AP59" s="39"/>
      <c r="AQ59" s="39"/>
      <c r="AR59" s="39"/>
    </row>
    <row r="60" spans="2:44">
      <c r="B60" s="41"/>
      <c r="C60" s="17"/>
      <c r="D60" s="17"/>
      <c r="E60" s="17"/>
      <c r="F60" s="17"/>
      <c r="G60" s="17"/>
      <c r="H60" s="17"/>
      <c r="I60" s="249"/>
      <c r="J60" s="17"/>
      <c r="K60" s="17"/>
      <c r="L60" s="17"/>
      <c r="M60" s="17"/>
      <c r="N60" s="17"/>
      <c r="O60" s="251"/>
      <c r="Q60" s="5"/>
      <c r="R60" s="5"/>
      <c r="S60" s="5"/>
      <c r="AB60" s="39"/>
      <c r="AC60" s="39"/>
      <c r="AD60" s="39"/>
      <c r="AE60" s="39"/>
      <c r="AF60" s="39"/>
      <c r="AG60" s="39"/>
      <c r="AH60" s="39"/>
      <c r="AI60" s="39"/>
      <c r="AJ60" s="39"/>
      <c r="AK60" s="39"/>
      <c r="AL60" s="39"/>
      <c r="AM60" s="39"/>
      <c r="AN60" s="39"/>
      <c r="AO60" s="39"/>
      <c r="AP60" s="39"/>
      <c r="AQ60" s="39"/>
      <c r="AR60" s="39"/>
    </row>
    <row r="61" spans="2:44">
      <c r="B61" s="5"/>
      <c r="C61" s="5"/>
      <c r="D61" s="5"/>
      <c r="E61" s="5"/>
      <c r="F61" s="5"/>
      <c r="G61" s="5"/>
      <c r="H61" s="5"/>
      <c r="I61" s="5"/>
      <c r="J61" s="5"/>
      <c r="K61" s="5"/>
      <c r="L61" s="5"/>
      <c r="M61" s="5"/>
      <c r="N61" s="5"/>
      <c r="O61" s="5"/>
      <c r="Q61" s="41"/>
      <c r="R61" s="5"/>
      <c r="S61" s="5"/>
      <c r="AB61" s="39"/>
      <c r="AC61" s="39"/>
      <c r="AD61" s="39"/>
      <c r="AE61" s="39"/>
      <c r="AF61" s="39"/>
      <c r="AG61" s="39"/>
      <c r="AH61" s="39"/>
      <c r="AI61" s="39"/>
      <c r="AJ61" s="39"/>
      <c r="AK61" s="39"/>
      <c r="AL61" s="39"/>
      <c r="AM61" s="39"/>
      <c r="AN61" s="39"/>
      <c r="AO61" s="39"/>
      <c r="AP61" s="39"/>
      <c r="AQ61" s="39"/>
      <c r="AR61" s="39"/>
    </row>
    <row r="62" spans="2:44">
      <c r="B62" s="41"/>
      <c r="C62" s="249"/>
      <c r="D62" s="249"/>
      <c r="E62" s="249"/>
      <c r="F62" s="249"/>
      <c r="G62" s="249"/>
      <c r="H62" s="249"/>
      <c r="I62" s="5"/>
      <c r="J62" s="249"/>
      <c r="K62" s="249"/>
      <c r="L62" s="249"/>
      <c r="M62" s="249"/>
      <c r="N62" s="249"/>
      <c r="O62" s="251"/>
      <c r="Q62" s="5"/>
      <c r="R62" s="5"/>
      <c r="S62" s="5"/>
      <c r="AB62" s="39"/>
      <c r="AC62" s="39"/>
      <c r="AD62" s="39"/>
      <c r="AE62" s="39"/>
      <c r="AF62" s="39"/>
      <c r="AG62" s="39"/>
      <c r="AH62" s="39"/>
      <c r="AI62" s="39"/>
      <c r="AJ62" s="39"/>
      <c r="AK62" s="39"/>
      <c r="AL62" s="39"/>
      <c r="AM62" s="39"/>
      <c r="AN62" s="39"/>
      <c r="AO62" s="39"/>
      <c r="AP62" s="39"/>
      <c r="AQ62" s="39"/>
      <c r="AR62" s="39"/>
    </row>
    <row r="63" spans="2:44">
      <c r="B63" s="5"/>
      <c r="C63" s="5"/>
      <c r="D63" s="5"/>
      <c r="E63" s="5"/>
      <c r="F63" s="5"/>
      <c r="G63" s="5"/>
      <c r="H63" s="5"/>
      <c r="I63" s="254"/>
      <c r="J63" s="5"/>
      <c r="K63" s="5"/>
      <c r="L63" s="5"/>
      <c r="M63" s="5"/>
      <c r="N63" s="5"/>
      <c r="O63" s="5"/>
      <c r="Q63" s="5"/>
      <c r="R63" s="5"/>
      <c r="S63" s="5"/>
      <c r="AA63" s="39"/>
      <c r="AB63" s="39"/>
      <c r="AC63" s="39"/>
      <c r="AD63" s="39"/>
      <c r="AE63" s="39"/>
      <c r="AF63" s="39"/>
      <c r="AG63" s="39"/>
      <c r="AH63" s="39"/>
      <c r="AI63" s="39"/>
      <c r="AJ63" s="39"/>
      <c r="AK63" s="39"/>
      <c r="AL63" s="39"/>
      <c r="AM63" s="39"/>
      <c r="AN63" s="39"/>
      <c r="AO63" s="39"/>
      <c r="AP63" s="39"/>
      <c r="AQ63" s="39"/>
      <c r="AR63" s="39"/>
    </row>
    <row r="64" spans="2:44">
      <c r="B64" s="5"/>
      <c r="C64" s="5"/>
      <c r="D64" s="5"/>
      <c r="E64" s="5"/>
      <c r="F64" s="5"/>
      <c r="G64" s="5"/>
      <c r="H64" s="5"/>
      <c r="I64" s="17"/>
      <c r="J64" s="5"/>
      <c r="K64" s="5"/>
      <c r="L64" s="5"/>
      <c r="M64" s="5"/>
      <c r="N64" s="5"/>
      <c r="O64" s="5"/>
      <c r="Q64" s="5"/>
      <c r="R64" s="5"/>
      <c r="S64" s="5"/>
      <c r="AA64" s="39"/>
      <c r="AB64" s="39"/>
      <c r="AC64" s="39"/>
      <c r="AD64" s="39"/>
      <c r="AE64" s="39"/>
      <c r="AF64" s="39"/>
      <c r="AG64" s="39"/>
      <c r="AH64" s="39"/>
      <c r="AI64" s="39"/>
      <c r="AJ64" s="39"/>
      <c r="AK64" s="39"/>
      <c r="AL64" s="39"/>
      <c r="AM64" s="39"/>
      <c r="AN64" s="39"/>
      <c r="AO64" s="39"/>
      <c r="AP64" s="39"/>
      <c r="AQ64" s="39"/>
      <c r="AR64" s="39"/>
    </row>
    <row r="65" spans="2:44">
      <c r="B65" s="41"/>
      <c r="C65" s="249"/>
      <c r="D65" s="254"/>
      <c r="E65" s="254"/>
      <c r="F65" s="254"/>
      <c r="G65" s="254"/>
      <c r="H65" s="254"/>
      <c r="I65" s="254"/>
      <c r="J65" s="254"/>
      <c r="K65" s="254"/>
      <c r="L65" s="254"/>
      <c r="M65" s="254"/>
      <c r="N65" s="254"/>
      <c r="O65" s="251"/>
      <c r="Q65" s="5"/>
      <c r="R65" s="5"/>
      <c r="S65" s="5"/>
      <c r="AA65" s="39"/>
      <c r="AB65" s="39"/>
      <c r="AC65" s="39"/>
      <c r="AD65" s="39"/>
      <c r="AE65" s="39"/>
      <c r="AF65" s="39"/>
      <c r="AG65" s="39"/>
      <c r="AH65" s="39"/>
      <c r="AI65" s="39"/>
      <c r="AJ65" s="39"/>
      <c r="AK65" s="39"/>
      <c r="AL65" s="39"/>
      <c r="AM65" s="39"/>
      <c r="AN65" s="39"/>
      <c r="AO65" s="39"/>
      <c r="AP65" s="39"/>
      <c r="AQ65" s="39"/>
      <c r="AR65" s="39"/>
    </row>
    <row r="66" spans="2:44">
      <c r="B66" s="5"/>
      <c r="C66" s="5"/>
      <c r="D66" s="17"/>
      <c r="E66" s="17"/>
      <c r="F66" s="17"/>
      <c r="G66" s="17"/>
      <c r="H66" s="17"/>
      <c r="I66" s="248"/>
      <c r="J66" s="17"/>
      <c r="K66" s="17"/>
      <c r="L66" s="17"/>
      <c r="M66" s="17"/>
      <c r="N66" s="17"/>
      <c r="O66" s="5"/>
      <c r="Q66" s="5"/>
      <c r="R66" s="5"/>
      <c r="S66" s="5"/>
      <c r="AA66" s="39"/>
      <c r="AB66" s="39"/>
      <c r="AC66" s="39"/>
      <c r="AD66" s="39"/>
      <c r="AE66" s="39"/>
      <c r="AF66" s="39"/>
      <c r="AG66" s="39"/>
      <c r="AH66" s="39"/>
      <c r="AI66" s="39"/>
      <c r="AJ66" s="39"/>
      <c r="AK66" s="39"/>
      <c r="AL66" s="39"/>
      <c r="AM66" s="39"/>
      <c r="AN66" s="39"/>
      <c r="AO66" s="39"/>
      <c r="AP66" s="39"/>
      <c r="AQ66" s="39"/>
      <c r="AR66" s="39"/>
    </row>
    <row r="67" spans="2:44">
      <c r="B67" s="41"/>
      <c r="C67" s="249"/>
      <c r="D67" s="254"/>
      <c r="E67" s="254"/>
      <c r="F67" s="254"/>
      <c r="G67" s="254"/>
      <c r="H67" s="254"/>
      <c r="I67" s="5"/>
      <c r="J67" s="254"/>
      <c r="K67" s="254"/>
      <c r="L67" s="254"/>
      <c r="M67" s="254"/>
      <c r="N67" s="254"/>
      <c r="O67" s="251"/>
      <c r="Q67" s="41"/>
      <c r="R67" s="5"/>
      <c r="S67" s="5"/>
      <c r="AA67" s="39"/>
      <c r="AB67" s="39"/>
      <c r="AC67" s="39"/>
      <c r="AD67" s="39"/>
      <c r="AE67" s="39"/>
      <c r="AF67" s="39"/>
      <c r="AG67" s="39"/>
      <c r="AH67" s="39"/>
      <c r="AI67" s="39"/>
      <c r="AJ67" s="39"/>
      <c r="AK67" s="39"/>
      <c r="AL67" s="39"/>
      <c r="AM67" s="39"/>
      <c r="AN67" s="39"/>
      <c r="AO67" s="39"/>
      <c r="AP67" s="39"/>
      <c r="AQ67" s="39"/>
      <c r="AR67" s="39"/>
    </row>
    <row r="68" spans="2:44">
      <c r="B68" s="5"/>
      <c r="C68" s="5"/>
      <c r="D68" s="248"/>
      <c r="E68" s="248"/>
      <c r="F68" s="248"/>
      <c r="G68" s="248"/>
      <c r="H68" s="248"/>
      <c r="I68" s="245"/>
      <c r="J68" s="248"/>
      <c r="K68" s="248"/>
      <c r="L68" s="248"/>
      <c r="M68" s="248"/>
      <c r="N68" s="248"/>
      <c r="O68" s="5"/>
      <c r="Q68" s="5"/>
      <c r="R68" s="5"/>
      <c r="S68" s="5"/>
      <c r="AA68" s="39"/>
      <c r="AB68" s="39"/>
      <c r="AC68" s="39"/>
      <c r="AD68" s="39"/>
      <c r="AE68" s="39"/>
      <c r="AF68" s="39"/>
      <c r="AG68" s="39"/>
      <c r="AH68" s="39"/>
      <c r="AI68" s="39"/>
      <c r="AJ68" s="39"/>
      <c r="AK68" s="39"/>
      <c r="AL68" s="39"/>
      <c r="AM68" s="39"/>
      <c r="AN68" s="39"/>
      <c r="AO68" s="39"/>
      <c r="AP68" s="39"/>
      <c r="AQ68" s="39"/>
      <c r="AR68" s="39"/>
    </row>
    <row r="69" spans="2:44">
      <c r="B69" s="41"/>
      <c r="C69" s="5"/>
      <c r="D69" s="5"/>
      <c r="E69" s="5"/>
      <c r="F69" s="5"/>
      <c r="G69" s="5"/>
      <c r="H69" s="5"/>
      <c r="I69" s="248"/>
      <c r="J69" s="5"/>
      <c r="K69" s="5"/>
      <c r="L69" s="5"/>
      <c r="M69" s="5"/>
      <c r="N69" s="5"/>
      <c r="O69" s="5"/>
      <c r="Q69" s="5"/>
      <c r="R69" s="5"/>
      <c r="S69" s="5"/>
      <c r="AA69" s="39"/>
      <c r="AB69" s="39"/>
      <c r="AC69" s="39"/>
      <c r="AD69" s="39"/>
      <c r="AE69" s="39"/>
      <c r="AF69" s="39"/>
      <c r="AG69" s="39"/>
      <c r="AH69" s="39"/>
      <c r="AI69" s="39"/>
      <c r="AJ69" s="39"/>
      <c r="AK69" s="39"/>
      <c r="AL69" s="39"/>
      <c r="AM69" s="39"/>
      <c r="AN69" s="39"/>
      <c r="AO69" s="39"/>
      <c r="AP69" s="39"/>
      <c r="AQ69" s="39"/>
      <c r="AR69" s="39"/>
    </row>
    <row r="70" spans="2:44">
      <c r="B70" s="41"/>
      <c r="C70" s="245"/>
      <c r="D70" s="245"/>
      <c r="E70" s="245"/>
      <c r="F70" s="245"/>
      <c r="G70" s="245"/>
      <c r="H70" s="245"/>
      <c r="I70" s="5"/>
      <c r="J70" s="245"/>
      <c r="K70" s="245"/>
      <c r="L70" s="245"/>
      <c r="M70" s="245"/>
      <c r="N70" s="245"/>
      <c r="O70" s="251"/>
      <c r="Q70" s="5"/>
      <c r="R70" s="5"/>
      <c r="S70" s="5"/>
      <c r="W70" s="76"/>
      <c r="X70" s="76"/>
      <c r="AA70" s="39"/>
      <c r="AB70" s="39"/>
      <c r="AC70" s="39"/>
      <c r="AD70" s="39"/>
      <c r="AE70" s="39"/>
      <c r="AF70" s="39"/>
      <c r="AG70" s="39"/>
      <c r="AH70" s="39"/>
      <c r="AI70" s="39"/>
      <c r="AJ70" s="39"/>
      <c r="AK70" s="39"/>
      <c r="AL70" s="39"/>
      <c r="AM70" s="39"/>
      <c r="AN70" s="39"/>
      <c r="AO70" s="39"/>
      <c r="AP70" s="39"/>
      <c r="AQ70" s="39"/>
      <c r="AR70" s="39"/>
    </row>
    <row r="71" spans="2:44">
      <c r="B71" s="5"/>
      <c r="C71" s="5"/>
      <c r="D71" s="248"/>
      <c r="E71" s="248"/>
      <c r="F71" s="248"/>
      <c r="G71" s="248"/>
      <c r="H71" s="248"/>
      <c r="I71" s="245"/>
      <c r="J71" s="248"/>
      <c r="K71" s="248"/>
      <c r="L71" s="248"/>
      <c r="M71" s="248"/>
      <c r="N71" s="248"/>
      <c r="O71" s="5"/>
      <c r="Q71" s="5"/>
      <c r="R71" s="5"/>
      <c r="S71" s="5"/>
      <c r="W71" s="76"/>
      <c r="X71" s="76"/>
      <c r="Y71" s="76"/>
      <c r="Z71" s="76"/>
      <c r="AA71" s="39"/>
      <c r="AB71" s="39"/>
      <c r="AC71" s="39"/>
      <c r="AD71" s="39"/>
      <c r="AE71" s="39"/>
      <c r="AF71" s="39"/>
      <c r="AG71" s="39"/>
      <c r="AH71" s="39"/>
      <c r="AI71" s="39"/>
      <c r="AJ71" s="39"/>
      <c r="AK71" s="39"/>
      <c r="AL71" s="39"/>
      <c r="AM71" s="39"/>
      <c r="AN71" s="39"/>
      <c r="AO71" s="39"/>
      <c r="AP71" s="39"/>
      <c r="AQ71" s="39"/>
      <c r="AR71" s="39"/>
    </row>
    <row r="72" spans="2:44">
      <c r="B72" s="41"/>
      <c r="C72" s="5"/>
      <c r="D72" s="5"/>
      <c r="E72" s="5"/>
      <c r="F72" s="5"/>
      <c r="G72" s="5"/>
      <c r="H72" s="5"/>
      <c r="I72" s="18"/>
      <c r="J72" s="5"/>
      <c r="K72" s="5"/>
      <c r="L72" s="5"/>
      <c r="M72" s="5"/>
      <c r="N72" s="5"/>
      <c r="O72" s="5"/>
      <c r="Q72" s="5"/>
      <c r="R72" s="5"/>
      <c r="S72" s="5"/>
      <c r="Y72" s="76"/>
      <c r="Z72" s="76"/>
      <c r="AA72" s="39"/>
      <c r="AB72" s="39"/>
      <c r="AC72" s="39"/>
      <c r="AD72" s="39"/>
      <c r="AE72" s="39"/>
      <c r="AF72" s="39"/>
      <c r="AG72" s="39"/>
      <c r="AH72" s="39"/>
      <c r="AI72" s="39"/>
      <c r="AJ72" s="39"/>
      <c r="AK72" s="39"/>
      <c r="AL72" s="39"/>
      <c r="AM72" s="39"/>
      <c r="AN72" s="39"/>
      <c r="AO72" s="39"/>
      <c r="AP72" s="39"/>
      <c r="AQ72" s="39"/>
      <c r="AR72" s="39"/>
    </row>
    <row r="73" spans="2:44">
      <c r="B73" s="41"/>
      <c r="C73" s="245"/>
      <c r="D73" s="245"/>
      <c r="E73" s="245"/>
      <c r="F73" s="245"/>
      <c r="G73" s="245"/>
      <c r="H73" s="245"/>
      <c r="I73" s="5"/>
      <c r="J73" s="245"/>
      <c r="K73" s="245"/>
      <c r="L73" s="245"/>
      <c r="M73" s="245"/>
      <c r="N73" s="245"/>
      <c r="O73" s="251"/>
      <c r="Q73" s="5"/>
      <c r="R73" s="5"/>
      <c r="S73" s="5"/>
      <c r="AA73" s="39"/>
      <c r="AB73" s="39"/>
      <c r="AC73" s="39"/>
      <c r="AD73" s="39"/>
      <c r="AE73" s="39"/>
      <c r="AF73" s="39"/>
      <c r="AG73" s="39"/>
      <c r="AH73" s="39"/>
      <c r="AI73" s="39"/>
      <c r="AJ73" s="39"/>
      <c r="AK73" s="39"/>
      <c r="AL73" s="39"/>
      <c r="AM73" s="39"/>
      <c r="AN73" s="39"/>
      <c r="AO73" s="39"/>
      <c r="AP73" s="39"/>
      <c r="AQ73" s="39"/>
      <c r="AR73" s="39"/>
    </row>
    <row r="74" spans="2:44">
      <c r="B74" s="5"/>
      <c r="C74" s="5"/>
      <c r="D74" s="18"/>
      <c r="E74" s="18"/>
      <c r="F74" s="18"/>
      <c r="G74" s="18"/>
      <c r="H74" s="18"/>
      <c r="I74" s="249"/>
      <c r="J74" s="18"/>
      <c r="K74" s="18"/>
      <c r="L74" s="18"/>
      <c r="M74" s="18"/>
      <c r="N74" s="18"/>
      <c r="O74" s="5"/>
      <c r="Q74" s="5"/>
      <c r="R74" s="5"/>
      <c r="S74" s="5"/>
      <c r="AA74" s="39"/>
      <c r="AB74" s="39"/>
      <c r="AC74" s="39"/>
      <c r="AD74" s="39"/>
      <c r="AE74" s="39"/>
      <c r="AF74" s="39"/>
      <c r="AG74" s="39"/>
      <c r="AH74" s="39"/>
      <c r="AI74" s="39"/>
      <c r="AJ74" s="39"/>
      <c r="AK74" s="39"/>
      <c r="AL74" s="39"/>
      <c r="AM74" s="39"/>
      <c r="AN74" s="39"/>
      <c r="AO74" s="39"/>
      <c r="AP74" s="39"/>
      <c r="AQ74" s="39"/>
      <c r="AR74" s="39"/>
    </row>
    <row r="75" spans="2:44">
      <c r="B75" s="41"/>
      <c r="C75" s="5"/>
      <c r="D75" s="5"/>
      <c r="E75" s="5"/>
      <c r="F75" s="5"/>
      <c r="G75" s="5"/>
      <c r="H75" s="5"/>
      <c r="I75" s="248"/>
      <c r="J75" s="5"/>
      <c r="K75" s="5"/>
      <c r="L75" s="5"/>
      <c r="M75" s="5"/>
      <c r="N75" s="5"/>
      <c r="O75" s="5"/>
      <c r="Q75" s="5"/>
      <c r="R75" s="5"/>
      <c r="S75" s="5"/>
      <c r="AA75" s="39"/>
      <c r="AB75" s="39"/>
      <c r="AC75" s="39"/>
      <c r="AD75" s="39"/>
      <c r="AE75" s="39"/>
      <c r="AF75" s="39"/>
      <c r="AG75" s="39"/>
      <c r="AH75" s="39"/>
      <c r="AI75" s="39"/>
      <c r="AJ75" s="39"/>
      <c r="AK75" s="39"/>
      <c r="AL75" s="39"/>
      <c r="AM75" s="39"/>
      <c r="AN75" s="39"/>
      <c r="AO75" s="39"/>
      <c r="AP75" s="39"/>
      <c r="AQ75" s="39"/>
      <c r="AR75" s="39"/>
    </row>
    <row r="76" spans="2:44">
      <c r="B76" s="41"/>
      <c r="C76" s="249"/>
      <c r="D76" s="249"/>
      <c r="E76" s="249"/>
      <c r="F76" s="249"/>
      <c r="G76" s="249"/>
      <c r="H76" s="249"/>
      <c r="I76" s="5"/>
      <c r="J76" s="249"/>
      <c r="K76" s="249"/>
      <c r="L76" s="249"/>
      <c r="M76" s="249"/>
      <c r="N76" s="249"/>
      <c r="O76" s="251"/>
      <c r="Q76" s="5"/>
      <c r="R76" s="5"/>
      <c r="S76" s="5"/>
      <c r="AA76" s="39"/>
      <c r="AB76" s="39"/>
      <c r="AC76" s="39"/>
      <c r="AD76" s="39"/>
      <c r="AE76" s="39"/>
      <c r="AF76" s="39"/>
      <c r="AG76" s="39"/>
      <c r="AH76" s="39"/>
      <c r="AI76" s="39"/>
      <c r="AJ76" s="39"/>
      <c r="AK76" s="39"/>
      <c r="AL76" s="39"/>
      <c r="AM76" s="39"/>
      <c r="AN76" s="39"/>
      <c r="AO76" s="39"/>
      <c r="AP76" s="39"/>
      <c r="AQ76" s="39"/>
      <c r="AR76" s="39"/>
    </row>
    <row r="77" spans="2:44">
      <c r="B77" s="5"/>
      <c r="C77" s="5"/>
      <c r="D77" s="248"/>
      <c r="E77" s="248"/>
      <c r="F77" s="248"/>
      <c r="G77" s="248"/>
      <c r="H77" s="248"/>
      <c r="I77" s="245"/>
      <c r="J77" s="248"/>
      <c r="K77" s="248"/>
      <c r="L77" s="248"/>
      <c r="M77" s="248"/>
      <c r="N77" s="248"/>
      <c r="O77" s="5"/>
      <c r="Q77" s="5"/>
      <c r="R77" s="5"/>
      <c r="S77" s="5"/>
      <c r="AA77" s="39"/>
      <c r="AB77" s="39"/>
      <c r="AC77" s="39"/>
      <c r="AD77" s="39"/>
      <c r="AE77" s="39"/>
      <c r="AF77" s="39"/>
      <c r="AG77" s="39"/>
      <c r="AH77" s="39"/>
      <c r="AI77" s="39"/>
      <c r="AJ77" s="39"/>
      <c r="AK77" s="39"/>
      <c r="AL77" s="39"/>
      <c r="AM77" s="39"/>
      <c r="AN77" s="39"/>
      <c r="AO77" s="39"/>
      <c r="AP77" s="39"/>
      <c r="AQ77" s="39"/>
      <c r="AR77" s="39"/>
    </row>
    <row r="78" spans="2:44">
      <c r="B78" s="41"/>
      <c r="C78" s="5"/>
      <c r="D78" s="5"/>
      <c r="E78" s="5"/>
      <c r="F78" s="5"/>
      <c r="G78" s="5"/>
      <c r="H78" s="5"/>
      <c r="I78" s="248"/>
      <c r="J78" s="5"/>
      <c r="K78" s="5"/>
      <c r="L78" s="5"/>
      <c r="M78" s="5"/>
      <c r="N78" s="5"/>
      <c r="O78" s="5"/>
      <c r="Q78" s="5"/>
      <c r="R78" s="5"/>
      <c r="S78" s="5"/>
      <c r="AA78" s="39"/>
      <c r="AB78" s="39"/>
      <c r="AC78" s="39"/>
      <c r="AD78" s="39"/>
      <c r="AE78" s="39"/>
      <c r="AF78" s="39"/>
      <c r="AG78" s="39"/>
      <c r="AH78" s="39"/>
      <c r="AI78" s="39"/>
      <c r="AJ78" s="39"/>
      <c r="AK78" s="39"/>
      <c r="AL78" s="39"/>
      <c r="AM78" s="39"/>
      <c r="AN78" s="39"/>
      <c r="AO78" s="39"/>
      <c r="AP78" s="39"/>
      <c r="AQ78" s="39"/>
      <c r="AR78" s="39"/>
    </row>
    <row r="79" spans="2:44">
      <c r="B79" s="41"/>
      <c r="C79" s="245"/>
      <c r="D79" s="245"/>
      <c r="E79" s="245"/>
      <c r="F79" s="245"/>
      <c r="G79" s="245"/>
      <c r="H79" s="245"/>
      <c r="I79" s="5"/>
      <c r="J79" s="245"/>
      <c r="K79" s="245"/>
      <c r="L79" s="245"/>
      <c r="M79" s="245"/>
      <c r="N79" s="245"/>
      <c r="O79" s="251"/>
      <c r="Q79" s="5"/>
      <c r="R79" s="5"/>
      <c r="S79" s="5"/>
      <c r="AA79" s="39"/>
      <c r="AB79" s="39"/>
      <c r="AC79" s="39"/>
      <c r="AD79" s="39"/>
      <c r="AE79" s="39"/>
      <c r="AF79" s="39"/>
      <c r="AG79" s="39"/>
      <c r="AH79" s="39"/>
      <c r="AI79" s="39"/>
      <c r="AJ79" s="39"/>
      <c r="AK79" s="39"/>
      <c r="AL79" s="39"/>
      <c r="AM79" s="39"/>
      <c r="AN79" s="39"/>
      <c r="AO79" s="39"/>
      <c r="AP79" s="39"/>
      <c r="AQ79" s="39"/>
      <c r="AR79" s="39"/>
    </row>
    <row r="80" spans="2:44">
      <c r="B80" s="5"/>
      <c r="C80" s="5"/>
      <c r="D80" s="248"/>
      <c r="E80" s="248"/>
      <c r="F80" s="248"/>
      <c r="G80" s="248"/>
      <c r="H80" s="248"/>
      <c r="I80" s="249"/>
      <c r="J80" s="248"/>
      <c r="K80" s="248"/>
      <c r="L80" s="248"/>
      <c r="M80" s="248"/>
      <c r="N80" s="248"/>
      <c r="O80" s="5"/>
      <c r="Q80" s="5"/>
      <c r="R80" s="5"/>
      <c r="S80" s="5"/>
      <c r="AA80" s="39"/>
      <c r="AB80" s="39"/>
      <c r="AC80" s="39"/>
      <c r="AD80" s="39"/>
      <c r="AE80" s="39"/>
      <c r="AF80" s="39"/>
      <c r="AG80" s="39"/>
      <c r="AH80" s="39"/>
      <c r="AI80" s="39"/>
      <c r="AJ80" s="39"/>
      <c r="AK80" s="39"/>
      <c r="AL80" s="39"/>
      <c r="AM80" s="39"/>
      <c r="AN80" s="39"/>
      <c r="AO80" s="39"/>
      <c r="AP80" s="39"/>
      <c r="AQ80" s="39"/>
      <c r="AR80" s="39"/>
    </row>
    <row r="81" spans="2:44">
      <c r="B81" s="41"/>
      <c r="C81" s="5"/>
      <c r="D81" s="5"/>
      <c r="E81" s="5"/>
      <c r="F81" s="5"/>
      <c r="G81" s="5"/>
      <c r="H81" s="5"/>
      <c r="I81" s="248"/>
      <c r="J81" s="5"/>
      <c r="K81" s="5"/>
      <c r="L81" s="5"/>
      <c r="M81" s="5"/>
      <c r="N81" s="5"/>
      <c r="O81" s="5"/>
      <c r="Q81" s="5"/>
      <c r="R81" s="5"/>
      <c r="S81" s="5"/>
      <c r="AA81" s="39"/>
      <c r="AB81" s="39"/>
      <c r="AC81" s="39"/>
      <c r="AD81" s="39"/>
      <c r="AE81" s="39"/>
      <c r="AF81" s="39"/>
      <c r="AG81" s="39"/>
      <c r="AH81" s="39"/>
      <c r="AI81" s="39"/>
      <c r="AJ81" s="39"/>
      <c r="AK81" s="39"/>
      <c r="AL81" s="39"/>
      <c r="AM81" s="39"/>
      <c r="AN81" s="39"/>
      <c r="AO81" s="39"/>
      <c r="AP81" s="39"/>
      <c r="AQ81" s="39"/>
      <c r="AR81" s="39"/>
    </row>
    <row r="82" spans="2:44">
      <c r="B82" s="41"/>
      <c r="C82" s="249"/>
      <c r="D82" s="249"/>
      <c r="E82" s="249"/>
      <c r="F82" s="249"/>
      <c r="G82" s="249"/>
      <c r="H82" s="249"/>
      <c r="I82" s="259"/>
      <c r="J82" s="249"/>
      <c r="K82" s="249"/>
      <c r="L82" s="249"/>
      <c r="M82" s="249"/>
      <c r="N82" s="249"/>
      <c r="O82" s="251"/>
      <c r="Q82" s="5"/>
      <c r="R82" s="5"/>
      <c r="S82" s="5"/>
      <c r="AA82" s="39"/>
      <c r="AB82" s="39"/>
      <c r="AC82" s="39"/>
      <c r="AD82" s="39"/>
      <c r="AE82" s="39"/>
      <c r="AF82" s="39"/>
      <c r="AG82" s="39"/>
      <c r="AH82" s="39"/>
      <c r="AI82" s="39"/>
      <c r="AJ82" s="39"/>
      <c r="AK82" s="39"/>
      <c r="AL82" s="39"/>
      <c r="AM82" s="39"/>
      <c r="AN82" s="39"/>
      <c r="AO82" s="39"/>
      <c r="AP82" s="39"/>
      <c r="AQ82" s="39"/>
      <c r="AR82" s="39"/>
    </row>
    <row r="83" spans="2:44">
      <c r="B83" s="5"/>
      <c r="C83" s="5"/>
      <c r="D83" s="248"/>
      <c r="E83" s="248"/>
      <c r="F83" s="248"/>
      <c r="G83" s="248"/>
      <c r="H83" s="248"/>
      <c r="I83" s="5"/>
      <c r="J83" s="248"/>
      <c r="K83" s="248"/>
      <c r="L83" s="248"/>
      <c r="M83" s="248"/>
      <c r="N83" s="248"/>
      <c r="O83" s="5"/>
      <c r="Q83" s="5"/>
      <c r="R83" s="5"/>
      <c r="S83" s="5"/>
      <c r="AA83" s="39"/>
      <c r="AB83" s="39"/>
      <c r="AC83" s="39"/>
      <c r="AD83" s="39"/>
      <c r="AE83" s="39"/>
      <c r="AF83" s="39"/>
      <c r="AG83" s="39"/>
      <c r="AH83" s="39"/>
      <c r="AI83" s="39"/>
      <c r="AJ83" s="39"/>
      <c r="AK83" s="39"/>
      <c r="AL83" s="39"/>
      <c r="AM83" s="39"/>
      <c r="AN83" s="39"/>
      <c r="AO83" s="39"/>
      <c r="AP83" s="39"/>
      <c r="AQ83" s="39"/>
      <c r="AR83" s="39"/>
    </row>
    <row r="84" spans="2:44">
      <c r="B84" s="5"/>
      <c r="C84" s="259"/>
      <c r="D84" s="259"/>
      <c r="E84" s="259"/>
      <c r="F84" s="259"/>
      <c r="G84" s="259"/>
      <c r="H84" s="259"/>
      <c r="I84" s="245"/>
      <c r="J84" s="259"/>
      <c r="K84" s="259"/>
      <c r="L84" s="259"/>
      <c r="M84" s="259"/>
      <c r="N84" s="259"/>
      <c r="O84" s="251"/>
      <c r="Q84" s="5"/>
      <c r="R84" s="5"/>
      <c r="S84" s="5"/>
      <c r="AA84" s="39"/>
      <c r="AB84" s="39"/>
      <c r="AC84" s="39"/>
      <c r="AD84" s="39"/>
      <c r="AE84" s="39"/>
      <c r="AF84" s="39"/>
      <c r="AG84" s="39"/>
      <c r="AH84" s="39"/>
      <c r="AI84" s="39"/>
      <c r="AJ84" s="39"/>
      <c r="AK84" s="39"/>
      <c r="AL84" s="39"/>
      <c r="AM84" s="39"/>
      <c r="AN84" s="39"/>
      <c r="AO84" s="39"/>
      <c r="AP84" s="39"/>
      <c r="AQ84" s="39"/>
      <c r="AR84" s="39"/>
    </row>
    <row r="85" spans="2:44">
      <c r="B85" s="41"/>
      <c r="C85" s="5"/>
      <c r="D85" s="5"/>
      <c r="E85" s="5"/>
      <c r="F85" s="5"/>
      <c r="G85" s="5"/>
      <c r="H85" s="5"/>
      <c r="I85" s="248"/>
      <c r="J85" s="5"/>
      <c r="K85" s="5"/>
      <c r="L85" s="5"/>
      <c r="M85" s="5"/>
      <c r="N85" s="5"/>
      <c r="O85" s="5"/>
      <c r="Q85" s="5"/>
      <c r="R85" s="5"/>
      <c r="S85" s="5"/>
      <c r="AA85" s="39"/>
      <c r="AB85" s="39"/>
      <c r="AC85" s="39"/>
      <c r="AD85" s="39"/>
      <c r="AE85" s="39"/>
      <c r="AF85" s="39"/>
      <c r="AG85" s="39"/>
      <c r="AH85" s="39"/>
      <c r="AI85" s="39"/>
      <c r="AJ85" s="39"/>
      <c r="AK85" s="39"/>
      <c r="AL85" s="39"/>
      <c r="AM85" s="39"/>
      <c r="AN85" s="39"/>
      <c r="AO85" s="39"/>
      <c r="AP85" s="39"/>
      <c r="AQ85" s="39"/>
      <c r="AR85" s="39"/>
    </row>
    <row r="86" spans="2:44">
      <c r="B86" s="41"/>
      <c r="C86" s="245"/>
      <c r="D86" s="245"/>
      <c r="E86" s="245"/>
      <c r="F86" s="245"/>
      <c r="G86" s="245"/>
      <c r="H86" s="245"/>
      <c r="I86" s="5"/>
      <c r="J86" s="245"/>
      <c r="K86" s="245"/>
      <c r="L86" s="245"/>
      <c r="M86" s="245"/>
      <c r="N86" s="245"/>
      <c r="O86" s="251"/>
      <c r="Q86" s="5"/>
      <c r="R86" s="5"/>
      <c r="S86" s="5"/>
      <c r="AA86" s="39"/>
      <c r="AB86" s="39"/>
      <c r="AC86" s="39"/>
      <c r="AD86" s="39"/>
      <c r="AE86" s="39"/>
      <c r="AF86" s="39"/>
      <c r="AG86" s="39"/>
      <c r="AH86" s="39"/>
      <c r="AI86" s="39"/>
      <c r="AJ86" s="39"/>
      <c r="AK86" s="39"/>
      <c r="AL86" s="39"/>
      <c r="AM86" s="39"/>
      <c r="AN86" s="39"/>
      <c r="AO86" s="39"/>
      <c r="AP86" s="39"/>
      <c r="AQ86" s="39"/>
      <c r="AR86" s="39"/>
    </row>
    <row r="87" spans="2:44">
      <c r="B87" s="5"/>
      <c r="C87" s="5"/>
      <c r="D87" s="248"/>
      <c r="E87" s="248"/>
      <c r="F87" s="248"/>
      <c r="G87" s="248"/>
      <c r="H87" s="248"/>
      <c r="I87" s="5"/>
      <c r="J87" s="248"/>
      <c r="K87" s="248"/>
      <c r="L87" s="248"/>
      <c r="M87" s="248"/>
      <c r="N87" s="248"/>
      <c r="O87" s="5"/>
      <c r="Q87" s="5"/>
      <c r="R87" s="5"/>
      <c r="S87" s="5"/>
      <c r="AA87" s="39"/>
      <c r="AB87" s="39"/>
      <c r="AC87" s="39"/>
      <c r="AD87" s="39"/>
      <c r="AE87" s="39"/>
      <c r="AF87" s="39"/>
      <c r="AG87" s="39"/>
      <c r="AH87" s="39"/>
      <c r="AI87" s="39"/>
      <c r="AJ87" s="39"/>
      <c r="AK87" s="39"/>
      <c r="AL87" s="39"/>
      <c r="AM87" s="39"/>
      <c r="AN87" s="39"/>
      <c r="AO87" s="39"/>
      <c r="AP87" s="39"/>
      <c r="AQ87" s="39"/>
      <c r="AR87" s="39"/>
    </row>
    <row r="88" spans="2:44">
      <c r="B88" s="41"/>
      <c r="C88" s="5"/>
      <c r="D88" s="5"/>
      <c r="E88" s="5"/>
      <c r="F88" s="5"/>
      <c r="G88" s="5"/>
      <c r="H88" s="5"/>
      <c r="I88" s="5"/>
      <c r="J88" s="5"/>
      <c r="K88" s="5"/>
      <c r="L88" s="5"/>
      <c r="M88" s="5"/>
      <c r="N88" s="5"/>
      <c r="O88" s="5"/>
      <c r="Q88" s="5"/>
      <c r="R88" s="5"/>
      <c r="S88" s="5"/>
      <c r="AA88" s="39"/>
      <c r="AB88" s="39"/>
      <c r="AC88" s="39"/>
      <c r="AD88" s="39"/>
      <c r="AE88" s="39"/>
      <c r="AF88" s="39"/>
      <c r="AG88" s="39"/>
      <c r="AH88" s="39"/>
      <c r="AI88" s="39"/>
      <c r="AJ88" s="39"/>
      <c r="AK88" s="39"/>
      <c r="AL88" s="39"/>
      <c r="AM88" s="39"/>
      <c r="AN88" s="39"/>
      <c r="AO88" s="39"/>
      <c r="AP88" s="39"/>
      <c r="AQ88" s="39"/>
      <c r="AR88" s="39"/>
    </row>
    <row r="89" spans="2:44">
      <c r="B89" s="41"/>
      <c r="C89" s="5"/>
      <c r="D89" s="5"/>
      <c r="E89" s="5"/>
      <c r="F89" s="5"/>
      <c r="G89" s="5"/>
      <c r="H89" s="5"/>
      <c r="I89" s="5"/>
      <c r="J89" s="5"/>
      <c r="K89" s="5"/>
      <c r="L89" s="5"/>
      <c r="M89" s="5"/>
      <c r="N89" s="5"/>
      <c r="O89" s="5"/>
      <c r="Q89" s="5"/>
      <c r="R89" s="5"/>
      <c r="S89" s="5"/>
      <c r="AA89" s="39"/>
      <c r="AB89" s="39"/>
      <c r="AC89" s="39"/>
      <c r="AD89" s="39"/>
      <c r="AE89" s="39"/>
      <c r="AF89" s="39"/>
      <c r="AG89" s="39"/>
      <c r="AH89" s="39"/>
      <c r="AI89" s="39"/>
      <c r="AJ89" s="39"/>
      <c r="AK89" s="39"/>
      <c r="AL89" s="39"/>
      <c r="AM89" s="39"/>
      <c r="AN89" s="39"/>
      <c r="AO89" s="39"/>
      <c r="AP89" s="39"/>
      <c r="AQ89" s="39"/>
      <c r="AR89" s="39"/>
    </row>
    <row r="90" spans="2:44">
      <c r="B90" s="41"/>
      <c r="C90" s="5"/>
      <c r="D90" s="5"/>
      <c r="E90" s="5"/>
      <c r="F90" s="5"/>
      <c r="G90" s="5"/>
      <c r="H90" s="5"/>
      <c r="I90" s="49"/>
      <c r="J90" s="5"/>
      <c r="K90" s="5"/>
      <c r="L90" s="5"/>
      <c r="M90" s="5"/>
      <c r="N90" s="5"/>
      <c r="O90" s="5"/>
      <c r="Q90" s="41"/>
      <c r="R90" s="5"/>
      <c r="S90" s="5"/>
      <c r="AA90" s="39"/>
      <c r="AB90" s="39"/>
      <c r="AC90" s="39"/>
      <c r="AD90" s="39"/>
      <c r="AE90" s="39"/>
      <c r="AF90" s="39"/>
      <c r="AG90" s="39"/>
      <c r="AH90" s="39"/>
      <c r="AI90" s="39"/>
      <c r="AJ90" s="39"/>
      <c r="AK90" s="39"/>
      <c r="AL90" s="39"/>
      <c r="AM90" s="39"/>
      <c r="AN90" s="39"/>
      <c r="AO90" s="39"/>
      <c r="AP90" s="39"/>
      <c r="AQ90" s="39"/>
      <c r="AR90" s="39"/>
    </row>
    <row r="91" spans="2:44">
      <c r="B91" s="5"/>
      <c r="C91" s="5"/>
      <c r="D91" s="5"/>
      <c r="E91" s="5"/>
      <c r="F91" s="5"/>
      <c r="G91" s="5"/>
      <c r="H91" s="5"/>
      <c r="I91" s="5"/>
      <c r="J91" s="5"/>
      <c r="K91" s="5"/>
      <c r="L91" s="5"/>
      <c r="M91" s="5"/>
      <c r="N91" s="5"/>
      <c r="O91" s="5"/>
      <c r="Q91" s="5"/>
      <c r="R91" s="5"/>
      <c r="S91" s="5"/>
      <c r="AA91" s="39"/>
      <c r="AB91" s="39"/>
      <c r="AC91" s="39"/>
      <c r="AD91" s="39"/>
      <c r="AE91" s="39"/>
      <c r="AF91" s="39"/>
      <c r="AG91" s="39"/>
      <c r="AH91" s="39"/>
      <c r="AI91" s="39"/>
      <c r="AJ91" s="39"/>
      <c r="AK91" s="39"/>
      <c r="AL91" s="39"/>
      <c r="AM91" s="39"/>
      <c r="AN91" s="39"/>
      <c r="AO91" s="39"/>
      <c r="AP91" s="39"/>
      <c r="AQ91" s="39"/>
      <c r="AR91" s="39"/>
    </row>
    <row r="92" spans="2:44">
      <c r="B92" s="41"/>
      <c r="C92" s="49"/>
      <c r="D92" s="49"/>
      <c r="E92" s="49"/>
      <c r="F92" s="49"/>
      <c r="G92" s="49"/>
      <c r="H92" s="49"/>
      <c r="I92" s="247"/>
      <c r="J92" s="49"/>
      <c r="K92" s="49"/>
      <c r="L92" s="49"/>
      <c r="M92" s="49"/>
      <c r="N92" s="49"/>
      <c r="O92" s="49"/>
      <c r="Q92" s="5"/>
      <c r="R92" s="5"/>
      <c r="S92" s="5"/>
      <c r="W92" s="21"/>
      <c r="X92" s="21"/>
      <c r="AA92" s="39"/>
      <c r="AB92" s="39"/>
      <c r="AC92" s="39"/>
      <c r="AD92" s="39"/>
      <c r="AE92" s="39"/>
      <c r="AF92" s="39"/>
      <c r="AG92" s="39"/>
      <c r="AH92" s="39"/>
      <c r="AI92" s="39"/>
      <c r="AJ92" s="39"/>
      <c r="AK92" s="39"/>
      <c r="AL92" s="39"/>
      <c r="AM92" s="39"/>
      <c r="AN92" s="39"/>
      <c r="AO92" s="39"/>
      <c r="AP92" s="39"/>
      <c r="AQ92" s="39"/>
      <c r="AR92" s="39"/>
    </row>
    <row r="93" spans="2:44">
      <c r="B93" s="5"/>
      <c r="C93" s="5"/>
      <c r="D93" s="5"/>
      <c r="E93" s="5"/>
      <c r="F93" s="5"/>
      <c r="G93" s="5"/>
      <c r="H93" s="5"/>
      <c r="I93" s="247"/>
      <c r="J93" s="5"/>
      <c r="K93" s="5"/>
      <c r="L93" s="5"/>
      <c r="M93" s="5"/>
      <c r="N93" s="5"/>
      <c r="O93" s="5"/>
      <c r="Q93" s="5"/>
      <c r="R93" s="5"/>
      <c r="S93" s="5"/>
      <c r="W93" s="21"/>
      <c r="X93" s="21"/>
      <c r="Y93" s="21"/>
      <c r="Z93" s="21"/>
      <c r="AA93" s="39"/>
      <c r="AB93" s="39"/>
      <c r="AC93" s="39"/>
      <c r="AD93" s="39"/>
      <c r="AE93" s="39"/>
      <c r="AF93" s="39"/>
      <c r="AG93" s="39"/>
      <c r="AH93" s="39"/>
      <c r="AI93" s="39"/>
      <c r="AJ93" s="39"/>
      <c r="AK93" s="39"/>
      <c r="AL93" s="39"/>
      <c r="AM93" s="39"/>
      <c r="AN93" s="39"/>
      <c r="AO93" s="39"/>
      <c r="AP93" s="39"/>
      <c r="AQ93" s="39"/>
      <c r="AR93" s="39"/>
    </row>
    <row r="94" spans="2:44">
      <c r="B94" s="5"/>
      <c r="C94" s="259"/>
      <c r="D94" s="247"/>
      <c r="E94" s="247"/>
      <c r="F94" s="247"/>
      <c r="G94" s="247"/>
      <c r="H94" s="247"/>
      <c r="I94" s="247"/>
      <c r="J94" s="247"/>
      <c r="K94" s="247"/>
      <c r="L94" s="247"/>
      <c r="M94" s="247"/>
      <c r="N94" s="247"/>
      <c r="O94" s="248"/>
      <c r="Q94" s="5"/>
      <c r="R94" s="5"/>
      <c r="S94" s="5"/>
      <c r="Y94" s="21"/>
      <c r="Z94" s="21"/>
      <c r="AA94" s="39"/>
      <c r="AB94" s="39"/>
      <c r="AC94" s="39"/>
      <c r="AD94" s="39"/>
      <c r="AE94" s="39"/>
      <c r="AF94" s="39"/>
      <c r="AG94" s="39"/>
      <c r="AH94" s="39"/>
      <c r="AI94" s="39"/>
      <c r="AJ94" s="39"/>
      <c r="AK94" s="39"/>
      <c r="AL94" s="39"/>
      <c r="AM94" s="39"/>
      <c r="AN94" s="39"/>
      <c r="AO94" s="39"/>
      <c r="AP94" s="39"/>
      <c r="AQ94" s="39"/>
      <c r="AR94" s="39"/>
    </row>
    <row r="95" spans="2:44">
      <c r="B95" s="5"/>
      <c r="C95" s="259"/>
      <c r="D95" s="247"/>
      <c r="E95" s="247"/>
      <c r="F95" s="247"/>
      <c r="G95" s="247"/>
      <c r="H95" s="247"/>
      <c r="I95" s="248"/>
      <c r="J95" s="247"/>
      <c r="K95" s="247"/>
      <c r="L95" s="247"/>
      <c r="M95" s="247"/>
      <c r="N95" s="247"/>
      <c r="O95" s="248"/>
      <c r="Q95" s="5"/>
      <c r="R95" s="5"/>
      <c r="S95" s="5"/>
    </row>
    <row r="96" spans="2:44">
      <c r="B96" s="5"/>
      <c r="C96" s="259"/>
      <c r="D96" s="247"/>
      <c r="E96" s="247"/>
      <c r="F96" s="247"/>
      <c r="G96" s="247"/>
      <c r="H96" s="247"/>
      <c r="I96" s="247"/>
      <c r="J96" s="247"/>
      <c r="K96" s="247"/>
      <c r="L96" s="247"/>
      <c r="M96" s="247"/>
      <c r="N96" s="247"/>
      <c r="O96" s="248"/>
      <c r="Q96" s="5"/>
      <c r="R96" s="5"/>
      <c r="S96" s="5"/>
    </row>
    <row r="97" spans="2:44">
      <c r="B97" s="5"/>
      <c r="C97" s="259"/>
      <c r="D97" s="248"/>
      <c r="E97" s="248"/>
      <c r="F97" s="248"/>
      <c r="G97" s="248"/>
      <c r="H97" s="248"/>
      <c r="I97" s="249"/>
      <c r="J97" s="248"/>
      <c r="K97" s="248"/>
      <c r="L97" s="248"/>
      <c r="M97" s="248"/>
      <c r="N97" s="248"/>
      <c r="O97" s="248"/>
      <c r="Q97" s="5"/>
      <c r="R97" s="5"/>
      <c r="S97" s="5"/>
    </row>
    <row r="98" spans="2:44">
      <c r="B98" s="5"/>
      <c r="C98" s="259"/>
      <c r="D98" s="247"/>
      <c r="E98" s="247"/>
      <c r="F98" s="247"/>
      <c r="G98" s="247"/>
      <c r="H98" s="247"/>
      <c r="I98" s="248"/>
      <c r="J98" s="247"/>
      <c r="K98" s="247"/>
      <c r="L98" s="247"/>
      <c r="M98" s="247"/>
      <c r="N98" s="247"/>
      <c r="O98" s="248"/>
      <c r="Q98" s="5"/>
      <c r="R98" s="5"/>
      <c r="S98" s="5"/>
    </row>
    <row r="99" spans="2:44">
      <c r="B99" s="41"/>
      <c r="C99" s="249"/>
      <c r="D99" s="249"/>
      <c r="E99" s="249"/>
      <c r="F99" s="249"/>
      <c r="G99" s="249"/>
      <c r="H99" s="249"/>
      <c r="I99" s="5"/>
      <c r="J99" s="249"/>
      <c r="K99" s="249"/>
      <c r="L99" s="249"/>
      <c r="M99" s="249"/>
      <c r="N99" s="249"/>
      <c r="O99" s="248"/>
      <c r="Q99" s="5"/>
      <c r="R99" s="5"/>
      <c r="S99" s="5"/>
    </row>
    <row r="100" spans="2:44">
      <c r="B100" s="41"/>
      <c r="C100" s="257"/>
      <c r="D100" s="248"/>
      <c r="E100" s="248"/>
      <c r="F100" s="248"/>
      <c r="G100" s="248"/>
      <c r="H100" s="248"/>
      <c r="I100" s="259"/>
      <c r="J100" s="248"/>
      <c r="K100" s="248"/>
      <c r="L100" s="248"/>
      <c r="M100" s="248"/>
      <c r="N100" s="248"/>
      <c r="O100" s="248"/>
      <c r="Q100" s="5"/>
      <c r="R100" s="5"/>
      <c r="S100" s="5"/>
    </row>
    <row r="101" spans="2:44" s="5" customFormat="1">
      <c r="B101" s="41"/>
      <c r="I101" s="259"/>
      <c r="O101" s="248"/>
      <c r="P101" s="39"/>
    </row>
    <row r="102" spans="2:44">
      <c r="B102" s="5"/>
      <c r="C102" s="259"/>
      <c r="D102" s="259"/>
      <c r="E102" s="259"/>
      <c r="F102" s="259"/>
      <c r="G102" s="259"/>
      <c r="H102" s="259"/>
      <c r="I102" s="247"/>
      <c r="J102" s="259"/>
      <c r="K102" s="259"/>
      <c r="L102" s="259"/>
      <c r="M102" s="259"/>
      <c r="N102" s="259"/>
      <c r="O102" s="5"/>
      <c r="Q102" s="5"/>
      <c r="R102" s="5"/>
      <c r="S102" s="5"/>
    </row>
    <row r="103" spans="2:44">
      <c r="B103" s="5"/>
      <c r="C103" s="259"/>
      <c r="D103" s="259"/>
      <c r="E103" s="259"/>
      <c r="F103" s="259"/>
      <c r="G103" s="259"/>
      <c r="H103" s="259"/>
      <c r="I103" s="5"/>
      <c r="J103" s="259"/>
      <c r="K103" s="259"/>
      <c r="L103" s="259"/>
      <c r="M103" s="259"/>
      <c r="N103" s="259"/>
      <c r="O103" s="5"/>
      <c r="P103" s="5"/>
      <c r="Q103" s="5"/>
      <c r="R103" s="5"/>
      <c r="S103" s="5"/>
    </row>
    <row r="104" spans="2:44">
      <c r="B104" s="5"/>
      <c r="C104" s="247"/>
      <c r="D104" s="247"/>
      <c r="E104" s="247"/>
      <c r="F104" s="247"/>
      <c r="G104" s="247"/>
      <c r="H104" s="247"/>
      <c r="I104" s="247"/>
      <c r="J104" s="247"/>
      <c r="K104" s="247"/>
      <c r="L104" s="247"/>
      <c r="M104" s="247"/>
      <c r="N104" s="247"/>
      <c r="O104" s="5"/>
      <c r="Q104" s="5"/>
      <c r="R104" s="5"/>
      <c r="S104" s="5"/>
    </row>
    <row r="105" spans="2:44" s="5" customFormat="1">
      <c r="P105" s="39"/>
    </row>
    <row r="106" spans="2:44" s="5" customFormat="1">
      <c r="C106" s="259"/>
      <c r="D106" s="247"/>
      <c r="E106" s="247"/>
      <c r="F106" s="247"/>
      <c r="G106" s="247"/>
      <c r="H106" s="247"/>
      <c r="I106" s="259"/>
      <c r="J106" s="247"/>
      <c r="K106" s="247"/>
      <c r="L106" s="247"/>
      <c r="M106" s="247"/>
      <c r="N106" s="247"/>
      <c r="P106" s="39"/>
    </row>
    <row r="107" spans="2:44">
      <c r="B107" s="5"/>
      <c r="C107" s="259"/>
      <c r="D107" s="5"/>
      <c r="E107" s="5"/>
      <c r="F107" s="5"/>
      <c r="G107" s="5"/>
      <c r="H107" s="5"/>
      <c r="I107" s="247"/>
      <c r="J107" s="5"/>
      <c r="K107" s="5"/>
      <c r="L107" s="5"/>
      <c r="M107" s="5"/>
      <c r="N107" s="5"/>
      <c r="O107" s="5"/>
      <c r="P107" s="5"/>
      <c r="Q107" s="5"/>
      <c r="R107" s="5"/>
      <c r="S107" s="5"/>
    </row>
    <row r="108" spans="2:44">
      <c r="B108" s="5"/>
      <c r="C108" s="259"/>
      <c r="D108" s="259"/>
      <c r="E108" s="259"/>
      <c r="F108" s="259"/>
      <c r="G108" s="259"/>
      <c r="H108" s="259"/>
      <c r="I108" s="249"/>
      <c r="J108" s="259"/>
      <c r="K108" s="259"/>
      <c r="L108" s="259"/>
      <c r="M108" s="259"/>
      <c r="N108" s="259"/>
      <c r="O108" s="5"/>
      <c r="P108" s="5"/>
      <c r="Q108" s="5"/>
      <c r="R108" s="5"/>
      <c r="S108" s="5"/>
    </row>
    <row r="109" spans="2:44">
      <c r="B109" s="5"/>
      <c r="C109" s="247"/>
      <c r="D109" s="247"/>
      <c r="E109" s="247"/>
      <c r="F109" s="247"/>
      <c r="G109" s="247"/>
      <c r="H109" s="247"/>
      <c r="I109" s="249"/>
      <c r="J109" s="247"/>
      <c r="K109" s="247"/>
      <c r="L109" s="247"/>
      <c r="M109" s="247"/>
      <c r="N109" s="247"/>
      <c r="O109" s="5"/>
      <c r="Q109" s="5"/>
      <c r="R109" s="5"/>
      <c r="S109" s="5"/>
    </row>
    <row r="110" spans="2:44">
      <c r="B110" s="41"/>
      <c r="C110" s="249"/>
      <c r="D110" s="249"/>
      <c r="E110" s="249"/>
      <c r="F110" s="249"/>
      <c r="G110" s="249"/>
      <c r="H110" s="249"/>
      <c r="I110" s="247"/>
      <c r="J110" s="249"/>
      <c r="K110" s="249"/>
      <c r="L110" s="249"/>
      <c r="M110" s="249"/>
      <c r="N110" s="249"/>
      <c r="O110" s="5"/>
      <c r="Q110" s="5"/>
      <c r="R110" s="5"/>
      <c r="S110" s="5"/>
    </row>
    <row r="111" spans="2:44">
      <c r="B111" s="5"/>
      <c r="C111" s="249"/>
      <c r="D111" s="249"/>
      <c r="E111" s="249"/>
      <c r="F111" s="249"/>
      <c r="G111" s="249"/>
      <c r="H111" s="249"/>
      <c r="I111" s="5"/>
      <c r="J111" s="249"/>
      <c r="K111" s="249"/>
      <c r="L111" s="249"/>
      <c r="M111" s="249"/>
      <c r="N111" s="249"/>
      <c r="O111" s="5"/>
      <c r="Q111" s="5"/>
      <c r="R111" s="5"/>
      <c r="S111" s="5"/>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2:44">
      <c r="B112" s="5"/>
      <c r="C112" s="247"/>
      <c r="D112" s="247"/>
      <c r="E112" s="247"/>
      <c r="F112" s="247"/>
      <c r="G112" s="247"/>
      <c r="H112" s="247"/>
      <c r="I112" s="5"/>
      <c r="J112" s="247"/>
      <c r="K112" s="247"/>
      <c r="L112" s="247"/>
      <c r="M112" s="247"/>
      <c r="N112" s="247"/>
      <c r="O112" s="5"/>
      <c r="Q112" s="5"/>
      <c r="R112" s="5"/>
      <c r="S112" s="5"/>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2:44">
      <c r="B113" s="5"/>
      <c r="C113" s="5"/>
      <c r="D113" s="5"/>
      <c r="E113" s="5"/>
      <c r="F113" s="5"/>
      <c r="G113" s="5"/>
      <c r="H113" s="5"/>
      <c r="I113" s="5"/>
      <c r="J113" s="5"/>
      <c r="K113" s="5"/>
      <c r="L113" s="5"/>
      <c r="M113" s="5"/>
      <c r="N113" s="5"/>
      <c r="O113" s="5"/>
      <c r="Q113" s="5"/>
      <c r="R113" s="5"/>
      <c r="S113" s="5"/>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2:44">
      <c r="B114" s="5"/>
      <c r="C114" s="5"/>
      <c r="D114" s="5"/>
      <c r="E114" s="5"/>
      <c r="F114" s="5"/>
      <c r="G114" s="5"/>
      <c r="H114" s="5"/>
      <c r="I114" s="5"/>
      <c r="J114" s="5"/>
      <c r="K114" s="5"/>
      <c r="L114" s="5"/>
      <c r="M114" s="5"/>
      <c r="N114" s="5"/>
      <c r="O114" s="5"/>
      <c r="Q114" s="5"/>
      <c r="R114" s="5"/>
      <c r="S114" s="5"/>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2:44">
      <c r="B115" s="5"/>
      <c r="C115" s="5"/>
      <c r="D115" s="5"/>
      <c r="E115" s="5"/>
      <c r="F115" s="5"/>
      <c r="G115" s="5"/>
      <c r="H115" s="5"/>
      <c r="I115" s="49"/>
      <c r="J115" s="5"/>
      <c r="K115" s="5"/>
      <c r="L115" s="5"/>
      <c r="M115" s="5"/>
      <c r="N115" s="5"/>
      <c r="O115" s="5"/>
      <c r="Q115" s="41"/>
      <c r="R115" s="5"/>
      <c r="S115" s="5"/>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2:44">
      <c r="B116" s="5"/>
      <c r="C116" s="5"/>
      <c r="D116" s="5"/>
      <c r="E116" s="5"/>
      <c r="F116" s="5"/>
      <c r="G116" s="5"/>
      <c r="H116" s="5"/>
      <c r="I116" s="5"/>
      <c r="J116" s="5"/>
      <c r="K116" s="5"/>
      <c r="L116" s="5"/>
      <c r="M116" s="5"/>
      <c r="N116" s="5"/>
      <c r="O116" s="5"/>
      <c r="Q116" s="5"/>
      <c r="R116" s="5"/>
      <c r="S116" s="5"/>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2:44">
      <c r="B117" s="41"/>
      <c r="C117" s="49"/>
      <c r="D117" s="49"/>
      <c r="E117" s="49"/>
      <c r="F117" s="49"/>
      <c r="G117" s="49"/>
      <c r="H117" s="49"/>
      <c r="I117" s="254"/>
      <c r="J117" s="49"/>
      <c r="K117" s="49"/>
      <c r="L117" s="49"/>
      <c r="M117" s="49"/>
      <c r="N117" s="49"/>
      <c r="O117" s="49"/>
      <c r="Q117" s="5"/>
      <c r="R117" s="5"/>
      <c r="S117" s="5"/>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2:44">
      <c r="B118" s="5"/>
      <c r="C118" s="5"/>
      <c r="D118" s="5"/>
      <c r="E118" s="5"/>
      <c r="F118" s="5"/>
      <c r="G118" s="5"/>
      <c r="H118" s="5"/>
      <c r="I118" s="249"/>
      <c r="J118" s="5"/>
      <c r="K118" s="5"/>
      <c r="L118" s="5"/>
      <c r="M118" s="5"/>
      <c r="N118" s="5"/>
      <c r="O118" s="5"/>
      <c r="Q118" s="5"/>
      <c r="R118" s="5"/>
      <c r="S118" s="5"/>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2:44">
      <c r="B119" s="41"/>
      <c r="C119" s="254"/>
      <c r="D119" s="254"/>
      <c r="E119" s="254"/>
      <c r="F119" s="254"/>
      <c r="G119" s="254"/>
      <c r="H119" s="254"/>
      <c r="I119" s="254"/>
      <c r="J119" s="254"/>
      <c r="K119" s="254"/>
      <c r="L119" s="254"/>
      <c r="M119" s="254"/>
      <c r="N119" s="254"/>
      <c r="O119" s="248"/>
      <c r="Q119" s="5"/>
      <c r="R119" s="5"/>
      <c r="S119" s="5"/>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2:44">
      <c r="B120" s="41"/>
      <c r="C120" s="254"/>
      <c r="D120" s="249"/>
      <c r="E120" s="249"/>
      <c r="F120" s="249"/>
      <c r="G120" s="249"/>
      <c r="H120" s="249"/>
      <c r="I120" s="254"/>
      <c r="J120" s="249"/>
      <c r="K120" s="249"/>
      <c r="L120" s="249"/>
      <c r="M120" s="249"/>
      <c r="N120" s="249"/>
      <c r="O120" s="248"/>
      <c r="Q120" s="5"/>
      <c r="R120" s="5"/>
      <c r="S120" s="5"/>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2:44">
      <c r="B121" s="41"/>
      <c r="C121" s="254"/>
      <c r="D121" s="254"/>
      <c r="E121" s="254"/>
      <c r="F121" s="254"/>
      <c r="G121" s="254"/>
      <c r="H121" s="254"/>
      <c r="I121" s="254"/>
      <c r="J121" s="254"/>
      <c r="K121" s="254"/>
      <c r="L121" s="254"/>
      <c r="M121" s="254"/>
      <c r="N121" s="254"/>
      <c r="O121" s="248"/>
      <c r="Q121" s="5"/>
      <c r="R121" s="5"/>
      <c r="S121" s="5"/>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2:44">
      <c r="B122" s="41"/>
      <c r="C122" s="254"/>
      <c r="D122" s="254"/>
      <c r="E122" s="254"/>
      <c r="F122" s="254"/>
      <c r="G122" s="254"/>
      <c r="H122" s="254"/>
      <c r="I122" s="254"/>
      <c r="J122" s="254"/>
      <c r="K122" s="254"/>
      <c r="L122" s="254"/>
      <c r="M122" s="254"/>
      <c r="N122" s="254"/>
      <c r="O122" s="248"/>
      <c r="Q122" s="5"/>
      <c r="R122" s="5"/>
      <c r="S122" s="5"/>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2:44">
      <c r="B123" s="41"/>
      <c r="C123" s="254"/>
      <c r="D123" s="254"/>
      <c r="E123" s="254"/>
      <c r="F123" s="254"/>
      <c r="G123" s="254"/>
      <c r="H123" s="254"/>
      <c r="I123" s="254"/>
      <c r="J123" s="254"/>
      <c r="K123" s="254"/>
      <c r="L123" s="254"/>
      <c r="M123" s="254"/>
      <c r="N123" s="254"/>
      <c r="O123" s="248"/>
      <c r="Q123" s="5"/>
      <c r="R123" s="5"/>
      <c r="S123" s="5"/>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2:44">
      <c r="B124" s="41"/>
      <c r="C124" s="254"/>
      <c r="D124" s="254"/>
      <c r="E124" s="254"/>
      <c r="F124" s="254"/>
      <c r="G124" s="254"/>
      <c r="H124" s="254"/>
      <c r="I124" s="254"/>
      <c r="J124" s="254"/>
      <c r="K124" s="254"/>
      <c r="L124" s="254"/>
      <c r="M124" s="254"/>
      <c r="N124" s="254"/>
      <c r="O124" s="248"/>
      <c r="Q124" s="5"/>
      <c r="R124" s="5"/>
      <c r="S124" s="5"/>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2:44">
      <c r="B125" s="41"/>
      <c r="C125" s="254"/>
      <c r="D125" s="254"/>
      <c r="E125" s="254"/>
      <c r="F125" s="254"/>
      <c r="G125" s="254"/>
      <c r="H125" s="254"/>
      <c r="I125" s="254"/>
      <c r="J125" s="254"/>
      <c r="K125" s="254"/>
      <c r="L125" s="254"/>
      <c r="M125" s="254"/>
      <c r="N125" s="254"/>
      <c r="O125" s="5"/>
      <c r="Q125" s="5"/>
      <c r="R125" s="5"/>
      <c r="S125" s="5"/>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2:44">
      <c r="B126" s="41"/>
      <c r="C126" s="254"/>
      <c r="D126" s="254"/>
      <c r="E126" s="254"/>
      <c r="F126" s="254"/>
      <c r="G126" s="254"/>
      <c r="H126" s="254"/>
      <c r="I126" s="254"/>
      <c r="J126" s="254"/>
      <c r="K126" s="254"/>
      <c r="L126" s="254"/>
      <c r="M126" s="254"/>
      <c r="N126" s="254"/>
      <c r="O126" s="5"/>
      <c r="Q126" s="5"/>
      <c r="R126" s="5"/>
      <c r="S126" s="5"/>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2:44">
      <c r="B127" s="41"/>
      <c r="C127" s="254"/>
      <c r="D127" s="254"/>
      <c r="E127" s="254"/>
      <c r="F127" s="254"/>
      <c r="G127" s="254"/>
      <c r="H127" s="254"/>
      <c r="I127" s="18"/>
      <c r="J127" s="254"/>
      <c r="K127" s="254"/>
      <c r="L127" s="254"/>
      <c r="M127" s="254"/>
      <c r="N127" s="254"/>
      <c r="O127" s="5"/>
      <c r="Q127" s="5"/>
      <c r="R127" s="5"/>
      <c r="S127" s="5"/>
      <c r="AB127" s="39"/>
      <c r="AC127" s="39"/>
      <c r="AD127" s="39"/>
      <c r="AE127" s="39"/>
      <c r="AF127" s="39"/>
      <c r="AG127" s="39"/>
      <c r="AH127" s="39"/>
      <c r="AI127" s="39"/>
      <c r="AJ127" s="39"/>
      <c r="AK127" s="39"/>
      <c r="AL127" s="39"/>
      <c r="AM127" s="39"/>
      <c r="AN127" s="39"/>
      <c r="AO127" s="39"/>
      <c r="AP127" s="39"/>
      <c r="AQ127" s="39"/>
      <c r="AR127" s="39"/>
    </row>
    <row r="128" spans="2:44">
      <c r="B128" s="41"/>
      <c r="C128" s="254"/>
      <c r="D128" s="254"/>
      <c r="E128" s="254"/>
      <c r="F128" s="254"/>
      <c r="G128" s="254"/>
      <c r="H128" s="254"/>
      <c r="I128" s="5"/>
      <c r="J128" s="254"/>
      <c r="K128" s="254"/>
      <c r="L128" s="254"/>
      <c r="M128" s="254"/>
      <c r="N128" s="254"/>
      <c r="O128" s="5"/>
      <c r="Q128" s="5"/>
      <c r="R128" s="5"/>
      <c r="S128" s="5"/>
      <c r="AB128" s="39"/>
      <c r="AC128" s="39"/>
      <c r="AD128" s="39"/>
      <c r="AE128" s="39"/>
      <c r="AF128" s="39"/>
      <c r="AG128" s="39"/>
      <c r="AH128" s="39"/>
      <c r="AI128" s="39"/>
      <c r="AJ128" s="39"/>
      <c r="AK128" s="39"/>
      <c r="AL128" s="39"/>
      <c r="AM128" s="39"/>
      <c r="AN128" s="39"/>
      <c r="AO128" s="39"/>
      <c r="AP128" s="39"/>
      <c r="AQ128" s="39"/>
      <c r="AR128" s="39"/>
    </row>
    <row r="129" spans="2:44">
      <c r="B129" s="5"/>
      <c r="C129" s="5"/>
      <c r="D129" s="18"/>
      <c r="E129" s="18"/>
      <c r="F129" s="18"/>
      <c r="G129" s="18"/>
      <c r="H129" s="18"/>
      <c r="I129" s="254"/>
      <c r="J129" s="18"/>
      <c r="K129" s="18"/>
      <c r="L129" s="18"/>
      <c r="M129" s="18"/>
      <c r="N129" s="18"/>
      <c r="O129" s="5"/>
      <c r="Q129" s="5"/>
      <c r="R129" s="5"/>
      <c r="S129" s="5"/>
      <c r="AB129" s="39"/>
      <c r="AC129" s="39"/>
      <c r="AD129" s="39"/>
      <c r="AE129" s="39"/>
      <c r="AF129" s="39"/>
      <c r="AG129" s="39"/>
      <c r="AH129" s="39"/>
      <c r="AI129" s="39"/>
      <c r="AJ129" s="39"/>
      <c r="AK129" s="39"/>
      <c r="AL129" s="39"/>
      <c r="AM129" s="39"/>
      <c r="AN129" s="39"/>
      <c r="AO129" s="39"/>
      <c r="AP129" s="39"/>
      <c r="AQ129" s="39"/>
      <c r="AR129" s="39"/>
    </row>
    <row r="130" spans="2:44">
      <c r="B130" s="5"/>
      <c r="C130" s="5"/>
      <c r="D130" s="5"/>
      <c r="E130" s="5"/>
      <c r="F130" s="5"/>
      <c r="G130" s="5"/>
      <c r="H130" s="5"/>
      <c r="I130" s="18"/>
      <c r="J130" s="5"/>
      <c r="K130" s="5"/>
      <c r="L130" s="5"/>
      <c r="M130" s="5"/>
      <c r="N130" s="5"/>
      <c r="O130" s="5"/>
      <c r="Q130" s="5"/>
      <c r="R130" s="5"/>
      <c r="S130" s="5"/>
      <c r="AB130" s="39"/>
      <c r="AC130" s="39"/>
      <c r="AD130" s="39"/>
      <c r="AE130" s="39"/>
      <c r="AF130" s="39"/>
      <c r="AG130" s="39"/>
      <c r="AH130" s="39"/>
      <c r="AI130" s="39"/>
      <c r="AJ130" s="39"/>
      <c r="AK130" s="39"/>
      <c r="AL130" s="39"/>
      <c r="AM130" s="39"/>
      <c r="AN130" s="39"/>
      <c r="AO130" s="39"/>
      <c r="AP130" s="39"/>
      <c r="AQ130" s="39"/>
      <c r="AR130" s="39"/>
    </row>
    <row r="131" spans="2:44">
      <c r="B131" s="41"/>
      <c r="C131" s="254"/>
      <c r="D131" s="254"/>
      <c r="E131" s="254"/>
      <c r="F131" s="254"/>
      <c r="G131" s="254"/>
      <c r="H131" s="254"/>
      <c r="I131" s="5"/>
      <c r="J131" s="254"/>
      <c r="K131" s="254"/>
      <c r="L131" s="254"/>
      <c r="M131" s="254"/>
      <c r="N131" s="254"/>
      <c r="O131" s="5"/>
      <c r="Q131" s="5"/>
      <c r="R131" s="5"/>
      <c r="S131" s="5"/>
      <c r="AB131" s="39"/>
      <c r="AC131" s="39"/>
      <c r="AD131" s="39"/>
      <c r="AE131" s="39"/>
      <c r="AF131" s="39"/>
      <c r="AG131" s="39"/>
      <c r="AH131" s="39"/>
      <c r="AI131" s="39"/>
      <c r="AJ131" s="39"/>
      <c r="AK131" s="39"/>
      <c r="AL131" s="39"/>
      <c r="AM131" s="39"/>
      <c r="AN131" s="39"/>
      <c r="AO131" s="39"/>
      <c r="AP131" s="39"/>
      <c r="AQ131" s="39"/>
      <c r="AR131" s="39"/>
    </row>
    <row r="132" spans="2:44">
      <c r="B132" s="5"/>
      <c r="C132" s="259"/>
      <c r="D132" s="18"/>
      <c r="E132" s="18"/>
      <c r="F132" s="18"/>
      <c r="G132" s="18"/>
      <c r="H132" s="18"/>
      <c r="I132" s="5"/>
      <c r="J132" s="18"/>
      <c r="K132" s="18"/>
      <c r="L132" s="18"/>
      <c r="M132" s="18"/>
      <c r="N132" s="18"/>
      <c r="O132" s="5"/>
      <c r="Q132" s="5"/>
      <c r="R132" s="5"/>
      <c r="S132" s="5"/>
      <c r="AB132" s="39"/>
      <c r="AC132" s="39"/>
      <c r="AD132" s="39"/>
      <c r="AE132" s="39"/>
      <c r="AF132" s="39"/>
      <c r="AG132" s="39"/>
      <c r="AH132" s="39"/>
      <c r="AI132" s="39"/>
      <c r="AJ132" s="39"/>
      <c r="AK132" s="39"/>
      <c r="AL132" s="39"/>
      <c r="AM132" s="39"/>
      <c r="AN132" s="39"/>
      <c r="AO132" s="39"/>
      <c r="AP132" s="39"/>
      <c r="AQ132" s="39"/>
      <c r="AR132" s="39"/>
    </row>
    <row r="133" spans="2:44">
      <c r="B133" s="5"/>
      <c r="C133" s="5"/>
      <c r="D133" s="5"/>
      <c r="E133" s="5"/>
      <c r="F133" s="5"/>
      <c r="G133" s="5"/>
      <c r="H133" s="5"/>
      <c r="I133" s="17"/>
      <c r="J133" s="5"/>
      <c r="K133" s="5"/>
      <c r="L133" s="5"/>
      <c r="M133" s="5"/>
      <c r="N133" s="5"/>
      <c r="O133" s="5"/>
      <c r="Q133" s="5"/>
      <c r="R133" s="5"/>
      <c r="S133" s="5"/>
      <c r="AB133" s="39"/>
      <c r="AC133" s="39"/>
      <c r="AD133" s="39"/>
      <c r="AE133" s="39"/>
      <c r="AF133" s="39"/>
      <c r="AG133" s="39"/>
      <c r="AH133" s="39"/>
      <c r="AI133" s="39"/>
      <c r="AJ133" s="39"/>
      <c r="AK133" s="39"/>
      <c r="AL133" s="39"/>
      <c r="AM133" s="39"/>
      <c r="AN133" s="39"/>
      <c r="AO133" s="39"/>
      <c r="AP133" s="39"/>
      <c r="AQ133" s="39"/>
      <c r="AR133" s="39"/>
    </row>
    <row r="134" spans="2:44">
      <c r="B134" s="41"/>
      <c r="C134" s="5"/>
      <c r="D134" s="5"/>
      <c r="E134" s="5"/>
      <c r="F134" s="5"/>
      <c r="G134" s="5"/>
      <c r="H134" s="5"/>
      <c r="I134" s="17"/>
      <c r="J134" s="5"/>
      <c r="K134" s="5"/>
      <c r="L134" s="5"/>
      <c r="M134" s="5"/>
      <c r="N134" s="5"/>
      <c r="O134" s="5"/>
      <c r="Q134" s="5"/>
      <c r="R134" s="5"/>
      <c r="S134" s="5"/>
      <c r="AB134" s="39"/>
      <c r="AC134" s="39"/>
      <c r="AD134" s="39"/>
      <c r="AE134" s="39"/>
      <c r="AF134" s="39"/>
      <c r="AG134" s="39"/>
      <c r="AH134" s="39"/>
      <c r="AI134" s="39"/>
      <c r="AJ134" s="39"/>
      <c r="AK134" s="39"/>
      <c r="AL134" s="39"/>
      <c r="AM134" s="39"/>
      <c r="AN134" s="39"/>
      <c r="AO134" s="39"/>
      <c r="AP134" s="39"/>
      <c r="AQ134" s="39"/>
      <c r="AR134" s="39"/>
    </row>
    <row r="135" spans="2:44">
      <c r="B135" s="5"/>
      <c r="C135" s="17"/>
      <c r="D135" s="17"/>
      <c r="E135" s="17"/>
      <c r="F135" s="17"/>
      <c r="G135" s="17"/>
      <c r="H135" s="17"/>
      <c r="I135" s="17"/>
      <c r="J135" s="17"/>
      <c r="K135" s="17"/>
      <c r="L135" s="17"/>
      <c r="M135" s="17"/>
      <c r="N135" s="17"/>
      <c r="O135" s="5"/>
      <c r="Q135" s="41"/>
      <c r="R135" s="5"/>
      <c r="S135" s="5"/>
      <c r="AB135" s="39"/>
      <c r="AC135" s="39"/>
      <c r="AD135" s="39"/>
      <c r="AE135" s="39"/>
      <c r="AF135" s="39"/>
      <c r="AG135" s="39"/>
      <c r="AH135" s="39"/>
      <c r="AI135" s="39"/>
      <c r="AJ135" s="39"/>
      <c r="AK135" s="39"/>
      <c r="AL135" s="39"/>
      <c r="AM135" s="39"/>
      <c r="AN135" s="39"/>
      <c r="AO135" s="39"/>
      <c r="AP135" s="39"/>
      <c r="AQ135" s="39"/>
      <c r="AR135" s="39"/>
    </row>
    <row r="136" spans="2:44">
      <c r="B136" s="5"/>
      <c r="C136" s="17"/>
      <c r="D136" s="17"/>
      <c r="E136" s="17"/>
      <c r="F136" s="17"/>
      <c r="G136" s="17"/>
      <c r="H136" s="17"/>
      <c r="I136" s="17"/>
      <c r="J136" s="17"/>
      <c r="K136" s="17"/>
      <c r="L136" s="17"/>
      <c r="M136" s="17"/>
      <c r="N136" s="17"/>
      <c r="O136" s="5"/>
      <c r="Q136" s="5"/>
      <c r="R136" s="5"/>
      <c r="S136" s="5"/>
      <c r="X136" s="304"/>
      <c r="AB136" s="39"/>
      <c r="AC136" s="39"/>
      <c r="AD136" s="39"/>
      <c r="AE136" s="39"/>
      <c r="AF136" s="39"/>
      <c r="AG136" s="39"/>
      <c r="AH136" s="39"/>
      <c r="AI136" s="39"/>
      <c r="AJ136" s="39"/>
      <c r="AK136" s="39"/>
      <c r="AL136" s="39"/>
      <c r="AM136" s="39"/>
      <c r="AN136" s="39"/>
      <c r="AO136" s="39"/>
      <c r="AP136" s="39"/>
      <c r="AQ136" s="39"/>
      <c r="AR136" s="39"/>
    </row>
    <row r="137" spans="2:44">
      <c r="B137" s="5"/>
      <c r="C137" s="5"/>
      <c r="D137" s="17"/>
      <c r="E137" s="17"/>
      <c r="F137" s="17"/>
      <c r="G137" s="17"/>
      <c r="H137" s="17"/>
      <c r="I137" s="17"/>
      <c r="J137" s="17"/>
      <c r="K137" s="17"/>
      <c r="L137" s="17"/>
      <c r="M137" s="17"/>
      <c r="N137" s="17"/>
      <c r="O137" s="5"/>
      <c r="Q137" s="5"/>
      <c r="R137" s="5"/>
      <c r="S137" s="5"/>
      <c r="X137" s="10"/>
      <c r="Y137" s="304"/>
      <c r="Z137" s="304"/>
      <c r="AA137" s="304"/>
      <c r="AB137" s="39"/>
      <c r="AC137" s="39"/>
      <c r="AD137" s="39"/>
      <c r="AE137" s="39"/>
      <c r="AF137" s="39"/>
      <c r="AG137" s="39"/>
      <c r="AH137" s="39"/>
      <c r="AI137" s="39"/>
      <c r="AJ137" s="39"/>
      <c r="AK137" s="39"/>
      <c r="AL137" s="39"/>
      <c r="AM137" s="39"/>
      <c r="AN137" s="39"/>
      <c r="AO137" s="39"/>
      <c r="AP137" s="39"/>
      <c r="AQ137" s="39"/>
      <c r="AR137" s="39"/>
    </row>
    <row r="138" spans="2:44">
      <c r="B138" s="5"/>
      <c r="C138" s="5"/>
      <c r="D138" s="17"/>
      <c r="E138" s="17"/>
      <c r="F138" s="17"/>
      <c r="G138" s="17"/>
      <c r="H138" s="17"/>
      <c r="I138" s="17"/>
      <c r="J138" s="17"/>
      <c r="K138" s="17"/>
      <c r="L138" s="17"/>
      <c r="M138" s="17"/>
      <c r="N138" s="17"/>
      <c r="O138" s="5"/>
      <c r="Q138" s="5"/>
      <c r="R138" s="5"/>
      <c r="S138" s="5"/>
      <c r="Y138" s="10"/>
      <c r="Z138" s="10"/>
      <c r="AA138" s="10"/>
      <c r="AB138" s="39"/>
      <c r="AC138" s="39"/>
      <c r="AD138" s="39"/>
      <c r="AE138" s="39"/>
      <c r="AF138" s="39"/>
      <c r="AG138" s="39"/>
      <c r="AH138" s="39"/>
      <c r="AI138" s="39"/>
      <c r="AJ138" s="39"/>
      <c r="AK138" s="39"/>
      <c r="AL138" s="39"/>
      <c r="AM138" s="39"/>
      <c r="AN138" s="39"/>
      <c r="AO138" s="39"/>
      <c r="AP138" s="39"/>
      <c r="AQ138" s="39"/>
      <c r="AR138" s="39"/>
    </row>
    <row r="139" spans="2:44">
      <c r="B139" s="5"/>
      <c r="C139" s="5"/>
      <c r="D139" s="17"/>
      <c r="E139" s="17"/>
      <c r="F139" s="17"/>
      <c r="G139" s="17"/>
      <c r="H139" s="17"/>
      <c r="I139" s="5"/>
      <c r="J139" s="17"/>
      <c r="K139" s="17"/>
      <c r="L139" s="17"/>
      <c r="M139" s="17"/>
      <c r="N139" s="17"/>
      <c r="O139" s="5"/>
      <c r="Q139" s="5"/>
      <c r="R139" s="5"/>
      <c r="S139" s="5"/>
      <c r="AB139" s="39"/>
      <c r="AC139" s="39"/>
      <c r="AD139" s="39"/>
      <c r="AE139" s="39"/>
      <c r="AF139" s="39"/>
      <c r="AG139" s="39"/>
      <c r="AH139" s="39"/>
      <c r="AI139" s="39"/>
      <c r="AJ139" s="39"/>
      <c r="AK139" s="39"/>
      <c r="AL139" s="39"/>
      <c r="AM139" s="39"/>
      <c r="AN139" s="39"/>
      <c r="AO139" s="39"/>
      <c r="AP139" s="39"/>
      <c r="AQ139" s="39"/>
      <c r="AR139" s="39"/>
    </row>
    <row r="140" spans="2:44">
      <c r="B140" s="5"/>
      <c r="C140" s="17"/>
      <c r="D140" s="17"/>
      <c r="E140" s="17"/>
      <c r="F140" s="17"/>
      <c r="G140" s="17"/>
      <c r="H140" s="17"/>
      <c r="I140" s="5"/>
      <c r="J140" s="17"/>
      <c r="K140" s="17"/>
      <c r="L140" s="17"/>
      <c r="M140" s="17"/>
      <c r="N140" s="17"/>
      <c r="O140" s="5"/>
      <c r="Q140" s="5"/>
      <c r="R140" s="5"/>
      <c r="S140" s="5"/>
      <c r="AB140" s="39"/>
      <c r="AC140" s="39"/>
      <c r="AD140" s="39"/>
      <c r="AE140" s="39"/>
      <c r="AF140" s="39"/>
      <c r="AG140" s="39"/>
      <c r="AH140" s="39"/>
      <c r="AI140" s="39"/>
      <c r="AJ140" s="39"/>
      <c r="AK140" s="39"/>
      <c r="AL140" s="39"/>
      <c r="AM140" s="39"/>
      <c r="AN140" s="39"/>
      <c r="AO140" s="39"/>
      <c r="AP140" s="39"/>
      <c r="AQ140" s="39"/>
      <c r="AR140" s="39"/>
    </row>
    <row r="141" spans="2:44">
      <c r="B141" s="5"/>
      <c r="C141" s="5"/>
      <c r="D141" s="5"/>
      <c r="E141" s="5"/>
      <c r="F141" s="5"/>
      <c r="G141" s="5"/>
      <c r="H141" s="5"/>
      <c r="I141" s="5"/>
      <c r="J141" s="5"/>
      <c r="K141" s="5"/>
      <c r="L141" s="5"/>
      <c r="M141" s="5"/>
      <c r="N141" s="5"/>
      <c r="O141" s="5"/>
      <c r="Q141" s="5"/>
      <c r="R141" s="5"/>
      <c r="S141" s="5"/>
      <c r="AB141" s="39"/>
      <c r="AC141" s="39"/>
      <c r="AD141" s="39"/>
      <c r="AE141" s="39"/>
      <c r="AF141" s="39"/>
      <c r="AG141" s="39"/>
      <c r="AH141" s="39"/>
      <c r="AI141" s="39"/>
      <c r="AJ141" s="39"/>
      <c r="AK141" s="39"/>
      <c r="AL141" s="39"/>
      <c r="AM141" s="39"/>
      <c r="AN141" s="39"/>
      <c r="AO141" s="39"/>
      <c r="AP141" s="39"/>
      <c r="AQ141" s="39"/>
      <c r="AR141" s="39"/>
    </row>
    <row r="142" spans="2:44">
      <c r="B142" s="5"/>
      <c r="C142" s="5"/>
      <c r="D142" s="5"/>
      <c r="E142" s="5"/>
      <c r="F142" s="5"/>
      <c r="G142" s="5"/>
      <c r="H142" s="5"/>
      <c r="I142" s="5"/>
      <c r="J142" s="5"/>
      <c r="K142" s="5"/>
      <c r="L142" s="5"/>
      <c r="M142" s="5"/>
      <c r="N142" s="5"/>
      <c r="O142" s="5"/>
      <c r="Q142" s="5"/>
      <c r="R142" s="5"/>
      <c r="S142" s="5"/>
      <c r="AB142" s="39"/>
      <c r="AC142" s="39"/>
      <c r="AD142" s="39"/>
      <c r="AE142" s="39"/>
      <c r="AF142" s="39"/>
      <c r="AG142" s="39"/>
      <c r="AH142" s="39"/>
      <c r="AI142" s="39"/>
      <c r="AJ142" s="39"/>
      <c r="AK142" s="39"/>
      <c r="AL142" s="39"/>
      <c r="AM142" s="39"/>
      <c r="AN142" s="39"/>
      <c r="AO142" s="39"/>
      <c r="AP142" s="39"/>
      <c r="AQ142" s="39"/>
      <c r="AR142" s="39"/>
    </row>
    <row r="143" spans="2:44">
      <c r="B143" s="5"/>
      <c r="C143" s="5"/>
      <c r="D143" s="5"/>
      <c r="E143" s="5"/>
      <c r="F143" s="5"/>
      <c r="G143" s="5"/>
      <c r="H143" s="5"/>
      <c r="I143" s="5"/>
      <c r="J143" s="5"/>
      <c r="K143" s="5"/>
      <c r="L143" s="5"/>
      <c r="M143" s="5"/>
      <c r="N143" s="5"/>
      <c r="O143" s="5"/>
      <c r="Q143" s="5"/>
      <c r="R143" s="5"/>
      <c r="S143" s="5"/>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2:44">
      <c r="B144" s="5"/>
      <c r="C144" s="5"/>
      <c r="D144" s="5"/>
      <c r="E144" s="5"/>
      <c r="F144" s="5"/>
      <c r="G144" s="5"/>
      <c r="H144" s="5"/>
      <c r="I144" s="5"/>
      <c r="J144" s="5"/>
      <c r="K144" s="5"/>
      <c r="L144" s="5"/>
      <c r="M144" s="5"/>
      <c r="N144" s="5"/>
      <c r="O144" s="5"/>
      <c r="Q144" s="5"/>
      <c r="R144" s="5"/>
      <c r="S144" s="5"/>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2:44">
      <c r="B145" s="5"/>
      <c r="C145" s="5"/>
      <c r="D145" s="5"/>
      <c r="E145" s="5"/>
      <c r="F145" s="5"/>
      <c r="G145" s="5"/>
      <c r="H145" s="5"/>
      <c r="I145" s="5"/>
      <c r="J145" s="5"/>
      <c r="K145" s="5"/>
      <c r="L145" s="5"/>
      <c r="M145" s="5"/>
      <c r="N145" s="5"/>
      <c r="O145" s="5"/>
      <c r="Q145" s="5"/>
      <c r="R145" s="5"/>
      <c r="S145" s="5"/>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2:44">
      <c r="B146" s="5"/>
      <c r="C146" s="5"/>
      <c r="D146" s="5"/>
      <c r="E146" s="5"/>
      <c r="F146" s="5"/>
      <c r="G146" s="5"/>
      <c r="H146" s="5"/>
      <c r="I146" s="5"/>
      <c r="J146" s="5"/>
      <c r="K146" s="5"/>
      <c r="L146" s="5"/>
      <c r="M146" s="5"/>
      <c r="N146" s="5"/>
      <c r="O146" s="5"/>
      <c r="Q146" s="5"/>
      <c r="R146" s="5"/>
      <c r="S146" s="5"/>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2:44">
      <c r="B147" s="5"/>
      <c r="C147" s="5"/>
      <c r="D147" s="5"/>
      <c r="E147" s="5"/>
      <c r="F147" s="5"/>
      <c r="G147" s="5"/>
      <c r="H147" s="5"/>
      <c r="I147" s="5"/>
      <c r="J147" s="5"/>
      <c r="K147" s="5"/>
      <c r="L147" s="5"/>
      <c r="M147" s="5"/>
      <c r="N147" s="5"/>
      <c r="O147" s="5"/>
      <c r="Q147" s="5"/>
      <c r="R147" s="5"/>
      <c r="S147" s="5"/>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2:44">
      <c r="B148" s="5"/>
      <c r="C148" s="5"/>
      <c r="D148" s="5"/>
      <c r="E148" s="5"/>
      <c r="F148" s="5"/>
      <c r="G148" s="5"/>
      <c r="H148" s="5"/>
      <c r="I148" s="5"/>
      <c r="J148" s="5"/>
      <c r="K148" s="5"/>
      <c r="L148" s="5"/>
      <c r="M148" s="5"/>
      <c r="N148" s="5"/>
      <c r="O148" s="5"/>
      <c r="Q148" s="5"/>
      <c r="R148" s="5"/>
      <c r="S148" s="5"/>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2:44">
      <c r="B149" s="5"/>
      <c r="C149" s="5"/>
      <c r="D149" s="5"/>
      <c r="E149" s="5"/>
      <c r="F149" s="5"/>
      <c r="G149" s="5"/>
      <c r="H149" s="5"/>
      <c r="J149" s="5"/>
      <c r="K149" s="5"/>
      <c r="L149" s="5"/>
      <c r="M149" s="5"/>
      <c r="N149" s="5"/>
      <c r="O149" s="5"/>
      <c r="Q149" s="5"/>
      <c r="R149" s="5"/>
      <c r="S149" s="5"/>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2:44">
      <c r="B150" s="5"/>
      <c r="C150" s="5"/>
      <c r="D150" s="5"/>
      <c r="E150" s="5"/>
      <c r="F150" s="5"/>
      <c r="G150" s="5"/>
      <c r="H150" s="5"/>
      <c r="J150" s="5"/>
      <c r="K150" s="5"/>
      <c r="L150" s="5"/>
      <c r="M150" s="5"/>
      <c r="N150" s="5"/>
      <c r="O150" s="5"/>
      <c r="Q150" s="5"/>
      <c r="R150" s="5"/>
      <c r="S150" s="5"/>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2:44">
      <c r="Q151" s="5"/>
      <c r="R151" s="5"/>
      <c r="S151" s="5"/>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2:44">
      <c r="Q152" s="5"/>
      <c r="R152" s="5"/>
      <c r="S152" s="5"/>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2:44">
      <c r="C153" s="263"/>
      <c r="Q153" s="5"/>
      <c r="R153" s="5"/>
      <c r="S153" s="5"/>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2:44">
      <c r="Q154" s="5"/>
      <c r="R154" s="5"/>
      <c r="S154" s="5"/>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2:44">
      <c r="Q155" s="5"/>
      <c r="R155" s="5"/>
      <c r="S155" s="5"/>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2:44">
      <c r="Q156" s="5"/>
      <c r="R156" s="5"/>
      <c r="S156" s="5"/>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2:44">
      <c r="Q157" s="5"/>
      <c r="R157" s="5"/>
      <c r="S157" s="5"/>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2:44">
      <c r="Q158" s="5"/>
      <c r="R158" s="5"/>
      <c r="S158" s="5"/>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2:44">
      <c r="Q159" s="5"/>
      <c r="R159" s="5"/>
      <c r="S159" s="5"/>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2:44">
      <c r="Q160" s="5"/>
      <c r="R160" s="5"/>
      <c r="S160" s="5"/>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7:44">
      <c r="Q161" s="5"/>
      <c r="R161" s="5"/>
      <c r="S161" s="5"/>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7:44">
      <c r="Q162" s="5"/>
      <c r="R162" s="5"/>
      <c r="S162" s="5"/>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7:44">
      <c r="Q163" s="5"/>
      <c r="R163" s="5"/>
      <c r="S163" s="5"/>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7:44">
      <c r="Q164" s="5"/>
      <c r="R164" s="5"/>
      <c r="S164" s="5"/>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7:44">
      <c r="Q165" s="5"/>
      <c r="R165" s="5"/>
      <c r="S165" s="5"/>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7:44">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7:44">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7:44">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0">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1610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178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116</v>
      </c>
      <c r="C9" s="267">
        <f>Prices!C48</f>
        <v>22.28</v>
      </c>
      <c r="D9" s="531">
        <v>0</v>
      </c>
      <c r="E9" s="532">
        <v>0</v>
      </c>
      <c r="F9" s="532">
        <v>0</v>
      </c>
      <c r="G9" s="532">
        <v>0</v>
      </c>
      <c r="H9" s="249"/>
      <c r="I9" s="249"/>
      <c r="J9" s="5" t="s">
        <v>268</v>
      </c>
      <c r="L9" s="525" t="e">
        <f>#REF!</f>
        <v>#REF!</v>
      </c>
      <c r="M9" s="525" t="e">
        <f>#REF!</f>
        <v>#REF!</v>
      </c>
      <c r="N9" s="525" t="e">
        <f>#REF!</f>
        <v>#REF!</v>
      </c>
      <c r="O9" s="525" t="e">
        <f>#REF!</f>
        <v>#REF!</v>
      </c>
      <c r="P9" s="18" t="e">
        <f>#REF!</f>
        <v>#REF!</v>
      </c>
      <c r="S9" s="88"/>
      <c r="T9" s="42"/>
      <c r="U9" s="42"/>
      <c r="V9" s="42"/>
      <c r="W9" s="42"/>
      <c r="X9" s="42"/>
      <c r="Y9" s="42"/>
      <c r="Z9" s="42"/>
      <c r="AA9" s="42"/>
    </row>
    <row r="10" spans="2:44">
      <c r="B10" s="5" t="s">
        <v>269</v>
      </c>
      <c r="C10" s="5"/>
      <c r="D10" s="527">
        <v>271.23024781799995</v>
      </c>
      <c r="E10" s="527">
        <v>271.23024781799995</v>
      </c>
      <c r="F10" s="527">
        <v>271.23024781799995</v>
      </c>
      <c r="G10" s="527">
        <v>271.23024781799995</v>
      </c>
      <c r="H10" s="247"/>
      <c r="I10" s="247"/>
      <c r="J10" s="5" t="s">
        <v>180</v>
      </c>
      <c r="L10" s="525" t="e">
        <f>#REF!</f>
        <v>#REF!</v>
      </c>
      <c r="M10" s="525" t="e">
        <f>#REF!</f>
        <v>#REF!</v>
      </c>
      <c r="N10" s="525" t="e">
        <f>#REF!</f>
        <v>#REF!</v>
      </c>
      <c r="O10" s="525" t="e">
        <f>#REF!</f>
        <v>#REF!</v>
      </c>
      <c r="P10" s="18" t="e">
        <f>#REF!</f>
        <v>#REF!</v>
      </c>
      <c r="S10" s="88"/>
      <c r="T10" s="42"/>
      <c r="U10" s="42"/>
      <c r="V10" s="42"/>
      <c r="W10" s="288"/>
      <c r="X10" s="288"/>
      <c r="Y10" s="288"/>
      <c r="Z10" s="288"/>
      <c r="AA10" s="42"/>
    </row>
    <row r="11" spans="2:44">
      <c r="B11" s="41" t="s">
        <v>270</v>
      </c>
      <c r="C11" s="5"/>
      <c r="D11" s="528">
        <f>$C$9*D10</f>
        <v>6043.009921385039</v>
      </c>
      <c r="E11" s="528">
        <f>$C$9*E10</f>
        <v>6043.009921385039</v>
      </c>
      <c r="F11" s="528">
        <f>$C$9*F10</f>
        <v>6043.009921385039</v>
      </c>
      <c r="G11" s="528">
        <f>$C$9*G10</f>
        <v>6043.009921385039</v>
      </c>
      <c r="H11" s="249"/>
      <c r="I11" s="249"/>
      <c r="J11" s="5" t="s">
        <v>181</v>
      </c>
      <c r="L11" s="525" t="e">
        <f>#REF!</f>
        <v>#REF!</v>
      </c>
      <c r="M11" s="525" t="e">
        <f>#REF!</f>
        <v>#REF!</v>
      </c>
      <c r="N11" s="525" t="e">
        <f>#REF!</f>
        <v>#REF!</v>
      </c>
      <c r="O11" s="525" t="e">
        <f>#REF!</f>
        <v>#REF!</v>
      </c>
      <c r="P11" s="18" t="e">
        <f>#REF!</f>
        <v>#REF!</v>
      </c>
      <c r="S11" s="88"/>
      <c r="T11" s="42"/>
      <c r="U11" s="42"/>
      <c r="V11" s="42"/>
      <c r="W11" s="288"/>
      <c r="X11" s="288"/>
      <c r="Y11" s="288"/>
      <c r="Z11" s="288"/>
      <c r="AA11" s="42"/>
    </row>
    <row r="12" spans="2:44">
      <c r="B12" s="5" t="s">
        <v>24</v>
      </c>
      <c r="C12" s="249"/>
      <c r="D12" s="529">
        <v>20254.722332354584</v>
      </c>
      <c r="E12" s="529">
        <v>19733.047830269737</v>
      </c>
      <c r="F12" s="529">
        <v>18811.713063872314</v>
      </c>
      <c r="G12" s="529">
        <v>14576.255951042933</v>
      </c>
      <c r="H12" s="247"/>
      <c r="I12" s="247"/>
      <c r="J12" s="5" t="s">
        <v>461</v>
      </c>
      <c r="L12" s="525" t="e">
        <f>#REF!</f>
        <v>#REF!</v>
      </c>
      <c r="M12" s="525" t="e">
        <f>#REF!</f>
        <v>#REF!</v>
      </c>
      <c r="N12" s="525" t="e">
        <f>#REF!</f>
        <v>#REF!</v>
      </c>
      <c r="O12" s="525" t="e">
        <f>#REF!</f>
        <v>#REF!</v>
      </c>
      <c r="P12" s="18" t="e">
        <f>#REF!</f>
        <v>#REF!</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t="e">
        <f>#REF!</f>
        <v>#REF!</v>
      </c>
      <c r="M13" s="525" t="e">
        <f>#REF!</f>
        <v>#REF!</v>
      </c>
      <c r="N13" s="525" t="e">
        <f>#REF!</f>
        <v>#REF!</v>
      </c>
      <c r="O13" s="525" t="e">
        <f>#REF!</f>
        <v>#REF!</v>
      </c>
      <c r="P13" s="18" t="e">
        <f>#REF!</f>
        <v>#REF!</v>
      </c>
      <c r="S13" s="88"/>
      <c r="T13" s="42"/>
      <c r="U13" s="42"/>
      <c r="V13" s="42"/>
      <c r="W13" s="42"/>
      <c r="X13" s="42"/>
      <c r="Y13" s="42"/>
      <c r="Z13" s="42"/>
      <c r="AA13" s="42"/>
    </row>
    <row r="14" spans="2:44">
      <c r="B14" s="5" t="s">
        <v>527</v>
      </c>
      <c r="C14" s="257"/>
      <c r="D14" s="529">
        <v>136.45500000000001</v>
      </c>
      <c r="E14" s="529">
        <v>136.45500000000001</v>
      </c>
      <c r="F14" s="529">
        <v>136.45500000000001</v>
      </c>
      <c r="G14" s="529">
        <v>136.45500000000001</v>
      </c>
      <c r="H14" s="247"/>
      <c r="I14" s="247"/>
      <c r="J14" s="5" t="s">
        <v>588</v>
      </c>
      <c r="L14" s="525" t="e">
        <f>#REF!</f>
        <v>#REF!</v>
      </c>
      <c r="M14" s="525" t="e">
        <f>#REF!</f>
        <v>#REF!</v>
      </c>
      <c r="N14" s="525" t="e">
        <f>#REF!</f>
        <v>#REF!</v>
      </c>
      <c r="O14" s="525" t="e">
        <f>#REF!</f>
        <v>#REF!</v>
      </c>
      <c r="P14" s="18" t="e">
        <f>#REF!</f>
        <v>#REF!</v>
      </c>
      <c r="S14" s="88"/>
      <c r="T14" s="42"/>
      <c r="U14" s="42"/>
      <c r="V14" s="42"/>
      <c r="W14" s="42"/>
      <c r="X14" s="42"/>
      <c r="Y14" s="42"/>
      <c r="Z14" s="42"/>
      <c r="AA14" s="42"/>
    </row>
    <row r="15" spans="2:44">
      <c r="B15" s="5" t="s">
        <v>526</v>
      </c>
      <c r="C15" s="274"/>
      <c r="D15" s="529">
        <v>529.053</v>
      </c>
      <c r="E15" s="529">
        <v>529.053</v>
      </c>
      <c r="F15" s="529">
        <v>529.053</v>
      </c>
      <c r="G15" s="529">
        <v>529.053</v>
      </c>
      <c r="H15" s="247"/>
      <c r="I15" s="247"/>
      <c r="J15" s="5" t="s">
        <v>470</v>
      </c>
      <c r="L15" s="525" t="e">
        <f>#REF!</f>
        <v>#REF!</v>
      </c>
      <c r="M15" s="525" t="e">
        <f>#REF!</f>
        <v>#REF!</v>
      </c>
      <c r="N15" s="525" t="e">
        <f>#REF!</f>
        <v>#REF!</v>
      </c>
      <c r="O15" s="525" t="e">
        <f>#REF!</f>
        <v>#REF!</v>
      </c>
      <c r="P15" s="18" t="e">
        <f>#REF!</f>
        <v>#REF!</v>
      </c>
      <c r="S15" s="88"/>
      <c r="T15" s="42"/>
      <c r="U15" s="42"/>
      <c r="V15" s="42"/>
      <c r="W15" s="42"/>
      <c r="X15" s="42"/>
      <c r="Y15" s="42"/>
      <c r="Z15" s="42"/>
      <c r="AA15" s="42"/>
    </row>
    <row r="16" spans="2:44">
      <c r="B16" s="5" t="s">
        <v>529</v>
      </c>
      <c r="C16" s="257"/>
      <c r="D16" s="529">
        <v>0</v>
      </c>
      <c r="E16" s="529">
        <v>0</v>
      </c>
      <c r="F16" s="529">
        <v>0</v>
      </c>
      <c r="G16" s="529">
        <v>0</v>
      </c>
      <c r="H16" s="247"/>
      <c r="I16" s="247"/>
      <c r="J16" s="5" t="s">
        <v>528</v>
      </c>
      <c r="L16" s="525" t="e">
        <f>#REF!</f>
        <v>#REF!</v>
      </c>
      <c r="M16" s="525" t="e">
        <f>#REF!</f>
        <v>#REF!</v>
      </c>
      <c r="N16" s="525" t="e">
        <f>#REF!</f>
        <v>#REF!</v>
      </c>
      <c r="O16" s="525" t="e">
        <f>#REF!</f>
        <v>#REF!</v>
      </c>
      <c r="P16" s="18" t="e">
        <f>#REF!</f>
        <v>#REF!</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18" t="e">
        <f>#REF!</f>
        <v>#REF!</v>
      </c>
      <c r="M17" s="18" t="e">
        <f>#REF!</f>
        <v>#REF!</v>
      </c>
      <c r="N17" s="18" t="e">
        <f>#REF!</f>
        <v>#REF!</v>
      </c>
      <c r="O17" s="18" t="e">
        <f>#REF!</f>
        <v>#REF!</v>
      </c>
      <c r="P17" s="18" t="e">
        <f>#REF!</f>
        <v>#REF!</v>
      </c>
      <c r="S17" s="88"/>
      <c r="T17" s="42"/>
      <c r="U17" s="42"/>
      <c r="V17" s="42"/>
      <c r="W17" s="42"/>
      <c r="X17" s="42"/>
      <c r="Y17" s="42"/>
      <c r="Z17" s="42"/>
      <c r="AA17" s="42"/>
    </row>
    <row r="18" spans="2:27" ht="12.6" thickBot="1">
      <c r="B18" s="41" t="s">
        <v>578</v>
      </c>
      <c r="C18" s="249"/>
      <c r="D18" s="530">
        <f>D11+D12+D13-D14+D15-D16-D17</f>
        <v>26690.330253739623</v>
      </c>
      <c r="E18" s="530">
        <f>E11+E12+E13-E14+E15-E16-E17</f>
        <v>26168.655751654776</v>
      </c>
      <c r="F18" s="530">
        <f>F11+F12+F13-F14+F15-F16-F17</f>
        <v>25247.320985257349</v>
      </c>
      <c r="G18" s="530">
        <f>G11+G12+G13-G14+G15-G16-G17</f>
        <v>21011.86387242797</v>
      </c>
      <c r="H18" s="276">
        <f>IF(D18=0,"nm",IF(G18=0,"nm",(G18/D18)^(1/3)-1))</f>
        <v>-7.6641800076951094E-2</v>
      </c>
      <c r="I18" s="254"/>
      <c r="J18" s="5" t="s">
        <v>36</v>
      </c>
      <c r="L18" s="18" t="e">
        <f>#REF!</f>
        <v>#REF!</v>
      </c>
      <c r="M18" s="18" t="e">
        <f>#REF!</f>
        <v>#REF!</v>
      </c>
      <c r="N18" s="18" t="e">
        <f>#REF!</f>
        <v>#REF!</v>
      </c>
      <c r="O18" s="18" t="e">
        <f>#REF!</f>
        <v>#REF!</v>
      </c>
      <c r="P18" s="18" t="e">
        <f>#REF!</f>
        <v>#REF!</v>
      </c>
      <c r="S18" s="88"/>
      <c r="T18" s="42"/>
      <c r="U18" s="42"/>
      <c r="V18" s="42"/>
      <c r="W18" s="42"/>
      <c r="X18" s="42"/>
      <c r="Y18" s="42"/>
      <c r="Z18" s="42"/>
      <c r="AA18" s="42"/>
    </row>
    <row r="19" spans="2:27" ht="12.6" thickTop="1">
      <c r="B19" s="41"/>
      <c r="C19" s="249"/>
      <c r="D19" s="229"/>
      <c r="E19" s="229"/>
      <c r="F19" s="229"/>
      <c r="G19" s="229"/>
      <c r="H19" s="276"/>
      <c r="I19" s="254"/>
      <c r="J19" s="5" t="s">
        <v>576</v>
      </c>
      <c r="L19" s="18" t="e">
        <f>#REF!</f>
        <v>#REF!</v>
      </c>
      <c r="M19" s="18" t="e">
        <f>#REF!</f>
        <v>#REF!</v>
      </c>
      <c r="N19" s="18" t="e">
        <f>#REF!</f>
        <v>#REF!</v>
      </c>
      <c r="O19" s="18" t="e">
        <f>#REF!</f>
        <v>#REF!</v>
      </c>
      <c r="P19" s="18" t="e">
        <f>#REF!</f>
        <v>#REF!</v>
      </c>
      <c r="S19" s="88"/>
      <c r="T19" s="42"/>
      <c r="U19" s="42"/>
      <c r="V19" s="42"/>
      <c r="W19" s="42"/>
      <c r="X19" s="42"/>
      <c r="Y19" s="42"/>
      <c r="Z19" s="42"/>
      <c r="AA19" s="42"/>
    </row>
    <row r="20" spans="2:27">
      <c r="H20" s="277"/>
      <c r="I20" s="17"/>
      <c r="J20" s="5" t="s">
        <v>599</v>
      </c>
      <c r="L20" s="548" t="e">
        <f>#REF!</f>
        <v>#REF!</v>
      </c>
      <c r="M20" s="548" t="e">
        <f>#REF!</f>
        <v>#REF!</v>
      </c>
      <c r="N20" s="548" t="e">
        <f>#REF!</f>
        <v>#REF!</v>
      </c>
      <c r="O20" s="548" t="e">
        <f>#REF!</f>
        <v>#REF!</v>
      </c>
      <c r="P20" s="18" t="e">
        <f>#REF!</f>
        <v>#REF!</v>
      </c>
      <c r="S20" s="88"/>
      <c r="T20" s="42"/>
      <c r="U20" s="42"/>
      <c r="V20" s="42"/>
      <c r="W20" s="42"/>
      <c r="X20" s="42"/>
      <c r="Y20" s="42"/>
      <c r="Z20" s="42"/>
      <c r="AA20" s="42"/>
    </row>
    <row r="21" spans="2:27" ht="12.6" thickBot="1">
      <c r="B21" s="306" t="s">
        <v>919</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18677.500017999999</v>
      </c>
      <c r="D23" s="529">
        <v>17050.867909793284</v>
      </c>
      <c r="E23" s="529">
        <v>16778.544150165802</v>
      </c>
      <c r="F23" s="529">
        <v>17363.784962951569</v>
      </c>
      <c r="G23" s="529">
        <v>17938.872403527814</v>
      </c>
      <c r="H23" s="279">
        <f>IF(D23=0,"nm",IF(G23=0,"nm",(G23/D23)^(1/3)-1))</f>
        <v>1.7066969438098267E-2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478</v>
      </c>
      <c r="C24" s="545">
        <v>3410.7150450000008</v>
      </c>
      <c r="D24" s="529">
        <v>1609.1040411941676</v>
      </c>
      <c r="E24" s="529">
        <v>2177.9885110085174</v>
      </c>
      <c r="F24" s="529">
        <v>2697.2885683288573</v>
      </c>
      <c r="G24" s="529">
        <v>3176.2441087560883</v>
      </c>
      <c r="H24" s="279">
        <f>IF(D24=0,"nm",IF(G24=0,"nm",(G24/D24)^(1/3)-1))</f>
        <v>0.25442080694157521</v>
      </c>
      <c r="I24" s="249"/>
      <c r="J24" s="17"/>
      <c r="K24" s="17"/>
      <c r="L24" s="17"/>
      <c r="M24" s="17"/>
      <c r="N24" s="17"/>
      <c r="O24" s="248"/>
      <c r="S24" s="88"/>
      <c r="T24" s="42"/>
      <c r="U24" s="42"/>
      <c r="V24" s="42"/>
      <c r="W24" s="42" t="s">
        <v>272</v>
      </c>
      <c r="X24" s="42" t="s">
        <v>76</v>
      </c>
      <c r="Y24" s="42"/>
      <c r="Z24" s="42"/>
      <c r="AA24" s="42"/>
    </row>
    <row r="25" spans="2:27">
      <c r="B25" s="5" t="s">
        <v>179</v>
      </c>
      <c r="C25" s="544">
        <v>334.4170450000006</v>
      </c>
      <c r="D25" s="529">
        <v>-1322.5929340637254</v>
      </c>
      <c r="E25" s="529">
        <v>1087.3550041923213</v>
      </c>
      <c r="F25" s="529">
        <v>1507.0542075683825</v>
      </c>
      <c r="G25" s="529">
        <v>2316.8048417612704</v>
      </c>
      <c r="H25" s="279">
        <f>IF(D25=0,"nm",IF(G25=0,"nm",(G25/D25)^(1/3)-1))</f>
        <v>-2.2054644798041032</v>
      </c>
      <c r="I25" s="248"/>
      <c r="J25" s="247" t="s">
        <v>10</v>
      </c>
      <c r="K25" s="247"/>
      <c r="L25" s="321">
        <v>0</v>
      </c>
      <c r="M25" s="321">
        <v>0</v>
      </c>
      <c r="N25" s="321">
        <v>0</v>
      </c>
      <c r="O25" s="321">
        <v>0</v>
      </c>
      <c r="P25" s="279" t="str">
        <f>IF(L25=0,"nm",IF(O25=0,"nm",(O25/L25)^(1/3)-1))</f>
        <v>nm</v>
      </c>
      <c r="S25" s="88"/>
      <c r="T25" s="42"/>
      <c r="U25" s="42"/>
      <c r="V25" s="147" t="s">
        <v>268</v>
      </c>
      <c r="W25" s="288" t="e">
        <f>D37/L9</f>
        <v>#REF!</v>
      </c>
      <c r="X25" s="288">
        <v>1</v>
      </c>
      <c r="Y25" s="42"/>
      <c r="Z25" s="42"/>
      <c r="AA25" s="42"/>
    </row>
    <row r="26" spans="2:27">
      <c r="B26" s="5" t="s">
        <v>581</v>
      </c>
      <c r="C26" s="544">
        <v>545.4070459999989</v>
      </c>
      <c r="D26" s="529">
        <v>-824.1683383545851</v>
      </c>
      <c r="E26" s="529">
        <v>1756.6245437515126</v>
      </c>
      <c r="F26" s="529">
        <v>2028.1296830640904</v>
      </c>
      <c r="G26" s="529">
        <v>2547.7267169960496</v>
      </c>
      <c r="H26" s="279">
        <f>IF(D26=0,"nm",IF(G26=0,"nm",(G26/D26)^(1/3)-1))</f>
        <v>-2.4567296895147916</v>
      </c>
      <c r="I26" s="249"/>
      <c r="J26" s="249" t="s">
        <v>11</v>
      </c>
      <c r="K26" s="249"/>
      <c r="L26" s="281">
        <f>D11+L25</f>
        <v>6043.009921385039</v>
      </c>
      <c r="M26" s="281">
        <f>E11+M25</f>
        <v>6043.009921385039</v>
      </c>
      <c r="N26" s="281">
        <f>F11+N25</f>
        <v>6043.009921385039</v>
      </c>
      <c r="O26" s="281">
        <f>G11+O25</f>
        <v>6043.009921385039</v>
      </c>
      <c r="P26" s="279">
        <f>IF(L26=0,"nm",IF(O26=0,"nm",(O26/L26)^(1/3)-1))</f>
        <v>0</v>
      </c>
      <c r="Q26" s="5"/>
      <c r="S26" s="88"/>
      <c r="T26" s="42"/>
      <c r="U26" s="42"/>
      <c r="V26" s="147" t="s">
        <v>180</v>
      </c>
      <c r="W26" s="288" t="e">
        <f t="shared" ref="W26:W32" si="4">D38/L10</f>
        <v>#REF!</v>
      </c>
      <c r="X26" s="288">
        <v>1</v>
      </c>
      <c r="Y26" s="42"/>
      <c r="Z26" s="42"/>
      <c r="AA26" s="42"/>
    </row>
    <row r="27" spans="2:27">
      <c r="B27" s="5" t="s">
        <v>582</v>
      </c>
      <c r="C27" s="545">
        <v>36768.281999999999</v>
      </c>
      <c r="D27" s="529">
        <v>37133.631000000001</v>
      </c>
      <c r="E27" s="529">
        <v>37192.249000000003</v>
      </c>
      <c r="F27" s="529">
        <v>36991.059000000001</v>
      </c>
      <c r="G27" s="529">
        <v>36469.794234944442</v>
      </c>
      <c r="H27" s="279">
        <f>IF(ISERROR((G27/D27)^(1/3)-1),"na",(G27/D27)^(1/3)-1)</f>
        <v>-5.9948561048273064E-3</v>
      </c>
      <c r="I27" s="249"/>
      <c r="J27" s="248"/>
      <c r="K27" s="248"/>
      <c r="L27" s="248"/>
      <c r="M27" s="248"/>
      <c r="N27" s="248"/>
      <c r="O27" s="248"/>
      <c r="Q27" s="41"/>
      <c r="S27" s="88"/>
      <c r="T27" s="42"/>
      <c r="U27" s="42"/>
      <c r="V27" s="147" t="s">
        <v>181</v>
      </c>
      <c r="W27" s="288" t="e">
        <f t="shared" si="4"/>
        <v>#REF!</v>
      </c>
      <c r="X27" s="288">
        <v>1</v>
      </c>
      <c r="Y27" s="42"/>
      <c r="Z27" s="42"/>
      <c r="AA27" s="42"/>
    </row>
    <row r="28" spans="2:27" ht="12.6" thickBot="1">
      <c r="B28" s="5" t="s">
        <v>587</v>
      </c>
      <c r="C28" s="544">
        <v>7877.7359999999999</v>
      </c>
      <c r="D28" s="529">
        <v>8477.56</v>
      </c>
      <c r="E28" s="529">
        <v>9106.99</v>
      </c>
      <c r="F28" s="529">
        <v>9369.5830000000005</v>
      </c>
      <c r="G28" s="529">
        <v>9688.7359004712489</v>
      </c>
      <c r="H28" s="279">
        <f>IF(ISERROR((G28/D28)^(1/3)-1),"na",(G28/D28)^(1/3)-1)</f>
        <v>4.5519366726737731E-2</v>
      </c>
      <c r="I28" s="248"/>
      <c r="J28" s="306" t="s">
        <v>1352</v>
      </c>
      <c r="K28" s="306"/>
      <c r="L28" s="306"/>
      <c r="M28" s="306"/>
      <c r="N28" s="266"/>
      <c r="O28" s="266"/>
      <c r="P28" s="266"/>
      <c r="Q28" s="5"/>
      <c r="S28" s="88"/>
      <c r="T28" s="42"/>
      <c r="U28" s="42"/>
      <c r="V28" s="147" t="s">
        <v>461</v>
      </c>
      <c r="W28" s="288" t="e">
        <f t="shared" si="4"/>
        <v>#REF!</v>
      </c>
      <c r="X28" s="288">
        <v>1</v>
      </c>
      <c r="Y28" s="42"/>
      <c r="Z28" s="42"/>
      <c r="AA28" s="42"/>
    </row>
    <row r="29" spans="2:27" ht="12.6" thickTop="1">
      <c r="B29" s="5" t="s">
        <v>583</v>
      </c>
      <c r="C29" s="544">
        <v>578.68004600000086</v>
      </c>
      <c r="D29" s="529">
        <v>-1622.0476685268056</v>
      </c>
      <c r="E29" s="529">
        <v>627.54404992495506</v>
      </c>
      <c r="F29" s="529">
        <v>1013.444902848029</v>
      </c>
      <c r="G29" s="529">
        <v>1723.6604079565818</v>
      </c>
      <c r="H29" s="279">
        <f>IF(ISERROR((G29/D29)^(1/3)-1),"na",(G29/D29)^(1/3)-1)</f>
        <v>-2.0204601059978318</v>
      </c>
      <c r="I29" s="252"/>
      <c r="J29" s="249"/>
      <c r="K29" s="249"/>
      <c r="L29" s="249"/>
      <c r="M29" s="249"/>
      <c r="N29" s="249"/>
      <c r="O29" s="251"/>
      <c r="Q29" s="5"/>
      <c r="S29" s="88"/>
      <c r="T29" s="42"/>
      <c r="U29" s="42"/>
      <c r="V29" s="147" t="s">
        <v>525</v>
      </c>
      <c r="W29" s="288" t="e">
        <f t="shared" si="4"/>
        <v>#REF!</v>
      </c>
      <c r="X29" s="288">
        <v>1</v>
      </c>
      <c r="Y29" s="42"/>
      <c r="Z29" s="42"/>
      <c r="AA29" s="42"/>
    </row>
    <row r="30" spans="2:27">
      <c r="B30" s="5" t="s">
        <v>584</v>
      </c>
      <c r="C30" s="544">
        <v>2480.2840440000014</v>
      </c>
      <c r="D30" s="529">
        <v>-218.61376705555608</v>
      </c>
      <c r="E30" s="529">
        <v>7.5303190141318339</v>
      </c>
      <c r="F30" s="529">
        <v>256.21256048685109</v>
      </c>
      <c r="G30" s="529">
        <v>216.74587922683421</v>
      </c>
      <c r="H30" s="279">
        <f>IF(D30=0,"nm",IF(G30=0,"nm",(G30/D30)^(1/3)-1))</f>
        <v>-1.99714377073437</v>
      </c>
      <c r="I30" s="254"/>
      <c r="J30" s="248"/>
      <c r="K30" s="248"/>
      <c r="L30" s="248"/>
      <c r="M30" s="248"/>
      <c r="N30" s="248"/>
      <c r="O30" s="5"/>
      <c r="Q30" s="5"/>
      <c r="S30" s="88"/>
      <c r="T30" s="42"/>
      <c r="U30" s="42"/>
      <c r="V30" s="147" t="s">
        <v>588</v>
      </c>
      <c r="W30" s="288" t="e">
        <f t="shared" si="4"/>
        <v>#REF!</v>
      </c>
      <c r="X30" s="288">
        <v>1</v>
      </c>
      <c r="Y30" s="42"/>
      <c r="Z30" s="42"/>
      <c r="AA30" s="42"/>
    </row>
    <row r="31" spans="2:27">
      <c r="B31" s="5" t="s">
        <v>585</v>
      </c>
      <c r="C31" s="545">
        <v>0</v>
      </c>
      <c r="D31" s="529">
        <v>0</v>
      </c>
      <c r="E31" s="529">
        <v>0</v>
      </c>
      <c r="F31" s="529">
        <v>0</v>
      </c>
      <c r="G31" s="529">
        <v>0</v>
      </c>
      <c r="H31" s="279" t="str">
        <f>IF(D31=0,"nm",IF(G31=0,"nm",(G31/D31)^(1/3)-1))</f>
        <v>nm</v>
      </c>
      <c r="I31" s="254"/>
      <c r="J31" s="252"/>
      <c r="K31" s="252"/>
      <c r="L31" s="252"/>
      <c r="M31" s="252"/>
      <c r="N31" s="252"/>
      <c r="O31" s="5"/>
      <c r="Q31" s="5"/>
      <c r="S31" s="88"/>
      <c r="T31" s="42"/>
      <c r="U31" s="42"/>
      <c r="V31" s="147" t="s">
        <v>143</v>
      </c>
      <c r="W31" s="288" t="e">
        <f t="shared" si="4"/>
        <v>#REF!</v>
      </c>
      <c r="X31" s="288">
        <v>1</v>
      </c>
      <c r="Y31" s="42"/>
      <c r="Z31" s="42"/>
      <c r="AA31" s="42"/>
    </row>
    <row r="32" spans="2:27">
      <c r="B32" s="5" t="s">
        <v>601</v>
      </c>
      <c r="C32" s="546">
        <v>0</v>
      </c>
      <c r="D32" s="529">
        <v>0</v>
      </c>
      <c r="E32" s="529">
        <v>0</v>
      </c>
      <c r="F32" s="529">
        <v>0</v>
      </c>
      <c r="G32" s="529">
        <v>0</v>
      </c>
      <c r="H32" s="279" t="str">
        <f>IF(D32=0,"nm",IF(G32=0,"nm",(G32/D32)^(1/3)-1))</f>
        <v>nm</v>
      </c>
      <c r="I32" s="254"/>
      <c r="J32" s="254"/>
      <c r="K32" s="254"/>
      <c r="L32" s="254"/>
      <c r="M32" s="254"/>
      <c r="N32" s="254"/>
      <c r="O32" s="251"/>
      <c r="Q32" s="5"/>
      <c r="S32" s="88"/>
      <c r="T32" s="42"/>
      <c r="U32" s="42"/>
      <c r="V32" s="147" t="s">
        <v>528</v>
      </c>
      <c r="W32" s="288" t="e">
        <f t="shared" si="4"/>
        <v>#REF!</v>
      </c>
      <c r="X32" s="288">
        <v>1</v>
      </c>
      <c r="Y32" s="42"/>
      <c r="Z32" s="42"/>
      <c r="AA32" s="42"/>
    </row>
    <row r="33" spans="2:27">
      <c r="B33" s="5" t="s">
        <v>5</v>
      </c>
      <c r="C33" s="545">
        <v>1036.1310000000001</v>
      </c>
      <c r="D33" s="529">
        <v>1286.2462499999999</v>
      </c>
      <c r="E33" s="529">
        <v>1320.283375</v>
      </c>
      <c r="F33" s="529">
        <v>1192.12825</v>
      </c>
      <c r="G33" s="529">
        <v>1147.6029375000001</v>
      </c>
      <c r="H33" s="279">
        <f>IF(ISERROR((G33/D33)^(1/3)-1),"na",(G33/D33)^(1/3)-1)</f>
        <v>-3.7303979570146306E-2</v>
      </c>
      <c r="I33" s="5"/>
      <c r="J33" s="254"/>
      <c r="K33" s="254"/>
      <c r="L33" s="254"/>
      <c r="M33" s="254"/>
      <c r="N33" s="254"/>
      <c r="O33" s="251"/>
      <c r="Q33" s="5"/>
      <c r="S33" s="88"/>
      <c r="T33" s="42"/>
      <c r="U33" s="42"/>
      <c r="V33" s="147" t="s">
        <v>575</v>
      </c>
      <c r="W33" s="288">
        <v>0</v>
      </c>
      <c r="X33" s="288">
        <v>1</v>
      </c>
      <c r="Y33" s="42"/>
      <c r="Z33" s="42"/>
      <c r="AA33" s="42"/>
    </row>
    <row r="34" spans="2:27">
      <c r="D34" s="5"/>
      <c r="E34" s="5"/>
      <c r="F34" s="5"/>
      <c r="G34" s="5"/>
      <c r="I34" s="49"/>
      <c r="J34" s="254"/>
      <c r="K34" s="254"/>
      <c r="L34" s="254"/>
      <c r="M34" s="254"/>
      <c r="N34" s="254"/>
      <c r="O34" s="251"/>
      <c r="Q34" s="5"/>
      <c r="S34" s="88"/>
      <c r="T34" s="42"/>
      <c r="U34" s="42"/>
      <c r="V34" s="147" t="s">
        <v>144</v>
      </c>
      <c r="W34" s="288" t="e">
        <f>D47/L19</f>
        <v>#REF!</v>
      </c>
      <c r="X34" s="288">
        <v>1</v>
      </c>
      <c r="Y34" s="288"/>
      <c r="Z34" s="288"/>
      <c r="AA34" s="42"/>
    </row>
    <row r="35" spans="2:27" ht="12.6" thickBot="1">
      <c r="B35" s="306" t="s">
        <v>636</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1.5653355826192195</v>
      </c>
      <c r="E37" s="525">
        <f t="shared" ref="E37:G41" si="6">E$18/E23</f>
        <v>1.5596499623238278</v>
      </c>
      <c r="F37" s="525">
        <f t="shared" si="6"/>
        <v>1.4540217492399596</v>
      </c>
      <c r="G37" s="525">
        <f t="shared" si="6"/>
        <v>1.1713034910876465</v>
      </c>
      <c r="H37" s="17">
        <f t="shared" ref="H37:H46" si="7">H23</f>
        <v>1.7066969438098267E-2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16.587075521811425</v>
      </c>
      <c r="E38" s="525">
        <f>E$18/E24</f>
        <v>12.015056837713704</v>
      </c>
      <c r="F38" s="525">
        <f>F$18/F24</f>
        <v>9.3602595145760308</v>
      </c>
      <c r="G38" s="525">
        <f t="shared" si="6"/>
        <v>6.6153177000796832</v>
      </c>
      <c r="H38" s="17">
        <f t="shared" si="7"/>
        <v>0.25442080694157521</v>
      </c>
      <c r="I38" s="259"/>
      <c r="J38" s="17"/>
      <c r="K38" s="17"/>
      <c r="L38" s="17"/>
      <c r="M38" s="17"/>
      <c r="N38" s="17"/>
      <c r="O38" s="5"/>
      <c r="Q38" s="5"/>
      <c r="R38" s="5"/>
      <c r="S38" s="42"/>
      <c r="T38" s="42"/>
      <c r="U38" s="42"/>
      <c r="V38" s="42"/>
      <c r="W38" s="42"/>
      <c r="X38" s="42"/>
      <c r="Y38" s="42"/>
      <c r="Z38" s="42"/>
      <c r="AA38" s="42"/>
    </row>
    <row r="39" spans="2:27">
      <c r="B39" s="5" t="s">
        <v>181</v>
      </c>
      <c r="C39" s="247"/>
      <c r="D39" s="525">
        <f>D$18/D25</f>
        <v>-20.180306098969091</v>
      </c>
      <c r="E39" s="525">
        <f t="shared" si="6"/>
        <v>24.066340478280733</v>
      </c>
      <c r="F39" s="525">
        <f t="shared" si="6"/>
        <v>16.752762348206215</v>
      </c>
      <c r="G39" s="525">
        <f t="shared" si="6"/>
        <v>9.06932836710339</v>
      </c>
      <c r="H39" s="17">
        <f t="shared" si="7"/>
        <v>-2.2054644798041032</v>
      </c>
      <c r="I39" s="17"/>
      <c r="J39" s="5"/>
      <c r="K39" s="5"/>
      <c r="L39" s="5"/>
      <c r="M39" s="5"/>
      <c r="N39" s="5"/>
      <c r="O39" s="5"/>
      <c r="Q39" s="5"/>
      <c r="R39" s="5"/>
      <c r="S39" s="42"/>
      <c r="T39" s="42"/>
      <c r="U39" s="42"/>
      <c r="V39" s="42"/>
      <c r="W39" s="42"/>
      <c r="X39" s="42"/>
      <c r="Y39" s="42"/>
      <c r="Z39" s="42"/>
      <c r="AA39" s="42"/>
    </row>
    <row r="40" spans="2:27">
      <c r="B40" s="5" t="s">
        <v>461</v>
      </c>
      <c r="C40" s="247"/>
      <c r="D40" s="525">
        <f>D$18/D26</f>
        <v>-32.384561516917358</v>
      </c>
      <c r="E40" s="525">
        <f t="shared" si="6"/>
        <v>14.897125196581863</v>
      </c>
      <c r="F40" s="525">
        <f t="shared" si="6"/>
        <v>12.448573282115666</v>
      </c>
      <c r="G40" s="525">
        <f t="shared" si="6"/>
        <v>8.2472989478253176</v>
      </c>
      <c r="H40" s="17">
        <f t="shared" si="7"/>
        <v>-2.4567296895147916</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0.71876435282452233</v>
      </c>
      <c r="E41" s="525">
        <f t="shared" si="6"/>
        <v>0.70360509125583592</v>
      </c>
      <c r="F41" s="525">
        <f t="shared" si="6"/>
        <v>0.68252495786231338</v>
      </c>
      <c r="G41" s="525">
        <f t="shared" si="6"/>
        <v>0.5761442945651426</v>
      </c>
      <c r="H41" s="17">
        <f t="shared" si="7"/>
        <v>-5.9948561048273064E-3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3.148350498697694</v>
      </c>
      <c r="E42" s="525">
        <f>E18/E28</f>
        <v>2.8734692529205343</v>
      </c>
      <c r="F42" s="525">
        <f>F18/F28</f>
        <v>2.694604550197949</v>
      </c>
      <c r="G42" s="525">
        <f>G18/G28</f>
        <v>2.1686899187133357</v>
      </c>
      <c r="H42" s="17">
        <f t="shared" si="7"/>
        <v>4.5519366726737731E-2</v>
      </c>
      <c r="I42" s="248"/>
      <c r="J42" s="5"/>
      <c r="K42" s="5"/>
      <c r="L42" s="5"/>
      <c r="M42" s="5"/>
      <c r="N42" s="5"/>
      <c r="O42" s="5"/>
      <c r="Q42" s="5"/>
      <c r="R42" s="5"/>
      <c r="S42" s="42"/>
      <c r="T42" s="42"/>
      <c r="U42" s="42"/>
      <c r="V42" s="42"/>
      <c r="W42" s="288"/>
      <c r="X42" s="288"/>
      <c r="Y42" s="288"/>
      <c r="Z42" s="288"/>
      <c r="AA42" s="42"/>
    </row>
    <row r="43" spans="2:27">
      <c r="B43" s="5" t="s">
        <v>470</v>
      </c>
      <c r="C43" s="247"/>
      <c r="D43" s="525">
        <f>L26/D29</f>
        <v>-3.72554397669058</v>
      </c>
      <c r="E43" s="525">
        <f>M26/E29</f>
        <v>9.6296187050258748</v>
      </c>
      <c r="F43" s="525">
        <f>N26/F29</f>
        <v>5.9628401153360162</v>
      </c>
      <c r="G43" s="525">
        <f>O26/G29</f>
        <v>3.5059167649787195</v>
      </c>
      <c r="H43" s="17">
        <f t="shared" si="7"/>
        <v>-2.0204601059978318</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-27.642403325172726</v>
      </c>
      <c r="E44" s="525">
        <f>E11/E30</f>
        <v>802.49055983476603</v>
      </c>
      <c r="F44" s="525">
        <f>F11/F30</f>
        <v>23.58592377322254</v>
      </c>
      <c r="G44" s="525">
        <f>G11/G30</f>
        <v>27.880621965877193</v>
      </c>
      <c r="H44" s="17">
        <f t="shared" si="7"/>
        <v>-1.99714377073437</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 t="shared" si="7"/>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0</v>
      </c>
      <c r="F46" s="248">
        <f>(F31+F32)/F11</f>
        <v>0</v>
      </c>
      <c r="G46" s="248">
        <f>(G31+G32)/G11</f>
        <v>0</v>
      </c>
      <c r="H46" s="17" t="str">
        <f t="shared" si="7"/>
        <v>nm</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-0.26841717780185892</v>
      </c>
      <c r="E47" s="248">
        <f>1/E43</f>
        <v>0.10384627165747297</v>
      </c>
      <c r="F47" s="248">
        <f>1/F43</f>
        <v>0.16770531838143177</v>
      </c>
      <c r="G47" s="248">
        <f>1/G43</f>
        <v>0.28523209962917356</v>
      </c>
      <c r="H47" s="17">
        <f>H29</f>
        <v>-2.0204601059978318</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21"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66">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703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696</v>
      </c>
      <c r="K7" s="306"/>
      <c r="L7" s="265" t="str">
        <f>L5</f>
        <v>2023E</v>
      </c>
      <c r="M7" s="265" t="str">
        <f t="shared" ref="M7:P7" si="1">M5</f>
        <v>2024E</v>
      </c>
      <c r="N7" s="265" t="str">
        <f t="shared" si="1"/>
        <v>2025E</v>
      </c>
      <c r="O7" s="265" t="str">
        <f t="shared" si="1"/>
        <v>2026E</v>
      </c>
      <c r="P7" s="265" t="str">
        <f t="shared" si="1"/>
        <v>23E-26E</v>
      </c>
    </row>
    <row r="8" spans="2:44" ht="12.6" thickTop="1">
      <c r="I8" s="5"/>
      <c r="J8" s="5"/>
      <c r="K8" s="5"/>
      <c r="L8" s="5"/>
      <c r="M8" s="5"/>
      <c r="N8" s="5"/>
      <c r="S8" s="88"/>
      <c r="T8" s="42"/>
      <c r="U8" s="42"/>
      <c r="V8" s="42"/>
      <c r="W8" s="42"/>
      <c r="X8" s="42"/>
      <c r="Y8" s="42"/>
      <c r="Z8" s="42"/>
      <c r="AA8" s="42"/>
    </row>
    <row r="9" spans="2:44">
      <c r="B9" s="41" t="s">
        <v>15</v>
      </c>
      <c r="C9" s="287">
        <f>Prices!C53</f>
        <v>233.37</v>
      </c>
      <c r="D9" s="531">
        <v>0</v>
      </c>
      <c r="E9" s="532">
        <v>0</v>
      </c>
      <c r="F9" s="532">
        <v>0</v>
      </c>
      <c r="G9" s="532">
        <v>0</v>
      </c>
      <c r="H9" s="249"/>
      <c r="I9" s="249"/>
      <c r="J9" s="5" t="s">
        <v>268</v>
      </c>
      <c r="L9" s="525">
        <f>'US TOWERS'!D37</f>
        <v>11.716514317123721</v>
      </c>
      <c r="M9" s="525">
        <f>'US TOWERS'!E37</f>
        <v>11.358559001089553</v>
      </c>
      <c r="N9" s="525">
        <f>'US TOWERS'!F37</f>
        <v>10.683724669440947</v>
      </c>
      <c r="O9" s="525">
        <f>'US TOWERS'!G37</f>
        <v>10.039837788234205</v>
      </c>
      <c r="P9" s="279">
        <f>'US TOWERS'!H37</f>
        <v>2.6157777948455641E-2</v>
      </c>
      <c r="S9" s="88"/>
      <c r="T9" s="42"/>
      <c r="U9" s="42"/>
      <c r="V9" s="42"/>
      <c r="W9" s="42"/>
      <c r="X9" s="42"/>
      <c r="Y9" s="42"/>
      <c r="Z9" s="42"/>
      <c r="AA9" s="42"/>
    </row>
    <row r="10" spans="2:44">
      <c r="B10" s="5" t="s">
        <v>269</v>
      </c>
      <c r="C10" s="5"/>
      <c r="D10" s="527">
        <v>128.88513875167186</v>
      </c>
      <c r="E10" s="527">
        <v>128.88513875167186</v>
      </c>
      <c r="F10" s="527">
        <v>128.88513875167186</v>
      </c>
      <c r="G10" s="527">
        <v>128.88513875167186</v>
      </c>
      <c r="H10" s="247"/>
      <c r="I10" s="247"/>
      <c r="J10" s="5" t="s">
        <v>180</v>
      </c>
      <c r="L10" s="525">
        <f>'US TOWERS'!D38</f>
        <v>18.346861481363135</v>
      </c>
      <c r="M10" s="525">
        <f>'US TOWERS'!E38</f>
        <v>17.815357115878655</v>
      </c>
      <c r="N10" s="525">
        <f>'US TOWERS'!F38</f>
        <v>16.732780196675282</v>
      </c>
      <c r="O10" s="525">
        <f>'US TOWERS'!G38</f>
        <v>15.520501658491678</v>
      </c>
      <c r="P10" s="279">
        <f>'US TOWERS'!H38</f>
        <v>3.0565437622663838E-2</v>
      </c>
      <c r="S10" s="88"/>
      <c r="T10" s="42"/>
      <c r="U10" s="42"/>
      <c r="V10" s="42"/>
      <c r="W10" s="288"/>
      <c r="X10" s="288"/>
      <c r="Y10" s="288"/>
      <c r="Z10" s="288"/>
      <c r="AA10" s="42"/>
    </row>
    <row r="11" spans="2:44">
      <c r="B11" s="41" t="s">
        <v>437</v>
      </c>
      <c r="C11" s="5"/>
      <c r="D11" s="528">
        <f>$C$9*D10</f>
        <v>30077.924830477663</v>
      </c>
      <c r="E11" s="528">
        <f>$C$9*E10</f>
        <v>30077.924830477663</v>
      </c>
      <c r="F11" s="528">
        <f>$C$9*F10</f>
        <v>30077.924830477663</v>
      </c>
      <c r="G11" s="528">
        <f>$C$9*G10</f>
        <v>30077.924830477663</v>
      </c>
      <c r="H11" s="249"/>
      <c r="I11" s="249"/>
      <c r="J11" s="5" t="s">
        <v>181</v>
      </c>
      <c r="L11" s="525">
        <f>'US TOWERS'!D39</f>
        <v>25.045375564476512</v>
      </c>
      <c r="M11" s="525">
        <f>'US TOWERS'!E39</f>
        <v>23.597682484349907</v>
      </c>
      <c r="N11" s="525">
        <f>'US TOWERS'!F39</f>
        <v>21.868917154229834</v>
      </c>
      <c r="O11" s="525">
        <f>'US TOWERS'!G39</f>
        <v>19.956409169016258</v>
      </c>
      <c r="P11" s="279">
        <f>'US TOWERS'!H39</f>
        <v>5.1328926157078847E-2</v>
      </c>
      <c r="S11" s="88"/>
      <c r="T11" s="42"/>
      <c r="U11" s="42"/>
      <c r="V11" s="42"/>
      <c r="W11" s="288"/>
      <c r="X11" s="288"/>
      <c r="Y11" s="288"/>
      <c r="Z11" s="288"/>
      <c r="AA11" s="42"/>
    </row>
    <row r="12" spans="2:44">
      <c r="B12" s="5" t="s">
        <v>24</v>
      </c>
      <c r="C12" s="249"/>
      <c r="D12" s="529">
        <v>8411.6080000000002</v>
      </c>
      <c r="E12" s="529">
        <v>8411.6080000000002</v>
      </c>
      <c r="F12" s="529">
        <v>8411.6080000000002</v>
      </c>
      <c r="G12" s="529">
        <v>8411.6080000000002</v>
      </c>
      <c r="H12" s="247"/>
      <c r="I12" s="247"/>
      <c r="J12" s="5" t="s">
        <v>461</v>
      </c>
      <c r="L12" s="525">
        <f>'US TOWERS'!D40</f>
        <v>27.828195071640568</v>
      </c>
      <c r="M12" s="525">
        <f>'US TOWERS'!E40</f>
        <v>26.219647204833233</v>
      </c>
      <c r="N12" s="525">
        <f>'US TOWERS'!F40</f>
        <v>24.298796838033148</v>
      </c>
      <c r="O12" s="525">
        <f>'US TOWERS'!G40</f>
        <v>22.17378796557362</v>
      </c>
      <c r="P12" s="279">
        <f>'US TOWERS'!H40</f>
        <v>5.1328926157078847E-2</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'US TOWERS'!D41</f>
        <v>3.0956838617797171</v>
      </c>
      <c r="M13" s="525">
        <f>'US TOWERS'!E41</f>
        <v>3.5458182205202253</v>
      </c>
      <c r="N13" s="525">
        <f>'US TOWERS'!F41</f>
        <v>3.9623582726442019</v>
      </c>
      <c r="O13" s="525">
        <f>'US TOWERS'!G41</f>
        <v>4.5186454654812991</v>
      </c>
      <c r="P13" s="279">
        <f>'US TOWERS'!H41</f>
        <v>-0.14077611221633957</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'US TOWERS'!D42</f>
        <v>6.5626918432670882</v>
      </c>
      <c r="M14" s="525">
        <f>'US TOWERS'!E42</f>
        <v>6.6987951806393502</v>
      </c>
      <c r="N14" s="525">
        <f>'US TOWERS'!F42</f>
        <v>6.6556447612521508</v>
      </c>
      <c r="O14" s="525">
        <f>'US TOWERS'!G42</f>
        <v>6.9759762217836165</v>
      </c>
      <c r="P14" s="279">
        <f>'US TOWERS'!H42</f>
        <v>-4.4972440556020565E-2</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'US TOWERS'!D43</f>
        <v>26.46791028508412</v>
      </c>
      <c r="M15" s="525">
        <f>'US TOWERS'!E43</f>
        <v>24.838103660229184</v>
      </c>
      <c r="N15" s="525">
        <f>'US TOWERS'!F43</f>
        <v>23.446630439093443</v>
      </c>
      <c r="O15" s="525">
        <f>'US TOWERS'!G43</f>
        <v>21.075239163698498</v>
      </c>
      <c r="P15" s="279">
        <f>'US TOWERS'!H43</f>
        <v>6.3471221095444452E-2</v>
      </c>
      <c r="S15" s="88"/>
      <c r="T15" s="42"/>
      <c r="U15" s="42"/>
      <c r="V15" s="42"/>
      <c r="W15" s="42"/>
      <c r="X15" s="42"/>
      <c r="Y15" s="42"/>
      <c r="Z15" s="42"/>
      <c r="AA15" s="42"/>
    </row>
    <row r="16" spans="2:44">
      <c r="B16" s="5" t="s">
        <v>529</v>
      </c>
      <c r="C16" s="257"/>
      <c r="D16" s="529">
        <v>0</v>
      </c>
      <c r="E16" s="529">
        <v>0</v>
      </c>
      <c r="F16" s="529">
        <v>0</v>
      </c>
      <c r="G16" s="529">
        <v>0</v>
      </c>
      <c r="H16" s="247"/>
      <c r="I16" s="247"/>
      <c r="J16" s="5" t="s">
        <v>528</v>
      </c>
      <c r="L16" s="525">
        <f>'US TOWERS'!D44</f>
        <v>36.51566242451004</v>
      </c>
      <c r="M16" s="525">
        <f>'US TOWERS'!E44</f>
        <v>33.8583047236311</v>
      </c>
      <c r="N16" s="525">
        <f>'US TOWERS'!F44</f>
        <v>30.682824288938619</v>
      </c>
      <c r="O16" s="525">
        <f>'US TOWERS'!G44</f>
        <v>25.895139427993158</v>
      </c>
      <c r="P16" s="279">
        <f>'US TOWERS'!H44</f>
        <v>0.1053428450222762</v>
      </c>
      <c r="S16" s="88"/>
      <c r="T16" s="42"/>
      <c r="U16" s="42"/>
      <c r="V16" s="42"/>
      <c r="W16" s="42"/>
      <c r="X16" s="42"/>
      <c r="Y16" s="42"/>
      <c r="Z16" s="42"/>
      <c r="AA16" s="42"/>
    </row>
    <row r="17" spans="2:27">
      <c r="B17" s="5" t="s">
        <v>6</v>
      </c>
      <c r="C17" s="257"/>
      <c r="D17" s="529">
        <v>528.55199756305979</v>
      </c>
      <c r="E17" s="529">
        <v>528.55199756305979</v>
      </c>
      <c r="F17" s="529">
        <v>528.55199756305979</v>
      </c>
      <c r="G17" s="529">
        <v>520.90143247519075</v>
      </c>
      <c r="H17" s="247"/>
      <c r="I17" s="247"/>
      <c r="J17" s="5" t="s">
        <v>575</v>
      </c>
      <c r="L17" s="525">
        <f>'US TOWERS'!D45</f>
        <v>3.2063535452362318E-2</v>
      </c>
      <c r="M17" s="525">
        <f>'US TOWERS'!E45</f>
        <v>4.6151912053218884E-2</v>
      </c>
      <c r="N17" s="525">
        <f>'US TOWERS'!F45</f>
        <v>4.9715665478411129E-2</v>
      </c>
      <c r="O17" s="525">
        <f>'US TOWERS'!G45</f>
        <v>5.3019276050279021E-2</v>
      </c>
      <c r="P17" s="279">
        <f>'US TOWERS'!H45</f>
        <v>0.16560344677482641</v>
      </c>
      <c r="S17" s="88"/>
      <c r="T17" s="42"/>
      <c r="U17" s="42"/>
      <c r="V17" s="42"/>
      <c r="W17" s="42"/>
      <c r="X17" s="42"/>
      <c r="Y17" s="42"/>
      <c r="Z17" s="42"/>
      <c r="AA17" s="42"/>
    </row>
    <row r="18" spans="2:27" ht="12.6" thickBot="1">
      <c r="B18" s="41" t="s">
        <v>513</v>
      </c>
      <c r="C18" s="249"/>
      <c r="D18" s="530">
        <f>D11+D12+D13-D14+D15-D16-D17</f>
        <v>37960.980832914604</v>
      </c>
      <c r="E18" s="530">
        <f>E11+E12+E13-E14+E15-E16-E17</f>
        <v>37960.980832914604</v>
      </c>
      <c r="F18" s="530">
        <f>F11+F12+F13-F14+F15-F16-F17</f>
        <v>37960.980832914604</v>
      </c>
      <c r="G18" s="530">
        <f>G11+G12+G13-G14+G15-G16-G17</f>
        <v>37968.631398002472</v>
      </c>
      <c r="H18" s="276">
        <f>IF(D18=0,"nm",IF(G18=0,"nm",(G18/D18)^(1/3)-1))</f>
        <v>6.7174688488824685E-5</v>
      </c>
      <c r="I18" s="254"/>
      <c r="J18" s="5" t="s">
        <v>36</v>
      </c>
      <c r="L18" s="525">
        <f>'US TOWERS'!D46</f>
        <v>2.8537414385636919E-2</v>
      </c>
      <c r="M18" s="525">
        <f>'US TOWERS'!E46</f>
        <v>8.6563762902990948E-2</v>
      </c>
      <c r="N18" s="525">
        <f>'US TOWERS'!F46</f>
        <v>8.5442855274594054E-2</v>
      </c>
      <c r="O18" s="525">
        <f>'US TOWERS'!G46</f>
        <v>9.752950113893015E-2</v>
      </c>
      <c r="P18" s="279">
        <f>'US TOWERS'!H46</f>
        <v>0.48474027103495088</v>
      </c>
      <c r="S18" s="88"/>
      <c r="T18" s="42"/>
      <c r="U18" s="42"/>
      <c r="V18" s="42"/>
      <c r="W18" s="42"/>
      <c r="X18" s="42"/>
      <c r="Y18" s="42"/>
      <c r="Z18" s="42"/>
      <c r="AA18" s="42"/>
    </row>
    <row r="19" spans="2:27" ht="12.6" thickTop="1">
      <c r="B19" s="41"/>
      <c r="C19" s="249"/>
      <c r="D19" s="229"/>
      <c r="E19" s="229"/>
      <c r="F19" s="229"/>
      <c r="G19" s="229"/>
      <c r="H19" s="276"/>
      <c r="I19" s="254"/>
      <c r="J19" s="5" t="s">
        <v>576</v>
      </c>
      <c r="L19" s="525">
        <f>'US TOWERS'!D47</f>
        <v>3.7781600029207663E-2</v>
      </c>
      <c r="M19" s="525">
        <f>'US TOWERS'!E47</f>
        <v>4.0260722544660357E-2</v>
      </c>
      <c r="N19" s="525">
        <f>'US TOWERS'!F47</f>
        <v>4.2650051682166776E-2</v>
      </c>
      <c r="O19" s="525">
        <f>'US TOWERS'!G47</f>
        <v>4.7449046354001601E-2</v>
      </c>
      <c r="P19" s="279">
        <f>'US TOWERS'!H47</f>
        <v>6.3471221095444452E-2</v>
      </c>
      <c r="S19" s="88"/>
      <c r="T19" s="42"/>
      <c r="U19" s="42"/>
      <c r="V19" s="42"/>
      <c r="W19" s="42"/>
      <c r="X19" s="42"/>
      <c r="Y19" s="42"/>
      <c r="Z19" s="42"/>
      <c r="AA19" s="42"/>
    </row>
    <row r="20" spans="2:27">
      <c r="H20" s="277"/>
      <c r="I20" s="17"/>
      <c r="J20" s="5" t="s">
        <v>599</v>
      </c>
      <c r="L20" s="548">
        <f>'US TOWERS'!D48</f>
        <v>0.84865477977573978</v>
      </c>
      <c r="M20" s="548">
        <f>'US TOWERS'!E48</f>
        <v>1.1463259756956312</v>
      </c>
      <c r="N20" s="548">
        <f>'US TOWERS'!F48</f>
        <v>1.1656648355059014</v>
      </c>
      <c r="O20" s="548">
        <f>'US TOWERS'!G48</f>
        <v>1.1173939230457823</v>
      </c>
      <c r="P20" s="279" t="str">
        <f>'US TOWERS'!H48</f>
        <v>nm</v>
      </c>
      <c r="S20" s="88"/>
      <c r="T20" s="42"/>
      <c r="U20" s="42"/>
      <c r="V20" s="42"/>
      <c r="W20" s="42"/>
      <c r="X20" s="42"/>
      <c r="Y20" s="42"/>
      <c r="Z20" s="42"/>
      <c r="AA20" s="42"/>
    </row>
    <row r="21" spans="2:27" ht="12.6" thickBot="1">
      <c r="B21" s="306" t="s">
        <v>916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2633.4539999999997</v>
      </c>
      <c r="D23" s="529">
        <v>2710.7335905255736</v>
      </c>
      <c r="E23" s="529">
        <v>2856.4837522351918</v>
      </c>
      <c r="F23" s="529">
        <v>3001.5270632225611</v>
      </c>
      <c r="G23" s="529">
        <v>2922.8641103756295</v>
      </c>
      <c r="H23" s="279">
        <f t="shared" ref="H23:H32" si="3">IF(D23=0,"nm",IF(G23=0,"nm",(G23/D23)^(1/3)-1))</f>
        <v>2.5432935794639455E-2</v>
      </c>
      <c r="I23" s="247"/>
      <c r="J23" s="306" t="s">
        <v>9</v>
      </c>
      <c r="K23" s="306"/>
      <c r="L23" s="265" t="str">
        <f>L5</f>
        <v>2023E</v>
      </c>
      <c r="M23" s="265" t="str">
        <f t="shared" ref="M23:P23" si="4">M5</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1768.9860000000001</v>
      </c>
      <c r="D24" s="529">
        <v>1872.7382492151698</v>
      </c>
      <c r="E24" s="529">
        <v>1979.788166988835</v>
      </c>
      <c r="F24" s="529">
        <v>2074.3038302693117</v>
      </c>
      <c r="G24" s="529">
        <v>2072.8056701724236</v>
      </c>
      <c r="H24" s="279">
        <f t="shared" si="3"/>
        <v>3.4412680489974479E-2</v>
      </c>
      <c r="I24" s="249"/>
      <c r="J24" s="17"/>
      <c r="K24" s="17"/>
      <c r="L24" s="17"/>
      <c r="M24" s="17"/>
      <c r="N24" s="17"/>
      <c r="O24" s="248"/>
      <c r="S24" s="88"/>
      <c r="T24" s="42"/>
      <c r="U24" s="42"/>
      <c r="V24" s="42"/>
      <c r="W24" s="42" t="s">
        <v>705</v>
      </c>
      <c r="X24" s="42" t="s">
        <v>698</v>
      </c>
      <c r="Y24" s="42"/>
      <c r="Z24" s="42"/>
      <c r="AA24" s="42"/>
    </row>
    <row r="25" spans="2:27">
      <c r="B25" s="5" t="s">
        <v>179</v>
      </c>
      <c r="C25" s="544">
        <v>1554.5430000000001</v>
      </c>
      <c r="D25" s="529">
        <v>1583.6515160510803</v>
      </c>
      <c r="E25" s="529">
        <v>1630.0347165124867</v>
      </c>
      <c r="F25" s="529">
        <v>1716.3843892110153</v>
      </c>
      <c r="G25" s="529">
        <v>1717.8811918304505</v>
      </c>
      <c r="H25" s="279">
        <f t="shared" si="3"/>
        <v>2.7490546146475392E-2</v>
      </c>
      <c r="I25" s="248"/>
      <c r="J25" s="247" t="s">
        <v>10</v>
      </c>
      <c r="K25" s="247"/>
      <c r="L25" s="321">
        <v>0</v>
      </c>
      <c r="M25" s="321">
        <v>0</v>
      </c>
      <c r="N25" s="321">
        <v>0</v>
      </c>
      <c r="O25" s="321">
        <v>0</v>
      </c>
      <c r="P25" s="279" t="str">
        <f>IF(L25=0,"nm",IF(O25=0,"nm",(O25/L25)^(1/3)-1))</f>
        <v>nm</v>
      </c>
      <c r="S25" s="88"/>
      <c r="T25" s="42"/>
      <c r="U25" s="42"/>
      <c r="V25" s="147" t="s">
        <v>268</v>
      </c>
      <c r="W25" s="288">
        <f>D37/L9</f>
        <v>1.1952318573258627</v>
      </c>
      <c r="X25" s="288">
        <v>1</v>
      </c>
      <c r="Y25" s="42"/>
      <c r="Z25" s="42"/>
      <c r="AA25" s="42"/>
    </row>
    <row r="26" spans="2:27">
      <c r="B26" s="5" t="s">
        <v>581</v>
      </c>
      <c r="C26" s="544">
        <v>1399.0887000000002</v>
      </c>
      <c r="D26" s="529">
        <v>1425.2863644459724</v>
      </c>
      <c r="E26" s="529">
        <v>1467.0312448612381</v>
      </c>
      <c r="F26" s="529">
        <v>1544.7459502899139</v>
      </c>
      <c r="G26" s="529">
        <v>1546.0930726474055</v>
      </c>
      <c r="H26" s="279">
        <f>IF(D26=0,"nm",IF(G26=0,"nm",(G26/D26)^(1/3)-1))</f>
        <v>2.7490546146475392E-2</v>
      </c>
      <c r="I26" s="249"/>
      <c r="J26" s="249" t="s">
        <v>11</v>
      </c>
      <c r="K26" s="249"/>
      <c r="L26" s="281">
        <f>D11+L25</f>
        <v>30077.924830477663</v>
      </c>
      <c r="M26" s="281">
        <f>E11+M25</f>
        <v>30077.924830477663</v>
      </c>
      <c r="N26" s="281">
        <f>F11+N25</f>
        <v>30077.924830477663</v>
      </c>
      <c r="O26" s="281">
        <f>G11+O25</f>
        <v>30077.924830477663</v>
      </c>
      <c r="P26" s="279">
        <f>IF(L26=0,"nm",IF(O26=0,"nm",(O26/L26)^(1/3)-1))</f>
        <v>0</v>
      </c>
      <c r="Q26" s="5"/>
      <c r="S26" s="88"/>
      <c r="T26" s="42"/>
      <c r="U26" s="42"/>
      <c r="V26" s="147" t="s">
        <v>180</v>
      </c>
      <c r="W26" s="288">
        <f t="shared" ref="W26:W33" si="5">D38/L10</f>
        <v>1.1048378966603247</v>
      </c>
      <c r="X26" s="288">
        <v>1</v>
      </c>
      <c r="Y26" s="42"/>
      <c r="Z26" s="42"/>
      <c r="AA26" s="42"/>
    </row>
    <row r="27" spans="2:27">
      <c r="B27" s="5" t="s">
        <v>582</v>
      </c>
      <c r="C27" s="545">
        <v>3167.0280000000002</v>
      </c>
      <c r="D27" s="529">
        <v>3126.1382815884408</v>
      </c>
      <c r="E27" s="529">
        <v>1457.0764235115857</v>
      </c>
      <c r="F27" s="529">
        <v>302.93625986688585</v>
      </c>
      <c r="G27" s="529">
        <v>-209.53757871161542</v>
      </c>
      <c r="H27" s="279">
        <f t="shared" si="3"/>
        <v>-1.4062105938549376</v>
      </c>
      <c r="I27" s="249"/>
      <c r="J27" s="248"/>
      <c r="K27" s="248"/>
      <c r="L27" s="248"/>
      <c r="M27" s="248"/>
      <c r="N27" s="248"/>
      <c r="O27" s="248"/>
      <c r="Q27" s="41"/>
      <c r="S27" s="88"/>
      <c r="T27" s="42"/>
      <c r="U27" s="42"/>
      <c r="V27" s="147" t="s">
        <v>181</v>
      </c>
      <c r="W27" s="288">
        <f t="shared" si="5"/>
        <v>0.95708444036027907</v>
      </c>
      <c r="X27" s="288">
        <v>1</v>
      </c>
      <c r="Y27" s="42"/>
      <c r="Z27" s="42"/>
      <c r="AA27" s="42"/>
    </row>
    <row r="28" spans="2:27">
      <c r="B28" s="5" t="s">
        <v>587</v>
      </c>
      <c r="C28" s="544">
        <v>2713.7269999999999</v>
      </c>
      <c r="D28" s="529">
        <v>2747.4187799342699</v>
      </c>
      <c r="E28" s="529">
        <v>3152.1598619073079</v>
      </c>
      <c r="F28" s="529">
        <v>3551.7487282376392</v>
      </c>
      <c r="G28" s="529">
        <v>2152.1000569492712</v>
      </c>
      <c r="H28" s="279">
        <f t="shared" si="3"/>
        <v>-7.8180553884486526E-2</v>
      </c>
      <c r="I28" s="248"/>
      <c r="Q28" s="5"/>
      <c r="S28" s="88"/>
      <c r="T28" s="42"/>
      <c r="U28" s="42"/>
      <c r="V28" s="147" t="s">
        <v>461</v>
      </c>
      <c r="W28" s="288">
        <f t="shared" si="5"/>
        <v>0.95708444036027907</v>
      </c>
      <c r="X28" s="288">
        <v>1</v>
      </c>
      <c r="Y28" s="42"/>
      <c r="Z28" s="42"/>
      <c r="AA28" s="42"/>
    </row>
    <row r="29" spans="2:27" ht="12.6" thickBot="1">
      <c r="B29" s="5" t="s">
        <v>583</v>
      </c>
      <c r="C29" s="544">
        <v>1134.748</v>
      </c>
      <c r="D29" s="529">
        <v>1092.2561706880099</v>
      </c>
      <c r="E29" s="529">
        <v>1116.9512991503798</v>
      </c>
      <c r="F29" s="529">
        <v>1062.8056765339429</v>
      </c>
      <c r="G29" s="529">
        <v>1083.7814779765372</v>
      </c>
      <c r="H29" s="279">
        <f t="shared" si="3"/>
        <v>-2.5930137303528111E-3</v>
      </c>
      <c r="I29" s="252"/>
      <c r="J29" s="306" t="s">
        <v>1353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525</v>
      </c>
      <c r="W29" s="288">
        <f t="shared" si="5"/>
        <v>3.9225874755288528</v>
      </c>
      <c r="X29" s="288">
        <v>1</v>
      </c>
      <c r="Y29" s="42"/>
      <c r="Z29" s="42"/>
      <c r="AA29" s="42"/>
    </row>
    <row r="30" spans="2:27" ht="12.6" thickTop="1">
      <c r="B30" s="5" t="s">
        <v>584</v>
      </c>
      <c r="C30" s="545">
        <v>641.61500000000001</v>
      </c>
      <c r="D30" s="529">
        <v>681.51427069885779</v>
      </c>
      <c r="E30" s="529">
        <v>758.30785919182449</v>
      </c>
      <c r="F30" s="529">
        <v>708.72371113696352</v>
      </c>
      <c r="G30" s="529">
        <v>790.48522233190795</v>
      </c>
      <c r="H30" s="279">
        <f t="shared" si="3"/>
        <v>5.0685971571733379E-2</v>
      </c>
      <c r="I30" s="254"/>
      <c r="J30" s="248"/>
      <c r="K30" s="248"/>
      <c r="L30" s="248"/>
      <c r="M30" s="248"/>
      <c r="N30" s="248"/>
      <c r="O30" s="5"/>
      <c r="Q30" s="5"/>
      <c r="S30" s="88"/>
      <c r="T30" s="42"/>
      <c r="U30" s="42"/>
      <c r="V30" s="147" t="s">
        <v>588</v>
      </c>
      <c r="W30" s="288">
        <f t="shared" si="5"/>
        <v>2.1053802788070581</v>
      </c>
      <c r="X30" s="288">
        <v>1</v>
      </c>
      <c r="Y30" s="42"/>
      <c r="Z30" s="42"/>
      <c r="AA30" s="42"/>
    </row>
    <row r="31" spans="2:27">
      <c r="B31" s="5" t="s">
        <v>585</v>
      </c>
      <c r="C31" s="545">
        <v>306.76599999999996</v>
      </c>
      <c r="D31" s="529">
        <v>374.59631898135274</v>
      </c>
      <c r="E31" s="529">
        <v>441.4781781524635</v>
      </c>
      <c r="F31" s="529">
        <v>487.61906324941845</v>
      </c>
      <c r="G31" s="529">
        <v>500.58968521138905</v>
      </c>
      <c r="H31" s="279">
        <f t="shared" si="3"/>
        <v>0.10147031450609711</v>
      </c>
      <c r="I31" s="254"/>
      <c r="J31" s="5" t="s">
        <v>731</v>
      </c>
      <c r="K31" s="247"/>
      <c r="L31" s="322">
        <v>33477.564951384637</v>
      </c>
      <c r="M31" s="322">
        <v>34766.656375767634</v>
      </c>
      <c r="N31" s="322">
        <v>36049.680681114653</v>
      </c>
      <c r="O31" s="322">
        <v>36049.680681114653</v>
      </c>
      <c r="Q31" s="5"/>
      <c r="S31" s="88"/>
      <c r="T31" s="42"/>
      <c r="U31" s="42"/>
      <c r="V31" s="147" t="s">
        <v>470</v>
      </c>
      <c r="W31" s="288">
        <f t="shared" si="5"/>
        <v>1.0404080619090206</v>
      </c>
      <c r="X31" s="288">
        <v>1</v>
      </c>
      <c r="Y31" s="42"/>
      <c r="Z31" s="42"/>
      <c r="AA31" s="42"/>
    </row>
    <row r="32" spans="2:27">
      <c r="B32" s="5" t="s">
        <v>601</v>
      </c>
      <c r="C32" s="546">
        <v>431.66699999999997</v>
      </c>
      <c r="D32" s="529">
        <v>120.82578180583124</v>
      </c>
      <c r="E32" s="529">
        <v>1791.7008624925127</v>
      </c>
      <c r="F32" s="529">
        <v>1177.9350673461249</v>
      </c>
      <c r="G32" s="529">
        <v>1983.6091663727739</v>
      </c>
      <c r="H32" s="279">
        <f t="shared" si="3"/>
        <v>1.5415510115475457</v>
      </c>
      <c r="I32" s="254"/>
      <c r="J32" s="5" t="s">
        <v>1351</v>
      </c>
      <c r="K32" s="254"/>
      <c r="L32" s="322">
        <v>63502.418477710802</v>
      </c>
      <c r="M32" s="322">
        <v>71702.982056305744</v>
      </c>
      <c r="N32" s="322">
        <v>77967.272835650947</v>
      </c>
      <c r="O32" s="322">
        <v>77967.272835650947</v>
      </c>
      <c r="Q32" s="5"/>
      <c r="S32" s="88"/>
      <c r="T32" s="42"/>
      <c r="U32" s="42"/>
      <c r="V32" s="147" t="s">
        <v>528</v>
      </c>
      <c r="W32" s="288">
        <f t="shared" si="5"/>
        <v>1.2086310073612656</v>
      </c>
      <c r="X32" s="288">
        <v>1</v>
      </c>
      <c r="Y32" s="42"/>
      <c r="Z32" s="42"/>
      <c r="AA32" s="42"/>
    </row>
    <row r="33" spans="2:27">
      <c r="B33" s="5" t="s">
        <v>5</v>
      </c>
      <c r="C33" s="545">
        <v>-389.76300000000003</v>
      </c>
      <c r="D33" s="529">
        <v>-444.68542063065678</v>
      </c>
      <c r="E33" s="529">
        <v>-495.04022740464256</v>
      </c>
      <c r="F33" s="529">
        <v>-638.14521472249544</v>
      </c>
      <c r="G33" s="529">
        <v>-602.36022846802325</v>
      </c>
      <c r="H33" s="279">
        <f>IF(D33=0,"nm",IF(G33=0,"nm",(G33/D33)^(1/3)-1))</f>
        <v>0.10645680999133544</v>
      </c>
      <c r="I33" s="5"/>
      <c r="Q33" s="5"/>
      <c r="S33" s="88"/>
      <c r="T33" s="42"/>
      <c r="U33" s="42"/>
      <c r="V33" s="147" t="s">
        <v>575</v>
      </c>
      <c r="W33" s="288">
        <f t="shared" si="5"/>
        <v>0.38842236487975751</v>
      </c>
      <c r="X33" s="288">
        <v>1</v>
      </c>
      <c r="Y33" s="42"/>
      <c r="Z33" s="42"/>
      <c r="AA33" s="42"/>
    </row>
    <row r="34" spans="2:27">
      <c r="H34" s="277"/>
      <c r="I34" s="49"/>
      <c r="J34" s="245"/>
      <c r="K34" s="245"/>
      <c r="L34" s="245"/>
      <c r="M34" s="245"/>
      <c r="N34" s="245"/>
      <c r="O34" s="251"/>
      <c r="Q34" s="5"/>
      <c r="S34" s="88"/>
      <c r="T34" s="42"/>
      <c r="U34" s="42"/>
      <c r="V34" s="147" t="s">
        <v>576</v>
      </c>
      <c r="W34" s="288">
        <f>D47/L19</f>
        <v>0.96116133333792431</v>
      </c>
      <c r="X34" s="288">
        <v>1</v>
      </c>
      <c r="Y34" s="288"/>
      <c r="Z34" s="288"/>
      <c r="AA34" s="42"/>
    </row>
    <row r="35" spans="2:27" ht="12.6" thickBot="1">
      <c r="B35" s="306" t="s">
        <v>704</v>
      </c>
      <c r="C35" s="265"/>
      <c r="D35" s="265" t="str">
        <f>D5</f>
        <v>2023E</v>
      </c>
      <c r="E35" s="265" t="str">
        <f t="shared" ref="E35:H35" si="7">E5</f>
        <v>2024E</v>
      </c>
      <c r="F35" s="265" t="str">
        <f t="shared" si="7"/>
        <v>2025E</v>
      </c>
      <c r="G35" s="265" t="str">
        <f t="shared" si="7"/>
        <v>2026E</v>
      </c>
      <c r="H35" s="265" t="str">
        <f t="shared" si="7"/>
        <v>23E-26E</v>
      </c>
      <c r="I35" s="254"/>
      <c r="J35" s="306" t="s">
        <v>1352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D$18/D23</f>
        <v>14.003951168640846</v>
      </c>
      <c r="E37" s="525">
        <f t="shared" ref="E37:G41" si="8">E$18/E23</f>
        <v>13.289408981658035</v>
      </c>
      <c r="F37" s="525">
        <f t="shared" si="8"/>
        <v>12.647222574817684</v>
      </c>
      <c r="G37" s="525">
        <f t="shared" si="8"/>
        <v>12.990214380210432</v>
      </c>
      <c r="H37" s="17">
        <f t="shared" ref="H37:H45" si="9">H23</f>
        <v>2.5432935794639455E-2</v>
      </c>
      <c r="I37" s="5"/>
      <c r="J37" s="248"/>
      <c r="K37" s="248"/>
      <c r="L37" s="248"/>
      <c r="M37" s="248"/>
      <c r="N37" s="248"/>
      <c r="O37" s="5"/>
      <c r="Q37" s="5"/>
      <c r="R37" s="5"/>
      <c r="S37" s="42"/>
      <c r="T37" s="42"/>
      <c r="U37" s="42"/>
      <c r="V37" s="42"/>
      <c r="W37" s="42"/>
      <c r="X37" s="42"/>
      <c r="Y37" s="42"/>
      <c r="Z37" s="42"/>
      <c r="AA37" s="42"/>
    </row>
    <row r="38" spans="2:27">
      <c r="B38" s="5" t="s">
        <v>180</v>
      </c>
      <c r="C38" s="247"/>
      <c r="D38" s="525">
        <f>D$18/D24</f>
        <v>20.270307849387574</v>
      </c>
      <c r="E38" s="525">
        <f t="shared" si="8"/>
        <v>19.174263926757114</v>
      </c>
      <c r="F38" s="525">
        <f t="shared" si="8"/>
        <v>18.300588505390767</v>
      </c>
      <c r="G38" s="525">
        <f t="shared" si="8"/>
        <v>18.317506529613123</v>
      </c>
      <c r="H38" s="17">
        <f t="shared" si="9"/>
        <v>3.4412680489974479E-2</v>
      </c>
      <c r="I38" s="259"/>
      <c r="J38" s="252"/>
      <c r="K38" s="252"/>
      <c r="L38" s="252"/>
      <c r="M38" s="252"/>
      <c r="N38" s="252"/>
      <c r="O38" s="5"/>
      <c r="Q38" s="5"/>
      <c r="R38" s="5"/>
      <c r="S38" s="42"/>
      <c r="T38" s="42"/>
      <c r="U38" s="42"/>
      <c r="V38" s="42"/>
      <c r="W38" s="42"/>
      <c r="X38" s="42"/>
      <c r="Y38" s="42"/>
      <c r="Z38" s="42"/>
      <c r="AA38" s="42"/>
    </row>
    <row r="39" spans="2:27">
      <c r="B39" s="5" t="s">
        <v>181</v>
      </c>
      <c r="C39" s="247"/>
      <c r="D39" s="525">
        <f>D$18/D25</f>
        <v>23.970539255740011</v>
      </c>
      <c r="E39" s="525">
        <f t="shared" si="8"/>
        <v>23.288449287836876</v>
      </c>
      <c r="F39" s="525">
        <f t="shared" si="8"/>
        <v>22.116829465201814</v>
      </c>
      <c r="G39" s="525">
        <f t="shared" si="8"/>
        <v>22.102012396762916</v>
      </c>
      <c r="H39" s="17">
        <f t="shared" si="9"/>
        <v>2.7490546146475392E-2</v>
      </c>
      <c r="I39" s="17"/>
      <c r="J39" s="259"/>
      <c r="K39" s="259"/>
      <c r="L39" s="259"/>
      <c r="M39" s="259"/>
      <c r="N39" s="259"/>
      <c r="O39" s="18"/>
      <c r="Q39" s="5"/>
      <c r="R39" s="5"/>
      <c r="S39" s="42"/>
      <c r="T39" s="42"/>
      <c r="U39" s="42"/>
      <c r="V39" s="42"/>
      <c r="W39" s="42"/>
      <c r="X39" s="42"/>
      <c r="Y39" s="42"/>
      <c r="Z39" s="42"/>
      <c r="AA39" s="42"/>
    </row>
    <row r="40" spans="2:27">
      <c r="B40" s="5" t="s">
        <v>461</v>
      </c>
      <c r="C40" s="247"/>
      <c r="D40" s="525">
        <f>D$18/D26</f>
        <v>26.633932506377789</v>
      </c>
      <c r="E40" s="525">
        <f t="shared" si="8"/>
        <v>25.876054764263195</v>
      </c>
      <c r="F40" s="525">
        <f t="shared" si="8"/>
        <v>24.574254961335349</v>
      </c>
      <c r="G40" s="525">
        <f t="shared" si="8"/>
        <v>24.557791551958797</v>
      </c>
      <c r="H40" s="17">
        <f t="shared" si="9"/>
        <v>2.7490546146475392E-2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12.143090744413911</v>
      </c>
      <c r="E41" s="525">
        <f t="shared" si="8"/>
        <v>26.052841306311041</v>
      </c>
      <c r="F41" s="525">
        <f t="shared" si="8"/>
        <v>125.31012579872464</v>
      </c>
      <c r="G41" s="525">
        <f t="shared" si="8"/>
        <v>-181.20201460501906</v>
      </c>
      <c r="H41" s="17">
        <f t="shared" si="9"/>
        <v>-1.4062105938549376</v>
      </c>
      <c r="I41" s="247"/>
      <c r="J41" s="259"/>
      <c r="K41" s="259"/>
      <c r="L41" s="259"/>
      <c r="M41" s="259"/>
      <c r="N41" s="259"/>
      <c r="O41" s="18"/>
      <c r="Q41" s="5"/>
      <c r="R41" s="5"/>
      <c r="S41" s="42"/>
      <c r="T41" s="42"/>
      <c r="U41" s="42"/>
      <c r="V41" s="42"/>
      <c r="W41" s="288"/>
      <c r="X41" s="288"/>
      <c r="Y41" s="288"/>
      <c r="Z41" s="288"/>
      <c r="AA41" s="42"/>
    </row>
    <row r="42" spans="2:27">
      <c r="B42" s="5" t="s">
        <v>588</v>
      </c>
      <c r="C42" s="247"/>
      <c r="D42" s="525">
        <f>D18/D28</f>
        <v>13.816961982702468</v>
      </c>
      <c r="E42" s="525">
        <f>E18/E28</f>
        <v>12.042847601626773</v>
      </c>
      <c r="F42" s="525">
        <f>F18/F28</f>
        <v>10.687969149143797</v>
      </c>
      <c r="G42" s="525">
        <f>G18/G28</f>
        <v>17.642595787031038</v>
      </c>
      <c r="H42" s="17">
        <f t="shared" si="9"/>
        <v>-7.8180553884486526E-2</v>
      </c>
      <c r="I42" s="248"/>
      <c r="J42" s="5"/>
      <c r="K42" s="5"/>
      <c r="L42" s="5"/>
      <c r="M42" s="5"/>
      <c r="N42" s="5"/>
      <c r="O42" s="5"/>
      <c r="Q42" s="5"/>
      <c r="R42" s="5"/>
      <c r="S42" s="42"/>
      <c r="T42" s="42"/>
      <c r="U42" s="42"/>
      <c r="V42" s="42"/>
      <c r="W42" s="288"/>
      <c r="X42" s="288"/>
      <c r="Y42" s="288"/>
      <c r="Z42" s="288"/>
      <c r="AA42" s="42"/>
    </row>
    <row r="43" spans="2:27">
      <c r="B43" s="5" t="s">
        <v>470</v>
      </c>
      <c r="C43" s="247"/>
      <c r="D43" s="525">
        <f>L26/D29</f>
        <v>27.537427242486203</v>
      </c>
      <c r="E43" s="525">
        <f>M26/E29</f>
        <v>26.928591115258776</v>
      </c>
      <c r="F43" s="525">
        <f>N26/F29</f>
        <v>28.300493208286944</v>
      </c>
      <c r="G43" s="525">
        <f>O26/G29</f>
        <v>27.752757766846447</v>
      </c>
      <c r="H43" s="17">
        <f t="shared" si="9"/>
        <v>-2.5930137303528111E-3</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44.133961860599484</v>
      </c>
      <c r="E44" s="525">
        <f>E11/E30</f>
        <v>39.664530000432229</v>
      </c>
      <c r="F44" s="525">
        <f>F11/F30</f>
        <v>42.439563341581206</v>
      </c>
      <c r="G44" s="525">
        <f>G11/G30</f>
        <v>38.04995208101257</v>
      </c>
      <c r="H44" s="17">
        <f t="shared" si="9"/>
        <v>5.0685971571733379E-2</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1.2454194266812517E-2</v>
      </c>
      <c r="E45" s="248">
        <f>E31/E11</f>
        <v>1.4677813733516551E-2</v>
      </c>
      <c r="F45" s="248">
        <f>F31/F11</f>
        <v>1.6211858563969776E-2</v>
      </c>
      <c r="G45" s="248">
        <f>G31/G11</f>
        <v>1.6643092501652457E-2</v>
      </c>
      <c r="H45" s="17">
        <f t="shared" si="9"/>
        <v>0.10147031450609711</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1.6471285954048853E-2</v>
      </c>
      <c r="E46" s="248">
        <f>(E31+E32)/E11</f>
        <v>7.4246446629260748E-2</v>
      </c>
      <c r="F46" s="248">
        <f>(F31+F32)/F11</f>
        <v>5.53746357164858E-2</v>
      </c>
      <c r="G46" s="248">
        <f>(G31+G32)/G11</f>
        <v>8.2592095883787464E-2</v>
      </c>
      <c r="H46" s="279" t="s">
        <v>602</v>
      </c>
      <c r="I46" s="247"/>
      <c r="J46" s="5"/>
      <c r="K46" s="5"/>
      <c r="L46" s="5"/>
      <c r="M46" s="5"/>
      <c r="N46" s="5"/>
      <c r="O46" s="5"/>
      <c r="Q46" s="5"/>
      <c r="R46" s="5"/>
      <c r="S46" s="42"/>
      <c r="T46" s="42"/>
      <c r="U46" s="42"/>
      <c r="V46" s="42"/>
      <c r="W46" s="42"/>
      <c r="X46" s="42"/>
      <c r="Y46" s="42"/>
      <c r="Z46" s="42"/>
      <c r="AA46" s="326"/>
    </row>
    <row r="47" spans="2:27">
      <c r="B47" s="5" t="s">
        <v>576</v>
      </c>
      <c r="C47" s="5"/>
      <c r="D47" s="248">
        <f>1/D43</f>
        <v>3.6314213059713399E-2</v>
      </c>
      <c r="E47" s="248">
        <f>1/E43</f>
        <v>3.7135251366097709E-2</v>
      </c>
      <c r="F47" s="248">
        <f>1/F43</f>
        <v>3.5335073231415638E-2</v>
      </c>
      <c r="G47" s="248">
        <f>1/G43</f>
        <v>3.6032455167197976E-2</v>
      </c>
      <c r="H47" s="17">
        <f>H29</f>
        <v>-2.5930137303528111E-3</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0.34295646848613848</v>
      </c>
      <c r="E48" s="305">
        <f>E31/E29</f>
        <v>0.39525284449579701</v>
      </c>
      <c r="F48" s="305">
        <f>F31/F29</f>
        <v>0.45880359318333513</v>
      </c>
      <c r="G48" s="305">
        <f>G31/G29</f>
        <v>0.46189171468957907</v>
      </c>
      <c r="H48" s="279" t="s">
        <v>602</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J60" s="259"/>
      <c r="K60" s="259"/>
      <c r="L60" s="259"/>
      <c r="M60" s="259"/>
      <c r="N60" s="259"/>
      <c r="O60" s="18"/>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Q65" s="5"/>
      <c r="R65" s="5"/>
      <c r="S65" s="5"/>
    </row>
    <row r="66" spans="2:26">
      <c r="B66" s="5"/>
      <c r="C66" s="5"/>
      <c r="D66" s="17"/>
      <c r="E66" s="17"/>
      <c r="F66" s="17"/>
      <c r="G66" s="17"/>
      <c r="H66" s="17"/>
      <c r="I66" s="248"/>
      <c r="Q66" s="5"/>
      <c r="R66" s="5"/>
      <c r="S66" s="5"/>
    </row>
    <row r="67" spans="2:26">
      <c r="B67" s="41"/>
      <c r="C67" s="249"/>
      <c r="D67" s="254"/>
      <c r="E67" s="254"/>
      <c r="F67" s="254"/>
      <c r="G67" s="254"/>
      <c r="H67" s="254"/>
      <c r="I67" s="5"/>
      <c r="Q67" s="41"/>
      <c r="R67" s="5"/>
      <c r="S67" s="5"/>
    </row>
    <row r="68" spans="2:26">
      <c r="B68" s="5"/>
      <c r="C68" s="5"/>
      <c r="D68" s="248"/>
      <c r="E68" s="248"/>
      <c r="F68" s="248"/>
      <c r="G68" s="248"/>
      <c r="H68" s="248"/>
      <c r="I68" s="245"/>
      <c r="Q68" s="5"/>
      <c r="R68" s="5"/>
      <c r="S68" s="5"/>
    </row>
    <row r="69" spans="2:26">
      <c r="B69" s="41"/>
      <c r="C69" s="5"/>
      <c r="D69" s="5"/>
      <c r="E69" s="5"/>
      <c r="F69" s="5"/>
      <c r="G69" s="5"/>
      <c r="H69" s="5"/>
      <c r="I69" s="248"/>
      <c r="Q69" s="5"/>
      <c r="R69" s="5"/>
      <c r="S69" s="5"/>
    </row>
    <row r="70" spans="2:26">
      <c r="B70" s="41"/>
      <c r="C70" s="245"/>
      <c r="D70" s="245"/>
      <c r="E70" s="245"/>
      <c r="F70" s="245"/>
      <c r="G70" s="245"/>
      <c r="H70" s="245"/>
      <c r="I70" s="5"/>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3">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1038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964</v>
      </c>
      <c r="C9" s="285">
        <f>Prices!C65</f>
        <v>1996</v>
      </c>
      <c r="D9" s="529">
        <v>0</v>
      </c>
      <c r="E9" s="529">
        <v>0</v>
      </c>
      <c r="F9" s="529">
        <v>0</v>
      </c>
      <c r="G9" s="529">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44">
      <c r="B10" s="5" t="s">
        <v>269</v>
      </c>
      <c r="C10" s="5"/>
      <c r="D10" s="527">
        <v>4728.3987090000001</v>
      </c>
      <c r="E10" s="527">
        <v>4727.833320041771</v>
      </c>
      <c r="F10" s="527">
        <v>4726.6255998439919</v>
      </c>
      <c r="G10" s="527">
        <v>4723.0530462309052</v>
      </c>
      <c r="H10" s="249"/>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44">
      <c r="B11" s="41" t="s">
        <v>868</v>
      </c>
      <c r="C11" s="5"/>
      <c r="D11" s="528">
        <f>($C$9*D10)/1000</f>
        <v>9437.8838231639984</v>
      </c>
      <c r="E11" s="528">
        <f t="shared" ref="E11:G11" si="2">($C$9*E10)/1000</f>
        <v>9436.7553068033758</v>
      </c>
      <c r="F11" s="528">
        <f t="shared" si="2"/>
        <v>9434.3446972886086</v>
      </c>
      <c r="G11" s="528">
        <f t="shared" si="2"/>
        <v>9427.2138802768859</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44">
      <c r="B12" s="5" t="s">
        <v>24</v>
      </c>
      <c r="C12" s="249"/>
      <c r="D12" s="529">
        <v>4604.6122425575104</v>
      </c>
      <c r="E12" s="529">
        <v>4228.9208489875773</v>
      </c>
      <c r="F12" s="529">
        <v>3865.741191482985</v>
      </c>
      <c r="G12" s="529">
        <v>3434.4486316858224</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44">
      <c r="B14" s="5" t="s">
        <v>527</v>
      </c>
      <c r="C14" s="257"/>
      <c r="D14" s="529">
        <v>0</v>
      </c>
      <c r="E14" s="529">
        <f t="shared" ref="E14:G15" si="3">D14</f>
        <v>0</v>
      </c>
      <c r="F14" s="529">
        <f t="shared" si="3"/>
        <v>0</v>
      </c>
      <c r="G14" s="529">
        <f t="shared" si="3"/>
        <v>0</v>
      </c>
      <c r="H14" s="249"/>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44">
      <c r="B15" s="5" t="s">
        <v>526</v>
      </c>
      <c r="C15" s="274"/>
      <c r="D15" s="529">
        <v>0</v>
      </c>
      <c r="E15" s="529">
        <f t="shared" si="3"/>
        <v>0</v>
      </c>
      <c r="F15" s="529">
        <f t="shared" si="3"/>
        <v>0</v>
      </c>
      <c r="G15" s="529">
        <f t="shared" si="3"/>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44">
      <c r="B16" s="5" t="s">
        <v>529</v>
      </c>
      <c r="C16" s="257"/>
      <c r="D16" s="529">
        <v>0</v>
      </c>
      <c r="E16" s="529">
        <v>0</v>
      </c>
      <c r="F16" s="529">
        <v>415.94305278627132</v>
      </c>
      <c r="G16" s="529">
        <v>897.05157745449924</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1048</v>
      </c>
      <c r="C18" s="249"/>
      <c r="D18" s="530">
        <f>D11+D12+D13-SBKK!D14+D15-D16-D17</f>
        <v>14042.496065721509</v>
      </c>
      <c r="E18" s="530">
        <f>E11+E12+E13-E14+E15-E16-E17</f>
        <v>13665.676155790952</v>
      </c>
      <c r="F18" s="530">
        <f>F11+F12+F13-F14+F15-F16-F17</f>
        <v>12884.142835985322</v>
      </c>
      <c r="G18" s="530">
        <f>G11+G12+G13-G14+G15-G16-G17</f>
        <v>11964.610934508208</v>
      </c>
      <c r="H18" s="276">
        <f>IF(D18=0,"nm",IF(G18=0,"nm",(G18/D18)^(1/3)-1))</f>
        <v>-5.1978711222539054E-2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965</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5912</v>
      </c>
      <c r="D23" s="536">
        <v>6084</v>
      </c>
      <c r="E23" s="536">
        <v>6175.0475652737096</v>
      </c>
      <c r="F23" s="536">
        <v>6805.3994065955212</v>
      </c>
      <c r="G23" s="536">
        <v>7198.62166538355</v>
      </c>
      <c r="H23" s="279">
        <f t="shared" ref="H23:H32" si="5">IF(D23=0,"nm",IF(G23=0,"nm",(G23/D23)^(1/3)-1))</f>
        <v>5.7677781439682718E-2</v>
      </c>
      <c r="I23" s="247"/>
      <c r="J23" s="306" t="s">
        <v>9</v>
      </c>
      <c r="K23" s="306"/>
      <c r="L23" s="265" t="str">
        <f>D21</f>
        <v>2023E</v>
      </c>
      <c r="M23" s="265" t="str">
        <f t="shared" ref="M23:P23" si="6">E21</f>
        <v>2024E</v>
      </c>
      <c r="N23" s="265" t="str">
        <f t="shared" si="6"/>
        <v>2025E</v>
      </c>
      <c r="O23" s="265" t="str">
        <f t="shared" si="6"/>
        <v>2026E</v>
      </c>
      <c r="P23" s="265" t="str">
        <f t="shared" si="6"/>
        <v>23E-26E</v>
      </c>
      <c r="S23" s="88"/>
      <c r="T23" s="42"/>
      <c r="U23" s="42"/>
      <c r="V23" s="42"/>
      <c r="W23" s="42"/>
      <c r="X23" s="42"/>
      <c r="Y23" s="42"/>
      <c r="Z23" s="42"/>
      <c r="AA23" s="42"/>
    </row>
    <row r="24" spans="2:27" ht="12.6" thickTop="1">
      <c r="B24" s="5" t="s">
        <v>478</v>
      </c>
      <c r="C24" s="545">
        <v>1566.3999999999999</v>
      </c>
      <c r="D24" s="536">
        <v>1667.6</v>
      </c>
      <c r="E24" s="536">
        <v>1633.4716448864649</v>
      </c>
      <c r="F24" s="536">
        <v>1829.5208000489729</v>
      </c>
      <c r="G24" s="536">
        <v>1947.8072761757173</v>
      </c>
      <c r="H24" s="279">
        <f t="shared" si="5"/>
        <v>5.3136582832464141E-2</v>
      </c>
      <c r="I24" s="249"/>
      <c r="J24" s="17"/>
      <c r="K24" s="17"/>
      <c r="L24" s="17"/>
      <c r="M24" s="17"/>
      <c r="N24" s="17"/>
      <c r="O24" s="248"/>
      <c r="S24" s="88"/>
      <c r="T24" s="42"/>
      <c r="U24" s="42"/>
      <c r="V24" s="42"/>
      <c r="W24" s="42" t="s">
        <v>1036</v>
      </c>
      <c r="X24" s="42" t="s">
        <v>252</v>
      </c>
      <c r="Y24" s="42"/>
      <c r="Z24" s="42"/>
      <c r="AA24" s="42"/>
    </row>
    <row r="25" spans="2:27">
      <c r="B25" s="5" t="s">
        <v>179</v>
      </c>
      <c r="C25" s="544">
        <v>958.89999999999986</v>
      </c>
      <c r="D25" s="536">
        <v>1115.3999999999999</v>
      </c>
      <c r="E25" s="536">
        <v>1107.790755810312</v>
      </c>
      <c r="F25" s="536">
        <v>1297.5558665190124</v>
      </c>
      <c r="G25" s="536">
        <v>1409.2440959692585</v>
      </c>
      <c r="H25" s="279">
        <f t="shared" si="5"/>
        <v>8.1065134929867E-2</v>
      </c>
      <c r="I25" s="248"/>
      <c r="J25" s="247" t="s">
        <v>10</v>
      </c>
      <c r="K25" s="247"/>
      <c r="L25" s="321">
        <v>0</v>
      </c>
      <c r="M25" s="321">
        <v>0</v>
      </c>
      <c r="N25" s="321">
        <v>0</v>
      </c>
      <c r="O25" s="321">
        <v>0</v>
      </c>
      <c r="P25" s="279" t="str">
        <f>IF(L25=0,"nm",IF(O25=0,"nm",(O25/L25)^(1/3)-1))</f>
        <v>nm</v>
      </c>
      <c r="S25" s="88"/>
      <c r="T25" s="42"/>
      <c r="U25" s="42"/>
      <c r="V25" s="147" t="s">
        <v>268</v>
      </c>
      <c r="W25" s="288">
        <f>D37/L9</f>
        <v>1.072128250408739</v>
      </c>
      <c r="X25" s="288">
        <v>1</v>
      </c>
      <c r="Y25" s="42"/>
      <c r="Z25" s="42"/>
      <c r="AA25" s="42"/>
    </row>
    <row r="26" spans="2:27">
      <c r="B26" s="5" t="s">
        <v>581</v>
      </c>
      <c r="C26" s="544">
        <v>693.23799999999983</v>
      </c>
      <c r="D26" s="536">
        <v>899.75299999999993</v>
      </c>
      <c r="E26" s="536">
        <v>877.33101810118274</v>
      </c>
      <c r="F26" s="536">
        <v>1003.5403447525341</v>
      </c>
      <c r="G26" s="536">
        <v>1064.141268607566</v>
      </c>
      <c r="H26" s="279">
        <f t="shared" si="5"/>
        <v>5.7528290374474933E-2</v>
      </c>
      <c r="I26" s="249"/>
      <c r="J26" s="249" t="s">
        <v>11</v>
      </c>
      <c r="K26" s="249"/>
      <c r="L26" s="281">
        <f>D11+L25</f>
        <v>9437.8838231639984</v>
      </c>
      <c r="M26" s="281">
        <f>E11+M25</f>
        <v>9436.7553068033758</v>
      </c>
      <c r="N26" s="281">
        <f>F11+N25</f>
        <v>9434.3446972886086</v>
      </c>
      <c r="O26" s="281">
        <f>G11+O25</f>
        <v>9427.2138802768859</v>
      </c>
      <c r="P26" s="279">
        <f>IF(L26=0,"nm",IF(O26=0,"nm",(O26/L26)^(1/3)-1))</f>
        <v>-3.7699010219915952E-4</v>
      </c>
      <c r="Q26" s="5"/>
      <c r="S26" s="88"/>
      <c r="T26" s="42"/>
      <c r="U26" s="42"/>
      <c r="V26" s="147" t="s">
        <v>180</v>
      </c>
      <c r="W26" s="288">
        <f t="shared" ref="W26:W33" si="7">D38/L10</f>
        <v>1.2764247014788779</v>
      </c>
      <c r="X26" s="288">
        <v>1</v>
      </c>
      <c r="Y26" s="42"/>
      <c r="Z26" s="42"/>
      <c r="AA26" s="42"/>
    </row>
    <row r="27" spans="2:27">
      <c r="B27" s="5" t="s">
        <v>582</v>
      </c>
      <c r="C27" s="545">
        <v>4469.8130000000001</v>
      </c>
      <c r="D27" s="536">
        <v>4604.6122425575104</v>
      </c>
      <c r="E27" s="536">
        <v>4228.9208489875773</v>
      </c>
      <c r="F27" s="536">
        <v>3865.741191482985</v>
      </c>
      <c r="G27" s="536">
        <v>3434.4486316858224</v>
      </c>
      <c r="H27" s="279">
        <f t="shared" si="5"/>
        <v>-9.3109915085966555E-2</v>
      </c>
      <c r="I27" s="249"/>
      <c r="J27" s="248"/>
      <c r="K27" s="248"/>
      <c r="L27" s="248"/>
      <c r="M27" s="248"/>
      <c r="N27" s="248"/>
      <c r="O27" s="248"/>
      <c r="Q27" s="41"/>
      <c r="S27" s="88"/>
      <c r="T27" s="42"/>
      <c r="U27" s="42"/>
      <c r="V27" s="147" t="s">
        <v>181</v>
      </c>
      <c r="W27" s="288">
        <f t="shared" si="7"/>
        <v>0.99018281680154385</v>
      </c>
      <c r="X27" s="288">
        <v>1</v>
      </c>
      <c r="Y27" s="42"/>
      <c r="Z27" s="42"/>
      <c r="AA27" s="42"/>
    </row>
    <row r="28" spans="2:27" ht="12.6" thickBot="1">
      <c r="B28" s="5" t="s">
        <v>587</v>
      </c>
      <c r="C28" s="544">
        <v>1673.7049999999999</v>
      </c>
      <c r="D28" s="536">
        <v>1580.797</v>
      </c>
      <c r="E28" s="536">
        <v>1405.8210227166096</v>
      </c>
      <c r="F28" s="536">
        <v>1217.0988852349151</v>
      </c>
      <c r="G28" s="536">
        <v>1030.1968749628536</v>
      </c>
      <c r="H28" s="279">
        <f t="shared" si="5"/>
        <v>-0.13300876212200985</v>
      </c>
      <c r="I28" s="248"/>
      <c r="J28" s="306" t="s">
        <v>1352</v>
      </c>
      <c r="K28" s="306"/>
      <c r="L28" s="306"/>
      <c r="M28" s="306"/>
      <c r="N28" s="266"/>
      <c r="O28" s="266"/>
      <c r="P28" s="266"/>
      <c r="Q28" s="5"/>
      <c r="S28" s="88"/>
      <c r="T28" s="42"/>
      <c r="U28" s="42"/>
      <c r="V28" s="147" t="s">
        <v>461</v>
      </c>
      <c r="W28" s="288">
        <f t="shared" si="7"/>
        <v>0.94277159442266201</v>
      </c>
      <c r="X28" s="288">
        <v>1</v>
      </c>
      <c r="Y28" s="42"/>
      <c r="Z28" s="42"/>
      <c r="AA28" s="42"/>
    </row>
    <row r="29" spans="2:27" ht="12.6" thickTop="1">
      <c r="B29" s="5" t="s">
        <v>583</v>
      </c>
      <c r="C29" s="544">
        <v>688.11000000000013</v>
      </c>
      <c r="D29" s="536">
        <v>680.60799999999995</v>
      </c>
      <c r="E29" s="536">
        <v>714.89093829846217</v>
      </c>
      <c r="F29" s="536">
        <v>854.83446247340123</v>
      </c>
      <c r="G29" s="536">
        <v>909.20090781468241</v>
      </c>
      <c r="H29" s="279">
        <f t="shared" si="5"/>
        <v>0.10133879344557228</v>
      </c>
      <c r="I29" s="252"/>
      <c r="J29" s="249"/>
      <c r="K29" s="249"/>
      <c r="L29" s="249"/>
      <c r="M29" s="249"/>
      <c r="N29" s="249"/>
      <c r="O29" s="251"/>
      <c r="Q29" s="5"/>
      <c r="S29" s="88"/>
      <c r="T29" s="42"/>
      <c r="U29" s="42"/>
      <c r="V29" s="147" t="s">
        <v>525</v>
      </c>
      <c r="W29" s="288">
        <f t="shared" si="7"/>
        <v>2.056587419775429</v>
      </c>
      <c r="X29" s="288">
        <v>1</v>
      </c>
      <c r="Y29" s="42"/>
      <c r="Z29" s="42"/>
      <c r="AA29" s="42"/>
    </row>
    <row r="30" spans="2:27">
      <c r="B30" s="5" t="s">
        <v>584</v>
      </c>
      <c r="C30" s="545">
        <v>531.4</v>
      </c>
      <c r="D30" s="536">
        <v>489</v>
      </c>
      <c r="E30" s="536">
        <v>516.37526841184751</v>
      </c>
      <c r="F30" s="536">
        <v>601.84054856602131</v>
      </c>
      <c r="G30" s="536">
        <v>636.33158270768649</v>
      </c>
      <c r="H30" s="279">
        <f t="shared" si="5"/>
        <v>9.1754204815612805E-2</v>
      </c>
      <c r="I30" s="254"/>
      <c r="J30" s="248"/>
      <c r="K30" s="248"/>
      <c r="L30" s="248"/>
      <c r="M30" s="248"/>
      <c r="N30" s="248"/>
      <c r="O30" s="5"/>
      <c r="Q30" s="5"/>
      <c r="S30" s="88"/>
      <c r="T30" s="42"/>
      <c r="U30" s="42"/>
      <c r="V30" s="147" t="s">
        <v>588</v>
      </c>
      <c r="W30" s="288">
        <f t="shared" si="7"/>
        <v>2.9196416126471134</v>
      </c>
      <c r="X30" s="288">
        <v>1</v>
      </c>
      <c r="Y30" s="42"/>
      <c r="Z30" s="42"/>
      <c r="AA30" s="42"/>
    </row>
    <row r="31" spans="2:27">
      <c r="B31" s="5" t="s">
        <v>585</v>
      </c>
      <c r="C31" s="545">
        <v>406.08915520600004</v>
      </c>
      <c r="D31" s="536">
        <v>406.64228897400005</v>
      </c>
      <c r="E31" s="536">
        <v>416.04933216367584</v>
      </c>
      <c r="F31" s="536">
        <v>481.47243885281705</v>
      </c>
      <c r="G31" s="536">
        <v>509.06526616614923</v>
      </c>
      <c r="H31" s="279">
        <f t="shared" si="5"/>
        <v>7.7755649786392045E-2</v>
      </c>
      <c r="I31" s="254"/>
      <c r="J31" s="252"/>
      <c r="K31" s="252"/>
      <c r="L31" s="252"/>
      <c r="M31" s="252"/>
      <c r="N31" s="252"/>
      <c r="O31" s="5"/>
      <c r="Q31" s="5"/>
      <c r="S31" s="88"/>
      <c r="T31" s="42"/>
      <c r="U31" s="42"/>
      <c r="V31" s="147" t="s">
        <v>470</v>
      </c>
      <c r="W31" s="288">
        <f t="shared" si="7"/>
        <v>0.7043932946590461</v>
      </c>
      <c r="X31" s="288">
        <v>1</v>
      </c>
      <c r="Y31" s="42"/>
      <c r="Z31" s="42"/>
      <c r="AA31" s="42"/>
    </row>
    <row r="32" spans="2:27">
      <c r="B32" s="5" t="s">
        <v>601</v>
      </c>
      <c r="C32" s="546">
        <v>0</v>
      </c>
      <c r="D32" s="536">
        <v>0</v>
      </c>
      <c r="E32" s="536">
        <v>526.82600000000002</v>
      </c>
      <c r="F32" s="536">
        <v>67</v>
      </c>
      <c r="G32" s="536">
        <v>0</v>
      </c>
      <c r="H32" s="279" t="str">
        <f t="shared" si="5"/>
        <v>nm</v>
      </c>
      <c r="I32" s="254"/>
      <c r="J32" s="254"/>
      <c r="K32" s="254"/>
      <c r="L32" s="254"/>
      <c r="M32" s="254"/>
      <c r="N32" s="254"/>
      <c r="O32" s="251"/>
      <c r="Q32" s="5"/>
      <c r="S32" s="88"/>
      <c r="T32" s="42"/>
      <c r="U32" s="42"/>
      <c r="V32" s="147" t="s">
        <v>528</v>
      </c>
      <c r="W32" s="288">
        <f t="shared" si="7"/>
        <v>0.90199518472419016</v>
      </c>
      <c r="X32" s="288">
        <v>1</v>
      </c>
      <c r="Y32" s="42"/>
      <c r="Z32" s="42"/>
      <c r="AA32" s="42"/>
    </row>
    <row r="33" spans="2:27">
      <c r="B33" s="5" t="s">
        <v>5</v>
      </c>
      <c r="C33" s="545">
        <v>-105.307</v>
      </c>
      <c r="D33" s="536">
        <v>-48.494</v>
      </c>
      <c r="E33" s="536">
        <v>-50.720501815811367</v>
      </c>
      <c r="F33" s="536">
        <v>-45.715325830672754</v>
      </c>
      <c r="G33" s="536">
        <v>-40.139843889060849</v>
      </c>
      <c r="H33" s="279">
        <f>IF(D33=0,"nm",IF(G33=0,"nm",(G33/D33)^(1/3)-1))</f>
        <v>-6.107863026707161E-2</v>
      </c>
      <c r="I33" s="5"/>
      <c r="J33" s="254"/>
      <c r="K33" s="254"/>
      <c r="L33" s="254"/>
      <c r="M33" s="254"/>
      <c r="N33" s="254"/>
      <c r="O33" s="251"/>
      <c r="Q33" s="5"/>
      <c r="S33" s="88"/>
      <c r="T33" s="42"/>
      <c r="U33" s="42"/>
      <c r="V33" s="147" t="s">
        <v>575</v>
      </c>
      <c r="W33" s="288">
        <f t="shared" si="7"/>
        <v>1.0925593511651095</v>
      </c>
      <c r="X33" s="288">
        <v>1</v>
      </c>
      <c r="Y33" s="42"/>
      <c r="Z33" s="42"/>
      <c r="AA33" s="42"/>
    </row>
    <row r="34" spans="2:27">
      <c r="B34" s="5"/>
      <c r="H34" s="277"/>
      <c r="I34" s="49"/>
      <c r="J34" s="254"/>
      <c r="K34" s="254"/>
      <c r="L34" s="254"/>
      <c r="M34" s="254"/>
      <c r="N34" s="254"/>
      <c r="O34" s="251"/>
      <c r="Q34" s="5"/>
      <c r="S34" s="88"/>
      <c r="T34" s="42"/>
      <c r="U34" s="42"/>
      <c r="V34" s="147" t="s">
        <v>576</v>
      </c>
      <c r="W34" s="288">
        <f>D47/L19</f>
        <v>1.4196614413884208</v>
      </c>
      <c r="X34" s="288">
        <v>1</v>
      </c>
      <c r="Y34" s="288"/>
      <c r="Z34" s="288"/>
      <c r="AA34" s="42"/>
    </row>
    <row r="35" spans="2:27" ht="12.6" thickBot="1">
      <c r="B35" s="306" t="s">
        <v>1039</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2.308102574904916</v>
      </c>
      <c r="E37" s="525">
        <f t="shared" ref="E37:G41" si="9">E$18/E23</f>
        <v>2.2130479176617031</v>
      </c>
      <c r="F37" s="525">
        <f t="shared" si="9"/>
        <v>1.8932236105787597</v>
      </c>
      <c r="G37" s="525">
        <f t="shared" si="9"/>
        <v>1.6620696975982445</v>
      </c>
      <c r="H37" s="17">
        <f t="shared" ref="H37:H45" si="10">H23</f>
        <v>5.7677781439682718E-2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8.4207820015120589</v>
      </c>
      <c r="E38" s="525">
        <f t="shared" si="9"/>
        <v>8.3660320634098237</v>
      </c>
      <c r="F38" s="525">
        <f t="shared" si="9"/>
        <v>7.0423593083174767</v>
      </c>
      <c r="G38" s="525">
        <f t="shared" si="9"/>
        <v>6.1426051133761375</v>
      </c>
      <c r="H38" s="17">
        <f t="shared" si="10"/>
        <v>5.3136582832464141E-2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12.58965040857227</v>
      </c>
      <c r="E39" s="525">
        <f t="shared" si="9"/>
        <v>12.335972370337181</v>
      </c>
      <c r="F39" s="525">
        <f t="shared" si="9"/>
        <v>9.9295476737737349</v>
      </c>
      <c r="G39" s="525">
        <f t="shared" si="9"/>
        <v>8.4900912260193753</v>
      </c>
      <c r="H39" s="17">
        <f t="shared" si="10"/>
        <v>8.1065134929867E-2</v>
      </c>
      <c r="I39" s="17"/>
      <c r="J39" s="5"/>
      <c r="K39" s="5"/>
      <c r="L39" s="5"/>
      <c r="M39" s="5"/>
      <c r="N39" s="5"/>
      <c r="O39" s="5"/>
      <c r="Q39" s="5"/>
      <c r="R39" s="5"/>
      <c r="S39" s="42"/>
      <c r="T39" s="42"/>
      <c r="U39" s="42"/>
      <c r="V39" s="42"/>
      <c r="W39" s="42"/>
      <c r="X39" s="42"/>
      <c r="Y39" s="42"/>
      <c r="Z39" s="42"/>
      <c r="AA39" s="42"/>
    </row>
    <row r="40" spans="2:27">
      <c r="B40" s="5" t="s">
        <v>461</v>
      </c>
      <c r="C40" s="247"/>
      <c r="D40" s="525">
        <f>D$18/D26</f>
        <v>15.607056676356189</v>
      </c>
      <c r="E40" s="525">
        <f t="shared" si="9"/>
        <v>15.57641970230088</v>
      </c>
      <c r="F40" s="525">
        <f t="shared" si="9"/>
        <v>12.838689449164557</v>
      </c>
      <c r="G40" s="525">
        <f t="shared" si="9"/>
        <v>11.243442282963013</v>
      </c>
      <c r="H40" s="17">
        <f t="shared" si="10"/>
        <v>5.7528290374474933E-2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3.0496587608258574</v>
      </c>
      <c r="E41" s="525">
        <f t="shared" si="9"/>
        <v>3.2314807119321176</v>
      </c>
      <c r="F41" s="525">
        <f t="shared" si="9"/>
        <v>3.3329036264434131</v>
      </c>
      <c r="G41" s="525">
        <f t="shared" si="9"/>
        <v>3.4837064744902873</v>
      </c>
      <c r="H41" s="17">
        <f t="shared" si="10"/>
        <v>-9.3109915085966555E-2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8.8831747945634447</v>
      </c>
      <c r="E42" s="525">
        <f>E18/E28</f>
        <v>9.7207794839939083</v>
      </c>
      <c r="F42" s="525">
        <f>F18/F28</f>
        <v>10.585945802997365</v>
      </c>
      <c r="G42" s="525">
        <f>G18/G28</f>
        <v>11.613907230052142</v>
      </c>
      <c r="H42" s="17">
        <f t="shared" si="10"/>
        <v>-0.13300876212200985</v>
      </c>
      <c r="I42" s="248"/>
      <c r="J42" s="5"/>
      <c r="K42" s="5"/>
      <c r="L42" s="5"/>
      <c r="M42" s="5"/>
      <c r="N42" s="5"/>
      <c r="O42" s="5"/>
      <c r="Q42" s="5"/>
      <c r="R42" s="5"/>
      <c r="S42" s="42"/>
      <c r="T42" s="42"/>
      <c r="U42" s="42"/>
      <c r="V42" s="42"/>
      <c r="W42" s="288"/>
      <c r="X42" s="288"/>
      <c r="Y42" s="288"/>
      <c r="Z42" s="288"/>
      <c r="AA42" s="42"/>
    </row>
    <row r="43" spans="2:27">
      <c r="B43" s="5" t="s">
        <v>470</v>
      </c>
      <c r="C43" s="247"/>
      <c r="D43" s="525">
        <f>L26/D29</f>
        <v>13.866842327983214</v>
      </c>
      <c r="E43" s="525">
        <f>M26/E29</f>
        <v>13.20027265874168</v>
      </c>
      <c r="F43" s="525">
        <f>N26/F29</f>
        <v>11.036458064630455</v>
      </c>
      <c r="G43" s="525">
        <f>O26/G29</f>
        <v>10.368680672499268</v>
      </c>
      <c r="H43" s="17">
        <f t="shared" si="10"/>
        <v>0.10133879344557228</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19.300375916490793</v>
      </c>
      <c r="E44" s="525">
        <f>E11/E30</f>
        <v>18.274994725883861</v>
      </c>
      <c r="F44" s="525">
        <f>F11/F30</f>
        <v>15.675820979107177</v>
      </c>
      <c r="G44" s="525">
        <f>G11/G30</f>
        <v>14.81493946939216</v>
      </c>
      <c r="H44" s="17">
        <f t="shared" si="10"/>
        <v>9.1754204815612805E-2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4.3086172344689394E-2</v>
      </c>
      <c r="E45" s="248">
        <f t="shared" ref="E45:G45" si="11">E31/E11</f>
        <v>4.4088176352705406E-2</v>
      </c>
      <c r="F45" s="248">
        <f t="shared" si="11"/>
        <v>5.1034009706173895E-2</v>
      </c>
      <c r="G45" s="248">
        <f t="shared" si="11"/>
        <v>5.3999545637888668E-2</v>
      </c>
      <c r="H45" s="17">
        <f t="shared" si="10"/>
        <v>7.7755649786392045E-2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4.3086172344689394E-2</v>
      </c>
      <c r="E46" s="248">
        <f t="shared" ref="E46:G46" si="12">(E31+E32)/E11</f>
        <v>9.9915204062133015E-2</v>
      </c>
      <c r="F46" s="248">
        <f t="shared" si="12"/>
        <v>5.813572181758906E-2</v>
      </c>
      <c r="G46" s="248">
        <f t="shared" si="12"/>
        <v>5.3999545637888668E-2</v>
      </c>
      <c r="H46" s="279">
        <f>((G31+G32)/(D31+D32))^(1/3)-1</f>
        <v>7.7755649786392045E-2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7.2114471077673201E-2</v>
      </c>
      <c r="E47" s="248">
        <f>1/E43</f>
        <v>7.5756010944044036E-2</v>
      </c>
      <c r="F47" s="248">
        <f>1/F43</f>
        <v>9.0608779931379557E-2</v>
      </c>
      <c r="G47" s="248">
        <f>1/G43</f>
        <v>9.6444285592890172E-2</v>
      </c>
      <c r="H47" s="17">
        <f>H29</f>
        <v>0.10133879344557228</v>
      </c>
      <c r="I47" s="17"/>
      <c r="J47" s="248"/>
      <c r="K47" s="248"/>
      <c r="L47" s="248"/>
      <c r="M47" s="248"/>
      <c r="N47" s="248"/>
      <c r="O47" s="248"/>
      <c r="Q47" s="5"/>
      <c r="R47" s="5"/>
      <c r="S47" s="42"/>
      <c r="T47" s="42"/>
      <c r="U47" s="42"/>
      <c r="V47" s="42"/>
      <c r="W47" s="42"/>
      <c r="X47" s="42"/>
      <c r="Y47" s="42"/>
      <c r="Z47" s="42"/>
      <c r="AA47" s="326"/>
    </row>
    <row r="48" spans="2:27">
      <c r="B48" s="5" t="s">
        <v>613</v>
      </c>
      <c r="C48" s="5"/>
      <c r="D48" s="305">
        <f>D31/1000/D29</f>
        <v>5.974691584201186E-4</v>
      </c>
      <c r="E48" s="305">
        <f t="shared" ref="E48:G48" si="13">E31/1000/E29</f>
        <v>5.8197594888239864E-4</v>
      </c>
      <c r="F48" s="305">
        <f t="shared" si="13"/>
        <v>5.6323470799213174E-4</v>
      </c>
      <c r="G48" s="305">
        <f t="shared" si="13"/>
        <v>5.5990404517931836E-4</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2">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548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199</v>
      </c>
      <c r="C9" s="267">
        <f>Prices!C58</f>
        <v>3.13</v>
      </c>
      <c r="D9" s="529">
        <v>0</v>
      </c>
      <c r="E9" s="529">
        <v>0</v>
      </c>
      <c r="F9" s="529">
        <v>0</v>
      </c>
      <c r="G9" s="529">
        <v>0</v>
      </c>
      <c r="H9" s="249"/>
      <c r="I9" s="249"/>
      <c r="J9" s="5" t="s">
        <v>268</v>
      </c>
      <c r="L9" s="525">
        <f>'AGG ASIA INCUMB'!D37</f>
        <v>1.2719441813172812</v>
      </c>
      <c r="M9" s="525">
        <f>'AGG ASIA INCUMB'!E37</f>
        <v>1.2095974060822232</v>
      </c>
      <c r="N9" s="525">
        <f>'AGG ASIA INCUMB'!F37</f>
        <v>1.0996822317000925</v>
      </c>
      <c r="O9" s="525">
        <f>'AGG ASIA INCUMB'!G37</f>
        <v>0.99635076165065495</v>
      </c>
      <c r="P9" s="286">
        <f>'AGG ASIA INCUMB'!H37</f>
        <v>3.2483076143146272E-2</v>
      </c>
      <c r="S9" s="88"/>
      <c r="T9" s="42"/>
      <c r="U9" s="42"/>
      <c r="V9" s="42"/>
      <c r="W9" s="42"/>
      <c r="X9" s="42"/>
      <c r="Y9" s="42"/>
      <c r="Z9" s="42"/>
      <c r="AA9" s="42"/>
    </row>
    <row r="10" spans="2:44">
      <c r="B10" s="5" t="s">
        <v>269</v>
      </c>
      <c r="C10" s="5"/>
      <c r="D10" s="527">
        <v>16555.546999999999</v>
      </c>
      <c r="E10" s="527">
        <v>16555.546999999999</v>
      </c>
      <c r="F10" s="527">
        <v>16555.546999999999</v>
      </c>
      <c r="G10" s="527">
        <v>16555.546999999999</v>
      </c>
      <c r="H10" s="249"/>
      <c r="I10" s="247"/>
      <c r="J10" s="5" t="s">
        <v>180</v>
      </c>
      <c r="L10" s="525">
        <f>'AGG ASIA INCUMB'!D38</f>
        <v>4.6234760036627636</v>
      </c>
      <c r="M10" s="525">
        <f>'AGG ASIA INCUMB'!E38</f>
        <v>4.4228353660546906</v>
      </c>
      <c r="N10" s="525">
        <f>'AGG ASIA INCUMB'!F38</f>
        <v>3.9347110260162674</v>
      </c>
      <c r="O10" s="525">
        <f>'AGG ASIA INCUMB'!G38</f>
        <v>3.5504425976257274</v>
      </c>
      <c r="P10" s="286">
        <f>'AGG ASIA INCUMB'!H38</f>
        <v>3.9344958775427097E-2</v>
      </c>
      <c r="S10" s="88"/>
      <c r="T10" s="42"/>
      <c r="U10" s="42"/>
      <c r="V10" s="42"/>
      <c r="W10" s="288"/>
      <c r="X10" s="288"/>
      <c r="Y10" s="288"/>
      <c r="Z10" s="288"/>
      <c r="AA10" s="42"/>
    </row>
    <row r="11" spans="2:44">
      <c r="B11" s="41" t="s">
        <v>309</v>
      </c>
      <c r="C11" s="5"/>
      <c r="D11" s="528">
        <f>($C$9*D10)</f>
        <v>51818.862109999995</v>
      </c>
      <c r="E11" s="528">
        <f>($C$9*E10)</f>
        <v>51818.862109999995</v>
      </c>
      <c r="F11" s="528">
        <f>($C$9*F10)</f>
        <v>51818.862109999995</v>
      </c>
      <c r="G11" s="528">
        <f>($C$9*G10)</f>
        <v>51818.862109999995</v>
      </c>
      <c r="H11" s="249"/>
      <c r="I11" s="249"/>
      <c r="J11" s="5" t="s">
        <v>181</v>
      </c>
      <c r="L11" s="525">
        <f>'AGG ASIA INCUMB'!D39</f>
        <v>11.794671519746432</v>
      </c>
      <c r="M11" s="525">
        <f>'AGG ASIA INCUMB'!E39</f>
        <v>10.669369371390847</v>
      </c>
      <c r="N11" s="525">
        <f>'AGG ASIA INCUMB'!F39</f>
        <v>8.6767991012662229</v>
      </c>
      <c r="O11" s="525">
        <f>'AGG ASIA INCUMB'!G39</f>
        <v>7.5891310442771198</v>
      </c>
      <c r="P11" s="286">
        <f>'AGG ASIA INCUMB'!H39</f>
        <v>0.10245856505371931</v>
      </c>
      <c r="S11" s="88"/>
      <c r="T11" s="42"/>
      <c r="U11" s="42"/>
      <c r="V11" s="42"/>
      <c r="W11" s="288"/>
      <c r="X11" s="288"/>
      <c r="Y11" s="288"/>
      <c r="Z11" s="288"/>
      <c r="AA11" s="42"/>
    </row>
    <row r="12" spans="2:44">
      <c r="B12" s="5" t="s">
        <v>24</v>
      </c>
      <c r="C12" s="249"/>
      <c r="D12" s="529">
        <v>7782</v>
      </c>
      <c r="E12" s="529">
        <v>11144.598606176005</v>
      </c>
      <c r="F12" s="529">
        <v>11616.274788959483</v>
      </c>
      <c r="G12" s="529">
        <v>12128.787655743727</v>
      </c>
      <c r="H12" s="247"/>
      <c r="I12" s="247"/>
      <c r="J12" s="5" t="s">
        <v>461</v>
      </c>
      <c r="L12" s="525">
        <f>'AGG ASIA INCUMB'!D40</f>
        <v>15.854102984572272</v>
      </c>
      <c r="M12" s="525">
        <f>'AGG ASIA INCUMB'!E40</f>
        <v>14.308248533194654</v>
      </c>
      <c r="N12" s="525">
        <f>'AGG ASIA INCUMB'!F40</f>
        <v>11.663579867439855</v>
      </c>
      <c r="O12" s="525">
        <f>'AGG ASIA INCUMB'!G40</f>
        <v>10.196208292202796</v>
      </c>
      <c r="P12" s="286">
        <f>'AGG ASIA INCUMB'!H40</f>
        <v>0.10263557885889418</v>
      </c>
      <c r="S12" s="88"/>
      <c r="T12" s="42"/>
      <c r="U12" s="42"/>
      <c r="V12" s="42"/>
      <c r="W12" s="288"/>
      <c r="X12" s="288"/>
      <c r="Y12" s="288"/>
      <c r="Z12" s="288"/>
      <c r="AA12" s="42"/>
    </row>
    <row r="13" spans="2:44">
      <c r="B13" s="5" t="s">
        <v>524</v>
      </c>
      <c r="C13" s="257"/>
      <c r="D13" s="529">
        <v>428.16416518920471</v>
      </c>
      <c r="E13" s="529">
        <v>428.16416518920471</v>
      </c>
      <c r="F13" s="529">
        <v>428.16416518920471</v>
      </c>
      <c r="G13" s="529">
        <v>428.16416518920471</v>
      </c>
      <c r="H13" s="247"/>
      <c r="I13" s="247"/>
      <c r="J13" s="5" t="s">
        <v>525</v>
      </c>
      <c r="L13" s="525">
        <f>'AGG ASIA INCUMB'!D41</f>
        <v>1.1460518303805354</v>
      </c>
      <c r="M13" s="525">
        <f>'AGG ASIA INCUMB'!E41</f>
        <v>1.0866662606716921</v>
      </c>
      <c r="N13" s="525">
        <f>'AGG ASIA INCUMB'!F41</f>
        <v>0.99834975778923052</v>
      </c>
      <c r="O13" s="525">
        <f>'AGG ASIA INCUMB'!G41</f>
        <v>0.90898439887584492</v>
      </c>
      <c r="P13" s="286">
        <f>'AGG ASIA INCUMB'!H41</f>
        <v>2.8206361075399977E-2</v>
      </c>
      <c r="S13" s="88"/>
      <c r="T13" s="42"/>
      <c r="U13" s="42"/>
      <c r="V13" s="42"/>
      <c r="W13" s="42"/>
      <c r="X13" s="42"/>
      <c r="Y13" s="42"/>
      <c r="Z13" s="42"/>
      <c r="AA13" s="42"/>
    </row>
    <row r="14" spans="2:44">
      <c r="B14" s="5" t="s">
        <v>527</v>
      </c>
      <c r="C14" s="302"/>
      <c r="D14" s="534">
        <v>2767</v>
      </c>
      <c r="E14" s="526">
        <f>D14</f>
        <v>2767</v>
      </c>
      <c r="F14" s="526">
        <f t="shared" ref="F14:G14" si="2">E14</f>
        <v>2767</v>
      </c>
      <c r="G14" s="526">
        <f t="shared" si="2"/>
        <v>2767</v>
      </c>
      <c r="H14" s="249"/>
      <c r="I14" s="247"/>
      <c r="J14" s="5" t="s">
        <v>588</v>
      </c>
      <c r="L14" s="525">
        <f>'AGG ASIA INCUMB'!D42</f>
        <v>1.5276634915643974</v>
      </c>
      <c r="M14" s="525">
        <f>'AGG ASIA INCUMB'!E42</f>
        <v>1.4907282921032592</v>
      </c>
      <c r="N14" s="525">
        <f>'AGG ASIA INCUMB'!F42</f>
        <v>1.4247632256720226</v>
      </c>
      <c r="O14" s="525">
        <f>'AGG ASIA INCUMB'!G42</f>
        <v>1.3972444432688993</v>
      </c>
      <c r="P14" s="286">
        <f>'AGG ASIA INCUMB'!H42</f>
        <v>-1.9495827781895958E-2</v>
      </c>
      <c r="S14" s="88"/>
      <c r="T14" s="42"/>
      <c r="U14" s="42"/>
      <c r="V14" s="42"/>
      <c r="W14" s="42"/>
      <c r="X14" s="42"/>
      <c r="Y14" s="42"/>
      <c r="Z14" s="42"/>
      <c r="AA14" s="42"/>
    </row>
    <row r="15" spans="2:44">
      <c r="B15" s="5" t="s">
        <v>526</v>
      </c>
      <c r="C15" s="274"/>
      <c r="D15" s="534">
        <v>0</v>
      </c>
      <c r="E15" s="526">
        <f>D15</f>
        <v>0</v>
      </c>
      <c r="F15" s="526">
        <f>E15</f>
        <v>0</v>
      </c>
      <c r="G15" s="526">
        <f>F15</f>
        <v>0</v>
      </c>
      <c r="H15" s="247"/>
      <c r="I15" s="247"/>
      <c r="J15" s="5" t="s">
        <v>470</v>
      </c>
      <c r="L15" s="525">
        <f>'AGG ASIA INCUMB'!D43</f>
        <v>15.273312397129398</v>
      </c>
      <c r="M15" s="525">
        <f>'AGG ASIA INCUMB'!E43</f>
        <v>13.757505713732883</v>
      </c>
      <c r="N15" s="525">
        <f>'AGG ASIA INCUMB'!F43</f>
        <v>11.624732006664775</v>
      </c>
      <c r="O15" s="525">
        <f>'AGG ASIA INCUMB'!G43</f>
        <v>10.50556297379473</v>
      </c>
      <c r="P15" s="286">
        <f>'AGG ASIA INCUMB'!H43</f>
        <v>0.12108281340051441</v>
      </c>
      <c r="S15" s="88"/>
      <c r="T15" s="42"/>
      <c r="U15" s="42"/>
      <c r="V15" s="42"/>
      <c r="W15" s="42"/>
      <c r="X15" s="42"/>
      <c r="Y15" s="42"/>
      <c r="Z15" s="42"/>
      <c r="AA15" s="42"/>
    </row>
    <row r="16" spans="2:44">
      <c r="B16" s="5" t="s">
        <v>529</v>
      </c>
      <c r="C16" s="257"/>
      <c r="D16" s="529">
        <v>0</v>
      </c>
      <c r="E16" s="529">
        <v>0</v>
      </c>
      <c r="F16" s="529">
        <v>3043.1254193647119</v>
      </c>
      <c r="G16" s="529">
        <v>6404.1706113723376</v>
      </c>
      <c r="H16" s="247"/>
      <c r="I16" s="247"/>
      <c r="J16" s="5" t="s">
        <v>528</v>
      </c>
      <c r="L16" s="525">
        <f>'AGG ASIA INCUMB'!D44</f>
        <v>13.678025117962957</v>
      </c>
      <c r="M16" s="525">
        <f>'AGG ASIA INCUMB'!E44</f>
        <v>12.517033973894927</v>
      </c>
      <c r="N16" s="525">
        <f>'AGG ASIA INCUMB'!F44</f>
        <v>11.122029574192924</v>
      </c>
      <c r="O16" s="525">
        <f>'AGG ASIA INCUMB'!G44</f>
        <v>10.11878172223563</v>
      </c>
      <c r="P16" s="286">
        <f>'AGG ASIA INCUMB'!H44</f>
        <v>9.9914942744836699E-2</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INCUMB'!D45</f>
        <v>4.5509267152536094E-2</v>
      </c>
      <c r="M17" s="248">
        <f>'AGG ASIA INCUMB'!E45</f>
        <v>5.1800129870851246E-2</v>
      </c>
      <c r="N17" s="248">
        <f>'AGG ASIA INCUMB'!F45</f>
        <v>5.7884939069478336E-2</v>
      </c>
      <c r="O17" s="248">
        <f>'AGG ASIA INCUMB'!G45</f>
        <v>6.5680371296715834E-2</v>
      </c>
      <c r="P17" s="286">
        <f>'AGG ASIA INCUMB'!H45</f>
        <v>0.12418891359974715</v>
      </c>
      <c r="S17" s="88"/>
      <c r="T17" s="42"/>
      <c r="U17" s="42"/>
      <c r="V17" s="42"/>
      <c r="W17" s="42"/>
      <c r="X17" s="42"/>
      <c r="Y17" s="42"/>
      <c r="Z17" s="42"/>
      <c r="AA17" s="42"/>
    </row>
    <row r="18" spans="2:27" ht="12.6" thickBot="1">
      <c r="B18" s="41" t="s">
        <v>200</v>
      </c>
      <c r="C18" s="249"/>
      <c r="D18" s="530">
        <f>D11+D12+D13-D14+D15-D16-D17</f>
        <v>57262.026275189201</v>
      </c>
      <c r="E18" s="530">
        <f>E11+E12+E13-E14+E15-E16-E17</f>
        <v>60624.624881365206</v>
      </c>
      <c r="F18" s="530">
        <f>F11+F12+F13-F14+F15-F16-F17</f>
        <v>58053.175644783973</v>
      </c>
      <c r="G18" s="530">
        <f>G11+G12+G13-G14+G15-G16-G17</f>
        <v>55204.643319560593</v>
      </c>
      <c r="H18" s="276">
        <f>IF(D18=0,"nm",IF(G18=0,"nm",(G18/D18)^(1/3)-1))</f>
        <v>-1.2122792456318199E-2</v>
      </c>
      <c r="I18" s="254"/>
      <c r="J18" s="5" t="s">
        <v>36</v>
      </c>
      <c r="L18" s="248">
        <f>'AGG ASIA INCUMB'!D46</f>
        <v>4.5540516507029512E-2</v>
      </c>
      <c r="M18" s="248">
        <f>'AGG ASIA INCUMB'!E46</f>
        <v>5.1831531492466568E-2</v>
      </c>
      <c r="N18" s="248">
        <f>'AGG ASIA INCUMB'!F46</f>
        <v>5.8199730113416448E-2</v>
      </c>
      <c r="O18" s="248">
        <f>'AGG ASIA INCUMB'!G46</f>
        <v>6.6192895380097247E-2</v>
      </c>
      <c r="P18" s="286">
        <f>'AGG ASIA INCUMB'!H46</f>
        <v>0.12684760968524134</v>
      </c>
      <c r="S18" s="88"/>
      <c r="T18" s="42"/>
      <c r="U18" s="42"/>
      <c r="V18" s="42"/>
      <c r="W18" s="42"/>
      <c r="X18" s="42"/>
      <c r="Y18" s="42"/>
      <c r="Z18" s="42"/>
      <c r="AA18" s="42"/>
    </row>
    <row r="19" spans="2:27" ht="12.6" thickTop="1">
      <c r="B19" s="41"/>
      <c r="C19" s="249"/>
      <c r="D19" s="229"/>
      <c r="E19" s="229"/>
      <c r="F19" s="229"/>
      <c r="G19" s="229"/>
      <c r="H19" s="276"/>
      <c r="I19" s="254"/>
      <c r="J19" s="5" t="s">
        <v>576</v>
      </c>
      <c r="L19" s="248">
        <f>'AGG ASIA INCUMB'!D47</f>
        <v>6.5473682067024891E-2</v>
      </c>
      <c r="M19" s="248">
        <f>'AGG ASIA INCUMB'!E47</f>
        <v>7.2687594743412673E-2</v>
      </c>
      <c r="N19" s="248">
        <f>'AGG ASIA INCUMB'!F47</f>
        <v>8.6023488492179667E-2</v>
      </c>
      <c r="O19" s="248">
        <f>'AGG ASIA INCUMB'!G47</f>
        <v>9.5187664144645884E-2</v>
      </c>
      <c r="P19" s="286">
        <f>'AGG ASIA INCUMB'!H47</f>
        <v>0.12108281340051441</v>
      </c>
      <c r="S19" s="88"/>
      <c r="T19" s="42"/>
      <c r="U19" s="42"/>
      <c r="V19" s="42"/>
      <c r="W19" s="42"/>
      <c r="X19" s="42"/>
      <c r="Y19" s="42"/>
      <c r="Z19" s="42"/>
      <c r="AA19" s="42"/>
    </row>
    <row r="20" spans="2:27">
      <c r="H20" s="277"/>
      <c r="I20" s="17"/>
      <c r="J20" s="5" t="s">
        <v>599</v>
      </c>
      <c r="L20" s="305">
        <f>'AGG ASIA INCUMB'!D48</f>
        <v>0.59351892336330403</v>
      </c>
      <c r="M20" s="305">
        <f>'AGG ASIA INCUMB'!E48</f>
        <v>0.60592876311616806</v>
      </c>
      <c r="N20" s="305">
        <f>'AGG ASIA INCUMB'!F48</f>
        <v>0.57735687268970703</v>
      </c>
      <c r="O20" s="305">
        <f>'AGG ASIA INCUMB'!G48</f>
        <v>0.59846585949408893</v>
      </c>
      <c r="P20" s="286" t="str">
        <f>'AGG ASIA INCUMB'!H48</f>
        <v>nm</v>
      </c>
      <c r="S20" s="88"/>
      <c r="T20" s="42"/>
      <c r="U20" s="42"/>
      <c r="V20" s="42"/>
      <c r="W20" s="42"/>
      <c r="X20" s="42"/>
      <c r="Y20" s="42"/>
      <c r="Z20" s="42"/>
      <c r="AA20" s="42"/>
    </row>
    <row r="21" spans="2:27" ht="12.6" thickBot="1">
      <c r="B21" s="306" t="s">
        <v>938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14624</v>
      </c>
      <c r="D23" s="536">
        <v>14128</v>
      </c>
      <c r="E23" s="536">
        <v>14407.973976038895</v>
      </c>
      <c r="F23" s="536">
        <v>14855.351776074924</v>
      </c>
      <c r="G23" s="536">
        <v>15078.47207370099</v>
      </c>
      <c r="H23" s="279">
        <f t="shared" ref="H23:H32" si="4">IF(D23=0,"nm",IF(G23=0,"nm",(G23/D23)^(1/3)-1))</f>
        <v>2.1940356753366919E-2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3686</v>
      </c>
      <c r="D24" s="536">
        <v>3597</v>
      </c>
      <c r="E24" s="536">
        <v>3794.070884864419</v>
      </c>
      <c r="F24" s="536">
        <v>4002.68230582345</v>
      </c>
      <c r="G24" s="536">
        <v>4107.610317844491</v>
      </c>
      <c r="H24" s="279">
        <f>IF(D24=0,"nm",IF(G24=0,"nm",(G24/D24)^(1/3)-1))</f>
        <v>4.5240589222138139E-2</v>
      </c>
      <c r="I24" s="249"/>
      <c r="J24" s="17"/>
      <c r="K24" s="17"/>
      <c r="L24" s="17"/>
      <c r="M24" s="17"/>
      <c r="N24" s="17"/>
      <c r="O24" s="248"/>
      <c r="S24" s="88"/>
      <c r="T24" s="42"/>
      <c r="U24" s="42"/>
      <c r="V24" s="42"/>
      <c r="W24" s="42" t="s">
        <v>256</v>
      </c>
      <c r="X24" s="42" t="s">
        <v>255</v>
      </c>
      <c r="Y24" s="42"/>
      <c r="Z24" s="42"/>
      <c r="AA24" s="42"/>
    </row>
    <row r="25" spans="2:27">
      <c r="B25" s="5" t="s">
        <v>179</v>
      </c>
      <c r="C25" s="544">
        <v>1524</v>
      </c>
      <c r="D25" s="536">
        <v>1447</v>
      </c>
      <c r="E25" s="536">
        <v>744.8820004812269</v>
      </c>
      <c r="F25" s="536">
        <v>1888.9586320235735</v>
      </c>
      <c r="G25" s="536">
        <v>1970.7613279937982</v>
      </c>
      <c r="H25" s="279">
        <f t="shared" si="4"/>
        <v>0.10846461396795615</v>
      </c>
      <c r="I25" s="248"/>
      <c r="J25" s="247" t="s">
        <v>10</v>
      </c>
      <c r="K25" s="247"/>
      <c r="L25" s="321">
        <v>68471.351042945098</v>
      </c>
      <c r="M25" s="321">
        <v>70130.498342323146</v>
      </c>
      <c r="N25" s="321">
        <v>65540.467868370411</v>
      </c>
      <c r="O25" s="321">
        <v>60255.548811861023</v>
      </c>
      <c r="P25" s="279">
        <f>IF(L25=0,"nm",IF(O25=0,"nm",(O25/L25)^(1/3)-1))</f>
        <v>-4.1712000187053566E-2</v>
      </c>
      <c r="S25" s="88"/>
      <c r="T25" s="42"/>
      <c r="U25" s="42"/>
      <c r="V25" s="147" t="s">
        <v>268</v>
      </c>
      <c r="W25" s="288">
        <f>D37/L9</f>
        <v>3.1865297153315368</v>
      </c>
      <c r="X25" s="288">
        <v>1</v>
      </c>
      <c r="Y25" s="42"/>
      <c r="Z25" s="42"/>
      <c r="AA25" s="42"/>
    </row>
    <row r="26" spans="2:27">
      <c r="B26" s="5" t="s">
        <v>581</v>
      </c>
      <c r="C26" s="544">
        <v>1219.2</v>
      </c>
      <c r="D26" s="536">
        <v>1157.6000000000001</v>
      </c>
      <c r="E26" s="536">
        <v>595.90560038498154</v>
      </c>
      <c r="F26" s="536">
        <v>1511.1669056188589</v>
      </c>
      <c r="G26" s="536">
        <v>1576.6090623950386</v>
      </c>
      <c r="H26" s="279">
        <f t="shared" si="4"/>
        <v>0.10846461396795615</v>
      </c>
      <c r="I26" s="249"/>
      <c r="J26" s="249" t="s">
        <v>11</v>
      </c>
      <c r="K26" s="249"/>
      <c r="L26" s="281">
        <f>D11+L25</f>
        <v>120290.2131529451</v>
      </c>
      <c r="M26" s="281">
        <f>E11+M25</f>
        <v>121949.36045232313</v>
      </c>
      <c r="N26" s="281">
        <f>F11+N25</f>
        <v>117359.3299783704</v>
      </c>
      <c r="O26" s="281">
        <f>G11+O25</f>
        <v>112074.41092186101</v>
      </c>
      <c r="P26" s="279">
        <f>IF(L26=0,"nm",IF(O26=0,"nm",(O26/L26)^(1/3)-1))</f>
        <v>-2.3305541939396046E-2</v>
      </c>
      <c r="Q26" s="5"/>
      <c r="S26" s="88"/>
      <c r="T26" s="42"/>
      <c r="U26" s="42"/>
      <c r="V26" s="147" t="s">
        <v>180</v>
      </c>
      <c r="W26" s="288">
        <f t="shared" ref="W26:W33" si="6">D38/L10</f>
        <v>1.3846141127519156</v>
      </c>
      <c r="X26" s="288">
        <v>1</v>
      </c>
      <c r="Y26" s="42"/>
      <c r="Z26" s="42"/>
      <c r="AA26" s="42"/>
    </row>
    <row r="27" spans="2:27">
      <c r="B27" s="5" t="s">
        <v>582</v>
      </c>
      <c r="C27" s="545">
        <v>33330</v>
      </c>
      <c r="D27" s="536">
        <v>31734</v>
      </c>
      <c r="E27" s="536">
        <v>34372.284222518152</v>
      </c>
      <c r="F27" s="536">
        <v>34328.904363979789</v>
      </c>
      <c r="G27" s="536">
        <v>34373.16325328673</v>
      </c>
      <c r="H27" s="279">
        <f t="shared" si="4"/>
        <v>2.6986877685935662E-2</v>
      </c>
      <c r="I27" s="249"/>
      <c r="J27" s="248"/>
      <c r="K27" s="248"/>
      <c r="L27" s="248"/>
      <c r="M27" s="248"/>
      <c r="N27" s="248"/>
      <c r="O27" s="248"/>
      <c r="Q27" s="41"/>
      <c r="S27" s="88"/>
      <c r="T27" s="42"/>
      <c r="U27" s="42"/>
      <c r="V27" s="147" t="s">
        <v>181</v>
      </c>
      <c r="W27" s="288">
        <f t="shared" si="6"/>
        <v>1.0281379525201724</v>
      </c>
      <c r="X27" s="288">
        <v>1</v>
      </c>
      <c r="Y27" s="42"/>
      <c r="Z27" s="42"/>
      <c r="AA27" s="42"/>
    </row>
    <row r="28" spans="2:27" ht="12.6" thickBot="1">
      <c r="B28" s="5" t="s">
        <v>587</v>
      </c>
      <c r="C28" s="544">
        <v>18121</v>
      </c>
      <c r="D28" s="536">
        <v>17465</v>
      </c>
      <c r="E28" s="536">
        <v>19202.353340164995</v>
      </c>
      <c r="F28" s="536">
        <v>18114.010947270093</v>
      </c>
      <c r="G28" s="536">
        <v>17940.368113306529</v>
      </c>
      <c r="H28" s="279">
        <f t="shared" si="4"/>
        <v>8.9916835815888607E-3</v>
      </c>
      <c r="I28" s="248"/>
      <c r="J28" s="306" t="s">
        <v>1352</v>
      </c>
      <c r="K28" s="306"/>
      <c r="L28" s="306"/>
      <c r="M28" s="306"/>
      <c r="N28" s="266"/>
      <c r="O28" s="266"/>
      <c r="P28" s="266"/>
      <c r="Q28" s="5"/>
      <c r="S28" s="88"/>
      <c r="T28" s="42"/>
      <c r="U28" s="42"/>
      <c r="V28" s="147" t="s">
        <v>461</v>
      </c>
      <c r="W28" s="288">
        <f t="shared" si="6"/>
        <v>0.95401823792442486</v>
      </c>
      <c r="X28" s="288">
        <v>1</v>
      </c>
      <c r="Y28" s="42"/>
      <c r="Z28" s="42"/>
      <c r="AA28" s="42"/>
    </row>
    <row r="29" spans="2:27" ht="12.6" thickTop="1">
      <c r="B29" s="5" t="s">
        <v>583</v>
      </c>
      <c r="C29" s="544">
        <v>1975</v>
      </c>
      <c r="D29" s="536">
        <v>1887</v>
      </c>
      <c r="E29" s="536">
        <v>1218.7782761723981</v>
      </c>
      <c r="F29" s="536">
        <v>2603.1962385856145</v>
      </c>
      <c r="G29" s="536">
        <v>2883.1778449985072</v>
      </c>
      <c r="H29" s="279">
        <f t="shared" si="4"/>
        <v>0.15177198456173535</v>
      </c>
      <c r="I29" s="252"/>
      <c r="J29" s="249"/>
      <c r="K29" s="249"/>
      <c r="L29" s="249"/>
      <c r="M29" s="249"/>
      <c r="N29" s="249"/>
      <c r="O29" s="251"/>
      <c r="Q29" s="5"/>
      <c r="S29" s="88"/>
      <c r="T29" s="42"/>
      <c r="U29" s="42"/>
      <c r="V29" s="147" t="s">
        <v>525</v>
      </c>
      <c r="W29" s="288">
        <f t="shared" si="6"/>
        <v>1.5744817657690378</v>
      </c>
      <c r="X29" s="288">
        <v>1</v>
      </c>
      <c r="Y29" s="42"/>
      <c r="Z29" s="42"/>
      <c r="AA29" s="42"/>
    </row>
    <row r="30" spans="2:27">
      <c r="B30" s="5" t="s">
        <v>584</v>
      </c>
      <c r="C30" s="545">
        <v>2225</v>
      </c>
      <c r="D30" s="536">
        <v>795</v>
      </c>
      <c r="E30" s="536">
        <v>2544.0722606378899</v>
      </c>
      <c r="F30" s="536">
        <v>2941.0342381701716</v>
      </c>
      <c r="G30" s="536">
        <v>3313.1059462234189</v>
      </c>
      <c r="H30" s="279">
        <f t="shared" si="4"/>
        <v>0.60924708737870259</v>
      </c>
      <c r="I30" s="254"/>
      <c r="J30" s="248"/>
      <c r="K30" s="248"/>
      <c r="L30" s="248"/>
      <c r="M30" s="248"/>
      <c r="N30" s="248"/>
      <c r="O30" s="5"/>
      <c r="Q30" s="5"/>
      <c r="S30" s="88"/>
      <c r="T30" s="42"/>
      <c r="U30" s="42"/>
      <c r="V30" s="147" t="s">
        <v>588</v>
      </c>
      <c r="W30" s="288">
        <f t="shared" si="6"/>
        <v>2.1462011441164952</v>
      </c>
      <c r="X30" s="288">
        <v>1</v>
      </c>
      <c r="Y30" s="42"/>
      <c r="Z30" s="42"/>
      <c r="AA30" s="42"/>
    </row>
    <row r="31" spans="2:27">
      <c r="B31" s="5" t="s">
        <v>585</v>
      </c>
      <c r="C31" s="545">
        <v>2466.7765029999996</v>
      </c>
      <c r="D31" s="536">
        <v>2483.3320499999995</v>
      </c>
      <c r="E31" s="536">
        <v>3034.7039353389769</v>
      </c>
      <c r="F31" s="536">
        <v>3353.2274015785156</v>
      </c>
      <c r="G31" s="536">
        <v>3651.7788418840255</v>
      </c>
      <c r="H31" s="279">
        <f t="shared" si="4"/>
        <v>0.1371643203366042</v>
      </c>
      <c r="I31" s="254"/>
      <c r="J31" s="252"/>
      <c r="K31" s="252"/>
      <c r="L31" s="252"/>
      <c r="M31" s="252"/>
      <c r="N31" s="252"/>
      <c r="O31" s="5"/>
      <c r="Q31" s="5"/>
      <c r="S31" s="88"/>
      <c r="T31" s="42"/>
      <c r="U31" s="42"/>
      <c r="V31" s="147" t="s">
        <v>470</v>
      </c>
      <c r="W31" s="288">
        <f t="shared" si="6"/>
        <v>4.1737377698731226</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4.7653779011803783</v>
      </c>
      <c r="X32" s="288">
        <v>1</v>
      </c>
      <c r="Y32" s="42"/>
      <c r="Z32" s="42"/>
      <c r="AA32" s="42"/>
    </row>
    <row r="33" spans="2:27">
      <c r="B33" s="5" t="s">
        <v>5</v>
      </c>
      <c r="C33" s="545">
        <v>-359</v>
      </c>
      <c r="D33" s="536">
        <v>-303</v>
      </c>
      <c r="E33" s="536">
        <v>-316.3866099240995</v>
      </c>
      <c r="F33" s="536">
        <v>-408.21465149587493</v>
      </c>
      <c r="G33" s="536">
        <v>-424.63214657715332</v>
      </c>
      <c r="H33" s="279">
        <f>IF(D33=0,"nm",IF(G33=0,"nm",(G33/D33)^(1/3)-1))</f>
        <v>0.11906869496953276</v>
      </c>
      <c r="I33" s="5"/>
      <c r="J33" s="254"/>
      <c r="K33" s="254"/>
      <c r="L33" s="254"/>
      <c r="M33" s="254"/>
      <c r="N33" s="254"/>
      <c r="O33" s="251"/>
      <c r="Q33" s="5"/>
      <c r="S33" s="88"/>
      <c r="T33" s="42"/>
      <c r="U33" s="42"/>
      <c r="V33" s="147" t="s">
        <v>575</v>
      </c>
      <c r="W33" s="288">
        <f t="shared" si="6"/>
        <v>1.053045361576108</v>
      </c>
      <c r="X33" s="288">
        <v>1</v>
      </c>
      <c r="Y33" s="42"/>
      <c r="Z33" s="42"/>
      <c r="AA33" s="42"/>
    </row>
    <row r="34" spans="2:27">
      <c r="B34" s="5"/>
      <c r="H34" s="277"/>
      <c r="I34" s="49"/>
      <c r="J34" s="254"/>
      <c r="K34" s="254"/>
      <c r="L34" s="254"/>
      <c r="M34" s="254"/>
      <c r="N34" s="254"/>
      <c r="O34" s="251"/>
      <c r="Q34" s="5"/>
      <c r="S34" s="88"/>
      <c r="T34" s="42"/>
      <c r="U34" s="42"/>
      <c r="V34" s="147" t="s">
        <v>576</v>
      </c>
      <c r="W34" s="288">
        <f>D47/L19</f>
        <v>0.23959339449119221</v>
      </c>
      <c r="X34" s="288">
        <v>1</v>
      </c>
      <c r="Y34" s="288"/>
      <c r="Z34" s="288"/>
      <c r="AA34" s="42"/>
    </row>
    <row r="35" spans="2:27" ht="12.6" thickBot="1">
      <c r="B35" s="306" t="s">
        <v>549</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4.0530879300105607</v>
      </c>
      <c r="E37" s="525">
        <f>E$18/E23</f>
        <v>4.2077133802564237</v>
      </c>
      <c r="F37" s="525">
        <f>F$18/F23</f>
        <v>3.9078963945021274</v>
      </c>
      <c r="G37" s="525">
        <f>G$18/G23</f>
        <v>3.6611563194022412</v>
      </c>
      <c r="H37" s="17">
        <f t="shared" ref="H37:H45" si="8">H23</f>
        <v>2.1940356753366919E-2</v>
      </c>
      <c r="I37" s="5"/>
      <c r="J37" s="259"/>
      <c r="K37" s="259"/>
      <c r="L37" s="259"/>
      <c r="M37" s="259"/>
      <c r="N37" s="259"/>
      <c r="O37" s="18"/>
      <c r="Q37" s="5"/>
      <c r="R37" s="5"/>
      <c r="S37" s="42"/>
      <c r="T37" s="42"/>
      <c r="U37" s="42"/>
      <c r="V37" s="42"/>
      <c r="W37" s="42"/>
      <c r="X37" s="42"/>
      <c r="Y37" s="42"/>
      <c r="Z37" s="42"/>
      <c r="AA37" s="42"/>
    </row>
    <row r="38" spans="2:27">
      <c r="B38" s="5" t="s">
        <v>838</v>
      </c>
      <c r="C38" s="247"/>
      <c r="D38" s="525">
        <f>PROPORTIONATES!G67</f>
        <v>6.4017301246412899</v>
      </c>
      <c r="E38" s="525">
        <f>PROPORTIONATES!H67</f>
        <v>5.5811719922555509</v>
      </c>
      <c r="F38" s="525">
        <f>PROPORTIONATES!I67</f>
        <v>4.868908271255151</v>
      </c>
      <c r="G38" s="525">
        <f>PROPORTIONATES!J67</f>
        <v>4.1957957026237711</v>
      </c>
      <c r="H38" s="17">
        <f t="shared" si="8"/>
        <v>4.5240589222138139E-2</v>
      </c>
      <c r="I38" s="259"/>
      <c r="J38" s="17"/>
      <c r="K38" s="17"/>
      <c r="L38" s="17"/>
      <c r="M38" s="17"/>
      <c r="N38" s="17"/>
      <c r="O38" s="5"/>
      <c r="Q38" s="5"/>
      <c r="R38" s="5"/>
      <c r="S38" s="42"/>
      <c r="T38" s="42"/>
      <c r="U38" s="42"/>
      <c r="V38" s="42"/>
      <c r="W38" s="42"/>
      <c r="X38" s="42"/>
      <c r="Y38" s="42"/>
      <c r="Z38" s="42"/>
      <c r="AA38" s="42"/>
    </row>
    <row r="39" spans="2:27">
      <c r="B39" s="5" t="s">
        <v>839</v>
      </c>
      <c r="C39" s="247"/>
      <c r="D39" s="525">
        <f>PROPORTIONATES!G68</f>
        <v>12.126549426960086</v>
      </c>
      <c r="E39" s="525">
        <f>PROPORTIONATES!H68</f>
        <v>9.6570165261701106</v>
      </c>
      <c r="F39" s="525">
        <f>PROPORTIONATES!I68</f>
        <v>7.9568338879162761</v>
      </c>
      <c r="G39" s="525">
        <f>PROPORTIONATES!J68</f>
        <v>6.6578788280631516</v>
      </c>
      <c r="H39" s="17">
        <f t="shared" si="8"/>
        <v>0.10846461396795615</v>
      </c>
      <c r="I39" s="17"/>
      <c r="J39" s="5"/>
      <c r="K39" s="5"/>
      <c r="L39" s="5"/>
      <c r="M39" s="5"/>
      <c r="N39" s="5"/>
      <c r="O39" s="5"/>
      <c r="Q39" s="5"/>
      <c r="R39" s="5"/>
      <c r="S39" s="42"/>
      <c r="T39" s="42"/>
      <c r="U39" s="42"/>
      <c r="V39" s="42"/>
      <c r="W39" s="42"/>
      <c r="X39" s="42"/>
      <c r="Y39" s="42"/>
      <c r="Z39" s="42"/>
      <c r="AA39" s="42"/>
    </row>
    <row r="40" spans="2:27">
      <c r="B40" s="5" t="s">
        <v>840</v>
      </c>
      <c r="C40" s="247"/>
      <c r="D40" s="525">
        <f>PROPORTIONATES!G69</f>
        <v>15.125103393214005</v>
      </c>
      <c r="E40" s="525">
        <f>PROPORTIONATES!H69</f>
        <v>12.237444930133973</v>
      </c>
      <c r="F40" s="525">
        <f>PROPORTIONATES!I69</f>
        <v>10.133228778838182</v>
      </c>
      <c r="G40" s="525">
        <f>PROPORTIONATES!J69</f>
        <v>8.0224732512405392</v>
      </c>
      <c r="H40" s="17">
        <f t="shared" si="8"/>
        <v>0.10846461396795615</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1.8044377095603832</v>
      </c>
      <c r="E41" s="525">
        <f>E$18/E27</f>
        <v>1.7637647963369418</v>
      </c>
      <c r="F41" s="525">
        <f>F$18/F27</f>
        <v>1.691087342295063</v>
      </c>
      <c r="G41" s="525">
        <f>G$18/G27</f>
        <v>1.6060390750997284</v>
      </c>
      <c r="H41" s="17">
        <f t="shared" si="8"/>
        <v>2.6986877685935662E-2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3.2786731334205097</v>
      </c>
      <c r="E42" s="525">
        <f>E18/E28</f>
        <v>3.1571455752018931</v>
      </c>
      <c r="F42" s="525">
        <f>F18/F28</f>
        <v>3.2048769217252233</v>
      </c>
      <c r="G42" s="525">
        <f>G18/G28</f>
        <v>3.0771187620511991</v>
      </c>
      <c r="H42" s="17">
        <f t="shared" si="8"/>
        <v>8.9916835815888607E-3</v>
      </c>
      <c r="I42" s="248"/>
      <c r="J42" s="5"/>
      <c r="K42" s="5"/>
      <c r="L42" s="5"/>
      <c r="M42" s="5"/>
      <c r="N42" s="5"/>
      <c r="O42" s="5"/>
      <c r="Q42" s="5"/>
      <c r="R42" s="5"/>
      <c r="S42" s="42"/>
      <c r="T42" s="42"/>
      <c r="U42" s="42"/>
      <c r="V42" s="42"/>
      <c r="W42" s="288"/>
      <c r="X42" s="288"/>
      <c r="Y42" s="288"/>
      <c r="Z42" s="288"/>
      <c r="AA42" s="42"/>
    </row>
    <row r="43" spans="2:27">
      <c r="B43" s="5" t="s">
        <v>470</v>
      </c>
      <c r="C43" s="247"/>
      <c r="D43" s="525">
        <f>L26/D29</f>
        <v>63.746800822970378</v>
      </c>
      <c r="E43" s="525">
        <f>M26/E29</f>
        <v>100.05869224655692</v>
      </c>
      <c r="F43" s="525">
        <f>N26/F29</f>
        <v>45.082782557389848</v>
      </c>
      <c r="G43" s="525">
        <f>O26/G29</f>
        <v>38.871834117440315</v>
      </c>
      <c r="H43" s="17">
        <f t="shared" si="8"/>
        <v>0.15177198456173535</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65.18095862893081</v>
      </c>
      <c r="E44" s="525">
        <f>E11/E30</f>
        <v>20.368471018589368</v>
      </c>
      <c r="F44" s="525">
        <f>F11/F30</f>
        <v>17.619265167834367</v>
      </c>
      <c r="G44" s="525">
        <f>G11/G30</f>
        <v>15.640568986050045</v>
      </c>
      <c r="H44" s="17">
        <f t="shared" si="8"/>
        <v>0.60924708737870259</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4.7923322683706068E-2</v>
      </c>
      <c r="E45" s="248">
        <f>E31/E11</f>
        <v>5.8563693060202114E-2</v>
      </c>
      <c r="F45" s="248">
        <f>F31/F11</f>
        <v>6.471055644680801E-2</v>
      </c>
      <c r="G45" s="248">
        <f>G31/G11</f>
        <v>7.047199983149198E-2</v>
      </c>
      <c r="H45" s="17">
        <f t="shared" si="8"/>
        <v>0.1371643203366042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4.7923322683706068E-2</v>
      </c>
      <c r="E46" s="248">
        <f>(E31+E32)/E11</f>
        <v>5.8563693060202114E-2</v>
      </c>
      <c r="F46" s="248">
        <f>(F31+F32)/F11</f>
        <v>6.471055644680801E-2</v>
      </c>
      <c r="G46" s="248">
        <f>(G31+G32)/G11</f>
        <v>7.047199983149198E-2</v>
      </c>
      <c r="H46" s="279">
        <f>((G31+G32)/(D31+D32))^(1/3)-1</f>
        <v>0.1371643203366042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1.5687061736275591E-2</v>
      </c>
      <c r="E47" s="248">
        <f>1/E43</f>
        <v>9.9941342181034815E-3</v>
      </c>
      <c r="F47" s="248">
        <f>1/F43</f>
        <v>2.2181417012736779E-2</v>
      </c>
      <c r="G47" s="248">
        <f>1/G43</f>
        <v>2.5725567694562114E-2</v>
      </c>
      <c r="H47" s="17">
        <f>H29</f>
        <v>0.15177198456173535</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1.3160212241653415</v>
      </c>
      <c r="E48" s="305">
        <f>E31/E29</f>
        <v>2.4899557160384709</v>
      </c>
      <c r="F48" s="305">
        <f>F31/F29</f>
        <v>1.2881193326402518</v>
      </c>
      <c r="G48" s="305">
        <f>G31/G29</f>
        <v>1.2665811955439454</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SINGTELSOP!A1" display="Jump to Singtel SOP" xr:uid="{00000000-0004-0000-4E00-000001000000}"/>
  </hyperlinks>
  <pageMargins left="0.75" right="0.75" top="1" bottom="1" header="0.5" footer="0.5"/>
  <pageSetup scale="71"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19">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871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872</v>
      </c>
      <c r="C7" s="265"/>
      <c r="D7" s="265" t="str">
        <f>D5</f>
        <v>2023E</v>
      </c>
      <c r="E7" s="265" t="str">
        <f t="shared" ref="E7:H7" si="0">E5</f>
        <v>2024E</v>
      </c>
      <c r="F7" s="265" t="str">
        <f t="shared" si="0"/>
        <v>2025E</v>
      </c>
      <c r="G7" s="265" t="str">
        <f t="shared" si="0"/>
        <v>2026E</v>
      </c>
      <c r="H7" s="265" t="str">
        <f t="shared" si="0"/>
        <v>23E-26E</v>
      </c>
      <c r="I7" s="49"/>
      <c r="J7" s="306" t="s">
        <v>771</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875</v>
      </c>
      <c r="C9" s="285">
        <f>Prices!C141</f>
        <v>16.63</v>
      </c>
      <c r="D9" s="531">
        <v>0</v>
      </c>
      <c r="E9" s="532">
        <v>0</v>
      </c>
      <c r="F9" s="532">
        <v>0</v>
      </c>
      <c r="G9" s="532">
        <v>0</v>
      </c>
      <c r="H9" s="249"/>
      <c r="I9" s="249"/>
      <c r="J9" s="5" t="s">
        <v>268</v>
      </c>
      <c r="L9" s="525">
        <f>'EM TOWERS'!D37</f>
        <v>3.1620526700243352</v>
      </c>
      <c r="M9" s="525">
        <f>'EM TOWERS'!E37</f>
        <v>2.9424000564542334</v>
      </c>
      <c r="N9" s="525">
        <f>'EM TOWERS'!F37</f>
        <v>2.5659911609656558</v>
      </c>
      <c r="O9" s="525">
        <f>'EM TOWERS'!G37</f>
        <v>2.2128014874226967</v>
      </c>
      <c r="P9" s="279">
        <f t="shared" ref="P9:P20" si="2">IF(L9=0,"nm",IF(O9=0,"nm",(O9/L9)^(1/3)-1))</f>
        <v>-0.11218096594701266</v>
      </c>
      <c r="S9" s="88"/>
      <c r="T9" s="42"/>
      <c r="U9" s="42"/>
      <c r="V9" s="42"/>
      <c r="W9" s="42"/>
      <c r="X9" s="42"/>
      <c r="Y9" s="42"/>
      <c r="Z9" s="42"/>
      <c r="AA9" s="42"/>
    </row>
    <row r="10" spans="2:44">
      <c r="B10" s="5" t="s">
        <v>269</v>
      </c>
      <c r="C10" s="5"/>
      <c r="D10" s="527">
        <v>3144</v>
      </c>
      <c r="E10" s="527">
        <v>3094</v>
      </c>
      <c r="F10" s="527">
        <v>3044</v>
      </c>
      <c r="G10" s="527">
        <v>2994</v>
      </c>
      <c r="H10" s="247"/>
      <c r="I10" s="247"/>
      <c r="J10" s="5" t="s">
        <v>180</v>
      </c>
      <c r="L10" s="525">
        <f>'EM TOWERS'!D38</f>
        <v>4.925565476585744</v>
      </c>
      <c r="M10" s="525">
        <f>'EM TOWERS'!E38</f>
        <v>4.5370192974808798</v>
      </c>
      <c r="N10" s="525">
        <f>'EM TOWERS'!F38</f>
        <v>3.9348737497172284</v>
      </c>
      <c r="O10" s="525">
        <f>'EM TOWERS'!G38</f>
        <v>3.3927175182471632</v>
      </c>
      <c r="P10" s="279">
        <f t="shared" si="2"/>
        <v>-0.11685800878293817</v>
      </c>
      <c r="S10" s="88"/>
      <c r="T10" s="42"/>
      <c r="U10" s="42"/>
      <c r="V10" s="42"/>
      <c r="W10" s="288"/>
      <c r="X10" s="288"/>
      <c r="Y10" s="288"/>
      <c r="Z10" s="288"/>
      <c r="AA10" s="42"/>
    </row>
    <row r="11" spans="2:44">
      <c r="B11" s="41" t="s">
        <v>876</v>
      </c>
      <c r="C11" s="5"/>
      <c r="D11" s="528">
        <f>$C$9*D10</f>
        <v>52284.719999999994</v>
      </c>
      <c r="E11" s="528">
        <f>$C$9*E10</f>
        <v>51453.219999999994</v>
      </c>
      <c r="F11" s="528">
        <f>$C$9*F10</f>
        <v>50621.719999999994</v>
      </c>
      <c r="G11" s="528">
        <f>$C$9*G10</f>
        <v>49790.219999999994</v>
      </c>
      <c r="H11" s="249"/>
      <c r="I11" s="249"/>
      <c r="J11" s="5" t="s">
        <v>181</v>
      </c>
      <c r="L11" s="525">
        <f>'EM TOWERS'!D39</f>
        <v>9.3696948912200728</v>
      </c>
      <c r="M11" s="525">
        <f>'EM TOWERS'!E39</f>
        <v>6.8594503743264976</v>
      </c>
      <c r="N11" s="525">
        <f>'EM TOWERS'!F39</f>
        <v>5.8273489357381703</v>
      </c>
      <c r="O11" s="525">
        <f>'EM TOWERS'!G39</f>
        <v>4.9434351005636117</v>
      </c>
      <c r="P11" s="279">
        <f t="shared" si="2"/>
        <v>-0.1919570181052056</v>
      </c>
      <c r="S11" s="88"/>
      <c r="T11" s="42"/>
      <c r="U11" s="42"/>
      <c r="V11" s="42"/>
      <c r="W11" s="288"/>
      <c r="X11" s="288"/>
      <c r="Y11" s="288"/>
      <c r="Z11" s="288"/>
      <c r="AA11" s="42"/>
    </row>
    <row r="12" spans="2:44">
      <c r="B12" s="5" t="s">
        <v>24</v>
      </c>
      <c r="C12" s="249"/>
      <c r="D12" s="529">
        <v>28655.983149837521</v>
      </c>
      <c r="E12" s="529">
        <v>25591.993983587894</v>
      </c>
      <c r="F12" s="529">
        <v>22169.85693920558</v>
      </c>
      <c r="G12" s="529">
        <v>18237.337074315376</v>
      </c>
      <c r="H12" s="247"/>
      <c r="I12" s="247"/>
      <c r="J12" s="5" t="s">
        <v>461</v>
      </c>
      <c r="L12" s="525">
        <f>'EM TOWERS'!D40</f>
        <v>12.097154573967106</v>
      </c>
      <c r="M12" s="525">
        <f>'EM TOWERS'!E40</f>
        <v>8.2078607710351097</v>
      </c>
      <c r="N12" s="525">
        <f>'EM TOWERS'!F40</f>
        <v>6.4966647693535213</v>
      </c>
      <c r="O12" s="525">
        <f>'EM TOWERS'!G40</f>
        <v>5.4854068423881115</v>
      </c>
      <c r="P12" s="279">
        <f t="shared" si="2"/>
        <v>-0.23173944090636245</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'EM TOWERS'!D41</f>
        <v>1.2624385351891199</v>
      </c>
      <c r="M13" s="525">
        <f>'EM TOWERS'!E41</f>
        <v>1.2659168158606797</v>
      </c>
      <c r="N13" s="525">
        <f>'EM TOWERS'!F41</f>
        <v>1.2021862019111522</v>
      </c>
      <c r="O13" s="525">
        <f>'EM TOWERS'!G41</f>
        <v>1.0983319967969536</v>
      </c>
      <c r="P13" s="279">
        <f t="shared" si="2"/>
        <v>-4.5356695289149096E-2</v>
      </c>
      <c r="S13" s="88"/>
      <c r="T13" s="42"/>
      <c r="U13" s="42"/>
      <c r="V13" s="42"/>
      <c r="W13" s="42"/>
      <c r="X13" s="42"/>
      <c r="Y13" s="42"/>
      <c r="Z13" s="42"/>
      <c r="AA13" s="42"/>
    </row>
    <row r="14" spans="2:44">
      <c r="B14" s="5" t="s">
        <v>526</v>
      </c>
      <c r="C14" s="257"/>
      <c r="D14" s="529">
        <v>0</v>
      </c>
      <c r="E14" s="529">
        <v>0</v>
      </c>
      <c r="F14" s="529">
        <v>0</v>
      </c>
      <c r="G14" s="529">
        <v>0</v>
      </c>
      <c r="H14" s="247"/>
      <c r="I14" s="247"/>
      <c r="J14" s="5" t="s">
        <v>588</v>
      </c>
      <c r="L14" s="525">
        <f>'EM TOWERS'!D42</f>
        <v>1.7465887360675805</v>
      </c>
      <c r="M14" s="525">
        <f>'EM TOWERS'!E42</f>
        <v>1.85806888290891</v>
      </c>
      <c r="N14" s="525">
        <f>'EM TOWERS'!F42</f>
        <v>1.9385154484894787</v>
      </c>
      <c r="O14" s="525">
        <f>'EM TOWERS'!G42</f>
        <v>1.9579432137545243</v>
      </c>
      <c r="P14" s="279">
        <f t="shared" si="2"/>
        <v>3.8810854542254747E-2</v>
      </c>
      <c r="S14" s="88"/>
      <c r="T14" s="42"/>
      <c r="U14" s="42"/>
      <c r="V14" s="42"/>
      <c r="W14" s="42"/>
      <c r="X14" s="42"/>
      <c r="Y14" s="42"/>
      <c r="Z14" s="42"/>
      <c r="AA14" s="42"/>
    </row>
    <row r="15" spans="2:44">
      <c r="B15" s="41" t="s">
        <v>527</v>
      </c>
      <c r="C15" s="274"/>
      <c r="D15" s="529">
        <v>0</v>
      </c>
      <c r="E15" s="529">
        <v>0</v>
      </c>
      <c r="F15" s="529">
        <v>0</v>
      </c>
      <c r="G15" s="529">
        <v>0</v>
      </c>
      <c r="H15" s="249"/>
      <c r="I15" s="247"/>
      <c r="J15" s="5" t="s">
        <v>470</v>
      </c>
      <c r="L15" s="525">
        <f>'EM TOWERS'!D43</f>
        <v>9.7516598460327248</v>
      </c>
      <c r="M15" s="525">
        <f>'EM TOWERS'!E43</f>
        <v>6.513674430115775</v>
      </c>
      <c r="N15" s="525">
        <f>'EM TOWERS'!F43</f>
        <v>5.5078171276714709</v>
      </c>
      <c r="O15" s="525">
        <f>'EM TOWERS'!G43</f>
        <v>5.2100521422471591</v>
      </c>
      <c r="P15" s="279">
        <f t="shared" si="2"/>
        <v>-0.18856355722938711</v>
      </c>
      <c r="S15" s="88"/>
      <c r="T15" s="42"/>
      <c r="U15" s="42"/>
      <c r="V15" s="42"/>
      <c r="W15" s="42"/>
      <c r="X15" s="42"/>
      <c r="Y15" s="42"/>
      <c r="Z15" s="42"/>
      <c r="AA15" s="42"/>
    </row>
    <row r="16" spans="2:44">
      <c r="B16" s="5" t="s">
        <v>529</v>
      </c>
      <c r="C16" s="257"/>
      <c r="D16" s="529">
        <v>0</v>
      </c>
      <c r="E16" s="529">
        <v>0</v>
      </c>
      <c r="F16" s="529">
        <v>0</v>
      </c>
      <c r="G16" s="529">
        <v>0</v>
      </c>
      <c r="H16" s="247"/>
      <c r="I16" s="247"/>
      <c r="J16" s="5" t="s">
        <v>528</v>
      </c>
      <c r="L16" s="525">
        <f>'EM TOWERS'!D44</f>
        <v>16.675071508591021</v>
      </c>
      <c r="M16" s="525">
        <f>'EM TOWERS'!E44</f>
        <v>12.851369251759737</v>
      </c>
      <c r="N16" s="525">
        <f>'EM TOWERS'!F44</f>
        <v>10.194942053136637</v>
      </c>
      <c r="O16" s="525">
        <f>'EM TOWERS'!G44</f>
        <v>7.7971320939080435</v>
      </c>
      <c r="P16" s="279">
        <f>IF(L16=0,"nm",IF(O16=0,"nm",(O16/L16)^(1/3)-1))</f>
        <v>-0.22383200832875616</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525">
        <f>'EM TOWERS'!D45</f>
        <v>2.3318770967946687E-2</v>
      </c>
      <c r="M17" s="525">
        <f>'EM TOWERS'!E45</f>
        <v>3.253951189440675E-2</v>
      </c>
      <c r="N17" s="525">
        <f>'EM TOWERS'!F45</f>
        <v>4.1886670508327097E-2</v>
      </c>
      <c r="O17" s="525">
        <f>'EM TOWERS'!G45</f>
        <v>5.866090554375173E-2</v>
      </c>
      <c r="P17" s="279">
        <f t="shared" si="2"/>
        <v>0.3600275376359241</v>
      </c>
      <c r="S17" s="88"/>
      <c r="T17" s="42"/>
      <c r="U17" s="42"/>
      <c r="V17" s="42"/>
      <c r="W17" s="42"/>
      <c r="X17" s="42"/>
      <c r="Y17" s="42"/>
      <c r="Z17" s="42"/>
      <c r="AA17" s="42"/>
    </row>
    <row r="18" spans="2:27" ht="12.6" thickBot="1">
      <c r="B18" s="41" t="s">
        <v>578</v>
      </c>
      <c r="C18" s="249"/>
      <c r="D18" s="530">
        <f>D11+D12+D13-D14+D15-D16-D17</f>
        <v>80940.703149837515</v>
      </c>
      <c r="E18" s="530">
        <f>E11+E12+E13-E14+E15-E16-E17</f>
        <v>77045.213983587892</v>
      </c>
      <c r="F18" s="530">
        <f>F11+F12+F13-F14+F15-F16-F17</f>
        <v>72791.576939205581</v>
      </c>
      <c r="G18" s="530">
        <f>G11+G12+G13-G14+G15-G16-G17</f>
        <v>68027.557074315366</v>
      </c>
      <c r="H18" s="276">
        <f>IF(D18=0,"nm",IF(G18=0,"nm",(G18/D18)^(1/3)-1))</f>
        <v>-5.6288383820057186E-2</v>
      </c>
      <c r="I18" s="254"/>
      <c r="J18" s="5" t="s">
        <v>36</v>
      </c>
      <c r="L18" s="525">
        <f>'EM TOWERS'!D46</f>
        <v>1.9474450052594346E-2</v>
      </c>
      <c r="M18" s="525">
        <f>'EM TOWERS'!E46</f>
        <v>2.8141352347676236E-2</v>
      </c>
      <c r="N18" s="525">
        <f>'EM TOWERS'!F46</f>
        <v>3.7027360214756909E-2</v>
      </c>
      <c r="O18" s="525">
        <f>'EM TOWERS'!G46</f>
        <v>5.3633582434496278E-2</v>
      </c>
      <c r="P18" s="279">
        <f t="shared" si="2"/>
        <v>0.40170686837324121</v>
      </c>
      <c r="S18" s="88"/>
      <c r="T18" s="42"/>
      <c r="U18" s="42"/>
      <c r="V18" s="42"/>
      <c r="W18" s="42"/>
      <c r="X18" s="42"/>
      <c r="Y18" s="42"/>
      <c r="Z18" s="42"/>
      <c r="AA18" s="42"/>
    </row>
    <row r="19" spans="2:27" ht="12.6" thickTop="1">
      <c r="B19" s="41"/>
      <c r="C19" s="249"/>
      <c r="D19" s="229"/>
      <c r="E19" s="229"/>
      <c r="F19" s="229"/>
      <c r="G19" s="229"/>
      <c r="H19" s="276"/>
      <c r="I19" s="254"/>
      <c r="J19" s="5" t="s">
        <v>576</v>
      </c>
      <c r="L19" s="525">
        <f>'EM TOWERS'!D47</f>
        <v>0.10254664495981479</v>
      </c>
      <c r="M19" s="525">
        <f>'EM TOWERS'!E47</f>
        <v>0.1535231781583265</v>
      </c>
      <c r="N19" s="525">
        <f>'EM TOWERS'!F47</f>
        <v>0.18156013114087688</v>
      </c>
      <c r="O19" s="525">
        <f>'EM TOWERS'!G47</f>
        <v>0.19193665873153581</v>
      </c>
      <c r="P19" s="279">
        <f t="shared" si="2"/>
        <v>0.23238241135133819</v>
      </c>
      <c r="S19" s="88"/>
      <c r="T19" s="42"/>
      <c r="U19" s="42"/>
      <c r="V19" s="42"/>
      <c r="W19" s="42"/>
      <c r="X19" s="42"/>
      <c r="Y19" s="42"/>
      <c r="Z19" s="42"/>
      <c r="AA19" s="42"/>
    </row>
    <row r="20" spans="2:27">
      <c r="H20" s="277"/>
      <c r="I20" s="17"/>
      <c r="J20" s="5" t="s">
        <v>599</v>
      </c>
      <c r="L20" s="525">
        <f>'EM TOWERS'!D48</f>
        <v>0.22739672250695939</v>
      </c>
      <c r="M20" s="525">
        <f>'EM TOWERS'!E48</f>
        <v>0.21195178659504538</v>
      </c>
      <c r="N20" s="525">
        <f>'EM TOWERS'!F48</f>
        <v>0.23070412124689543</v>
      </c>
      <c r="O20" s="525">
        <f>'EM TOWERS'!G48</f>
        <v>0.30562637659438197</v>
      </c>
      <c r="P20" s="279">
        <f t="shared" si="2"/>
        <v>0.10357590720937004</v>
      </c>
      <c r="S20" s="88"/>
      <c r="T20" s="42"/>
      <c r="U20" s="42"/>
      <c r="V20" s="42"/>
      <c r="W20" s="42"/>
      <c r="X20" s="42"/>
      <c r="Y20" s="42"/>
      <c r="Z20" s="42"/>
      <c r="AA20" s="42"/>
    </row>
    <row r="21" spans="2:27" ht="12.6" thickBot="1">
      <c r="B21" s="306" t="s">
        <v>942</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10183.890274880365</v>
      </c>
      <c r="D23" s="536">
        <v>11182.684323098265</v>
      </c>
      <c r="E23" s="536">
        <v>12031.032137506247</v>
      </c>
      <c r="F23" s="536">
        <v>12900.703112535084</v>
      </c>
      <c r="G23" s="536">
        <v>13796.284741663085</v>
      </c>
      <c r="H23" s="279">
        <f t="shared" ref="H23:H32" si="4">IF(D23=0,"nm",IF(G23=0,"nm",(G23/D23)^(1/3)-1))</f>
        <v>7.2519905596792222E-2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9710.839811853135</v>
      </c>
      <c r="D24" s="536">
        <v>10644.156062298553</v>
      </c>
      <c r="E24" s="536">
        <v>11434.343183160136</v>
      </c>
      <c r="F24" s="536">
        <v>12241.631762434616</v>
      </c>
      <c r="G24" s="536">
        <v>13070.368858033233</v>
      </c>
      <c r="H24" s="279">
        <f t="shared" si="4"/>
        <v>7.0842345970307363E-2</v>
      </c>
      <c r="I24" s="249"/>
      <c r="J24" s="17"/>
      <c r="K24" s="17"/>
      <c r="L24" s="17"/>
      <c r="M24" s="17"/>
      <c r="N24" s="17"/>
      <c r="O24" s="248"/>
      <c r="S24" s="88"/>
      <c r="T24" s="42"/>
      <c r="U24" s="42"/>
      <c r="V24" s="42"/>
      <c r="W24" s="42" t="s">
        <v>871</v>
      </c>
      <c r="X24" s="42" t="s">
        <v>874</v>
      </c>
      <c r="Y24" s="42"/>
      <c r="Z24" s="42"/>
      <c r="AA24" s="42"/>
    </row>
    <row r="25" spans="2:27">
      <c r="B25" s="5" t="s">
        <v>179</v>
      </c>
      <c r="C25" s="544">
        <v>8347.6572467356909</v>
      </c>
      <c r="D25" s="536">
        <v>9446.2094653645181</v>
      </c>
      <c r="E25" s="536">
        <v>10110.19792130275</v>
      </c>
      <c r="F25" s="536">
        <v>10890.632869030795</v>
      </c>
      <c r="G25" s="536">
        <v>11829.932303250804</v>
      </c>
      <c r="H25" s="279">
        <f t="shared" si="4"/>
        <v>7.7891124547657009E-2</v>
      </c>
      <c r="I25" s="248"/>
      <c r="J25" s="247" t="s">
        <v>10</v>
      </c>
      <c r="K25" s="247"/>
      <c r="L25" s="321">
        <v>0</v>
      </c>
      <c r="M25" s="321">
        <v>0</v>
      </c>
      <c r="N25" s="321">
        <v>0</v>
      </c>
      <c r="O25" s="321">
        <v>0</v>
      </c>
      <c r="P25" s="279" t="str">
        <f>IF(L25=0,"nm",IF(O25=0,"nm",(O25/L25)^(1/3)-1))</f>
        <v>nm</v>
      </c>
      <c r="S25" s="88"/>
      <c r="T25" s="42"/>
      <c r="U25" s="42"/>
      <c r="V25" s="147" t="s">
        <v>268</v>
      </c>
      <c r="W25" s="288">
        <f t="shared" ref="W25:W28" si="6">E37/M9</f>
        <v>2.17641173334738</v>
      </c>
      <c r="X25" s="288">
        <v>1</v>
      </c>
      <c r="Y25" s="42"/>
      <c r="Z25" s="42"/>
      <c r="AA25" s="42"/>
    </row>
    <row r="26" spans="2:27">
      <c r="B26" s="5" t="s">
        <v>581</v>
      </c>
      <c r="C26" s="544">
        <v>5843.3600727149833</v>
      </c>
      <c r="D26" s="536">
        <v>6612.3466257551627</v>
      </c>
      <c r="E26" s="536">
        <v>7077.1385449119243</v>
      </c>
      <c r="F26" s="536">
        <v>7623.4430083215557</v>
      </c>
      <c r="G26" s="536">
        <v>8280.9526122755615</v>
      </c>
      <c r="H26" s="279">
        <f t="shared" si="4"/>
        <v>7.7891124547656787E-2</v>
      </c>
      <c r="I26" s="249"/>
      <c r="J26" s="249" t="s">
        <v>11</v>
      </c>
      <c r="K26" s="249"/>
      <c r="L26" s="281">
        <f>D11+L25</f>
        <v>52284.719999999994</v>
      </c>
      <c r="M26" s="281">
        <f>E11+M25</f>
        <v>51453.219999999994</v>
      </c>
      <c r="N26" s="281">
        <f>F11+N25</f>
        <v>50621.719999999994</v>
      </c>
      <c r="O26" s="281">
        <f>G11+O25</f>
        <v>49790.219999999994</v>
      </c>
      <c r="P26" s="279">
        <f>IF(L26=0,"nm",IF(O26=0,"nm",(O26/L26)^(1/3)-1))</f>
        <v>-1.6163147705316461E-2</v>
      </c>
      <c r="Q26" s="5"/>
      <c r="S26" s="88"/>
      <c r="T26" s="42"/>
      <c r="U26" s="42"/>
      <c r="V26" s="147" t="s">
        <v>180</v>
      </c>
      <c r="W26" s="288">
        <f t="shared" si="6"/>
        <v>1.4851277617814438</v>
      </c>
      <c r="X26" s="288">
        <v>1</v>
      </c>
      <c r="Y26" s="42"/>
      <c r="Z26" s="42"/>
      <c r="AA26" s="42"/>
    </row>
    <row r="27" spans="2:27">
      <c r="B27" s="5" t="s">
        <v>582</v>
      </c>
      <c r="C27" s="545">
        <v>31479.248294395904</v>
      </c>
      <c r="D27" s="536">
        <v>28655.983149837521</v>
      </c>
      <c r="E27" s="536">
        <v>25591.993983587894</v>
      </c>
      <c r="F27" s="536">
        <v>22169.85693920558</v>
      </c>
      <c r="G27" s="536">
        <v>18237.337074315376</v>
      </c>
      <c r="H27" s="279">
        <f t="shared" si="4"/>
        <v>-0.13983446498599739</v>
      </c>
      <c r="I27" s="249"/>
      <c r="J27" s="248"/>
      <c r="K27" s="248"/>
      <c r="L27" s="248"/>
      <c r="M27" s="248"/>
      <c r="N27" s="248"/>
      <c r="O27" s="248"/>
      <c r="Q27" s="41"/>
      <c r="S27" s="88"/>
      <c r="T27" s="42"/>
      <c r="U27" s="42"/>
      <c r="V27" s="147" t="s">
        <v>181</v>
      </c>
      <c r="W27" s="288">
        <f t="shared" si="6"/>
        <v>1.1109555671802931</v>
      </c>
      <c r="X27" s="288">
        <v>1</v>
      </c>
      <c r="Y27" s="42"/>
      <c r="Z27" s="42"/>
      <c r="AA27" s="42"/>
    </row>
    <row r="28" spans="2:27">
      <c r="B28" s="5" t="s">
        <v>587</v>
      </c>
      <c r="C28" s="544">
        <v>36164.911765117446</v>
      </c>
      <c r="D28" s="536">
        <v>33746.367185539741</v>
      </c>
      <c r="E28" s="536">
        <v>31695.875728843152</v>
      </c>
      <c r="F28" s="536">
        <v>29877.287049362654</v>
      </c>
      <c r="G28" s="536">
        <v>28129.994899208821</v>
      </c>
      <c r="H28" s="279">
        <f t="shared" si="4"/>
        <v>-5.8874497743415466E-2</v>
      </c>
      <c r="I28" s="248"/>
      <c r="Q28" s="5"/>
      <c r="S28" s="88"/>
      <c r="T28" s="42"/>
      <c r="U28" s="42"/>
      <c r="V28" s="147" t="s">
        <v>461</v>
      </c>
      <c r="W28" s="288">
        <f t="shared" si="6"/>
        <v>1.3263495279074884</v>
      </c>
      <c r="X28" s="288">
        <v>1</v>
      </c>
      <c r="Y28" s="42"/>
      <c r="Z28" s="42"/>
      <c r="AA28" s="42"/>
    </row>
    <row r="29" spans="2:27" ht="12.6" thickBot="1">
      <c r="B29" s="5" t="s">
        <v>583</v>
      </c>
      <c r="C29" s="544">
        <v>3005.1517056040993</v>
      </c>
      <c r="D29" s="536">
        <v>3880.5401445583843</v>
      </c>
      <c r="E29" s="536">
        <v>4272.4544912496258</v>
      </c>
      <c r="F29" s="536">
        <v>4803.4129108573152</v>
      </c>
      <c r="G29" s="536">
        <v>5511.3181802711288</v>
      </c>
      <c r="H29" s="279">
        <f t="shared" si="4"/>
        <v>0.12405553365825539</v>
      </c>
      <c r="I29" s="252"/>
      <c r="J29" s="306" t="s">
        <v>1353</v>
      </c>
      <c r="K29" s="306"/>
      <c r="L29" s="265" t="str">
        <f>L$5</f>
        <v>2023E</v>
      </c>
      <c r="M29" s="265" t="str">
        <f t="shared" ref="M29:P29" si="7">M$5</f>
        <v>2024E</v>
      </c>
      <c r="N29" s="265" t="str">
        <f t="shared" si="7"/>
        <v>2025E</v>
      </c>
      <c r="O29" s="265" t="str">
        <f t="shared" si="7"/>
        <v>2026E</v>
      </c>
      <c r="P29" s="265" t="str">
        <f t="shared" si="7"/>
        <v>23E-26E</v>
      </c>
      <c r="Q29" s="5"/>
      <c r="S29" s="88"/>
      <c r="T29" s="42"/>
      <c r="U29" s="42"/>
      <c r="V29" s="147" t="s">
        <v>470</v>
      </c>
      <c r="W29" s="288">
        <f>E43/M15</f>
        <v>1.8488814514134608</v>
      </c>
      <c r="X29" s="288">
        <v>1</v>
      </c>
      <c r="Y29" s="42"/>
      <c r="Z29" s="42"/>
      <c r="AA29" s="42"/>
    </row>
    <row r="30" spans="2:27" ht="12.6" thickTop="1">
      <c r="B30" s="5" t="s">
        <v>584</v>
      </c>
      <c r="C30" s="545">
        <v>854.60587072154317</v>
      </c>
      <c r="D30" s="536">
        <v>1744.4998849806734</v>
      </c>
      <c r="E30" s="536">
        <v>2447.9664905530394</v>
      </c>
      <c r="F30" s="536">
        <v>3165.6269961768221</v>
      </c>
      <c r="G30" s="536">
        <v>3908.6682419572912</v>
      </c>
      <c r="H30" s="279">
        <f t="shared" si="4"/>
        <v>0.30853684274174431</v>
      </c>
      <c r="I30" s="254"/>
      <c r="J30" s="248"/>
      <c r="K30" s="248"/>
      <c r="L30" s="248"/>
      <c r="M30" s="248"/>
      <c r="N30" s="248"/>
      <c r="O30" s="5"/>
      <c r="Q30" s="5"/>
      <c r="S30" s="88"/>
      <c r="T30" s="42"/>
      <c r="U30" s="42"/>
      <c r="V30" s="147" t="s">
        <v>528</v>
      </c>
      <c r="W30" s="288">
        <f>E44/M16</f>
        <v>1.6355268863378589</v>
      </c>
      <c r="X30" s="288">
        <v>1</v>
      </c>
      <c r="Y30" s="42"/>
      <c r="Z30" s="42"/>
      <c r="AA30" s="42"/>
    </row>
    <row r="31" spans="2:27">
      <c r="B31" s="5" t="s">
        <v>585</v>
      </c>
      <c r="C31" s="545">
        <v>0</v>
      </c>
      <c r="D31" s="536">
        <v>0</v>
      </c>
      <c r="E31" s="536">
        <v>0</v>
      </c>
      <c r="F31" s="536">
        <v>0</v>
      </c>
      <c r="G31" s="536">
        <v>0</v>
      </c>
      <c r="H31" s="279" t="str">
        <f t="shared" si="4"/>
        <v>nm</v>
      </c>
      <c r="I31" s="254"/>
      <c r="J31" s="5" t="s">
        <v>731</v>
      </c>
      <c r="K31" s="247"/>
      <c r="L31" s="322">
        <v>21842</v>
      </c>
      <c r="M31" s="322">
        <v>22742</v>
      </c>
      <c r="N31" s="322">
        <v>23642</v>
      </c>
      <c r="O31" s="322">
        <v>24392</v>
      </c>
      <c r="Q31" s="5"/>
      <c r="S31" s="88"/>
      <c r="T31" s="42"/>
      <c r="U31" s="42"/>
      <c r="V31" s="147" t="s">
        <v>575</v>
      </c>
      <c r="W31" s="288">
        <f>E45/M17</f>
        <v>0</v>
      </c>
      <c r="X31" s="288">
        <v>1</v>
      </c>
      <c r="Y31" s="42"/>
      <c r="Z31" s="42"/>
      <c r="AA31" s="42"/>
    </row>
    <row r="32" spans="2:27">
      <c r="B32" s="5" t="s">
        <v>601</v>
      </c>
      <c r="C32" s="546">
        <v>-1155.1517056040975</v>
      </c>
      <c r="D32" s="536">
        <v>-2823.2651445583833</v>
      </c>
      <c r="E32" s="536">
        <v>-3063.9891662496266</v>
      </c>
      <c r="F32" s="536">
        <v>-3422.1370443823143</v>
      </c>
      <c r="G32" s="536">
        <v>-3932.5198648902042</v>
      </c>
      <c r="H32" s="279">
        <f t="shared" si="4"/>
        <v>0.11679403648626341</v>
      </c>
      <c r="I32" s="254"/>
      <c r="J32" s="5" t="s">
        <v>1351</v>
      </c>
      <c r="K32" s="254"/>
      <c r="L32" s="322">
        <v>25490.229595072102</v>
      </c>
      <c r="M32" s="322">
        <v>26493.16919014421</v>
      </c>
      <c r="N32" s="322">
        <v>27619.750785216314</v>
      </c>
      <c r="O32" s="322">
        <v>28580.675781109734</v>
      </c>
      <c r="Q32" s="5"/>
      <c r="S32" s="88"/>
      <c r="T32" s="42"/>
      <c r="U32" s="42"/>
      <c r="V32" s="147" t="s">
        <v>576</v>
      </c>
      <c r="W32" s="288">
        <f>E47/M19</f>
        <v>0.54086756034872052</v>
      </c>
      <c r="X32" s="288">
        <v>1</v>
      </c>
      <c r="Y32" s="42"/>
      <c r="Z32" s="42"/>
      <c r="AA32" s="42"/>
    </row>
    <row r="33" spans="2:27">
      <c r="B33" s="5" t="s">
        <v>5</v>
      </c>
      <c r="C33" s="545">
        <v>1436.6230434782608</v>
      </c>
      <c r="D33" s="536">
        <v>1385.7712564380804</v>
      </c>
      <c r="E33" s="536">
        <v>1261.486214748282</v>
      </c>
      <c r="F33" s="536">
        <v>1126.6040829731626</v>
      </c>
      <c r="G33" s="536">
        <v>975.9556587367673</v>
      </c>
      <c r="H33" s="279">
        <f>IF(D33=0,"nm",IF(G33=0,"nm",(G33/D33)^(1/3)-1))</f>
        <v>-0.11029469693665261</v>
      </c>
      <c r="I33" s="5"/>
      <c r="Q33" s="5"/>
      <c r="S33" s="88"/>
      <c r="T33" s="42"/>
      <c r="U33" s="42"/>
      <c r="V33" s="42"/>
      <c r="W33" s="42"/>
      <c r="X33" s="42"/>
      <c r="Y33" s="42"/>
      <c r="Z33" s="42"/>
      <c r="AA33" s="42"/>
    </row>
    <row r="34" spans="2:27">
      <c r="I34" s="49"/>
      <c r="Q34" s="5"/>
      <c r="S34" s="88"/>
      <c r="T34" s="42"/>
      <c r="U34" s="42"/>
      <c r="V34" s="42"/>
      <c r="W34" s="42"/>
      <c r="X34" s="42"/>
      <c r="Y34" s="288"/>
      <c r="Z34" s="288"/>
      <c r="AA34" s="42"/>
    </row>
    <row r="35" spans="2:27" ht="12.6" thickBot="1">
      <c r="B35" s="306" t="s">
        <v>873</v>
      </c>
      <c r="C35" s="265"/>
      <c r="D35" s="265" t="str">
        <f>D5</f>
        <v>2023E</v>
      </c>
      <c r="E35" s="265" t="str">
        <f t="shared" ref="E35:H35" si="8">E5</f>
        <v>2024E</v>
      </c>
      <c r="F35" s="265" t="str">
        <f t="shared" si="8"/>
        <v>2025E</v>
      </c>
      <c r="G35" s="265" t="str">
        <f t="shared" si="8"/>
        <v>2026E</v>
      </c>
      <c r="H35" s="265" t="str">
        <f t="shared" si="8"/>
        <v>23E-26E</v>
      </c>
      <c r="I35" s="254"/>
      <c r="J35" s="306" t="s">
        <v>1352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D$18/D23</f>
        <v>7.2380388117235297</v>
      </c>
      <c r="E37" s="525">
        <f t="shared" ref="E37:G40" si="9">E$18/E23</f>
        <v>6.4038740070689872</v>
      </c>
      <c r="F37" s="525">
        <f t="shared" si="9"/>
        <v>5.6424503613665049</v>
      </c>
      <c r="G37" s="525">
        <f t="shared" si="9"/>
        <v>4.9308606156033079</v>
      </c>
      <c r="H37" s="17">
        <f t="shared" ref="H37:H40" si="10">H23</f>
        <v>7.2519905596792222E-2</v>
      </c>
      <c r="I37" s="5"/>
      <c r="J37" s="248"/>
      <c r="K37" s="248"/>
      <c r="L37" s="248"/>
      <c r="M37" s="248"/>
      <c r="N37" s="248"/>
      <c r="O37" s="5"/>
      <c r="Q37" s="5"/>
      <c r="R37" s="5"/>
      <c r="S37" s="42"/>
      <c r="T37" s="42"/>
      <c r="U37" s="42"/>
      <c r="V37" s="42"/>
      <c r="W37" s="42"/>
      <c r="X37" s="42"/>
      <c r="Y37" s="42"/>
      <c r="Z37" s="42"/>
      <c r="AA37" s="42"/>
    </row>
    <row r="38" spans="2:27">
      <c r="B38" s="5" t="s">
        <v>180</v>
      </c>
      <c r="C38" s="247"/>
      <c r="D38" s="525">
        <f>D$18/D24</f>
        <v>7.6042386710702523</v>
      </c>
      <c r="E38" s="525">
        <f>E$18/E24</f>
        <v>6.7380533144269972</v>
      </c>
      <c r="F38" s="525">
        <f t="shared" si="9"/>
        <v>5.946231544276479</v>
      </c>
      <c r="G38" s="525">
        <f t="shared" si="9"/>
        <v>5.2047159351975498</v>
      </c>
      <c r="H38" s="17">
        <f t="shared" si="10"/>
        <v>7.0842345970307363E-2</v>
      </c>
      <c r="I38" s="259"/>
      <c r="J38" s="252"/>
      <c r="K38" s="252"/>
      <c r="L38" s="252"/>
      <c r="M38" s="252"/>
      <c r="N38" s="252"/>
      <c r="O38" s="5"/>
      <c r="Q38" s="5"/>
      <c r="R38" s="5"/>
      <c r="S38" s="42"/>
      <c r="T38" s="42"/>
      <c r="U38" s="42"/>
      <c r="V38" s="42"/>
      <c r="W38" s="42"/>
      <c r="X38" s="42"/>
      <c r="Y38" s="42"/>
      <c r="Z38" s="42"/>
      <c r="AA38" s="42"/>
    </row>
    <row r="39" spans="2:27">
      <c r="B39" s="5" t="s">
        <v>181</v>
      </c>
      <c r="C39" s="247"/>
      <c r="D39" s="525">
        <f>D$18/D25</f>
        <v>8.5685907608353151</v>
      </c>
      <c r="E39" s="525">
        <f t="shared" si="9"/>
        <v>7.6205445811549684</v>
      </c>
      <c r="F39" s="525">
        <f t="shared" si="9"/>
        <v>6.6838702410215047</v>
      </c>
      <c r="G39" s="525">
        <f t="shared" si="9"/>
        <v>5.7504603856119907</v>
      </c>
      <c r="H39" s="17">
        <f t="shared" si="10"/>
        <v>7.7891124547657009E-2</v>
      </c>
      <c r="I39" s="17"/>
      <c r="J39" s="259"/>
      <c r="K39" s="259"/>
      <c r="L39" s="259"/>
      <c r="M39" s="259"/>
      <c r="N39" s="259"/>
      <c r="O39" s="18"/>
      <c r="Q39" s="5"/>
      <c r="R39" s="5"/>
      <c r="S39" s="42"/>
      <c r="T39" s="42"/>
      <c r="U39" s="42"/>
      <c r="V39" s="42"/>
      <c r="W39" s="42"/>
      <c r="X39" s="42"/>
      <c r="Y39" s="42"/>
      <c r="Z39" s="42"/>
      <c r="AA39" s="42"/>
    </row>
    <row r="40" spans="2:27">
      <c r="B40" s="5" t="s">
        <v>461</v>
      </c>
      <c r="C40" s="247"/>
      <c r="D40" s="525">
        <f>D$18/D26</f>
        <v>12.24084394405045</v>
      </c>
      <c r="E40" s="525">
        <f t="shared" si="9"/>
        <v>10.886492258792812</v>
      </c>
      <c r="F40" s="525">
        <f t="shared" si="9"/>
        <v>9.5483860586021514</v>
      </c>
      <c r="G40" s="525">
        <f t="shared" si="9"/>
        <v>8.2149434080171311</v>
      </c>
      <c r="H40" s="17">
        <f t="shared" si="10"/>
        <v>7.7891124547656787E-2</v>
      </c>
      <c r="I40" s="5"/>
      <c r="J40" s="259"/>
      <c r="K40" s="259"/>
      <c r="L40" s="259"/>
      <c r="M40" s="259"/>
      <c r="N40" s="259"/>
      <c r="O40" s="18"/>
      <c r="Q40" s="5"/>
      <c r="R40" s="5"/>
      <c r="S40" s="42"/>
      <c r="T40" s="42"/>
      <c r="U40" s="42"/>
      <c r="V40" s="42"/>
      <c r="W40" s="288"/>
      <c r="X40" s="288"/>
      <c r="Y40" s="42"/>
      <c r="Z40" s="42"/>
      <c r="AA40" s="42"/>
    </row>
    <row r="41" spans="2:27">
      <c r="B41" s="5" t="s">
        <v>863</v>
      </c>
      <c r="D41" s="525">
        <f>D18/D27</f>
        <v>2.8245655619844419</v>
      </c>
      <c r="E41" s="525">
        <f>E18/E27</f>
        <v>3.0105201663065748</v>
      </c>
      <c r="F41" s="525">
        <f>F18/F27</f>
        <v>3.2833579909340611</v>
      </c>
      <c r="G41" s="525">
        <f>G18/G27</f>
        <v>3.7301255549047365</v>
      </c>
      <c r="H41" s="17">
        <f>H27</f>
        <v>-0.13983446498599739</v>
      </c>
      <c r="I41" s="247"/>
      <c r="J41" s="259"/>
      <c r="K41" s="259"/>
      <c r="L41" s="259"/>
      <c r="M41" s="259"/>
      <c r="N41" s="259"/>
      <c r="O41" s="18"/>
      <c r="Q41" s="5"/>
      <c r="R41" s="5"/>
      <c r="S41" s="42"/>
      <c r="T41" s="42"/>
      <c r="U41" s="42"/>
      <c r="V41" s="42"/>
      <c r="W41" s="288"/>
      <c r="X41" s="288"/>
      <c r="Y41" s="288"/>
      <c r="Z41" s="288"/>
      <c r="AA41" s="42"/>
    </row>
    <row r="42" spans="2:27">
      <c r="B42" s="5" t="s">
        <v>588</v>
      </c>
      <c r="D42" s="525">
        <f>IFERROR(D18/D28,"na")</f>
        <v>2.3985012284380187</v>
      </c>
      <c r="E42" s="525">
        <f>IFERROR(E18/E28,"na")</f>
        <v>2.4307646408859744</v>
      </c>
      <c r="F42" s="525">
        <f>IFERROR(F18/F28,"na")</f>
        <v>2.4363516278750743</v>
      </c>
      <c r="G42" s="525">
        <f>IFERROR(G18/G28,"na")</f>
        <v>2.4183280984607891</v>
      </c>
      <c r="H42" s="17">
        <f>H28</f>
        <v>-5.8874497743415466E-2</v>
      </c>
      <c r="I42" s="248"/>
      <c r="J42" s="5"/>
      <c r="K42" s="5"/>
      <c r="L42" s="5"/>
      <c r="M42" s="5"/>
      <c r="N42" s="5"/>
      <c r="O42" s="5"/>
      <c r="Q42" s="5"/>
      <c r="R42" s="5"/>
      <c r="S42" s="42"/>
      <c r="T42" s="42"/>
      <c r="U42" s="42"/>
      <c r="V42" s="42"/>
      <c r="W42" s="288"/>
      <c r="X42" s="288"/>
      <c r="Y42" s="288"/>
      <c r="Z42" s="288"/>
      <c r="AA42" s="42"/>
    </row>
    <row r="43" spans="2:27">
      <c r="B43" s="5" t="s">
        <v>470</v>
      </c>
      <c r="C43" s="247"/>
      <c r="D43" s="525">
        <f>L26/D29</f>
        <v>13.473567609735456</v>
      </c>
      <c r="E43" s="525">
        <f>M26/E29</f>
        <v>12.043011834387201</v>
      </c>
      <c r="F43" s="525">
        <f>N26/F29</f>
        <v>10.538698408703949</v>
      </c>
      <c r="G43" s="525">
        <f>O26/G29</f>
        <v>9.0341762844021769</v>
      </c>
      <c r="H43" s="17">
        <f>H29</f>
        <v>0.12405553365825539</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29.971179964038367</v>
      </c>
      <c r="E44" s="525">
        <f>E11/E30</f>
        <v>21.018759937508701</v>
      </c>
      <c r="F44" s="525">
        <f>F11/F30</f>
        <v>15.99105645141915</v>
      </c>
      <c r="G44" s="525">
        <f>G11/G30</f>
        <v>12.738410353053451</v>
      </c>
      <c r="H44" s="17">
        <f>H30</f>
        <v>0.30853684274174431</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0</v>
      </c>
      <c r="E45" s="248">
        <f>E31/E11</f>
        <v>0</v>
      </c>
      <c r="F45" s="248">
        <f>F31/F11</f>
        <v>0</v>
      </c>
      <c r="G45" s="248">
        <f>G31/G11</f>
        <v>0</v>
      </c>
      <c r="H45" s="17" t="str">
        <f>H31</f>
        <v>nm</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-5.399790119481148E-2</v>
      </c>
      <c r="E46" s="248">
        <f>(E31+E32)/E11</f>
        <v>-5.9549026596384579E-2</v>
      </c>
      <c r="F46" s="248">
        <f>(F31+F32)/F11</f>
        <v>-6.760214872948439E-2</v>
      </c>
      <c r="G46" s="248">
        <f>(G31+G32)/G11</f>
        <v>-7.8981773225549209E-2</v>
      </c>
      <c r="H46" s="279">
        <f>((G31+G32)/(D31+D32))^(1/3)-1</f>
        <v>0.11679403648626341</v>
      </c>
      <c r="I46" s="247"/>
      <c r="J46" s="5"/>
      <c r="K46" s="5"/>
      <c r="L46" s="5"/>
      <c r="M46" s="5"/>
      <c r="N46" s="5"/>
      <c r="O46" s="5"/>
      <c r="Q46" s="5"/>
      <c r="R46" s="5"/>
      <c r="S46" s="42"/>
      <c r="T46" s="42"/>
      <c r="U46" s="42"/>
      <c r="V46" s="42"/>
      <c r="W46" s="42"/>
      <c r="X46" s="42"/>
      <c r="Y46" s="42"/>
      <c r="Z46" s="42"/>
      <c r="AA46" s="326"/>
    </row>
    <row r="47" spans="2:27">
      <c r="B47" s="5" t="s">
        <v>576</v>
      </c>
      <c r="C47" s="5"/>
      <c r="D47" s="248">
        <f>1/D43</f>
        <v>7.4219392292019251E-2</v>
      </c>
      <c r="E47" s="248">
        <f>1/E43</f>
        <v>8.3035706827476033E-2</v>
      </c>
      <c r="F47" s="248">
        <f>1/F43</f>
        <v>9.4888378167658383E-2</v>
      </c>
      <c r="G47" s="248">
        <f>1/G43</f>
        <v>0.1106907778328983</v>
      </c>
      <c r="H47" s="17">
        <f>H29</f>
        <v>0.12405553365825539</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17"/>
      <c r="K48" s="17"/>
      <c r="L48" s="17"/>
      <c r="M48" s="17"/>
      <c r="N48" s="17"/>
      <c r="O48" s="5"/>
      <c r="Q48" s="5"/>
      <c r="R48" s="5"/>
      <c r="S48" s="42"/>
      <c r="T48" s="42"/>
      <c r="U48" s="42"/>
      <c r="V48" s="42"/>
      <c r="W48" s="42"/>
      <c r="X48" s="42"/>
      <c r="Y48" s="42"/>
      <c r="Z48" s="42"/>
      <c r="AA48" s="326"/>
    </row>
    <row r="49" spans="2:27">
      <c r="I49" s="254"/>
      <c r="J49" s="5"/>
      <c r="K49" s="5"/>
      <c r="L49" s="5"/>
      <c r="M49" s="5"/>
      <c r="N49" s="5"/>
      <c r="O49" s="5"/>
      <c r="Q49" s="5"/>
      <c r="R49" s="5"/>
      <c r="S49" s="42"/>
      <c r="T49" s="42"/>
      <c r="U49" s="42"/>
      <c r="V49" s="42"/>
      <c r="W49" s="42"/>
      <c r="X49" s="42"/>
      <c r="Y49" s="42"/>
      <c r="Z49" s="42"/>
      <c r="AA49" s="326"/>
    </row>
    <row r="50" spans="2:27">
      <c r="I50" s="17"/>
      <c r="J50" s="249"/>
      <c r="K50" s="249"/>
      <c r="L50" s="249"/>
      <c r="M50" s="249"/>
      <c r="N50" s="249"/>
      <c r="O50" s="251"/>
      <c r="Q50" s="5"/>
      <c r="R50" s="5"/>
      <c r="S50" s="42"/>
      <c r="T50" s="42"/>
      <c r="U50" s="42"/>
      <c r="V50" s="42"/>
      <c r="W50" s="288"/>
      <c r="X50" s="288"/>
      <c r="Y50" s="42"/>
      <c r="Z50" s="42"/>
      <c r="AA50" s="326"/>
    </row>
    <row r="51" spans="2:27">
      <c r="B51" s="301"/>
      <c r="C51" s="301"/>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79998168889431442"/>
    <pageSetUpPr fitToPage="1"/>
  </sheetPr>
  <dimension ref="A1:BQ46"/>
  <sheetViews>
    <sheetView showGridLines="0" zoomScale="80" zoomScaleNormal="80" zoomScaleSheetLayoutView="80" workbookViewId="0"/>
  </sheetViews>
  <sheetFormatPr defaultColWidth="8.88671875" defaultRowHeight="12"/>
  <cols>
    <col min="1" max="1" width="2.33203125" style="39" customWidth="1"/>
    <col min="2" max="2" width="20.6640625" style="39" customWidth="1"/>
    <col min="3" max="7" width="11.109375" style="177" customWidth="1"/>
    <col min="8" max="8" width="2.33203125" style="177" customWidth="1"/>
    <col min="9" max="11" width="11.109375" style="177" customWidth="1"/>
    <col min="12" max="12" width="2.33203125" style="177" customWidth="1"/>
    <col min="13" max="16" width="11.109375" style="177" customWidth="1"/>
    <col min="17" max="17" width="2.33203125" style="177" customWidth="1"/>
    <col min="18" max="22" width="11.109375" style="177" customWidth="1"/>
    <col min="23" max="23" width="6.44140625" style="39" customWidth="1"/>
    <col min="24" max="24" width="7.44140625" style="39" customWidth="1"/>
    <col min="25" max="25" width="6.5546875" style="39" customWidth="1"/>
    <col min="26" max="26" width="8.88671875" style="39"/>
    <col min="27" max="27" width="16.5546875" style="39" customWidth="1"/>
    <col min="28" max="28" width="11.6640625" style="39" bestFit="1" customWidth="1"/>
    <col min="29" max="16384" width="8.88671875" style="39"/>
  </cols>
  <sheetData>
    <row r="1" spans="1:69" s="131" customFormat="1">
      <c r="C1" s="153"/>
      <c r="D1" s="153"/>
      <c r="E1" s="153"/>
      <c r="F1" s="221"/>
      <c r="G1" s="153"/>
      <c r="H1" s="153"/>
      <c r="I1" s="153"/>
      <c r="J1" s="153"/>
      <c r="K1" s="153"/>
      <c r="L1" s="153"/>
      <c r="M1" s="153"/>
      <c r="N1" s="153"/>
      <c r="O1" s="153"/>
      <c r="P1" s="153"/>
      <c r="Q1" s="153"/>
      <c r="R1" s="153"/>
      <c r="S1" s="153"/>
      <c r="T1" s="153"/>
      <c r="U1" s="153"/>
      <c r="V1" s="153"/>
      <c r="AB1" s="160"/>
      <c r="AC1" s="160"/>
    </row>
    <row r="2" spans="1:69" s="131" customFormat="1">
      <c r="C2" s="153"/>
      <c r="D2" s="153"/>
      <c r="E2" s="153"/>
      <c r="F2" s="153"/>
      <c r="G2" s="153"/>
      <c r="H2" s="153"/>
      <c r="I2" s="153"/>
      <c r="J2" s="153"/>
      <c r="K2" s="153"/>
      <c r="L2" s="153"/>
      <c r="M2" s="153"/>
      <c r="N2" s="153"/>
      <c r="O2" s="153"/>
      <c r="P2" s="153"/>
      <c r="Q2" s="153"/>
      <c r="R2" s="153"/>
      <c r="S2" s="153"/>
      <c r="T2" s="153"/>
      <c r="U2" s="153"/>
      <c r="V2" s="153"/>
      <c r="AB2" s="160"/>
      <c r="AC2" s="160"/>
    </row>
    <row r="3" spans="1:69" s="131" customFormat="1">
      <c r="C3" s="153"/>
      <c r="D3" s="153"/>
      <c r="E3" s="153"/>
      <c r="F3" s="153"/>
      <c r="G3" s="153"/>
      <c r="H3" s="153"/>
      <c r="I3" s="153"/>
      <c r="J3" s="153"/>
      <c r="K3" s="153"/>
      <c r="L3" s="153"/>
      <c r="M3" s="153"/>
      <c r="N3" s="153"/>
      <c r="O3" s="153"/>
      <c r="P3" s="153"/>
      <c r="Q3" s="153"/>
      <c r="R3" s="153"/>
      <c r="S3" s="153"/>
      <c r="T3" s="153"/>
      <c r="U3" s="153"/>
      <c r="V3" s="153"/>
      <c r="AB3" s="160"/>
      <c r="AC3" s="160"/>
    </row>
    <row r="4" spans="1:69" s="128" customFormat="1" ht="21">
      <c r="B4" s="155" t="s">
        <v>741</v>
      </c>
      <c r="C4" s="222"/>
      <c r="D4" s="222"/>
      <c r="E4" s="222"/>
      <c r="F4" s="222"/>
      <c r="G4" s="222"/>
      <c r="H4" s="222"/>
      <c r="I4" s="222"/>
      <c r="J4" s="222"/>
      <c r="K4" s="222"/>
      <c r="L4" s="222"/>
      <c r="M4" s="222"/>
      <c r="N4" s="222"/>
      <c r="O4" s="222"/>
      <c r="P4" s="222"/>
      <c r="Q4" s="222"/>
      <c r="R4" s="222"/>
      <c r="S4" s="222"/>
      <c r="T4" s="222"/>
      <c r="U4" s="222"/>
      <c r="V4" s="222"/>
      <c r="AB4" s="203"/>
      <c r="AC4" s="203"/>
    </row>
    <row r="5" spans="1:69" s="131" customFormat="1">
      <c r="C5" s="153"/>
      <c r="D5" s="153"/>
      <c r="E5" s="153"/>
      <c r="F5" s="153"/>
      <c r="G5" s="153"/>
      <c r="H5" s="153"/>
      <c r="I5" s="153"/>
      <c r="J5" s="153"/>
      <c r="K5" s="153"/>
      <c r="L5" s="153"/>
      <c r="M5" s="159"/>
      <c r="N5" s="153"/>
      <c r="O5" s="153"/>
      <c r="P5" s="153"/>
      <c r="Q5" s="153"/>
      <c r="R5" s="153"/>
      <c r="S5" s="159"/>
      <c r="T5" s="153"/>
      <c r="U5" s="153"/>
      <c r="V5" s="223"/>
      <c r="Z5" s="153"/>
      <c r="AC5" s="161"/>
      <c r="AD5" s="162"/>
      <c r="AE5" s="162"/>
      <c r="AF5" s="162"/>
      <c r="AG5" s="162"/>
      <c r="AH5" s="162"/>
      <c r="AI5" s="162"/>
      <c r="AJ5" s="162"/>
      <c r="AK5" s="162"/>
      <c r="AL5" s="162"/>
      <c r="AM5" s="162"/>
      <c r="AN5" s="162"/>
      <c r="AO5" s="162"/>
      <c r="AP5" s="162"/>
      <c r="AQ5" s="162"/>
      <c r="AR5" s="162"/>
      <c r="AS5" s="162"/>
      <c r="AT5" s="162"/>
      <c r="AU5" s="162"/>
      <c r="AV5" s="162"/>
      <c r="AW5" s="162"/>
      <c r="BC5" s="163"/>
      <c r="BD5" s="163"/>
      <c r="BE5" s="163"/>
      <c r="BG5" s="163"/>
      <c r="BH5" s="163"/>
      <c r="BI5" s="163"/>
      <c r="BK5" s="163"/>
      <c r="BL5" s="163"/>
      <c r="BM5" s="163"/>
      <c r="BO5" s="163"/>
      <c r="BP5" s="163"/>
      <c r="BQ5" s="163"/>
    </row>
    <row r="6" spans="1:69">
      <c r="A6" s="5"/>
      <c r="B6" s="5"/>
      <c r="C6" s="224"/>
      <c r="D6" s="69"/>
      <c r="E6" s="69"/>
      <c r="F6" s="69"/>
      <c r="G6" s="69"/>
      <c r="H6" s="69"/>
      <c r="I6" s="69"/>
      <c r="J6" s="69"/>
      <c r="K6" s="69"/>
      <c r="L6" s="49"/>
      <c r="M6" s="49"/>
      <c r="N6" s="49"/>
      <c r="O6" s="49"/>
      <c r="P6" s="212"/>
      <c r="Q6" s="69"/>
      <c r="R6" s="49"/>
      <c r="S6" s="49"/>
      <c r="T6" s="49"/>
      <c r="U6" s="49"/>
      <c r="V6" s="212"/>
    </row>
    <row r="7" spans="1:69" ht="12" customHeight="1">
      <c r="B7" s="200"/>
      <c r="C7" s="225" t="str">
        <f>INDEX(headings,1,3)</f>
        <v>2025E</v>
      </c>
      <c r="D7" s="225" t="str">
        <f>INDEX(headings,1,3)</f>
        <v>2025E</v>
      </c>
      <c r="E7" s="225" t="str">
        <f>INDEX(headings,1,3)</f>
        <v>2025E</v>
      </c>
      <c r="F7" s="225" t="str">
        <f>INDEX(headings,1,3)</f>
        <v>2025E</v>
      </c>
      <c r="G7" s="225" t="str">
        <f>INDEX(headings,1,3)</f>
        <v>2025E</v>
      </c>
      <c r="I7" s="220" t="str">
        <f>INDEX(headings,1,5)</f>
        <v>23E-26E</v>
      </c>
      <c r="J7" s="220"/>
      <c r="K7" s="220"/>
      <c r="M7" s="225"/>
      <c r="N7" s="225"/>
      <c r="O7" s="225"/>
      <c r="P7" s="225"/>
      <c r="R7" s="225" t="str">
        <f>INDEX(headings,1,3)</f>
        <v>2025E</v>
      </c>
      <c r="S7" s="225" t="str">
        <f>INDEX(headings,1,3)</f>
        <v>2025E</v>
      </c>
      <c r="T7" s="225" t="str">
        <f>INDEX(headings,1,3)</f>
        <v>2025E</v>
      </c>
      <c r="U7" s="225" t="str">
        <f>INDEX(headings,1,3)</f>
        <v>2025E</v>
      </c>
      <c r="V7" s="225" t="str">
        <f>INDEX(headings,1,3)</f>
        <v>2025E</v>
      </c>
      <c r="AA7" s="588" t="str">
        <f>INDEX(headings,1,5)</f>
        <v>23E-26E</v>
      </c>
    </row>
    <row r="8" spans="1:69" ht="21.75" customHeight="1">
      <c r="C8" s="195" t="s">
        <v>727</v>
      </c>
      <c r="D8" s="195" t="s">
        <v>478</v>
      </c>
      <c r="E8" s="195" t="s">
        <v>749</v>
      </c>
      <c r="F8" s="195" t="s">
        <v>581</v>
      </c>
      <c r="G8" s="195" t="s">
        <v>585</v>
      </c>
      <c r="H8" s="195"/>
      <c r="I8" s="195" t="s">
        <v>727</v>
      </c>
      <c r="J8" s="195" t="s">
        <v>478</v>
      </c>
      <c r="K8" s="195" t="s">
        <v>749</v>
      </c>
      <c r="L8" s="195"/>
      <c r="M8" s="195" t="s">
        <v>728</v>
      </c>
      <c r="N8" s="195" t="s">
        <v>84</v>
      </c>
      <c r="O8" s="195" t="s">
        <v>729</v>
      </c>
      <c r="P8" s="231" t="s">
        <v>730</v>
      </c>
      <c r="Q8" s="195"/>
      <c r="R8" s="231" t="s">
        <v>1551</v>
      </c>
      <c r="S8" s="231" t="s">
        <v>384</v>
      </c>
      <c r="T8" s="231" t="s">
        <v>1552</v>
      </c>
      <c r="U8" s="231" t="s">
        <v>1553</v>
      </c>
      <c r="V8" s="231" t="s">
        <v>1554</v>
      </c>
      <c r="AA8" s="588" t="s">
        <v>308</v>
      </c>
    </row>
    <row r="9" spans="1:69">
      <c r="B9" s="219"/>
      <c r="C9" s="232" t="s">
        <v>726</v>
      </c>
      <c r="D9" s="232" t="s">
        <v>726</v>
      </c>
      <c r="E9" s="232" t="s">
        <v>726</v>
      </c>
      <c r="F9" s="232" t="s">
        <v>726</v>
      </c>
      <c r="G9" s="232" t="s">
        <v>726</v>
      </c>
      <c r="H9" s="195"/>
      <c r="I9" s="226"/>
      <c r="J9" s="226"/>
      <c r="K9" s="226"/>
      <c r="L9" s="195"/>
      <c r="M9" s="232" t="s">
        <v>726</v>
      </c>
      <c r="N9" s="232" t="s">
        <v>726</v>
      </c>
      <c r="O9" s="232" t="s">
        <v>726</v>
      </c>
      <c r="P9" s="226"/>
      <c r="Q9" s="39"/>
      <c r="R9" s="226"/>
      <c r="S9" s="226"/>
      <c r="T9" s="226"/>
      <c r="U9" s="232"/>
      <c r="V9" s="232"/>
      <c r="AA9" s="589" t="s">
        <v>740</v>
      </c>
    </row>
    <row r="10" spans="1:69">
      <c r="B10" s="213" t="s">
        <v>158</v>
      </c>
      <c r="C10" s="188">
        <f>'W.EUR INCUMB'!$F$23*Prices!$C$155/1000</f>
        <v>324.69110639145867</v>
      </c>
      <c r="D10" s="188">
        <f>'W.EUR INCUMB'!$F$24*Prices!$C$155/1000</f>
        <v>109.40370180408077</v>
      </c>
      <c r="E10" s="188">
        <f>'W.EUR INCUMB'!$F$30*Prices!$C$155/1000</f>
        <v>25.082156142130874</v>
      </c>
      <c r="F10" s="188">
        <f>'W.EUR INCUMB'!$F$26*Prices!$C$155/1000</f>
        <v>44.017743703878004</v>
      </c>
      <c r="G10" s="188">
        <f>'W.EUR INCUMB'!$F$31*Prices!$C$155/1000</f>
        <v>15.552474323326111</v>
      </c>
      <c r="H10" s="195"/>
      <c r="I10" s="68">
        <f>'W.EUR INCUMB'!$H$23</f>
        <v>1.9736985261286089E-2</v>
      </c>
      <c r="J10" s="68">
        <f>'W.EUR INCUMB'!$H$24</f>
        <v>3.0709192948586983E-2</v>
      </c>
      <c r="K10" s="68">
        <f>'W.EUR INCUMB'!$H$30</f>
        <v>0.11441168592236295</v>
      </c>
      <c r="L10" s="195"/>
      <c r="M10" s="228">
        <f>'W.EUR INCUMB'!$F$11*Prices!$C$155/1000</f>
        <v>313.45356139259087</v>
      </c>
      <c r="N10" s="228">
        <f>'W.EUR INCUMB'!$F$12*Prices!$C$155/1000</f>
        <v>243.55488711501431</v>
      </c>
      <c r="O10" s="228">
        <f>'W.EUR INCUMB'!$F$18*Prices!$C$155/1000</f>
        <v>689.36498820334043</v>
      </c>
      <c r="P10" s="188">
        <f t="shared" ref="P10:P13" si="0">N10/D10</f>
        <v>2.2262033468590521</v>
      </c>
      <c r="Q10" s="195"/>
      <c r="R10" s="188">
        <f t="shared" ref="R10:R13" si="1">O10/D10</f>
        <v>6.3011120906845495</v>
      </c>
      <c r="S10" s="188">
        <f t="shared" ref="S10:S13" si="2">M10/E10</f>
        <v>12.497074000192441</v>
      </c>
      <c r="T10" s="188">
        <f>S10/(AA10*100)</f>
        <v>0.95847603537362336</v>
      </c>
      <c r="U10" s="68">
        <f t="shared" ref="U10:U13" si="3">F10/O10</f>
        <v>6.3852595442364116E-2</v>
      </c>
      <c r="V10" s="68">
        <f t="shared" ref="V10:V13" si="4">G10/M10</f>
        <v>4.9616518166935478E-2</v>
      </c>
      <c r="Z10" s="217"/>
      <c r="AA10" s="590">
        <f>('W.EUR INCUMB'!$G$30/'W.EUR INCUMB'!$E$30)^(1/2)-1</f>
        <v>0.13038483529033629</v>
      </c>
    </row>
    <row r="11" spans="1:69">
      <c r="B11" s="213" t="s">
        <v>140</v>
      </c>
      <c r="C11" s="188">
        <f>'W.EUR OTHER'!$F$23*Prices!$C$155/1000</f>
        <v>63.374773878046604</v>
      </c>
      <c r="D11" s="188">
        <f>'W.EUR OTHER'!$F$24*Prices!$C$155/1000</f>
        <v>25.520828331424639</v>
      </c>
      <c r="E11" s="188">
        <f>'W.EUR OTHER'!$F$30*Prices!$C$155/1000</f>
        <v>4.9624485277604951</v>
      </c>
      <c r="F11" s="188">
        <f>'W.EUR OTHER'!$F$26*Prices!$C$155/1000</f>
        <v>6.8506209966336247</v>
      </c>
      <c r="G11" s="188">
        <f>'W.EUR OTHER'!$F$31*Prices!$C$155/1000</f>
        <v>2.3122498858424105</v>
      </c>
      <c r="H11" s="195"/>
      <c r="I11" s="68">
        <f>'W.EUR OTHER'!$H$23</f>
        <v>1.8004685546411769E-2</v>
      </c>
      <c r="J11" s="68">
        <f>'W.EUR OTHER'!$H$24</f>
        <v>2.4794026477105824E-2</v>
      </c>
      <c r="K11" s="68">
        <f>'W.EUR OTHER'!$H$30</f>
        <v>0.20457659904306258</v>
      </c>
      <c r="L11" s="195"/>
      <c r="M11" s="228">
        <f>'W.EUR OTHER'!$F$11*Prices!$C$155/1000</f>
        <v>52.429253886914545</v>
      </c>
      <c r="N11" s="228">
        <f>'W.EUR OTHER'!$F$12*Prices!$C$155/1000</f>
        <v>46.621444560523223</v>
      </c>
      <c r="O11" s="228">
        <f>'W.EUR OTHER'!$F$18*Prices!$C$155/1000</f>
        <v>97.671579417726605</v>
      </c>
      <c r="P11" s="188">
        <f t="shared" si="0"/>
        <v>1.8267998183709695</v>
      </c>
      <c r="Q11" s="195"/>
      <c r="R11" s="188">
        <f t="shared" si="1"/>
        <v>3.8271320252352612</v>
      </c>
      <c r="S11" s="188">
        <f t="shared" si="2"/>
        <v>10.565198529238017</v>
      </c>
      <c r="T11" s="188">
        <f>S11/(AA11*100)</f>
        <v>0.59655629262168131</v>
      </c>
      <c r="U11" s="68">
        <f t="shared" si="3"/>
        <v>7.0139349004837453E-2</v>
      </c>
      <c r="V11" s="68">
        <f t="shared" si="4"/>
        <v>4.4102284782265591E-2</v>
      </c>
      <c r="Z11" s="217"/>
      <c r="AA11" s="590">
        <f>('W.EUR OTHER'!$G$30/'W.EUR OTHER'!$E$30)^(1/2)-1</f>
        <v>0.17710312773346537</v>
      </c>
    </row>
    <row r="12" spans="1:69">
      <c r="B12" s="213" t="s">
        <v>731</v>
      </c>
      <c r="C12" s="188">
        <f>'W.EUR TOWER'!$F$23*Prices!$C$155/1000</f>
        <v>6.396516130836023</v>
      </c>
      <c r="D12" s="188">
        <f>'W.EUR TOWER'!$F$24*Prices!$C$155/1000</f>
        <v>3.4938867490258683</v>
      </c>
      <c r="E12" s="188">
        <f>'W.EUR TOWER'!$F$30*Prices!$C$155/1000</f>
        <v>0.41597751935276184</v>
      </c>
      <c r="F12" s="188">
        <f>'W.EUR TOWER'!$F$26*Prices!$C$155/1000</f>
        <v>1.0777639754404515</v>
      </c>
      <c r="G12" s="188">
        <f>'W.EUR TOWER'!$F$31*Prices!$C$155/1000</f>
        <v>0.62102719431538389</v>
      </c>
      <c r="H12" s="195"/>
      <c r="I12" s="68">
        <f>'W.EUR TOWER'!$H$23</f>
        <v>4.085109342861859E-2</v>
      </c>
      <c r="J12" s="68">
        <f>'W.EUR TOWER'!$H$24</f>
        <v>7.5762361123245414E-2</v>
      </c>
      <c r="K12" s="68">
        <f>'W.EUR TOWER'!$H$30</f>
        <v>1.3271261945905319</v>
      </c>
      <c r="L12" s="195"/>
      <c r="M12" s="228">
        <f>'W.EUR TOWER'!$F$11*Prices!$C$155/1000</f>
        <v>39.195427110226447</v>
      </c>
      <c r="N12" s="228">
        <f>'W.EUR TOWER'!$F$12*Prices!$C$155/1000</f>
        <v>23.505522001460751</v>
      </c>
      <c r="O12" s="228">
        <f>'W.EUR TOWER'!$F$18*Prices!$C$155/1000</f>
        <v>63.582599081266927</v>
      </c>
      <c r="P12" s="188">
        <f t="shared" si="0"/>
        <v>6.7276141700970511</v>
      </c>
      <c r="Q12" s="195"/>
      <c r="R12" s="188">
        <f t="shared" si="1"/>
        <v>18.198242716079566</v>
      </c>
      <c r="S12" s="188">
        <f>M12/E12</f>
        <v>94.224868620814846</v>
      </c>
      <c r="T12" s="188">
        <f>IFERROR(S12/(AA12*100),"")</f>
        <v>1.2159222681931567</v>
      </c>
      <c r="U12" s="68">
        <f t="shared" si="3"/>
        <v>1.6950612133092065E-2</v>
      </c>
      <c r="V12" s="68">
        <f t="shared" si="4"/>
        <v>1.5844378798805132E-2</v>
      </c>
      <c r="AA12" s="590">
        <f>('W.EUR TOWER'!$G$30/'W.EUR TOWER'!$E$30)^(1/2)-1</f>
        <v>0.77492510077006549</v>
      </c>
    </row>
    <row r="13" spans="1:69">
      <c r="B13" s="209" t="s">
        <v>107</v>
      </c>
      <c r="C13" s="235">
        <f>'W.EUR AGG'!$F$23*Prices!$C$155/1000</f>
        <v>394.46239640034128</v>
      </c>
      <c r="D13" s="235">
        <f>'W.EUR AGG'!$F$24*Prices!$C$155/1000</f>
        <v>138.41841688453127</v>
      </c>
      <c r="E13" s="235">
        <f>'W.EUR AGG'!$F$30*Prices!$C$155/1000</f>
        <v>30.460582189244132</v>
      </c>
      <c r="F13" s="235">
        <f>'W.EUR AGG'!$F$26*Prices!$C$155/1000</f>
        <v>51.946128675952089</v>
      </c>
      <c r="G13" s="235">
        <f>'W.EUR AGG'!$F$31*Prices!$C$155/1000</f>
        <v>18.485751403483903</v>
      </c>
      <c r="H13" s="195"/>
      <c r="I13" s="234">
        <f>'W.EUR AGG'!$H$23</f>
        <v>1.9796381358042403E-2</v>
      </c>
      <c r="J13" s="234">
        <f>'W.EUR AGG'!$H$24</f>
        <v>3.068974106741007E-2</v>
      </c>
      <c r="K13" s="234">
        <f>'W.EUR AGG'!$H$30</f>
        <v>0.13387532966203497</v>
      </c>
      <c r="L13" s="195"/>
      <c r="M13" s="233">
        <f>'W.EUR AGG'!$F$11*Prices!$C$155/1000</f>
        <v>405.07824238973188</v>
      </c>
      <c r="N13" s="233">
        <f>'W.EUR AGG'!$F$12*Prices!$C$155/1000</f>
        <v>313.68185367699834</v>
      </c>
      <c r="O13" s="233">
        <f>'W.EUR AGG'!$F$18*Prices!$C$155/1000</f>
        <v>850.61916670233393</v>
      </c>
      <c r="P13" s="235">
        <f t="shared" si="0"/>
        <v>2.2661858207688645</v>
      </c>
      <c r="Q13" s="195"/>
      <c r="R13" s="235">
        <f t="shared" si="1"/>
        <v>6.1452744934362382</v>
      </c>
      <c r="S13" s="235">
        <f t="shared" si="2"/>
        <v>13.298440583738026</v>
      </c>
      <c r="T13" s="235">
        <f>S13/(AA13*100)</f>
        <v>0.92393221110647528</v>
      </c>
      <c r="U13" s="234">
        <f t="shared" si="3"/>
        <v>6.1068608267241337E-2</v>
      </c>
      <c r="V13" s="234">
        <f t="shared" si="4"/>
        <v>4.5635014347915739E-2</v>
      </c>
      <c r="AA13" s="591">
        <f>('W.EUR AGG'!$G$30/'W.EUR AGG'!$E$30)^(1/2)-1</f>
        <v>0.14393307673310995</v>
      </c>
    </row>
    <row r="14" spans="1:69">
      <c r="B14" s="218"/>
      <c r="C14" s="188"/>
      <c r="D14" s="188"/>
      <c r="E14" s="188"/>
      <c r="F14" s="188"/>
      <c r="G14" s="188"/>
      <c r="H14" s="195"/>
      <c r="I14" s="227"/>
      <c r="J14" s="227"/>
      <c r="K14" s="227"/>
      <c r="L14" s="195"/>
      <c r="M14" s="188"/>
      <c r="N14" s="195"/>
      <c r="O14" s="188"/>
      <c r="P14" s="195"/>
      <c r="Q14" s="195"/>
      <c r="R14" s="188"/>
      <c r="S14" s="188"/>
      <c r="T14" s="188"/>
      <c r="U14" s="68"/>
      <c r="V14" s="68"/>
      <c r="AA14" s="589"/>
    </row>
    <row r="15" spans="1:69">
      <c r="B15" s="213" t="s">
        <v>1613</v>
      </c>
      <c r="C15" s="188">
        <f>'US TELCO'!$F$23/1000</f>
        <v>347.14135079817532</v>
      </c>
      <c r="D15" s="188">
        <f>'US TELCO'!$F$24/1000</f>
        <v>128.68137167179202</v>
      </c>
      <c r="E15" s="188">
        <f>'US TELCO'!$F$30/1000</f>
        <v>48.633501393522685</v>
      </c>
      <c r="F15" s="188">
        <f>'US TELCO'!$F$26/1000</f>
        <v>53.917140273478488</v>
      </c>
      <c r="G15" s="188">
        <f>'US TELCO'!$F$31/1000</f>
        <v>22.702909999999999</v>
      </c>
      <c r="H15" s="227"/>
      <c r="I15" s="68">
        <f>'US TELCO'!$H$23</f>
        <v>1.8592642260168768E-2</v>
      </c>
      <c r="J15" s="68">
        <f>'US TELCO'!$H$24</f>
        <v>3.1183334923203576E-2</v>
      </c>
      <c r="K15" s="68">
        <f>'US TELCO'!$H$30</f>
        <v>3.9965241834319487E-2</v>
      </c>
      <c r="L15" s="195"/>
      <c r="M15" s="228">
        <f>'US TELCO'!$F$11/1000</f>
        <v>553.36739327537146</v>
      </c>
      <c r="N15" s="228">
        <f>'US TELCO'!$F$12/1000</f>
        <v>300.41697928856405</v>
      </c>
      <c r="O15" s="228">
        <f>'US TELCO'!$F$18/1000</f>
        <v>798.42135256393533</v>
      </c>
      <c r="P15" s="188">
        <f>N15/D15</f>
        <v>2.334580175713326</v>
      </c>
      <c r="Q15" s="195"/>
      <c r="R15" s="188">
        <f>O15/D15</f>
        <v>6.2046381864839546</v>
      </c>
      <c r="S15" s="188">
        <f>M15/E15</f>
        <v>11.378316950649833</v>
      </c>
      <c r="T15" s="188">
        <f>S15/(AA15*100)</f>
        <v>1.8984735365299159</v>
      </c>
      <c r="U15" s="68">
        <f>F15/O15</f>
        <v>6.7529682291607995E-2</v>
      </c>
      <c r="V15" s="68">
        <f>G15/M15</f>
        <v>4.1026830051589941E-2</v>
      </c>
      <c r="AA15" s="590">
        <f>('US TELCO'!$G$30/'US TELCO'!$E$30)^(1/2)-1</f>
        <v>5.9934029796630428E-2</v>
      </c>
    </row>
    <row r="16" spans="1:69">
      <c r="B16" s="213" t="s">
        <v>140</v>
      </c>
      <c r="C16" s="188">
        <f>'US OTHER'!$F$23/1000</f>
        <v>208.62871940047481</v>
      </c>
      <c r="D16" s="188">
        <f>'US OTHER'!$F$24/1000</f>
        <v>69.809882072670092</v>
      </c>
      <c r="E16" s="188">
        <f>'US OTHER'!$F$30/1000</f>
        <v>24.486650625674898</v>
      </c>
      <c r="F16" s="188">
        <f>'US OTHER'!$F$26/1000</f>
        <v>28.259416730743226</v>
      </c>
      <c r="G16" s="188">
        <f>'US OTHER'!$F$31/1000</f>
        <v>4.9883623036079836</v>
      </c>
      <c r="H16" s="227"/>
      <c r="I16" s="68">
        <f>'US OTHER'!$H$23</f>
        <v>6.8251004257615655E-3</v>
      </c>
      <c r="J16" s="68">
        <f>'US OTHER'!$H$24</f>
        <v>2.9926645487549974E-2</v>
      </c>
      <c r="K16" s="68">
        <f>'US OTHER'!$H$30</f>
        <v>0.10233723564171293</v>
      </c>
      <c r="L16" s="195"/>
      <c r="M16" s="228">
        <f>'US OTHER'!$F$11/1000</f>
        <v>210.33513862115669</v>
      </c>
      <c r="N16" s="228">
        <f>'US OTHER'!$F$12/1000</f>
        <v>251.49667330499119</v>
      </c>
      <c r="O16" s="228">
        <f>'US OTHER'!$F$18/1000</f>
        <v>405.99365263629693</v>
      </c>
      <c r="P16" s="188">
        <f>N16/D16</f>
        <v>3.602594157703781</v>
      </c>
      <c r="Q16" s="195"/>
      <c r="R16" s="188">
        <f>O16/D16</f>
        <v>5.8157046048820016</v>
      </c>
      <c r="S16" s="188">
        <f>M16/E16</f>
        <v>8.5897880374302709</v>
      </c>
      <c r="T16" s="188">
        <f>S16/(AA16*100)</f>
        <v>0.87448769893270317</v>
      </c>
      <c r="U16" s="68">
        <f>F16/O16</f>
        <v>6.9605562912726085E-2</v>
      </c>
      <c r="V16" s="68">
        <f>G16/M16</f>
        <v>2.3716257475136997E-2</v>
      </c>
      <c r="AA16" s="590">
        <f>('US OTHER'!$G$30/'US OTHER'!$E$30)^(1/2)-1</f>
        <v>9.8226516484039239E-2</v>
      </c>
    </row>
    <row r="17" spans="2:27">
      <c r="B17" s="213" t="s">
        <v>731</v>
      </c>
      <c r="C17" s="188">
        <f>'US TOWERS'!$F$23/1000</f>
        <v>21.963717227889795</v>
      </c>
      <c r="D17" s="188">
        <f>'US TOWERS'!$F$24/1000</f>
        <v>14.023629356396848</v>
      </c>
      <c r="E17" s="188">
        <f>'US TOWERS'!$F$30/1000</f>
        <v>6.0045241615517808</v>
      </c>
      <c r="F17" s="188">
        <f>'US TOWERS'!$F$26/1000</f>
        <v>9.6570340146613329</v>
      </c>
      <c r="G17" s="188">
        <f>'US TOWERS'!$F$31/1000</f>
        <v>9.1594034027602245</v>
      </c>
      <c r="H17" s="227"/>
      <c r="I17" s="68">
        <f>'US TOWERS'!$H$23</f>
        <v>2.6157777948455641E-2</v>
      </c>
      <c r="J17" s="68">
        <f>'US TOWERS'!$H$24</f>
        <v>3.0565437622663838E-2</v>
      </c>
      <c r="K17" s="68">
        <f>'US TOWERS'!$H$30</f>
        <v>0.1053428450222762</v>
      </c>
      <c r="L17" s="195"/>
      <c r="M17" s="228">
        <f>'US TOWERS'!$F$11/1000</f>
        <v>184.23575978757975</v>
      </c>
      <c r="N17" s="228">
        <f>'US TOWERS'!$F$12/1000</f>
        <v>69.151624129725477</v>
      </c>
      <c r="O17" s="228">
        <f>'US TOWERS'!$F$18/1000</f>
        <v>234.65430758023135</v>
      </c>
      <c r="P17" s="188">
        <f>N17/D17</f>
        <v>4.9310789933407726</v>
      </c>
      <c r="Q17" s="195"/>
      <c r="R17" s="188">
        <f>O17/D17</f>
        <v>16.732780196675286</v>
      </c>
      <c r="S17" s="188">
        <f>M17/E17</f>
        <v>30.682824288938615</v>
      </c>
      <c r="T17" s="188">
        <f>S17/(AA17*100)</f>
        <v>2.5068559184231143</v>
      </c>
      <c r="U17" s="68">
        <f>F17/O17</f>
        <v>4.115430104073188E-2</v>
      </c>
      <c r="V17" s="68">
        <f>G17/M17</f>
        <v>4.9715665478411129E-2</v>
      </c>
      <c r="AA17" s="590">
        <f>('US TOWERS'!$G$30/'US TOWERS'!$E$30)^(1/2)-1</f>
        <v>0.12239564333732833</v>
      </c>
    </row>
    <row r="18" spans="2:27">
      <c r="B18" s="209" t="s">
        <v>732</v>
      </c>
      <c r="C18" s="235">
        <f>'US AGG'!$F$23/1000</f>
        <v>577.73378742653995</v>
      </c>
      <c r="D18" s="235">
        <f>'US AGG'!$F$24/1000</f>
        <v>212.51488310085898</v>
      </c>
      <c r="E18" s="235">
        <f>'US AGG'!$F$30/1000</f>
        <v>79.124676180749375</v>
      </c>
      <c r="F18" s="235">
        <f>'US AGG'!$F$26/1000</f>
        <v>91.833591018883041</v>
      </c>
      <c r="G18" s="235">
        <f>'US AGG'!$F$31/1000</f>
        <v>36.850675706368207</v>
      </c>
      <c r="H18" s="227"/>
      <c r="I18" s="234">
        <f>'US AGG'!$H$23</f>
        <v>1.456704127626085E-2</v>
      </c>
      <c r="J18" s="234">
        <f>'US AGG'!$H$24</f>
        <v>3.0723349651247567E-2</v>
      </c>
      <c r="K18" s="234">
        <f>'US AGG'!$H$30</f>
        <v>6.3334119736071282E-2</v>
      </c>
      <c r="L18" s="195"/>
      <c r="M18" s="233">
        <f>'US AGG'!$F$11/1000</f>
        <v>947.93829168410787</v>
      </c>
      <c r="N18" s="233">
        <f>'US AGG'!$F$12/1000</f>
        <v>621.06527672328082</v>
      </c>
      <c r="O18" s="233">
        <f>'US AGG'!$F$18/1000</f>
        <v>1439.0693127804636</v>
      </c>
      <c r="P18" s="235">
        <f>N18/D18</f>
        <v>2.9224554424667044</v>
      </c>
      <c r="Q18" s="195"/>
      <c r="R18" s="235">
        <f>O18/D18</f>
        <v>6.7716166123644399</v>
      </c>
      <c r="S18" s="235">
        <f>M18/E18</f>
        <v>11.980311799553833</v>
      </c>
      <c r="T18" s="235">
        <f>S18/(AA18*100)</f>
        <v>1.5658852197679027</v>
      </c>
      <c r="U18" s="234">
        <f>F18/O18</f>
        <v>6.3814571128230746E-2</v>
      </c>
      <c r="V18" s="234">
        <f>G18/M18</f>
        <v>3.8874551254701684E-2</v>
      </c>
      <c r="AA18" s="591">
        <f>('US AGG'!$G$30/'US AGG'!$E$30)^(1/2)-1</f>
        <v>7.6508237310839222E-2</v>
      </c>
    </row>
    <row r="19" spans="2:27">
      <c r="B19" s="218"/>
      <c r="C19" s="188"/>
      <c r="D19" s="188"/>
      <c r="E19" s="188"/>
      <c r="F19" s="188"/>
      <c r="G19" s="188"/>
      <c r="H19" s="227"/>
      <c r="I19" s="227"/>
      <c r="J19" s="227"/>
      <c r="K19" s="227"/>
      <c r="L19" s="227"/>
      <c r="M19" s="227"/>
      <c r="N19" s="227"/>
      <c r="O19" s="227"/>
      <c r="P19" s="227"/>
      <c r="Q19" s="195"/>
      <c r="R19" s="188"/>
      <c r="S19" s="188"/>
      <c r="T19" s="188"/>
      <c r="U19" s="68"/>
      <c r="V19" s="68"/>
      <c r="AA19" s="589"/>
    </row>
    <row r="20" spans="2:27">
      <c r="B20" s="213" t="s">
        <v>158</v>
      </c>
      <c r="C20" s="188">
        <f>'DM ASIA INCUMB'!$F$23/1000</f>
        <v>133.83761395691627</v>
      </c>
      <c r="D20" s="188">
        <f>'DM ASIA INCUMB'!$F$24/1000</f>
        <v>37.781103373556462</v>
      </c>
      <c r="E20" s="188">
        <f>'DM ASIA INCUMB'!$F$30/1000</f>
        <v>15.447692901702515</v>
      </c>
      <c r="F20" s="188">
        <f>'DM ASIA INCUMB'!$F$26/1000</f>
        <v>13.541512870418991</v>
      </c>
      <c r="G20" s="188">
        <f>'DM ASIA INCUMB'!$F$31/1000</f>
        <v>8.6919757322470392</v>
      </c>
      <c r="H20" s="227"/>
      <c r="I20" s="68">
        <f>'DM ASIA INCUMB'!$H$23</f>
        <v>2.3159070246300706E-2</v>
      </c>
      <c r="J20" s="68">
        <f>'DM ASIA INCUMB'!$H$24</f>
        <v>4.0124715031497837E-2</v>
      </c>
      <c r="K20" s="68">
        <f>'DM ASIA INCUMB'!$H$30</f>
        <v>9.8172137212054755E-2</v>
      </c>
      <c r="L20" s="195"/>
      <c r="M20" s="228">
        <f>'DM ASIA INCUMB'!$F$11/1000</f>
        <v>170.08786251990489</v>
      </c>
      <c r="N20" s="228">
        <f>'DM ASIA INCUMB'!$F$12/1000</f>
        <v>61.116954233799859</v>
      </c>
      <c r="O20" s="228">
        <f>'DM ASIA INCUMB'!$F$18/1000</f>
        <v>238.80680534851399</v>
      </c>
      <c r="P20" s="188">
        <f>N20/D20</f>
        <v>1.617659326396923</v>
      </c>
      <c r="Q20" s="195"/>
      <c r="R20" s="188">
        <f>O20/D20</f>
        <v>6.3208001891140722</v>
      </c>
      <c r="S20" s="188">
        <f>M20/E20</f>
        <v>11.010567312686494</v>
      </c>
      <c r="T20" s="188">
        <f>S20/(AA20*100)</f>
        <v>1.0645493071849301</v>
      </c>
      <c r="U20" s="68">
        <f>F20/O20</f>
        <v>5.6704886825383993E-2</v>
      </c>
      <c r="V20" s="68">
        <f>G20/M20</f>
        <v>5.1102857096753995E-2</v>
      </c>
      <c r="AA20" s="590">
        <f>('DM ASIA INCUMB'!$G$30/'DM ASIA INCUMB'!$E$30)^(1/2)-1</f>
        <v>0.10342937840805688</v>
      </c>
    </row>
    <row r="21" spans="2:27">
      <c r="B21" s="213" t="s">
        <v>140</v>
      </c>
      <c r="C21" s="188">
        <f>'DM ASIA OTHER'!$F$23/1000</f>
        <v>113.85215935830621</v>
      </c>
      <c r="D21" s="188">
        <f>'DM ASIA OTHER'!$F$24/1000</f>
        <v>29.514514026999041</v>
      </c>
      <c r="E21" s="188">
        <f>'DM ASIA OTHER'!$F$30/1000</f>
        <v>8.8957232602454805</v>
      </c>
      <c r="F21" s="188">
        <f>'DM ASIA OTHER'!$F$26/1000</f>
        <v>13.377487762572663</v>
      </c>
      <c r="G21" s="188">
        <f>'DM ASIA OTHER'!$F$31/1000</f>
        <v>5.8074142143379426</v>
      </c>
      <c r="H21" s="227"/>
      <c r="I21" s="68">
        <f>'DM ASIA OTHER'!$H$23</f>
        <v>5.1745937424389377E-2</v>
      </c>
      <c r="J21" s="68">
        <f>'DM ASIA OTHER'!$H$24</f>
        <v>6.8217204124905839E-2</v>
      </c>
      <c r="K21" s="68">
        <f>'DM ASIA OTHER'!$H$30</f>
        <v>0.17550780584293202</v>
      </c>
      <c r="L21" s="195"/>
      <c r="M21" s="228">
        <f>'DM ASIA OTHER'!$F$11/1000</f>
        <v>151.30526426380186</v>
      </c>
      <c r="N21" s="228">
        <f>'DM ASIA OTHER'!$F$12/1000</f>
        <v>38.037029179048396</v>
      </c>
      <c r="O21" s="228">
        <f>'DM ASIA OTHER'!$F$18/1000</f>
        <v>184.80103604953266</v>
      </c>
      <c r="P21" s="188">
        <f>N21/D21</f>
        <v>1.288756750128198</v>
      </c>
      <c r="Q21" s="195"/>
      <c r="R21" s="188">
        <f>O21/D21</f>
        <v>6.2613613044918139</v>
      </c>
      <c r="S21" s="188">
        <f>M21/E21</f>
        <v>17.008764755528887</v>
      </c>
      <c r="T21" s="188">
        <f>S21/(AA21*100)</f>
        <v>1.5736270906714049</v>
      </c>
      <c r="U21" s="68">
        <f>F21/O21</f>
        <v>7.2388597209958633E-2</v>
      </c>
      <c r="V21" s="68">
        <f>G21/M21</f>
        <v>3.838210284747709E-2</v>
      </c>
      <c r="AA21" s="590">
        <f>('DM ASIA OTHER'!$G$30/'DM ASIA OTHER'!$E$30)^(1/2)-1</f>
        <v>0.10808637482385941</v>
      </c>
    </row>
    <row r="22" spans="2:27">
      <c r="B22" s="209" t="s">
        <v>540</v>
      </c>
      <c r="C22" s="235">
        <f>'AGG DM ASIA'!$F$23/1000</f>
        <v>247.68977331522248</v>
      </c>
      <c r="D22" s="235">
        <f>'AGG DM ASIA'!$F$24/1000</f>
        <v>67.295617400555514</v>
      </c>
      <c r="E22" s="235">
        <f>'AGG DM ASIA'!$F$30/1000</f>
        <v>24.343416161947996</v>
      </c>
      <c r="F22" s="235">
        <f>'AGG DM ASIA'!$F$26/1000</f>
        <v>26.919000632991658</v>
      </c>
      <c r="G22" s="235">
        <f>'AGG DM ASIA'!$F$31/1000</f>
        <v>14.499389946584982</v>
      </c>
      <c r="H22" s="227"/>
      <c r="I22" s="234">
        <f>'AGG DM ASIA'!$H$23</f>
        <v>3.604287710804277E-2</v>
      </c>
      <c r="J22" s="234">
        <f>'AGG DM ASIA'!$H$24</f>
        <v>5.227563289397108E-2</v>
      </c>
      <c r="K22" s="234">
        <f>'AGG DM ASIA'!$H$30</f>
        <v>0.12439730820639383</v>
      </c>
      <c r="L22" s="195"/>
      <c r="M22" s="233">
        <f>'AGG DM ASIA'!$F$11/1000</f>
        <v>321.39312678370669</v>
      </c>
      <c r="N22" s="233">
        <f>'AGG DM ASIA'!$F$12/1000</f>
        <v>99.153983412848262</v>
      </c>
      <c r="O22" s="233">
        <f>'AGG DM ASIA'!$F$18/1000</f>
        <v>423.60784139804662</v>
      </c>
      <c r="P22" s="235">
        <f>N22/D22</f>
        <v>1.4734092240014096</v>
      </c>
      <c r="Q22" s="195"/>
      <c r="R22" s="235">
        <f>O22/D22</f>
        <v>6.2947314811996922</v>
      </c>
      <c r="S22" s="235">
        <f>M22/E22</f>
        <v>13.202466106054867</v>
      </c>
      <c r="T22" s="235">
        <f>S22/(AA22*100)</f>
        <v>1.2556288838614893</v>
      </c>
      <c r="U22" s="234">
        <f>F22/O22</f>
        <v>6.3546983795554901E-2</v>
      </c>
      <c r="V22" s="234">
        <f>G22/M22</f>
        <v>4.5114188009200577E-2</v>
      </c>
      <c r="AA22" s="591">
        <f>('AGG DM ASIA'!$G$30/'AGG DM ASIA'!$E$30)^(1/2)-1</f>
        <v>0.10514624405144901</v>
      </c>
    </row>
    <row r="23" spans="2:27">
      <c r="B23" s="218"/>
      <c r="C23" s="188"/>
      <c r="D23" s="188"/>
      <c r="E23" s="188"/>
      <c r="F23" s="188"/>
      <c r="G23" s="188"/>
      <c r="R23" s="188"/>
      <c r="S23" s="188"/>
      <c r="T23" s="188"/>
      <c r="U23" s="68"/>
      <c r="V23" s="68"/>
      <c r="AA23" s="589"/>
    </row>
    <row r="24" spans="2:27">
      <c r="B24" s="209" t="s">
        <v>733</v>
      </c>
      <c r="C24" s="235">
        <f>'AGG DM'!$F$23/1000</f>
        <v>1219.8859571421037</v>
      </c>
      <c r="D24" s="235">
        <f>'AGG DM'!$F$24/1000</f>
        <v>418.22891738594581</v>
      </c>
      <c r="E24" s="235">
        <f>'AGG DM'!$F$30/1000</f>
        <v>133.92867453194151</v>
      </c>
      <c r="F24" s="235">
        <f>'AGG DM'!$F$26/1000</f>
        <v>170.69872032782681</v>
      </c>
      <c r="G24" s="235">
        <f>'AGG DM'!$F$31/1000</f>
        <v>69.835817056437094</v>
      </c>
      <c r="H24" s="227"/>
      <c r="I24" s="234">
        <f>'AGG DM'!$H$23</f>
        <v>2.0555376527773284E-2</v>
      </c>
      <c r="J24" s="234">
        <f>'AGG DM'!$H$24</f>
        <v>3.4105393529800354E-2</v>
      </c>
      <c r="K24" s="234">
        <f>'AGG DM'!$H$30</f>
        <v>8.8584802895584236E-2</v>
      </c>
      <c r="L24" s="195"/>
      <c r="M24" s="233">
        <f>'AGG DM'!$F$11/1000</f>
        <v>1674.4096608575464</v>
      </c>
      <c r="N24" s="233">
        <f>'AGG DM'!$F$12/1000</f>
        <v>1033.9011138131275</v>
      </c>
      <c r="O24" s="233">
        <f>'AGG DM'!$F$18/1000</f>
        <v>2713.2963208808442</v>
      </c>
      <c r="P24" s="235">
        <f>N24/D24</f>
        <v>2.4720938003888269</v>
      </c>
      <c r="Q24" s="195"/>
      <c r="R24" s="235">
        <f>O24/D24</f>
        <v>6.4875866017102481</v>
      </c>
      <c r="S24" s="235">
        <f>M24/E24</f>
        <v>12.502249176356971</v>
      </c>
      <c r="T24" s="235">
        <f>S24/(AA24*100)</f>
        <v>1.3001496540766833</v>
      </c>
      <c r="U24" s="234">
        <f>F24/O24</f>
        <v>6.2911934466638425E-2</v>
      </c>
      <c r="V24" s="234">
        <f>G24/M24</f>
        <v>4.1707724632137386E-2</v>
      </c>
      <c r="AA24" s="591">
        <f>('AGG DM'!$G$30/'AGG DM'!$E$30)^(1/2)-1</f>
        <v>9.6160077704559255E-2</v>
      </c>
    </row>
    <row r="25" spans="2:27">
      <c r="B25" s="218"/>
      <c r="C25" s="188"/>
      <c r="D25" s="188"/>
      <c r="E25" s="188"/>
      <c r="F25" s="188"/>
      <c r="G25" s="188"/>
      <c r="R25" s="188"/>
      <c r="S25" s="188"/>
      <c r="T25" s="188"/>
      <c r="U25" s="68"/>
      <c r="V25" s="68"/>
      <c r="AA25" s="589"/>
    </row>
    <row r="26" spans="2:27">
      <c r="B26" s="213" t="s">
        <v>734</v>
      </c>
      <c r="C26" s="188">
        <f>'EMEA INCUMB'!$F$23/1000</f>
        <v>2.8791641307630442</v>
      </c>
      <c r="D26" s="188">
        <f>'EMEA INCUMB'!$F$24/1000</f>
        <v>0.74624606922004832</v>
      </c>
      <c r="E26" s="188">
        <f>'EMEA INCUMB'!$F$30/1000</f>
        <v>0.20488475779340112</v>
      </c>
      <c r="F26" s="188">
        <f>'EMEA INCUMB'!$F$26/1000</f>
        <v>0.2427063090448324</v>
      </c>
      <c r="G26" s="188">
        <f>'EMEA INCUMB'!$F$31/1000</f>
        <v>0.12149522510326984</v>
      </c>
      <c r="H26" s="227"/>
      <c r="I26" s="68">
        <f>'EMEA INCUMB'!$H$23</f>
        <v>1.947512825024833E-2</v>
      </c>
      <c r="J26" s="68">
        <f>'EMEA INCUMB'!$H$24</f>
        <v>6.71694721895566E-3</v>
      </c>
      <c r="K26" s="68">
        <f>'EMEA INCUMB'!$H$30</f>
        <v>-3.031445748740591E-3</v>
      </c>
      <c r="L26" s="195"/>
      <c r="M26" s="228">
        <f>'EMEA INCUMB'!$F$11/1000</f>
        <v>0.76915152965626599</v>
      </c>
      <c r="N26" s="228">
        <f>'EMEA INCUMB'!$F$12/1000</f>
        <v>0.61129766720078904</v>
      </c>
      <c r="O26" s="228">
        <f>'EMEA INCUMB'!$F$18/1000</f>
        <v>0.86019149244485216</v>
      </c>
      <c r="P26" s="188">
        <f>N26/D26</f>
        <v>0.81916366787659878</v>
      </c>
      <c r="Q26" s="195"/>
      <c r="R26" s="188">
        <f>O26/D26</f>
        <v>1.1526914886719548</v>
      </c>
      <c r="S26" s="188">
        <f>M26/E26</f>
        <v>3.7540690578449589</v>
      </c>
      <c r="T26" s="188">
        <f>S26/(AA26*100)</f>
        <v>2.5461894683918986</v>
      </c>
      <c r="U26" s="68">
        <f>F26/O26</f>
        <v>0.28215381246681254</v>
      </c>
      <c r="V26" s="68">
        <f>G26/M26</f>
        <v>0.15796006432902251</v>
      </c>
      <c r="AA26" s="590">
        <f>('EMEA INCUMB'!$G$30/'EMEA INCUMB'!$E$30)^(1/2)-1</f>
        <v>1.4743871594975699E-2</v>
      </c>
    </row>
    <row r="27" spans="2:27">
      <c r="B27" s="213" t="s">
        <v>159</v>
      </c>
      <c r="C27" s="188">
        <f>'EMEA CELLULAR'!$F$23/1000</f>
        <v>39.810516915542316</v>
      </c>
      <c r="D27" s="188">
        <f>'EMEA CELLULAR'!$F$24/1000</f>
        <v>16.137094234482962</v>
      </c>
      <c r="E27" s="188">
        <f>'EMEA CELLULAR'!$F$30/1000</f>
        <v>4.9442625867121039</v>
      </c>
      <c r="F27" s="188">
        <f>'EMEA CELLULAR'!$F$26/1000</f>
        <v>6.391971390550033</v>
      </c>
      <c r="G27" s="188">
        <f>'EMEA CELLULAR'!$F$31/1000</f>
        <v>2.6273234326213273</v>
      </c>
      <c r="H27" s="227"/>
      <c r="I27" s="68">
        <f>'EMEA CELLULAR'!$H$23</f>
        <v>4.7493644526533263E-2</v>
      </c>
      <c r="J27" s="68">
        <f>'EMEA CELLULAR'!$H$24</f>
        <v>4.6652398847596643E-2</v>
      </c>
      <c r="K27" s="68">
        <f>'EMEA CELLULAR'!$H$30</f>
        <v>0.22067184815723828</v>
      </c>
      <c r="L27" s="195"/>
      <c r="M27" s="228">
        <f>'EMEA CELLULAR'!$F$11/1000</f>
        <v>96.713834760353933</v>
      </c>
      <c r="N27" s="228">
        <f>'EMEA CELLULAR'!$F$12/1000</f>
        <v>20.872473889025837</v>
      </c>
      <c r="O27" s="228">
        <f>'EMEA CELLULAR'!$F$18/1000</f>
        <v>115.32148723339738</v>
      </c>
      <c r="P27" s="188">
        <f>N27/D27</f>
        <v>1.2934468613577257</v>
      </c>
      <c r="Q27" s="195"/>
      <c r="R27" s="188">
        <f>O27/D27</f>
        <v>7.1463601536743653</v>
      </c>
      <c r="S27" s="188">
        <f>M27/E27</f>
        <v>19.560820863413703</v>
      </c>
      <c r="T27" s="188">
        <f>S27/(AA27*100)</f>
        <v>0.67488811369868318</v>
      </c>
      <c r="U27" s="68">
        <f>F27/O27</f>
        <v>5.5427410310911279E-2</v>
      </c>
      <c r="V27" s="68">
        <f>G27/M27</f>
        <v>2.716595241137466E-2</v>
      </c>
      <c r="AA27" s="590">
        <f>('EMEA CELLULAR'!$G$30/'EMEA CELLULAR'!$E$30)^(1/2)-1</f>
        <v>0.28983798153166185</v>
      </c>
    </row>
    <row r="28" spans="2:27">
      <c r="B28" s="209" t="s">
        <v>735</v>
      </c>
      <c r="C28" s="235">
        <f>'EMEA AGG'!$F$23/1000</f>
        <v>42.689681046305353</v>
      </c>
      <c r="D28" s="235">
        <f>'EMEA AGG'!$F$24/1000</f>
        <v>16.883340303703012</v>
      </c>
      <c r="E28" s="235">
        <f>'EMEA AGG'!$F$30/1000</f>
        <v>5.1491473445055052</v>
      </c>
      <c r="F28" s="235">
        <f>'EMEA AGG'!$F$26/1000</f>
        <v>6.6346776995948655</v>
      </c>
      <c r="G28" s="235">
        <f>'EMEA AGG'!$F$31/1000</f>
        <v>2.748818657724597</v>
      </c>
      <c r="H28" s="227"/>
      <c r="I28" s="234">
        <f>'EMEA AGG'!$H$23</f>
        <v>4.5615312204706271E-2</v>
      </c>
      <c r="J28" s="234">
        <f>'EMEA AGG'!$H$24</f>
        <v>4.4873381424675785E-2</v>
      </c>
      <c r="K28" s="234">
        <f>'EMEA AGG'!$H$30</f>
        <v>0.20929362313270228</v>
      </c>
      <c r="L28" s="195"/>
      <c r="M28" s="233">
        <f>'EMEA AGG'!$F$11/1000</f>
        <v>97.482986290010203</v>
      </c>
      <c r="N28" s="233">
        <f>'EMEA AGG'!$F$12/1000</f>
        <v>21.483771556226628</v>
      </c>
      <c r="O28" s="233">
        <f>'EMEA AGG'!$F$18/1000</f>
        <v>116.18167872584223</v>
      </c>
      <c r="P28" s="235">
        <f>N28/D28</f>
        <v>1.2724834760047221</v>
      </c>
      <c r="Q28" s="195"/>
      <c r="R28" s="235">
        <f>O28/D28</f>
        <v>6.8814391368016308</v>
      </c>
      <c r="S28" s="235">
        <f>M28/E28</f>
        <v>18.931869641297265</v>
      </c>
      <c r="T28" s="235">
        <f>S28/(AA28*100)</f>
        <v>0.68468194179922248</v>
      </c>
      <c r="U28" s="234">
        <f>F28/O28</f>
        <v>5.710605813547362E-2</v>
      </c>
      <c r="V28" s="234">
        <f>G28/M28</f>
        <v>2.8197932401731199E-2</v>
      </c>
      <c r="AA28" s="591">
        <f>('EMEA AGG'!$G$30/'EMEA AGG'!$E$30)^(1/2)-1</f>
        <v>0.2765060458809192</v>
      </c>
    </row>
    <row r="29" spans="2:27">
      <c r="B29" s="218"/>
      <c r="C29" s="188"/>
      <c r="D29" s="188"/>
      <c r="E29" s="188"/>
      <c r="F29" s="188"/>
      <c r="G29" s="188"/>
      <c r="R29" s="188"/>
      <c r="S29" s="188"/>
      <c r="T29" s="188"/>
      <c r="U29" s="68"/>
      <c r="V29" s="68"/>
      <c r="AA29" s="589"/>
    </row>
    <row r="30" spans="2:27">
      <c r="B30" s="213" t="s">
        <v>734</v>
      </c>
      <c r="C30" s="188">
        <f>'LATAM INCUMB'!$F$23/1000</f>
        <v>67.689824486881633</v>
      </c>
      <c r="D30" s="188">
        <f>'LATAM INCUMB'!$F$24/1000</f>
        <v>26.745689657502172</v>
      </c>
      <c r="E30" s="188">
        <f>'LATAM INCUMB'!$F$30/1000</f>
        <v>7.6085458587116435</v>
      </c>
      <c r="F30" s="188">
        <f>'LATAM INCUMB'!$F$26/1000</f>
        <v>11.061000425812299</v>
      </c>
      <c r="G30" s="188">
        <f>'LATAM INCUMB'!$F$31/1000</f>
        <v>2.8512301739868069</v>
      </c>
      <c r="H30" s="227"/>
      <c r="I30" s="68">
        <f>'LATAM INCUMB'!$H$23</f>
        <v>3.2219017878071687E-2</v>
      </c>
      <c r="J30" s="68">
        <f>'LATAM INCUMB'!$H$24</f>
        <v>5.2441939874377175E-2</v>
      </c>
      <c r="K30" s="68">
        <f>'LATAM INCUMB'!$H$30</f>
        <v>0.27622076039307863</v>
      </c>
      <c r="L30" s="195"/>
      <c r="M30" s="228">
        <f>'LATAM INCUMB'!$F$11/1000</f>
        <v>69.828117923574482</v>
      </c>
      <c r="N30" s="228">
        <f>'LATAM INCUMB'!$F$12/1000</f>
        <v>36.267895510957722</v>
      </c>
      <c r="O30" s="228">
        <f>'LATAM INCUMB'!$F$18/1000</f>
        <v>102.66084168726459</v>
      </c>
      <c r="P30" s="188">
        <f>N30/D30</f>
        <v>1.3560276805494365</v>
      </c>
      <c r="Q30" s="195"/>
      <c r="R30" s="188">
        <f>O30/D30</f>
        <v>3.8384069733071251</v>
      </c>
      <c r="S30" s="188">
        <f>M30/E30</f>
        <v>9.1775904647564932</v>
      </c>
      <c r="T30" s="188">
        <f>S30/(AA30*100)</f>
        <v>0.37032060230380542</v>
      </c>
      <c r="U30" s="68">
        <f>F30/O30</f>
        <v>0.10774313013629278</v>
      </c>
      <c r="V30" s="68">
        <f>G30/M30</f>
        <v>4.0832121196613419E-2</v>
      </c>
      <c r="AA30" s="590">
        <f>('LATAM INCUMB'!$G$30/'LATAM INCUMB'!$E$30)^(1/2)-1</f>
        <v>0.24782824416631666</v>
      </c>
    </row>
    <row r="31" spans="2:27">
      <c r="B31" s="213" t="s">
        <v>159</v>
      </c>
      <c r="C31" s="188">
        <f>'LATAM CELLULAR'!$F$23/1000</f>
        <v>13.350177601811732</v>
      </c>
      <c r="D31" s="188">
        <f>'LATAM CELLULAR'!$F$24/1000</f>
        <v>5.5624114501844018</v>
      </c>
      <c r="E31" s="188">
        <f>'LATAM CELLULAR'!$F$30/1000</f>
        <v>1.6119854951645374</v>
      </c>
      <c r="F31" s="188">
        <f>'LATAM CELLULAR'!$F$26/1000</f>
        <v>2.6754377465944308</v>
      </c>
      <c r="G31" s="188">
        <f>'LATAM CELLULAR'!$F$31/1000</f>
        <v>0.63145838991447689</v>
      </c>
      <c r="H31" s="227"/>
      <c r="I31" s="68">
        <f>'LATAM CELLULAR'!$H$23</f>
        <v>3.4615117612012414E-2</v>
      </c>
      <c r="J31" s="68">
        <f>'LATAM CELLULAR'!$H$24</f>
        <v>5.1333149380524246E-2</v>
      </c>
      <c r="K31" s="68">
        <f>'LATAM CELLULAR'!$H$30</f>
        <v>0.25833924352795901</v>
      </c>
      <c r="L31" s="195"/>
      <c r="M31" s="228">
        <f>'LATAM CELLULAR'!$F$11/1000</f>
        <v>10.988950816325968</v>
      </c>
      <c r="N31" s="228">
        <f>'LATAM CELLULAR'!$F$12/1000</f>
        <v>10.072049529184913</v>
      </c>
      <c r="O31" s="228">
        <f>'LATAM CELLULAR'!$F$18/1000</f>
        <v>24.842661864445606</v>
      </c>
      <c r="P31" s="188">
        <f>N31/D31</f>
        <v>1.8107343585399476</v>
      </c>
      <c r="Q31" s="195"/>
      <c r="R31" s="188">
        <f>O31/D31</f>
        <v>4.4661676121823097</v>
      </c>
      <c r="S31" s="188">
        <f>M31/E31</f>
        <v>6.8170283475189164</v>
      </c>
      <c r="T31" s="188">
        <f>S31/(AA31*100)</f>
        <v>0.29681319360191449</v>
      </c>
      <c r="U31" s="68">
        <f>F31/O31</f>
        <v>0.10769529292766616</v>
      </c>
      <c r="V31" s="68">
        <f>G31/M31</f>
        <v>5.746302813334439E-2</v>
      </c>
      <c r="AA31" s="590">
        <f>('LATAM CELLULAR'!$G$30/'LATAM CELLULAR'!$E$30)^(1/2)-1</f>
        <v>0.2296740338524812</v>
      </c>
    </row>
    <row r="32" spans="2:27">
      <c r="B32" s="213" t="s">
        <v>1121</v>
      </c>
      <c r="C32" s="188">
        <f>'LATAM ALTNET &amp; CABLE'!$F$23/1000</f>
        <v>6.5529022869765337</v>
      </c>
      <c r="D32" s="188">
        <f>'LATAM ALTNET &amp; CABLE'!$F$24/1000</f>
        <v>2.6451447942395223</v>
      </c>
      <c r="E32" s="188">
        <f>'LATAM ALTNET &amp; CABLE'!$F$30/1000</f>
        <v>0.87858530492455522</v>
      </c>
      <c r="F32" s="188">
        <f>'LATAM ALTNET &amp; CABLE'!$F$26/1000</f>
        <v>0.97811332825717767</v>
      </c>
      <c r="G32" s="188">
        <f>'LATAM ALTNET &amp; CABLE'!$F$31/1000</f>
        <v>0.15482912372554633</v>
      </c>
      <c r="H32" s="227"/>
      <c r="I32" s="68">
        <f>'LATAM ALTNET &amp; CABLE'!$H$23</f>
        <v>2.8008435151252398E-2</v>
      </c>
      <c r="J32" s="68">
        <f>'LATAM ALTNET &amp; CABLE'!$H$24</f>
        <v>4.992336528871455E-2</v>
      </c>
      <c r="K32" s="68">
        <f>'LATAM ALTNET &amp; CABLE'!$H$30</f>
        <v>0.24559048535192352</v>
      </c>
      <c r="L32" s="195"/>
      <c r="M32" s="228">
        <f>'LATAM ALTNET &amp; CABLE'!$F$11/1000</f>
        <v>4.0400447380102902</v>
      </c>
      <c r="N32" s="228">
        <f>'LATAM ALTNET &amp; CABLE'!$F$12/1000</f>
        <v>7.8203884917963391</v>
      </c>
      <c r="O32" s="228">
        <f>'LATAM ALTNET &amp; CABLE'!$F$18/1000</f>
        <v>12.985435215470591</v>
      </c>
      <c r="P32" s="188">
        <f>N32/D32</f>
        <v>2.9565067699988412</v>
      </c>
      <c r="Q32" s="195"/>
      <c r="R32" s="188">
        <f>O32/D32</f>
        <v>4.9091585624158229</v>
      </c>
      <c r="S32" s="188">
        <f>M32/E32</f>
        <v>4.5983522776507311</v>
      </c>
      <c r="T32" s="188">
        <f>S32/(AA32*100)</f>
        <v>0.97742055421901852</v>
      </c>
      <c r="U32" s="68">
        <f>F32/O32</f>
        <v>7.5323877253792207E-2</v>
      </c>
      <c r="V32" s="68">
        <f>G32/M32</f>
        <v>3.832361613940919E-2</v>
      </c>
      <c r="AA32" s="590">
        <f>('LATAM ALTNET &amp; CABLE'!$G$30/'LATAM ALTNET &amp; CABLE'!$E$30)^(1/2)-1</f>
        <v>4.7045790655844355E-2</v>
      </c>
    </row>
    <row r="33" spans="2:27">
      <c r="B33" s="209" t="s">
        <v>737</v>
      </c>
      <c r="C33" s="235">
        <f>'LATAM AGG'!$F$23/1000</f>
        <v>87.592904375669917</v>
      </c>
      <c r="D33" s="235">
        <f>'LATAM AGG'!$F$24/1000</f>
        <v>34.953245901926095</v>
      </c>
      <c r="E33" s="235">
        <f>'LATAM AGG'!$F$30/1000</f>
        <v>10.099116658800737</v>
      </c>
      <c r="F33" s="235">
        <f>'LATAM AGG'!$F$26/1000</f>
        <v>14.714551500663907</v>
      </c>
      <c r="G33" s="235">
        <f>'LATAM AGG'!$F$31/1000</f>
        <v>3.6375176876268296</v>
      </c>
      <c r="H33" s="227"/>
      <c r="I33" s="234">
        <f>'LATAM AGG'!$H$23</f>
        <v>3.2272316594768702E-2</v>
      </c>
      <c r="J33" s="234">
        <f>'LATAM AGG'!$H$24</f>
        <v>5.207726801776924E-2</v>
      </c>
      <c r="K33" s="234">
        <f>'LATAM AGG'!$H$30</f>
        <v>0.2709708869540397</v>
      </c>
      <c r="L33" s="195"/>
      <c r="M33" s="233">
        <f>'LATAM AGG'!$F$11/1000</f>
        <v>84.857113477910744</v>
      </c>
      <c r="N33" s="233">
        <f>'LATAM AGG'!$F$12/1000</f>
        <v>54.160333531938974</v>
      </c>
      <c r="O33" s="233">
        <f>'LATAM AGG'!$F$18/1000</f>
        <v>140.48893876718077</v>
      </c>
      <c r="P33" s="235">
        <f>N33/D33</f>
        <v>1.5495079822888345</v>
      </c>
      <c r="Q33" s="195"/>
      <c r="R33" s="235">
        <f>O33/D33</f>
        <v>4.019338837982974</v>
      </c>
      <c r="S33" s="235">
        <f>M33/E33</f>
        <v>8.4024292762241899</v>
      </c>
      <c r="T33" s="235">
        <f>S33/(AA33*100)</f>
        <v>0.37222852976497606</v>
      </c>
      <c r="U33" s="234">
        <f>F33/O33</f>
        <v>0.10473814970621255</v>
      </c>
      <c r="V33" s="234">
        <f>G33/M33</f>
        <v>4.2866384897404228E-2</v>
      </c>
      <c r="AA33" s="591">
        <f>('LATAM AGG'!$G$30/'LATAM AGG'!$E$30)^(1/2)-1</f>
        <v>0.22573308073750975</v>
      </c>
    </row>
    <row r="34" spans="2:27">
      <c r="B34" s="218"/>
      <c r="C34" s="188"/>
      <c r="D34" s="188"/>
      <c r="E34" s="188"/>
      <c r="F34" s="188"/>
      <c r="G34" s="188"/>
      <c r="R34" s="188"/>
      <c r="S34" s="188"/>
      <c r="T34" s="188"/>
      <c r="U34" s="68"/>
      <c r="V34" s="68"/>
      <c r="AA34" s="589"/>
    </row>
    <row r="35" spans="2:27">
      <c r="B35" s="213" t="s">
        <v>734</v>
      </c>
      <c r="C35" s="188">
        <f>'EM ASIA INCUMB'!$F$23/1000</f>
        <v>174.67432491690539</v>
      </c>
      <c r="D35" s="188">
        <f>'EM ASIA INCUMB'!$F$24/1000</f>
        <v>48.442534195675314</v>
      </c>
      <c r="E35" s="188">
        <f>'EM ASIA INCUMB'!$F$30/1000</f>
        <v>11.979041424861416</v>
      </c>
      <c r="F35" s="188">
        <f>'EM ASIA INCUMB'!$F$26/1000</f>
        <v>15.546048693246542</v>
      </c>
      <c r="G35" s="188">
        <f>'EM ASIA INCUMB'!$F$31/1000</f>
        <v>8.9653010897712448</v>
      </c>
      <c r="H35" s="227"/>
      <c r="I35" s="68">
        <f>'EM ASIA INCUMB'!$H$23</f>
        <v>3.9823056089359321E-2</v>
      </c>
      <c r="J35" s="68">
        <f>'EM ASIA INCUMB'!$H$24</f>
        <v>3.8741314755313283E-2</v>
      </c>
      <c r="K35" s="68">
        <f>'EM ASIA INCUMB'!$H$30</f>
        <v>0.10201493844112686</v>
      </c>
      <c r="L35" s="195"/>
      <c r="M35" s="228">
        <f>'EM ASIA INCUMB'!$F$11/1000</f>
        <v>134.95308778367138</v>
      </c>
      <c r="N35" s="228">
        <f>'EM ASIA INCUMB'!$F$12/1000</f>
        <v>-10.162033909098488</v>
      </c>
      <c r="O35" s="228">
        <f>'EM ASIA INCUMB'!$F$18/1000</f>
        <v>100.45829209837268</v>
      </c>
      <c r="P35" s="188">
        <f>N35/D35</f>
        <v>-0.20977502679877758</v>
      </c>
      <c r="Q35" s="195"/>
      <c r="R35" s="188">
        <f>O35/D35</f>
        <v>2.0737621135299946</v>
      </c>
      <c r="S35" s="188">
        <f>M35/E35</f>
        <v>11.265766850391589</v>
      </c>
      <c r="T35" s="188">
        <f>S35/(AA35*100)</f>
        <v>1.0284600434434432</v>
      </c>
      <c r="U35" s="68">
        <f>F35/O35</f>
        <v>0.15475127407126577</v>
      </c>
      <c r="V35" s="68">
        <f>G35/M35</f>
        <v>6.6432722933635613E-2</v>
      </c>
      <c r="AA35" s="590">
        <f>('EM ASIA INCUMB'!$G$30/'EM ASIA INCUMB'!$E$30)^(1/2)-1</f>
        <v>0.10954015104633585</v>
      </c>
    </row>
    <row r="36" spans="2:27">
      <c r="B36" s="213" t="s">
        <v>159</v>
      </c>
      <c r="C36" s="188">
        <f>'EM ASIA CELLULAR'!$F$23/1000</f>
        <v>246.14284601357474</v>
      </c>
      <c r="D36" s="188">
        <f>'EM ASIA CELLULAR'!$F$24/1000</f>
        <v>89.728908385644203</v>
      </c>
      <c r="E36" s="188">
        <f>'EM ASIA CELLULAR'!$F$30/1000</f>
        <v>28.322498140695185</v>
      </c>
      <c r="F36" s="188">
        <f>'EM ASIA CELLULAR'!$F$26/1000</f>
        <v>39.092244068897145</v>
      </c>
      <c r="G36" s="188">
        <f>'EM ASIA CELLULAR'!$F$31/1000</f>
        <v>21.766184580393375</v>
      </c>
      <c r="H36" s="227"/>
      <c r="I36" s="68">
        <f>'EM ASIA CELLULAR'!$H$23</f>
        <v>4.6921489371530178E-2</v>
      </c>
      <c r="J36" s="68">
        <f>'EM ASIA CELLULAR'!$H$24</f>
        <v>5.3557833944543054E-2</v>
      </c>
      <c r="K36" s="68">
        <f>'EM ASIA CELLULAR'!$H$30</f>
        <v>0.16079213451942098</v>
      </c>
      <c r="L36" s="195"/>
      <c r="M36" s="228">
        <f>'EM ASIA CELLULAR'!$F$11/1000</f>
        <v>415.92171355027563</v>
      </c>
      <c r="N36" s="228">
        <f>'EM ASIA CELLULAR'!$F$12/1000</f>
        <v>68.545059708995041</v>
      </c>
      <c r="O36" s="228">
        <f>'EM ASIA CELLULAR'!$F$18/1000</f>
        <v>462.24251548196133</v>
      </c>
      <c r="P36" s="188">
        <f>N36/D36</f>
        <v>0.76391277841469452</v>
      </c>
      <c r="Q36" s="195"/>
      <c r="R36" s="188">
        <f>O36/D36</f>
        <v>5.1515450683440598</v>
      </c>
      <c r="S36" s="188">
        <f>M36/E36</f>
        <v>14.685205785313777</v>
      </c>
      <c r="T36" s="188">
        <f>S36/(AA36*100)</f>
        <v>0.97127162986089022</v>
      </c>
      <c r="U36" s="68">
        <f>F36/O36</f>
        <v>8.4570853522933226E-2</v>
      </c>
      <c r="V36" s="68">
        <f>G36/M36</f>
        <v>5.2332407448985784E-2</v>
      </c>
      <c r="AA36" s="590">
        <f>('EM ASIA CELLULAR'!$G$30/'EM ASIA CELLULAR'!$E$30)^(1/2)-1</f>
        <v>0.15119566281800134</v>
      </c>
    </row>
    <row r="37" spans="2:27">
      <c r="B37" s="209" t="s">
        <v>738</v>
      </c>
      <c r="C37" s="235">
        <f>'AGG EM ASIA'!$F$23/1000</f>
        <v>420.81717093048013</v>
      </c>
      <c r="D37" s="235">
        <f>'AGG EM ASIA'!$F$24/1000</f>
        <v>138.17144258131952</v>
      </c>
      <c r="E37" s="235">
        <f>'AGG EM ASIA'!$F$30/1000</f>
        <v>40.301539565556602</v>
      </c>
      <c r="F37" s="235">
        <f>'AGG EM ASIA'!$F$26/1000</f>
        <v>54.638292762143692</v>
      </c>
      <c r="G37" s="235">
        <f>'AGG EM ASIA'!$F$31/1000</f>
        <v>30.73148567016462</v>
      </c>
      <c r="H37" s="227"/>
      <c r="I37" s="234">
        <f>'AGG EM ASIA'!$H$23</f>
        <v>4.3969874091504657E-2</v>
      </c>
      <c r="J37" s="234">
        <f>'AGG EM ASIA'!$H$24</f>
        <v>4.831949442030492E-2</v>
      </c>
      <c r="K37" s="234">
        <f>'AGG EM ASIA'!$H$30</f>
        <v>0.14204074952010615</v>
      </c>
      <c r="L37" s="195"/>
      <c r="M37" s="233">
        <f>'AGG EM ASIA'!$F$11/1000</f>
        <v>550.87480133394695</v>
      </c>
      <c r="N37" s="233">
        <f>'AGG EM ASIA'!$F$12/1000</f>
        <v>58.383025799896551</v>
      </c>
      <c r="O37" s="233">
        <f>'AGG EM ASIA'!$F$18/1000</f>
        <v>562.70080758033407</v>
      </c>
      <c r="P37" s="235">
        <f>N37/D37</f>
        <v>0.42254046646097482</v>
      </c>
      <c r="Q37" s="195"/>
      <c r="R37" s="235">
        <f>O37/D37</f>
        <v>4.0724826857703373</v>
      </c>
      <c r="S37" s="235">
        <f>M37/E37</f>
        <v>13.668827724009526</v>
      </c>
      <c r="T37" s="235">
        <f>S37/(AA37*100)</f>
        <v>0.98802345744313025</v>
      </c>
      <c r="U37" s="234">
        <f>F37/O37</f>
        <v>9.7100078809364859E-2</v>
      </c>
      <c r="V37" s="234">
        <f>G37/M37</f>
        <v>5.5786697078443463E-2</v>
      </c>
      <c r="AA37" s="591">
        <f>('AGG EM ASIA'!$G$30/'AGG EM ASIA'!$E$30)^(1/2)-1</f>
        <v>0.138345174105305</v>
      </c>
    </row>
    <row r="38" spans="2:27">
      <c r="B38" s="218"/>
      <c r="C38" s="188"/>
      <c r="D38" s="188"/>
      <c r="E38" s="188"/>
      <c r="F38" s="188"/>
      <c r="G38" s="188"/>
      <c r="H38" s="227"/>
      <c r="L38" s="195"/>
      <c r="Q38" s="195"/>
      <c r="R38" s="188"/>
      <c r="S38" s="188"/>
      <c r="T38" s="188"/>
      <c r="U38" s="68"/>
      <c r="V38" s="68"/>
      <c r="AA38" s="589"/>
    </row>
    <row r="39" spans="2:27">
      <c r="B39" s="209" t="s">
        <v>736</v>
      </c>
      <c r="C39" s="235">
        <f>'AGG EM'!$F$23/1000</f>
        <v>551.09975635245542</v>
      </c>
      <c r="D39" s="235">
        <f>'AGG EM'!$F$24/1000</f>
        <v>190.00802878694861</v>
      </c>
      <c r="E39" s="235">
        <f>'AGG EM'!$F$30/1000</f>
        <v>55.549803568862842</v>
      </c>
      <c r="F39" s="235">
        <f>'AGG EM'!$F$26/1000</f>
        <v>75.987521962402468</v>
      </c>
      <c r="G39" s="235">
        <f>'AGG EM'!$F$31/1000</f>
        <v>37.117822015516055</v>
      </c>
      <c r="H39" s="227"/>
      <c r="I39" s="234">
        <f>'AGG EM'!$H$23</f>
        <v>4.2237881472639405E-2</v>
      </c>
      <c r="J39" s="234">
        <f>'AGG EM'!$H$24</f>
        <v>4.8678106743502703E-2</v>
      </c>
      <c r="K39" s="234">
        <f>'AGG EM'!$H$30</f>
        <v>0.16848189780945066</v>
      </c>
      <c r="L39" s="195"/>
      <c r="M39" s="233">
        <f>'AGG EM'!$F$11/1000</f>
        <v>733.21490110186789</v>
      </c>
      <c r="N39" s="233">
        <f>'AGG EM'!$F$12/1000</f>
        <v>134.02713088806215</v>
      </c>
      <c r="O39" s="233">
        <f>'AGG EM'!$F$18/1000</f>
        <v>819.37142507335705</v>
      </c>
      <c r="P39" s="235">
        <f>N39/D39</f>
        <v>0.70537614512249647</v>
      </c>
      <c r="Q39" s="195"/>
      <c r="R39" s="235">
        <f>O39/D39</f>
        <v>4.3122989607565385</v>
      </c>
      <c r="S39" s="235">
        <f>M39/E39</f>
        <v>13.199234812647557</v>
      </c>
      <c r="T39" s="235">
        <f>S39/(AA39*100)</f>
        <v>0.79983546069892364</v>
      </c>
      <c r="U39" s="234">
        <f>F39/O39</f>
        <v>9.2738799080770262E-2</v>
      </c>
      <c r="V39" s="234">
        <f>G39/M39</f>
        <v>5.0623387440347667E-2</v>
      </c>
      <c r="AA39" s="591">
        <f>('AGG EM'!$G$30/'AGG EM'!$E$30)^(1/2)-1</f>
        <v>0.16502437640253675</v>
      </c>
    </row>
    <row r="40" spans="2:27">
      <c r="B40" s="218"/>
      <c r="C40" s="188"/>
      <c r="D40" s="188"/>
      <c r="E40" s="188"/>
      <c r="F40" s="188"/>
      <c r="G40" s="188"/>
      <c r="H40" s="227"/>
      <c r="L40" s="195"/>
      <c r="M40" s="230"/>
      <c r="N40" s="230"/>
      <c r="O40" s="230"/>
      <c r="P40" s="230"/>
      <c r="Q40" s="195"/>
      <c r="R40" s="188"/>
      <c r="S40" s="188"/>
      <c r="T40" s="188"/>
      <c r="U40" s="68"/>
      <c r="V40" s="68"/>
      <c r="AA40" s="589"/>
    </row>
    <row r="41" spans="2:27">
      <c r="B41" s="238" t="s">
        <v>739</v>
      </c>
      <c r="C41" s="237">
        <f>SUM(C24+C39)</f>
        <v>1770.9857134945591</v>
      </c>
      <c r="D41" s="237">
        <f>SUM(D24+D39)</f>
        <v>608.23694617289448</v>
      </c>
      <c r="E41" s="237">
        <f>SUM(E24+E39)</f>
        <v>189.47847810080435</v>
      </c>
      <c r="F41" s="237">
        <f>SUM(F24+F39)</f>
        <v>246.68624229022927</v>
      </c>
      <c r="G41" s="237">
        <f>SUM(G24+G39)</f>
        <v>106.95363907195315</v>
      </c>
      <c r="H41" s="227"/>
      <c r="I41" s="55">
        <f>(('AGG DM'!$G$23+'AGG EM'!$G$23)/('AGG DM'!$D$23+'AGG EM'!$D$23))^(1/3)-1</f>
        <v>2.7202508991694518E-2</v>
      </c>
      <c r="J41" s="55">
        <f>(('AGG DM'!$G$24+'AGG EM'!$G$24)/('AGG DM'!$D$24+'AGG EM'!$D$24))^(1/3)-1</f>
        <v>3.8621723240531036E-2</v>
      </c>
      <c r="K41" s="55">
        <f>(('AGG DM'!$G$30+'AGG EM'!$G$30)/('AGG DM'!$D$30+'AGG EM'!$D$30))^(1/3)-1</f>
        <v>0.11072721414909314</v>
      </c>
      <c r="L41" s="195"/>
      <c r="M41" s="236">
        <f>SUM(M24+M39)</f>
        <v>2407.6245619594142</v>
      </c>
      <c r="N41" s="236">
        <f>SUM(N24+N39)</f>
        <v>1167.9282447011897</v>
      </c>
      <c r="O41" s="236">
        <f>SUM(O24+O39)</f>
        <v>3532.6677459542011</v>
      </c>
      <c r="P41" s="237">
        <f>N41/D41</f>
        <v>1.9201862893235033</v>
      </c>
      <c r="Q41" s="195"/>
      <c r="R41" s="237">
        <f>O41/D41</f>
        <v>5.8080453155340255</v>
      </c>
      <c r="S41" s="237">
        <f>M41/E41</f>
        <v>12.706585919898169</v>
      </c>
      <c r="T41" s="237">
        <f>S41/(AA41*100)</f>
        <v>1.0959762322939979</v>
      </c>
      <c r="U41" s="55">
        <f>F41/O41</f>
        <v>6.9830015169908763E-2</v>
      </c>
      <c r="V41" s="55">
        <f>G41/M41</f>
        <v>4.4422889167117612E-2</v>
      </c>
      <c r="AA41" s="591">
        <f>(('AGG DM'!$G$30+'AGG EM'!$G$30)/('AGG DM'!$E$30+'AGG EM'!$E$30))^(1/2)-1</f>
        <v>0.11593851714559444</v>
      </c>
    </row>
    <row r="42" spans="2:27">
      <c r="B42" s="39" t="s">
        <v>1625</v>
      </c>
      <c r="H42" s="227"/>
      <c r="L42" s="195"/>
      <c r="Q42" s="195"/>
    </row>
    <row r="43" spans="2:27">
      <c r="H43" s="227"/>
      <c r="L43" s="195"/>
      <c r="Q43" s="195"/>
    </row>
    <row r="44" spans="2:27">
      <c r="H44" s="227"/>
      <c r="L44" s="195"/>
      <c r="Q44" s="195"/>
    </row>
    <row r="45" spans="2:27">
      <c r="H45" s="227"/>
      <c r="Q45" s="195"/>
    </row>
    <row r="46" spans="2:27">
      <c r="H46" s="227"/>
      <c r="Q46" s="195"/>
    </row>
  </sheetData>
  <conditionalFormatting sqref="B10:G41 I10:K41 M10:P41 R10:V41">
    <cfRule type="expression" dxfId="0" priority="1">
      <formula>EVEN(ROW())=ROW()</formula>
    </cfRule>
  </conditionalFormatting>
  <hyperlinks>
    <hyperlink ref="Y1" location="Prices!A1" display="Jump to Prices" xr:uid="{DC71BE00-3BD0-4B0C-B38A-9ADCB54F42B4}"/>
  </hyperlinks>
  <pageMargins left="0.70866141732283472" right="0.70866141732283472" top="0.74803149606299213" bottom="0.74803149606299213" header="0.31496062992125984" footer="0.31496062992125984"/>
  <pageSetup paperSize="9" scale="62"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15">
    <pageSetUpPr fitToPage="1"/>
  </sheetPr>
  <dimension ref="B1:AR165"/>
  <sheetViews>
    <sheetView showGridLines="0" zoomScale="80" zoomScaleNormal="80" workbookViewId="0">
      <selection activeCell="D16" sqref="D16:G16"/>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234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72</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233</v>
      </c>
      <c r="C9" s="285">
        <f>Prices!C91</f>
        <v>57800</v>
      </c>
      <c r="D9" s="531">
        <v>218.833144</v>
      </c>
      <c r="E9" s="532">
        <v>218.833144</v>
      </c>
      <c r="F9" s="532">
        <v>218.833144</v>
      </c>
      <c r="G9" s="532">
        <v>218.833144</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42"/>
      <c r="T9" s="42"/>
      <c r="U9" s="42"/>
      <c r="V9" s="42"/>
      <c r="W9" s="42"/>
      <c r="X9" s="42"/>
      <c r="Y9" s="42"/>
      <c r="Z9" s="42"/>
      <c r="AA9" s="42"/>
    </row>
    <row r="10" spans="2:44">
      <c r="B10" s="5" t="s">
        <v>269</v>
      </c>
      <c r="C10" s="5"/>
      <c r="D10" s="527">
        <v>215.3658915</v>
      </c>
      <c r="E10" s="527">
        <v>212.69973000000002</v>
      </c>
      <c r="F10" s="527">
        <v>212.69973000000002</v>
      </c>
      <c r="G10" s="527">
        <v>212.69973000000002</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42"/>
      <c r="T10" s="42"/>
      <c r="U10" s="42"/>
      <c r="V10" s="42"/>
      <c r="W10" s="288"/>
      <c r="X10" s="288"/>
      <c r="Y10" s="288"/>
      <c r="Z10" s="288"/>
      <c r="AA10" s="42"/>
    </row>
    <row r="11" spans="2:44">
      <c r="B11" s="41" t="s">
        <v>868</v>
      </c>
      <c r="C11" s="5"/>
      <c r="D11" s="528">
        <f>$C$9*D10/1000</f>
        <v>12448.1485287</v>
      </c>
      <c r="E11" s="528">
        <f>$C$9*E10/1000</f>
        <v>12294.044394</v>
      </c>
      <c r="F11" s="528">
        <f>$C$9*F10/1000</f>
        <v>12294.044394</v>
      </c>
      <c r="G11" s="528">
        <f>$C$9*G10/1000</f>
        <v>12294.044394</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42"/>
      <c r="T11" s="42"/>
      <c r="U11" s="42"/>
      <c r="V11" s="42"/>
      <c r="W11" s="288"/>
      <c r="X11" s="288"/>
      <c r="Y11" s="288"/>
      <c r="Z11" s="288"/>
      <c r="AA11" s="42"/>
    </row>
    <row r="12" spans="2:44">
      <c r="B12" s="5" t="s">
        <v>24</v>
      </c>
      <c r="C12" s="249"/>
      <c r="D12" s="529">
        <v>9220.8197948920006</v>
      </c>
      <c r="E12" s="529">
        <v>8525.5000039193146</v>
      </c>
      <c r="F12" s="529">
        <v>7959.6500788368721</v>
      </c>
      <c r="G12" s="529">
        <v>7086.3963943988638</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42"/>
      <c r="T12" s="42"/>
      <c r="U12" s="42"/>
      <c r="V12" s="42"/>
      <c r="W12" s="288"/>
      <c r="X12" s="288"/>
      <c r="Y12" s="288"/>
      <c r="Z12" s="288"/>
      <c r="AA12" s="42"/>
    </row>
    <row r="13" spans="2:44">
      <c r="B13" s="5" t="s">
        <v>524</v>
      </c>
      <c r="C13" s="257"/>
      <c r="D13" s="529">
        <v>2878.2674990530522</v>
      </c>
      <c r="E13" s="529">
        <v>2437.7444792081396</v>
      </c>
      <c r="F13" s="529">
        <v>1968.9887878323632</v>
      </c>
      <c r="G13" s="529">
        <v>1469.6091176470586</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42"/>
      <c r="T13" s="42"/>
      <c r="U13" s="42"/>
      <c r="V13" s="42"/>
      <c r="W13" s="42"/>
      <c r="X13" s="42"/>
      <c r="Y13" s="42"/>
      <c r="Z13" s="42"/>
      <c r="AA13" s="42"/>
    </row>
    <row r="14" spans="2:44">
      <c r="B14" s="5" t="s">
        <v>527</v>
      </c>
      <c r="C14" s="257"/>
      <c r="D14" s="529">
        <v>0</v>
      </c>
      <c r="E14" s="529">
        <v>0</v>
      </c>
      <c r="F14" s="529">
        <v>0</v>
      </c>
      <c r="G14" s="529">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42"/>
      <c r="T14" s="42"/>
      <c r="U14" s="42"/>
      <c r="V14" s="42"/>
      <c r="W14" s="42"/>
      <c r="X14" s="42"/>
      <c r="Y14" s="42"/>
      <c r="Z14" s="42"/>
      <c r="AA14" s="42"/>
    </row>
    <row r="15" spans="2:44">
      <c r="B15" s="5" t="s">
        <v>526</v>
      </c>
      <c r="C15" s="274"/>
      <c r="D15" s="534">
        <v>0</v>
      </c>
      <c r="E15" s="526">
        <f t="shared" ref="E15:G15" si="2">D15</f>
        <v>0</v>
      </c>
      <c r="F15" s="526">
        <f t="shared" si="2"/>
        <v>0</v>
      </c>
      <c r="G15" s="526">
        <f t="shared" si="2"/>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42"/>
      <c r="T15" s="42"/>
      <c r="U15" s="42"/>
      <c r="V15" s="42"/>
      <c r="W15" s="42"/>
      <c r="X15" s="42"/>
      <c r="Y15" s="42"/>
      <c r="Z15" s="42"/>
      <c r="AA15" s="42"/>
    </row>
    <row r="16" spans="2:44">
      <c r="B16" s="5" t="s">
        <v>529</v>
      </c>
      <c r="C16" s="257"/>
      <c r="D16" s="529">
        <v>0</v>
      </c>
      <c r="E16" s="529">
        <v>0</v>
      </c>
      <c r="F16" s="529">
        <v>0</v>
      </c>
      <c r="G16" s="529">
        <v>0</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42"/>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42"/>
      <c r="T17" s="42"/>
      <c r="U17" s="42"/>
      <c r="V17" s="42"/>
      <c r="W17" s="42"/>
      <c r="X17" s="42"/>
      <c r="Y17" s="42"/>
      <c r="Z17" s="42"/>
      <c r="AA17" s="42"/>
    </row>
    <row r="18" spans="2:27" ht="12.6" thickBot="1">
      <c r="B18" s="41" t="s">
        <v>578</v>
      </c>
      <c r="C18" s="249"/>
      <c r="D18" s="530">
        <f>D11+D12+D13-D14+D15-D16-D17</f>
        <v>24547.235822645052</v>
      </c>
      <c r="E18" s="530">
        <f>E11+E12+E13-E14+E15-E16-E17</f>
        <v>23257.288877127456</v>
      </c>
      <c r="F18" s="530">
        <f>F11+F12+F13-F14+F15-F16-F17</f>
        <v>22222.683260669237</v>
      </c>
      <c r="G18" s="530">
        <f>G11+G12+G13-G14+G15-G16-G17</f>
        <v>20850.049906045922</v>
      </c>
      <c r="H18" s="276">
        <f>IF(D18=0,"nm",IF(G18=0,"nm",(G18/D18)^(1/3)-1))</f>
        <v>-5.2960337203835306E-2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42"/>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42"/>
      <c r="T20" s="42"/>
      <c r="U20" s="42"/>
      <c r="V20" s="42"/>
      <c r="W20" s="42"/>
      <c r="X20" s="42"/>
      <c r="Y20" s="42"/>
      <c r="Z20" s="42"/>
      <c r="AA20" s="42"/>
    </row>
    <row r="21" spans="2:27" ht="12.6" thickBot="1">
      <c r="B21" s="306" t="s">
        <v>935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17304.973291426999</v>
      </c>
      <c r="D23" s="536">
        <v>17608.527229097992</v>
      </c>
      <c r="E23" s="536">
        <v>17985.270924618111</v>
      </c>
      <c r="F23" s="536">
        <v>18372.487958449346</v>
      </c>
      <c r="G23" s="536">
        <v>18777.965286295868</v>
      </c>
      <c r="H23" s="279">
        <f t="shared" ref="H23:H32" si="4">IF(D23=0,"nm",IF(G23=0,"nm",(G23/D23)^(1/3)-1))</f>
        <v>2.1664962076225036E-2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478</v>
      </c>
      <c r="C24" s="545">
        <v>5367.3812576719902</v>
      </c>
      <c r="D24" s="536">
        <v>5502.843969111992</v>
      </c>
      <c r="E24" s="536">
        <v>5579.6266437620307</v>
      </c>
      <c r="F24" s="536">
        <v>5720.1562102744747</v>
      </c>
      <c r="G24" s="536">
        <v>5865.0299161706034</v>
      </c>
      <c r="H24" s="279">
        <f t="shared" si="4"/>
        <v>2.1474848655110845E-2</v>
      </c>
      <c r="I24" s="249"/>
      <c r="J24" s="17"/>
      <c r="K24" s="17"/>
      <c r="L24" s="17"/>
      <c r="M24" s="17"/>
      <c r="N24" s="17"/>
      <c r="O24" s="248"/>
      <c r="S24" s="42"/>
      <c r="T24" s="42"/>
      <c r="U24" s="42"/>
      <c r="V24" s="42"/>
      <c r="W24" s="42" t="s">
        <v>572</v>
      </c>
      <c r="X24" s="42" t="s">
        <v>252</v>
      </c>
      <c r="Y24" s="42"/>
      <c r="Z24" s="42"/>
      <c r="AA24" s="42"/>
    </row>
    <row r="25" spans="2:27">
      <c r="B25" s="5" t="s">
        <v>179</v>
      </c>
      <c r="C25" s="544">
        <v>2331.9812576719901</v>
      </c>
      <c r="D25" s="536">
        <v>2760.843969111992</v>
      </c>
      <c r="E25" s="536">
        <v>2992.7317381219418</v>
      </c>
      <c r="F25" s="536">
        <v>3112.024476966264</v>
      </c>
      <c r="G25" s="536">
        <v>3235.7438887444914</v>
      </c>
      <c r="H25" s="279">
        <f t="shared" si="4"/>
        <v>5.4332091262206506E-2</v>
      </c>
      <c r="I25" s="248"/>
      <c r="J25" s="247" t="s">
        <v>10</v>
      </c>
      <c r="K25" s="247"/>
      <c r="L25" s="321">
        <v>0</v>
      </c>
      <c r="M25" s="321">
        <v>0</v>
      </c>
      <c r="N25" s="321">
        <v>0</v>
      </c>
      <c r="O25" s="321">
        <v>0</v>
      </c>
      <c r="P25" s="279" t="str">
        <f>IF(L25=0,"nm",IF(O25=0,"nm",(O25/L25)^(1/3)-1))</f>
        <v>nm</v>
      </c>
      <c r="S25" s="42"/>
      <c r="T25" s="42"/>
      <c r="U25" s="42"/>
      <c r="V25" s="147" t="s">
        <v>268</v>
      </c>
      <c r="W25" s="288">
        <f>D37/L9</f>
        <v>0.64754685115158372</v>
      </c>
      <c r="X25" s="288">
        <v>1</v>
      </c>
      <c r="Y25" s="42"/>
      <c r="Z25" s="42"/>
      <c r="AA25" s="42"/>
    </row>
    <row r="26" spans="2:27">
      <c r="B26" s="5" t="s">
        <v>581</v>
      </c>
      <c r="C26" s="544">
        <v>1690.6864118121928</v>
      </c>
      <c r="D26" s="536">
        <v>2001.6118776061942</v>
      </c>
      <c r="E26" s="536">
        <v>2169.7305101384077</v>
      </c>
      <c r="F26" s="536">
        <v>2256.2177458005413</v>
      </c>
      <c r="G26" s="536">
        <v>2345.9143193397563</v>
      </c>
      <c r="H26" s="279">
        <f t="shared" si="4"/>
        <v>5.4332091262206506E-2</v>
      </c>
      <c r="I26" s="249"/>
      <c r="J26" s="249" t="s">
        <v>11</v>
      </c>
      <c r="K26" s="249"/>
      <c r="L26" s="281">
        <f>D11+L25</f>
        <v>12448.1485287</v>
      </c>
      <c r="M26" s="281">
        <f>E11+M25</f>
        <v>12294.044394</v>
      </c>
      <c r="N26" s="281">
        <f>F11+N25</f>
        <v>12294.044394</v>
      </c>
      <c r="O26" s="281">
        <f>G11+O25</f>
        <v>12294.044394</v>
      </c>
      <c r="P26" s="279">
        <f>IF(L26=0,"nm",IF(O26=0,"nm",(O26/L26)^(1/3)-1))</f>
        <v>-4.14370764979477E-3</v>
      </c>
      <c r="Q26" s="5"/>
      <c r="S26" s="42"/>
      <c r="T26" s="42"/>
      <c r="U26" s="42"/>
      <c r="V26" s="147" t="s">
        <v>180</v>
      </c>
      <c r="W26" s="288">
        <f t="shared" ref="W26:W33" si="6">D38/L10</f>
        <v>0.67617353973101346</v>
      </c>
      <c r="X26" s="288">
        <v>1</v>
      </c>
      <c r="Y26" s="42"/>
      <c r="Z26" s="42"/>
      <c r="AA26" s="42"/>
    </row>
    <row r="27" spans="2:27">
      <c r="B27" s="5" t="s">
        <v>582</v>
      </c>
      <c r="C27" s="545">
        <v>8965.34</v>
      </c>
      <c r="D27" s="536">
        <v>9220.8197948920006</v>
      </c>
      <c r="E27" s="536">
        <v>8525.5000039193146</v>
      </c>
      <c r="F27" s="536">
        <v>7959.650078836873</v>
      </c>
      <c r="G27" s="536">
        <v>7086.3963943988638</v>
      </c>
      <c r="H27" s="279">
        <f t="shared" si="4"/>
        <v>-8.4021452517084816E-2</v>
      </c>
      <c r="I27" s="249"/>
      <c r="J27" s="248"/>
      <c r="K27" s="248"/>
      <c r="L27" s="248"/>
      <c r="M27" s="248"/>
      <c r="N27" s="248"/>
      <c r="O27" s="248"/>
      <c r="Q27" s="41"/>
      <c r="S27" s="42"/>
      <c r="T27" s="42"/>
      <c r="U27" s="42"/>
      <c r="V27" s="147" t="s">
        <v>181</v>
      </c>
      <c r="W27" s="288">
        <f t="shared" si="6"/>
        <v>0.69929825856872352</v>
      </c>
      <c r="X27" s="288">
        <v>1</v>
      </c>
      <c r="Y27" s="42"/>
      <c r="Z27" s="42"/>
      <c r="AA27" s="42"/>
    </row>
    <row r="28" spans="2:27" ht="12.6" thickBot="1">
      <c r="B28" s="5" t="s">
        <v>587</v>
      </c>
      <c r="C28" s="544">
        <v>18747.547864666994</v>
      </c>
      <c r="D28" s="536">
        <v>17977.153587509998</v>
      </c>
      <c r="E28" s="536">
        <v>16247.06494106169</v>
      </c>
      <c r="F28" s="536">
        <v>15398.277701615039</v>
      </c>
      <c r="G28" s="536">
        <v>14558.276295479252</v>
      </c>
      <c r="H28" s="279">
        <f t="shared" si="4"/>
        <v>-6.7898923541350964E-2</v>
      </c>
      <c r="I28" s="248"/>
      <c r="J28" s="306" t="s">
        <v>1352</v>
      </c>
      <c r="K28" s="306"/>
      <c r="L28" s="306"/>
      <c r="M28" s="306"/>
      <c r="N28" s="266"/>
      <c r="O28" s="266"/>
      <c r="P28" s="266"/>
      <c r="Q28" s="5"/>
      <c r="S28" s="42"/>
      <c r="T28" s="42"/>
      <c r="U28" s="42"/>
      <c r="V28" s="147" t="s">
        <v>461</v>
      </c>
      <c r="W28" s="288">
        <f t="shared" si="6"/>
        <v>0.74081233786665379</v>
      </c>
      <c r="X28" s="288">
        <v>1</v>
      </c>
      <c r="Y28" s="42"/>
      <c r="Z28" s="42"/>
      <c r="AA28" s="42"/>
    </row>
    <row r="29" spans="2:27" ht="12.6" thickTop="1">
      <c r="B29" s="5" t="s">
        <v>583</v>
      </c>
      <c r="C29" s="544">
        <v>592.42873864300043</v>
      </c>
      <c r="D29" s="536">
        <v>1051.2112761469855</v>
      </c>
      <c r="E29" s="536">
        <v>1560.4422658444803</v>
      </c>
      <c r="F29" s="536">
        <v>1486.7051353000047</v>
      </c>
      <c r="G29" s="536">
        <v>1873.3029173156801</v>
      </c>
      <c r="H29" s="279">
        <f t="shared" si="4"/>
        <v>0.21238158967356324</v>
      </c>
      <c r="I29" s="252"/>
      <c r="J29" s="249"/>
      <c r="K29" s="249"/>
      <c r="L29" s="249"/>
      <c r="M29" s="249"/>
      <c r="N29" s="249"/>
      <c r="O29" s="251"/>
      <c r="Q29" s="5"/>
      <c r="S29" s="42"/>
      <c r="T29" s="42"/>
      <c r="U29" s="42"/>
      <c r="V29" s="147" t="s">
        <v>525</v>
      </c>
      <c r="W29" s="288">
        <f t="shared" si="6"/>
        <v>1.7952667529510777</v>
      </c>
      <c r="X29" s="288">
        <v>1</v>
      </c>
      <c r="Y29" s="42"/>
      <c r="Z29" s="42"/>
      <c r="AA29" s="42"/>
    </row>
    <row r="30" spans="2:27">
      <c r="B30" s="5" t="s">
        <v>584</v>
      </c>
      <c r="C30" s="545">
        <v>667.69287606300009</v>
      </c>
      <c r="D30" s="536">
        <v>936.0312355709932</v>
      </c>
      <c r="E30" s="536">
        <v>1274.4591699332163</v>
      </c>
      <c r="F30" s="536">
        <v>1365.9971311295601</v>
      </c>
      <c r="G30" s="536">
        <v>1488.8317336454129</v>
      </c>
      <c r="H30" s="279">
        <f t="shared" si="4"/>
        <v>0.16730700527201336</v>
      </c>
      <c r="I30" s="254"/>
      <c r="J30" s="248"/>
      <c r="K30" s="248"/>
      <c r="L30" s="248"/>
      <c r="M30" s="248"/>
      <c r="N30" s="248"/>
      <c r="O30" s="5"/>
      <c r="Q30" s="5"/>
      <c r="S30" s="42"/>
      <c r="T30" s="42"/>
      <c r="U30" s="42"/>
      <c r="V30" s="147" t="s">
        <v>588</v>
      </c>
      <c r="W30" s="288">
        <f t="shared" si="6"/>
        <v>0.44878982610783641</v>
      </c>
      <c r="X30" s="288">
        <v>1</v>
      </c>
      <c r="Y30" s="42"/>
      <c r="Z30" s="42"/>
      <c r="AA30" s="42"/>
    </row>
    <row r="31" spans="2:27">
      <c r="B31" s="5" t="s">
        <v>585</v>
      </c>
      <c r="C31" s="545">
        <v>723.11958029999994</v>
      </c>
      <c r="D31" s="536">
        <v>762.39525591000006</v>
      </c>
      <c r="E31" s="536">
        <v>955.11895514331525</v>
      </c>
      <c r="F31" s="536">
        <v>1038.6644821279911</v>
      </c>
      <c r="G31" s="536">
        <v>1140.4925017913965</v>
      </c>
      <c r="H31" s="279">
        <f t="shared" si="4"/>
        <v>0.14367883223340594</v>
      </c>
      <c r="I31" s="254"/>
      <c r="J31" s="252"/>
      <c r="K31" s="252"/>
      <c r="L31" s="252"/>
      <c r="M31" s="252"/>
      <c r="N31" s="252"/>
      <c r="O31" s="5"/>
      <c r="Q31" s="5"/>
      <c r="S31" s="42"/>
      <c r="T31" s="42"/>
      <c r="U31" s="42"/>
      <c r="V31" s="147" t="s">
        <v>470</v>
      </c>
      <c r="W31" s="288">
        <f t="shared" si="6"/>
        <v>0.60152320584551344</v>
      </c>
      <c r="X31" s="288">
        <v>1</v>
      </c>
      <c r="Y31" s="42"/>
      <c r="Z31" s="42"/>
      <c r="AA31" s="42"/>
    </row>
    <row r="32" spans="2:27">
      <c r="B32" s="5" t="s">
        <v>601</v>
      </c>
      <c r="C32" s="546">
        <v>0</v>
      </c>
      <c r="D32" s="536">
        <v>0</v>
      </c>
      <c r="E32" s="536">
        <v>0</v>
      </c>
      <c r="F32" s="536">
        <v>426.66399999999999</v>
      </c>
      <c r="G32" s="536">
        <v>76.111000000000004</v>
      </c>
      <c r="H32" s="279" t="str">
        <f t="shared" si="4"/>
        <v>nm</v>
      </c>
      <c r="I32" s="254"/>
      <c r="J32" s="254"/>
      <c r="K32" s="254"/>
      <c r="L32" s="254"/>
      <c r="M32" s="254"/>
      <c r="N32" s="254"/>
      <c r="O32" s="251"/>
      <c r="Q32" s="5"/>
      <c r="S32" s="42"/>
      <c r="T32" s="42"/>
      <c r="U32" s="42"/>
      <c r="V32" s="147" t="s">
        <v>528</v>
      </c>
      <c r="W32" s="288">
        <f t="shared" si="6"/>
        <v>0.62151679838839147</v>
      </c>
      <c r="X32" s="288">
        <v>1</v>
      </c>
      <c r="Y32" s="42"/>
      <c r="Z32" s="42"/>
      <c r="AA32" s="42"/>
    </row>
    <row r="33" spans="2:27">
      <c r="B33" s="5" t="s">
        <v>5</v>
      </c>
      <c r="C33" s="545">
        <v>456.327</v>
      </c>
      <c r="D33" s="536">
        <v>527.40099999999995</v>
      </c>
      <c r="E33" s="536">
        <v>387.17020885189584</v>
      </c>
      <c r="F33" s="536">
        <v>361.97838316743207</v>
      </c>
      <c r="G33" s="536">
        <v>319.17333006104855</v>
      </c>
      <c r="H33" s="279">
        <f>IF(D33=0,"nm",IF(G33=0,"nm",(G33/D33)^(1/3)-1))</f>
        <v>-0.15414637416719101</v>
      </c>
      <c r="I33" s="5"/>
      <c r="J33" s="254"/>
      <c r="K33" s="254"/>
      <c r="L33" s="254"/>
      <c r="M33" s="254"/>
      <c r="N33" s="254"/>
      <c r="O33" s="251"/>
      <c r="Q33" s="5"/>
      <c r="S33" s="42"/>
      <c r="T33" s="42"/>
      <c r="U33" s="42"/>
      <c r="V33" s="147" t="s">
        <v>575</v>
      </c>
      <c r="W33" s="288">
        <f t="shared" si="6"/>
        <v>1.5530396648097842</v>
      </c>
      <c r="X33" s="288">
        <v>1</v>
      </c>
      <c r="Y33" s="42"/>
      <c r="Z33" s="42"/>
      <c r="AA33" s="42"/>
    </row>
    <row r="34" spans="2:27">
      <c r="I34" s="49"/>
      <c r="J34" s="254"/>
      <c r="K34" s="254"/>
      <c r="L34" s="254"/>
      <c r="M34" s="254"/>
      <c r="N34" s="254"/>
      <c r="O34" s="251"/>
      <c r="Q34" s="5"/>
      <c r="S34" s="42"/>
      <c r="T34" s="42"/>
      <c r="U34" s="42"/>
      <c r="V34" s="147" t="s">
        <v>576</v>
      </c>
      <c r="W34" s="288">
        <f>D47/L19</f>
        <v>1.6624462535811557</v>
      </c>
      <c r="X34" s="288">
        <v>1</v>
      </c>
      <c r="Y34" s="288"/>
      <c r="Z34" s="288"/>
      <c r="AA34" s="42"/>
    </row>
    <row r="35" spans="2:27" ht="12.6" thickBot="1">
      <c r="B35" s="306" t="s">
        <v>378</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1.3940538866919479</v>
      </c>
      <c r="E37" s="525">
        <f t="shared" ref="E37:G41" si="8">E$18/E23</f>
        <v>1.2931297490377553</v>
      </c>
      <c r="F37" s="525">
        <f t="shared" si="8"/>
        <v>1.2095630875321499</v>
      </c>
      <c r="G37" s="525">
        <f t="shared" si="8"/>
        <v>1.1103465997597866</v>
      </c>
      <c r="H37" s="17">
        <f t="shared" ref="H37:H45" si="9">H23</f>
        <v>2.1664962076225036E-2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4.4608271578171426</v>
      </c>
      <c r="E38" s="525">
        <f t="shared" si="8"/>
        <v>4.1682518136099453</v>
      </c>
      <c r="F38" s="525">
        <f t="shared" si="8"/>
        <v>3.8849783893581655</v>
      </c>
      <c r="G38" s="525">
        <f t="shared" si="8"/>
        <v>3.5549775881892418</v>
      </c>
      <c r="H38" s="17">
        <f t="shared" si="9"/>
        <v>2.1474848655110845E-2</v>
      </c>
      <c r="I38" s="259"/>
      <c r="J38" s="17"/>
      <c r="K38" s="17"/>
      <c r="L38" s="17"/>
      <c r="M38" s="17"/>
      <c r="N38" s="17"/>
      <c r="O38" s="5"/>
      <c r="Q38" s="5"/>
      <c r="R38" s="5"/>
      <c r="S38" s="42"/>
      <c r="T38" s="42"/>
      <c r="U38" s="42"/>
      <c r="V38" s="42"/>
      <c r="W38" s="42"/>
      <c r="X38" s="42"/>
      <c r="Y38" s="42"/>
      <c r="Z38" s="42"/>
      <c r="AA38" s="42"/>
    </row>
    <row r="39" spans="2:27">
      <c r="B39" s="5" t="s">
        <v>181</v>
      </c>
      <c r="C39" s="247"/>
      <c r="D39" s="525">
        <f>D$18/D25</f>
        <v>8.8912072168064302</v>
      </c>
      <c r="E39" s="525">
        <f t="shared" si="8"/>
        <v>7.7712574705149917</v>
      </c>
      <c r="F39" s="525">
        <f t="shared" si="8"/>
        <v>7.1409088923146484</v>
      </c>
      <c r="G39" s="525">
        <f t="shared" si="8"/>
        <v>6.4436650807168796</v>
      </c>
      <c r="H39" s="17">
        <f t="shared" si="9"/>
        <v>5.4332091262206506E-2</v>
      </c>
      <c r="I39" s="17"/>
      <c r="J39" s="5"/>
      <c r="K39" s="5"/>
      <c r="L39" s="5"/>
      <c r="M39" s="5"/>
      <c r="N39" s="5"/>
      <c r="O39" s="5"/>
      <c r="Q39" s="5"/>
      <c r="R39" s="5"/>
      <c r="S39" s="42"/>
      <c r="T39" s="42"/>
      <c r="U39" s="42"/>
      <c r="V39" s="42"/>
      <c r="W39" s="42"/>
      <c r="X39" s="42"/>
      <c r="Y39" s="42"/>
      <c r="Z39" s="42"/>
      <c r="AA39" s="42"/>
    </row>
    <row r="40" spans="2:27">
      <c r="B40" s="5" t="s">
        <v>461</v>
      </c>
      <c r="C40" s="247"/>
      <c r="D40" s="525">
        <f>D$18/D26</f>
        <v>12.2637340921468</v>
      </c>
      <c r="E40" s="525">
        <f t="shared" si="8"/>
        <v>10.718975821399988</v>
      </c>
      <c r="F40" s="525">
        <f t="shared" si="8"/>
        <v>9.849529506640895</v>
      </c>
      <c r="G40" s="525">
        <f t="shared" si="8"/>
        <v>8.8878139044370759</v>
      </c>
      <c r="H40" s="17">
        <f t="shared" si="9"/>
        <v>5.4332091262206506E-2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2.6621532975021731</v>
      </c>
      <c r="E41" s="525">
        <f t="shared" si="8"/>
        <v>2.7279677281608929</v>
      </c>
      <c r="F41" s="525">
        <f t="shared" si="8"/>
        <v>2.7919171120040733</v>
      </c>
      <c r="G41" s="525">
        <f t="shared" si="8"/>
        <v>2.9422641277202537</v>
      </c>
      <c r="H41" s="17">
        <f t="shared" si="9"/>
        <v>-8.4021452517084816E-2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1.3654684376563238</v>
      </c>
      <c r="E42" s="525">
        <f>E18/E28</f>
        <v>1.4314763288936341</v>
      </c>
      <c r="F42" s="525">
        <f>F18/F28</f>
        <v>1.4431927837188196</v>
      </c>
      <c r="G42" s="525">
        <f>G18/G28</f>
        <v>1.4321784724281157</v>
      </c>
      <c r="H42" s="17">
        <f t="shared" si="9"/>
        <v>-6.7898923541350964E-2</v>
      </c>
      <c r="I42" s="248"/>
      <c r="J42" s="5"/>
      <c r="K42" s="5"/>
      <c r="L42" s="5"/>
      <c r="M42" s="5"/>
      <c r="N42" s="5"/>
      <c r="O42" s="5"/>
      <c r="Q42" s="5"/>
      <c r="R42" s="5"/>
      <c r="S42" s="42"/>
      <c r="T42" s="42"/>
      <c r="U42" s="42"/>
      <c r="V42" s="42"/>
      <c r="W42" s="288"/>
      <c r="X42" s="288"/>
      <c r="Y42" s="288"/>
      <c r="Z42" s="288"/>
      <c r="AA42" s="42"/>
    </row>
    <row r="43" spans="2:27">
      <c r="B43" s="5" t="s">
        <v>470</v>
      </c>
      <c r="C43" s="247"/>
      <c r="D43" s="525">
        <f>L26/D29</f>
        <v>11.841718987572426</v>
      </c>
      <c r="E43" s="525">
        <f>M26/E29</f>
        <v>7.8785640860264117</v>
      </c>
      <c r="F43" s="525">
        <f>N26/F29</f>
        <v>8.2693226128657749</v>
      </c>
      <c r="G43" s="525">
        <f>O26/G29</f>
        <v>6.5627637048772431</v>
      </c>
      <c r="H43" s="17">
        <f t="shared" si="9"/>
        <v>0.21238158967356324</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13.298860182915201</v>
      </c>
      <c r="E44" s="525">
        <f>E11/E30</f>
        <v>9.6464796080083346</v>
      </c>
      <c r="F44" s="525">
        <f>F11/F30</f>
        <v>9.0000514011577035</v>
      </c>
      <c r="G44" s="525">
        <f>G11/G30</f>
        <v>8.2575109840639698</v>
      </c>
      <c r="H44" s="17">
        <f t="shared" si="9"/>
        <v>0.16730700527201336</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6.1245674740484438E-2</v>
      </c>
      <c r="E45" s="248">
        <f>E31/E11</f>
        <v>7.7689564518691065E-2</v>
      </c>
      <c r="F45" s="248">
        <f>F31/F11</f>
        <v>8.4485174190106399E-2</v>
      </c>
      <c r="G45" s="248">
        <f>G31/G11</f>
        <v>9.2767885428167468E-2</v>
      </c>
      <c r="H45" s="17">
        <f t="shared" si="9"/>
        <v>0.14367883223340594</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6.1245674740484438E-2</v>
      </c>
      <c r="E46" s="248">
        <f>(E31+E32)/E11</f>
        <v>7.7689564518691065E-2</v>
      </c>
      <c r="F46" s="248">
        <f>(F31+F32)/F11</f>
        <v>0.11919010824811496</v>
      </c>
      <c r="G46" s="248">
        <f>(G31+G32)/G11</f>
        <v>9.8958769205774885E-2</v>
      </c>
      <c r="H46" s="279">
        <f>((G31+G32)/(D31+D32))^(1/3)-1</f>
        <v>0.16857419645286864</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8.4447199013038043E-2</v>
      </c>
      <c r="E47" s="248">
        <f>1/E43</f>
        <v>0.12692668220769077</v>
      </c>
      <c r="F47" s="248">
        <f>1/F43</f>
        <v>0.12092888944061224</v>
      </c>
      <c r="G47" s="248">
        <f>1/G43</f>
        <v>0.15237482941170516</v>
      </c>
      <c r="H47" s="17">
        <f>H29</f>
        <v>0.21238158967356324</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0.72525406948107951</v>
      </c>
      <c r="E48" s="305">
        <f>E31/E29</f>
        <v>0.61208221287599118</v>
      </c>
      <c r="F48" s="305">
        <f>F31/F29</f>
        <v>0.69863516138215076</v>
      </c>
      <c r="G48" s="305">
        <f>G31/G29</f>
        <v>0.6088137114661879</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hyperlinks>
    <hyperlink ref="C2" location="SKTSOP!A1" display="Jump to SKT SOP" xr:uid="{00000000-0004-0000-5600-000001000000}"/>
  </hyperlinks>
  <pageMargins left="0.75" right="0.75" top="1" bottom="1" header="0.5" footer="0.5"/>
  <pageSetup scale="71"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220">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884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887</v>
      </c>
      <c r="C9" s="287">
        <f>Prices!C57</f>
        <v>3.52</v>
      </c>
      <c r="D9" s="539">
        <v>1840.860175</v>
      </c>
      <c r="E9" s="539">
        <v>1843.782371</v>
      </c>
      <c r="F9" s="539">
        <v>1846.829567</v>
      </c>
      <c r="G9" s="539">
        <v>1850.001763</v>
      </c>
      <c r="H9" s="249"/>
      <c r="I9" s="249"/>
      <c r="J9" s="5" t="s">
        <v>268</v>
      </c>
      <c r="L9" s="525">
        <f>'AGG ASIA INCUMB'!D37</f>
        <v>1.2719441813172812</v>
      </c>
      <c r="M9" s="525">
        <f>'AGG ASIA INCUMB'!E37</f>
        <v>1.2095974060822232</v>
      </c>
      <c r="N9" s="525">
        <f>'AGG ASIA INCUMB'!F37</f>
        <v>1.0996822317000925</v>
      </c>
      <c r="O9" s="525">
        <f>'AGG ASIA INCUMB'!G37</f>
        <v>0.99635076165065495</v>
      </c>
      <c r="P9" s="286">
        <f>'AGG ASIA CELLULAR'!H37</f>
        <v>4.8440860425680521E-2</v>
      </c>
      <c r="S9" s="88"/>
      <c r="T9" s="42"/>
      <c r="U9" s="42"/>
      <c r="V9" s="42"/>
      <c r="W9" s="42"/>
      <c r="X9" s="42"/>
      <c r="Y9" s="42"/>
      <c r="Z9" s="42"/>
      <c r="AA9" s="42"/>
    </row>
    <row r="10" spans="2:44">
      <c r="B10" s="5" t="s">
        <v>269</v>
      </c>
      <c r="C10" s="5"/>
      <c r="D10" s="527">
        <v>1840.860175</v>
      </c>
      <c r="E10" s="527">
        <v>1843.782371</v>
      </c>
      <c r="F10" s="527">
        <v>1846.829567</v>
      </c>
      <c r="G10" s="527">
        <v>1850.001763</v>
      </c>
      <c r="H10" s="247"/>
      <c r="I10" s="247"/>
      <c r="J10" s="5" t="s">
        <v>180</v>
      </c>
      <c r="L10" s="525">
        <f>'AGG ASIA INCUMB'!D38</f>
        <v>4.6234760036627636</v>
      </c>
      <c r="M10" s="525">
        <f>'AGG ASIA INCUMB'!E38</f>
        <v>4.4228353660546906</v>
      </c>
      <c r="N10" s="525">
        <f>'AGG ASIA INCUMB'!F38</f>
        <v>3.9347110260162674</v>
      </c>
      <c r="O10" s="525">
        <f>'AGG ASIA INCUMB'!G38</f>
        <v>3.5504425976257274</v>
      </c>
      <c r="P10" s="286">
        <f>'AGG ASIA CELLULAR'!H38</f>
        <v>5.7134314823267696E-2</v>
      </c>
      <c r="S10" s="88"/>
      <c r="T10" s="42"/>
      <c r="U10" s="42"/>
      <c r="V10" s="42"/>
      <c r="W10" s="288"/>
      <c r="X10" s="288"/>
      <c r="Y10" s="288"/>
      <c r="Z10" s="288"/>
      <c r="AA10" s="42"/>
    </row>
    <row r="11" spans="2:44">
      <c r="B11" s="41" t="s">
        <v>880</v>
      </c>
      <c r="C11" s="5"/>
      <c r="D11" s="528">
        <f>D10*C9</f>
        <v>6479.827816</v>
      </c>
      <c r="E11" s="528">
        <f>E10*$C$9</f>
        <v>6490.1139459200003</v>
      </c>
      <c r="F11" s="528">
        <f t="shared" ref="F11:G11" si="2">F10*$C$9</f>
        <v>6500.8400758400003</v>
      </c>
      <c r="G11" s="528">
        <f t="shared" si="2"/>
        <v>6512.0062057599998</v>
      </c>
      <c r="H11" s="249"/>
      <c r="I11" s="249"/>
      <c r="J11" s="5" t="s">
        <v>181</v>
      </c>
      <c r="L11" s="525">
        <f>'AGG ASIA INCUMB'!D39</f>
        <v>11.794671519746432</v>
      </c>
      <c r="M11" s="525">
        <f>'AGG ASIA INCUMB'!E39</f>
        <v>10.669369371390847</v>
      </c>
      <c r="N11" s="525">
        <f>'AGG ASIA INCUMB'!F39</f>
        <v>8.6767991012662229</v>
      </c>
      <c r="O11" s="525">
        <f>'AGG ASIA INCUMB'!G39</f>
        <v>7.5891310442771198</v>
      </c>
      <c r="P11" s="286">
        <f>'AGG ASIA CELLULAR'!H39</f>
        <v>0.11168057272527809</v>
      </c>
      <c r="S11" s="88"/>
      <c r="T11" s="42"/>
      <c r="U11" s="42"/>
      <c r="V11" s="42"/>
      <c r="W11" s="288"/>
      <c r="X11" s="288"/>
      <c r="Y11" s="288"/>
      <c r="Z11" s="288"/>
      <c r="AA11" s="42"/>
    </row>
    <row r="12" spans="2:44">
      <c r="B12" s="5" t="s">
        <v>24</v>
      </c>
      <c r="C12" s="249"/>
      <c r="D12" s="529">
        <v>1100.2052746095771</v>
      </c>
      <c r="E12" s="529">
        <v>1051.557217294865</v>
      </c>
      <c r="F12" s="529">
        <v>1003.1240833749541</v>
      </c>
      <c r="G12" s="529">
        <v>952.90057166497706</v>
      </c>
      <c r="H12" s="247"/>
      <c r="I12" s="247"/>
      <c r="J12" s="5" t="s">
        <v>461</v>
      </c>
      <c r="L12" s="525">
        <f>'AGG ASIA INCUMB'!D40</f>
        <v>15.854102984572272</v>
      </c>
      <c r="M12" s="525">
        <f>'AGG ASIA INCUMB'!E40</f>
        <v>14.308248533194654</v>
      </c>
      <c r="N12" s="525">
        <f>'AGG ASIA INCUMB'!F40</f>
        <v>11.663579867439855</v>
      </c>
      <c r="O12" s="525">
        <f>'AGG ASIA INCUMB'!G40</f>
        <v>10.196208292202796</v>
      </c>
      <c r="P12" s="286">
        <f>'AGG ASIA CELLULAR'!H40</f>
        <v>0.10463983008037903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INCUMB'!D41</f>
        <v>1.1460518303805354</v>
      </c>
      <c r="M13" s="525">
        <f>'AGG ASIA INCUMB'!E41</f>
        <v>1.0866662606716921</v>
      </c>
      <c r="N13" s="525">
        <f>'AGG ASIA INCUMB'!F41</f>
        <v>0.99834975778923052</v>
      </c>
      <c r="O13" s="525">
        <f>'AGG ASIA INCUMB'!G41</f>
        <v>0.90898439887584492</v>
      </c>
      <c r="P13" s="286">
        <f>'AGG ASIA CELLULAR'!H41</f>
        <v>-1.8528761652592207E-2</v>
      </c>
      <c r="S13" s="88"/>
      <c r="T13" s="42"/>
      <c r="U13" s="42"/>
      <c r="V13" s="42"/>
      <c r="W13" s="42"/>
      <c r="X13" s="42"/>
      <c r="Y13" s="42"/>
      <c r="Z13" s="42"/>
      <c r="AA13" s="42"/>
    </row>
    <row r="14" spans="2:44">
      <c r="B14" s="5" t="s">
        <v>527</v>
      </c>
      <c r="C14" s="257"/>
      <c r="D14" s="529">
        <v>98</v>
      </c>
      <c r="E14" s="529">
        <v>98</v>
      </c>
      <c r="F14" s="529">
        <v>98</v>
      </c>
      <c r="G14" s="529">
        <v>98</v>
      </c>
      <c r="H14" s="247"/>
      <c r="I14" s="247"/>
      <c r="J14" s="5" t="s">
        <v>588</v>
      </c>
      <c r="L14" s="525">
        <f>'AGG ASIA INCUMB'!D42</f>
        <v>1.5276634915643974</v>
      </c>
      <c r="M14" s="525">
        <f>'AGG ASIA INCUMB'!E42</f>
        <v>1.4907282921032592</v>
      </c>
      <c r="N14" s="525">
        <f>'AGG ASIA INCUMB'!F42</f>
        <v>1.4247632256720226</v>
      </c>
      <c r="O14" s="525">
        <f>'AGG ASIA INCUMB'!G42</f>
        <v>1.3972444432688993</v>
      </c>
      <c r="P14" s="286">
        <f>'AGG ASIA CELLULAR'!H42</f>
        <v>6.4071344718414913E-3</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'AGG ASIA INCUMB'!D43</f>
        <v>15.273312397129398</v>
      </c>
      <c r="M15" s="525">
        <f>'AGG ASIA INCUMB'!E43</f>
        <v>13.757505713732883</v>
      </c>
      <c r="N15" s="525">
        <f>'AGG ASIA INCUMB'!F43</f>
        <v>11.624732006664775</v>
      </c>
      <c r="O15" s="525">
        <f>'AGG ASIA INCUMB'!G43</f>
        <v>10.50556297379473</v>
      </c>
      <c r="P15" s="286">
        <f>'AGG ASIA CELLULAR'!H43</f>
        <v>0.18726558349580835</v>
      </c>
      <c r="S15" s="88"/>
      <c r="T15" s="42"/>
      <c r="U15" s="42"/>
      <c r="V15" s="42"/>
      <c r="W15" s="42"/>
      <c r="X15" s="42"/>
      <c r="Y15" s="42"/>
      <c r="Z15" s="42"/>
      <c r="AA15" s="42"/>
    </row>
    <row r="16" spans="2:44">
      <c r="B16" s="5" t="s">
        <v>529</v>
      </c>
      <c r="C16" s="257"/>
      <c r="D16" s="529">
        <v>1726.43637764</v>
      </c>
      <c r="E16" s="529">
        <v>2187.3819703899999</v>
      </c>
      <c r="F16" s="529">
        <v>2649.08936214</v>
      </c>
      <c r="G16" s="529">
        <v>3130.0898205200001</v>
      </c>
      <c r="H16" s="247"/>
      <c r="I16" s="247"/>
      <c r="J16" s="5" t="s">
        <v>528</v>
      </c>
      <c r="L16" s="525">
        <f>'AGG ASIA INCUMB'!D44</f>
        <v>13.678025117962957</v>
      </c>
      <c r="M16" s="525">
        <f>'AGG ASIA INCUMB'!E44</f>
        <v>12.517033973894927</v>
      </c>
      <c r="N16" s="525">
        <f>'AGG ASIA INCUMB'!F44</f>
        <v>11.122029574192924</v>
      </c>
      <c r="O16" s="525">
        <f>'AGG ASIA INCUMB'!G44</f>
        <v>10.11878172223563</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INCUMB'!D45</f>
        <v>4.5509267152536094E-2</v>
      </c>
      <c r="M17" s="248">
        <f>'AGG ASIA INCUMB'!E45</f>
        <v>5.1800129870851246E-2</v>
      </c>
      <c r="N17" s="248">
        <f>'AGG ASIA INCUMB'!F45</f>
        <v>5.7884939069478336E-2</v>
      </c>
      <c r="O17" s="248">
        <f>'AGG ASIA INCUMB'!G45</f>
        <v>6.5680371296715834E-2</v>
      </c>
      <c r="P17" s="286">
        <f>'AGG ASIA CELLULAR'!H45</f>
        <v>0.11688605650684725</v>
      </c>
      <c r="S17" s="88"/>
      <c r="T17" s="42"/>
      <c r="U17" s="42"/>
      <c r="V17" s="42"/>
      <c r="W17" s="42"/>
      <c r="X17" s="42"/>
      <c r="Y17" s="42"/>
      <c r="Z17" s="42"/>
      <c r="AA17" s="42"/>
    </row>
    <row r="18" spans="2:27" ht="12.6" thickBot="1">
      <c r="B18" s="41" t="s">
        <v>578</v>
      </c>
      <c r="C18" s="249"/>
      <c r="D18" s="530">
        <f>D11+D12+D13-D14+D15-D16-D17</f>
        <v>5755.5967129695764</v>
      </c>
      <c r="E18" s="530">
        <f>E11+E12+E13-E14+E15-E16-E17</f>
        <v>5256.2891928248655</v>
      </c>
      <c r="F18" s="530">
        <f>F11+F12+F13-F14+F15-F16-F17</f>
        <v>4756.8747970749546</v>
      </c>
      <c r="G18" s="530">
        <f>G11+G12+G13-G14+G15-G16-G17</f>
        <v>4236.8169569049769</v>
      </c>
      <c r="H18" s="276">
        <f>IF(D18=0,"nm",IF(G18=0,"nm",(G18/D18)^(1/3)-1))</f>
        <v>-9.7078941777830163E-2</v>
      </c>
      <c r="I18" s="254"/>
      <c r="J18" s="5" t="s">
        <v>36</v>
      </c>
      <c r="L18" s="248">
        <f>'AGG ASIA INCUMB'!D46</f>
        <v>4.5540516507029512E-2</v>
      </c>
      <c r="M18" s="248">
        <f>'AGG ASIA INCUMB'!E46</f>
        <v>5.1831531492466568E-2</v>
      </c>
      <c r="N18" s="248">
        <f>'AGG ASIA INCUMB'!F46</f>
        <v>5.8199730113416448E-2</v>
      </c>
      <c r="O18" s="248">
        <f>'AGG ASIA INCUMB'!G46</f>
        <v>6.6192895380097247E-2</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INCUMB'!D47</f>
        <v>6.5473682067024891E-2</v>
      </c>
      <c r="M19" s="248">
        <f>'AGG ASIA INCUMB'!E47</f>
        <v>7.2687594743412673E-2</v>
      </c>
      <c r="N19" s="248">
        <f>'AGG ASIA INCUMB'!F47</f>
        <v>8.6023488492179667E-2</v>
      </c>
      <c r="O19" s="248">
        <f>'AGG ASIA INCUMB'!G47</f>
        <v>9.5187664144645884E-2</v>
      </c>
      <c r="P19" s="286">
        <f>'AGG ASIA CELLULAR'!H47</f>
        <v>0.18726558349580835</v>
      </c>
      <c r="S19" s="88"/>
      <c r="T19" s="42"/>
      <c r="U19" s="42"/>
      <c r="V19" s="42"/>
      <c r="W19" s="42"/>
      <c r="X19" s="42"/>
      <c r="Y19" s="42"/>
      <c r="Z19" s="42"/>
      <c r="AA19" s="42"/>
    </row>
    <row r="20" spans="2:27">
      <c r="H20" s="277"/>
      <c r="I20" s="17"/>
      <c r="J20" s="5" t="s">
        <v>599</v>
      </c>
      <c r="L20" s="305">
        <f>'AGG ASIA INCUMB'!D48</f>
        <v>0.59351892336330403</v>
      </c>
      <c r="M20" s="305">
        <f>'AGG ASIA INCUMB'!E48</f>
        <v>0.60592876311616806</v>
      </c>
      <c r="N20" s="305">
        <f>'AGG ASIA INCUMB'!F48</f>
        <v>0.57735687268970703</v>
      </c>
      <c r="O20" s="305">
        <f>'AGG ASIA INCUMB'!G48</f>
        <v>0.59846585949408893</v>
      </c>
      <c r="P20" s="286" t="str">
        <f>'AGG ASIA CELLULAR'!H48</f>
        <v>nm</v>
      </c>
      <c r="S20" s="88"/>
      <c r="T20" s="42"/>
      <c r="U20" s="42"/>
      <c r="V20" s="42"/>
      <c r="W20" s="42"/>
      <c r="X20" s="42"/>
      <c r="Y20" s="42"/>
      <c r="Z20" s="42"/>
      <c r="AA20" s="42"/>
    </row>
    <row r="21" spans="2:27" ht="12.6" thickBot="1">
      <c r="B21" s="306" t="s">
        <v>925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3533.6477060000002</v>
      </c>
      <c r="D23" s="536">
        <v>3573.4093500000004</v>
      </c>
      <c r="E23" s="536">
        <v>3652.8841640000005</v>
      </c>
      <c r="F23" s="536">
        <v>3758.1000192220004</v>
      </c>
      <c r="G23" s="536">
        <v>3854.1582200221078</v>
      </c>
      <c r="H23" s="279">
        <f>IF(D23=0,"nm",IF(G23=0,"nm",(G23/D23)^(1/3)-1))</f>
        <v>2.5531307948985615E-2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1069.80789925</v>
      </c>
      <c r="D24" s="536">
        <v>1110.5493088000007</v>
      </c>
      <c r="E24" s="536">
        <v>1123.8751603560004</v>
      </c>
      <c r="F24" s="536">
        <v>1133.1276362838985</v>
      </c>
      <c r="G24" s="536">
        <v>1174.9581144204835</v>
      </c>
      <c r="H24" s="279">
        <f>IF(D24=0,"nm",IF(G24=0,"nm",(G24/D24)^(1/3)-1))</f>
        <v>1.897026982795702E-2</v>
      </c>
      <c r="I24" s="249"/>
      <c r="J24" s="17"/>
      <c r="K24" s="17"/>
      <c r="L24" s="17"/>
      <c r="M24" s="17"/>
      <c r="N24" s="17"/>
      <c r="O24" s="248"/>
      <c r="S24" s="88"/>
      <c r="T24" s="42"/>
      <c r="U24" s="42"/>
      <c r="V24" s="42"/>
      <c r="W24" s="42" t="s">
        <v>301</v>
      </c>
      <c r="X24" s="42" t="s">
        <v>254</v>
      </c>
      <c r="Y24" s="42"/>
      <c r="Z24" s="42"/>
      <c r="AA24" s="42"/>
    </row>
    <row r="25" spans="2:27">
      <c r="B25" s="5" t="s">
        <v>179</v>
      </c>
      <c r="C25" s="544">
        <v>658.09029793982063</v>
      </c>
      <c r="D25" s="536">
        <v>697.7723492144487</v>
      </c>
      <c r="E25" s="536">
        <v>701.91778820826949</v>
      </c>
      <c r="F25" s="536">
        <v>699.01641425083858</v>
      </c>
      <c r="G25" s="536">
        <v>729.75087505889496</v>
      </c>
      <c r="H25" s="279">
        <f>IF(D25=0,"nm",IF(G25=0,"nm",(G25/D25)^(1/3)-1))</f>
        <v>1.5048879877651355E-2</v>
      </c>
      <c r="I25" s="248"/>
      <c r="J25" s="247" t="s">
        <v>10</v>
      </c>
      <c r="K25" s="247"/>
      <c r="L25" s="321">
        <v>0</v>
      </c>
      <c r="M25" s="321">
        <v>0</v>
      </c>
      <c r="N25" s="321">
        <v>0</v>
      </c>
      <c r="O25" s="321">
        <v>0</v>
      </c>
      <c r="P25" s="279" t="str">
        <f>IF(L25=0,"nm",IF(O25=0,"nm",(O25/L25)^(1/3)-1))</f>
        <v>nm</v>
      </c>
      <c r="S25" s="88"/>
      <c r="T25" s="42"/>
      <c r="U25" s="42"/>
      <c r="V25" s="147" t="s">
        <v>268</v>
      </c>
      <c r="W25" s="288">
        <f>D37/L9</f>
        <v>1.2663085335221953</v>
      </c>
      <c r="X25" s="288">
        <v>1</v>
      </c>
      <c r="Y25" s="42"/>
      <c r="Z25" s="42"/>
      <c r="AA25" s="42"/>
    </row>
    <row r="26" spans="2:27">
      <c r="B26" s="5" t="s">
        <v>581</v>
      </c>
      <c r="C26" s="544">
        <v>473.82501451667082</v>
      </c>
      <c r="D26" s="536">
        <v>502.39609143440305</v>
      </c>
      <c r="E26" s="536">
        <v>505.38080750995402</v>
      </c>
      <c r="F26" s="536">
        <v>503.29181826060375</v>
      </c>
      <c r="G26" s="536">
        <v>525.42063004240435</v>
      </c>
      <c r="H26" s="279">
        <f>IF(D26=0,"nm",IF(G26=0,"nm",(G26/D26)^(1/3)-1))</f>
        <v>1.5048879877651355E-2</v>
      </c>
      <c r="I26" s="249"/>
      <c r="J26" s="249" t="s">
        <v>11</v>
      </c>
      <c r="K26" s="249"/>
      <c r="L26" s="281">
        <f>D11+L25</f>
        <v>6479.827816</v>
      </c>
      <c r="M26" s="281">
        <f>E11+M25</f>
        <v>6490.1139459200003</v>
      </c>
      <c r="N26" s="281">
        <f>F11+N25</f>
        <v>6500.8400758400003</v>
      </c>
      <c r="O26" s="281">
        <f>G11+O25</f>
        <v>6512.0062057599998</v>
      </c>
      <c r="P26" s="279">
        <f>IF(L26=0,"nm",IF(O26=0,"nm",(O26/L26)^(1/3)-1))</f>
        <v>1.6525784273671018E-3</v>
      </c>
      <c r="Q26" s="5"/>
      <c r="S26" s="88"/>
      <c r="T26" s="42"/>
      <c r="U26" s="42"/>
      <c r="V26" s="147" t="s">
        <v>180</v>
      </c>
      <c r="W26" s="288">
        <f t="shared" ref="W26:W33" si="5">D38/L10</f>
        <v>1.1209439615639518</v>
      </c>
      <c r="X26" s="288">
        <v>1</v>
      </c>
      <c r="Y26" s="42"/>
      <c r="Z26" s="42"/>
      <c r="AA26" s="42"/>
    </row>
    <row r="27" spans="2:27">
      <c r="B27" s="5" t="s">
        <v>582</v>
      </c>
      <c r="C27" s="545">
        <v>2643.4533247423142</v>
      </c>
      <c r="D27" s="536">
        <v>3352.2395737337401</v>
      </c>
      <c r="E27" s="536">
        <v>3319.3098318206585</v>
      </c>
      <c r="F27" s="536">
        <v>3301.4220301646183</v>
      </c>
      <c r="G27" s="536">
        <v>3296.8327432276665</v>
      </c>
      <c r="H27" s="279">
        <f>IF(ISERROR((G27/D27)^(1/3)-1),"na",(G27/D27)^(1/3)-1)</f>
        <v>-5.5400699397566422E-3</v>
      </c>
      <c r="I27" s="249"/>
      <c r="J27" s="248"/>
      <c r="K27" s="248"/>
      <c r="L27" s="248"/>
      <c r="M27" s="248"/>
      <c r="N27" s="248"/>
      <c r="O27" s="248"/>
      <c r="Q27" s="41"/>
      <c r="S27" s="88"/>
      <c r="T27" s="42"/>
      <c r="U27" s="42"/>
      <c r="V27" s="147" t="s">
        <v>181</v>
      </c>
      <c r="W27" s="288">
        <f t="shared" si="5"/>
        <v>0.69934383377106712</v>
      </c>
      <c r="X27" s="288">
        <v>1</v>
      </c>
      <c r="Y27" s="42"/>
      <c r="Z27" s="42"/>
      <c r="AA27" s="42"/>
    </row>
    <row r="28" spans="2:27" ht="12.6" thickBot="1">
      <c r="B28" s="5" t="s">
        <v>587</v>
      </c>
      <c r="C28" s="544">
        <v>962.08007715950873</v>
      </c>
      <c r="D28" s="536">
        <v>974.27926864603535</v>
      </c>
      <c r="E28" s="536">
        <v>993.46582711762892</v>
      </c>
      <c r="F28" s="536">
        <v>1020.5312041323688</v>
      </c>
      <c r="G28" s="536">
        <v>1048.5802710764629</v>
      </c>
      <c r="H28" s="279">
        <f>IF(ISERROR((G28/D28)^(1/3)-1),"na",(G28/D28)^(1/3)-1)</f>
        <v>2.4800684779147764E-2</v>
      </c>
      <c r="I28" s="248"/>
      <c r="J28" s="306" t="s">
        <v>1352</v>
      </c>
      <c r="K28" s="306"/>
      <c r="L28" s="306"/>
      <c r="M28" s="306"/>
      <c r="N28" s="266"/>
      <c r="O28" s="266"/>
      <c r="P28" s="266"/>
      <c r="Q28" s="5"/>
      <c r="S28" s="88"/>
      <c r="T28" s="42"/>
      <c r="U28" s="42"/>
      <c r="V28" s="147" t="s">
        <v>461</v>
      </c>
      <c r="W28" s="288">
        <f t="shared" si="5"/>
        <v>0.72260744030150237</v>
      </c>
      <c r="X28" s="288">
        <v>1</v>
      </c>
      <c r="Y28" s="42"/>
      <c r="Z28" s="42"/>
      <c r="AA28" s="42"/>
    </row>
    <row r="29" spans="2:27" ht="12.6" thickTop="1">
      <c r="B29" s="5" t="s">
        <v>583</v>
      </c>
      <c r="C29" s="544">
        <v>456.78989486057418</v>
      </c>
      <c r="D29" s="536">
        <v>492.73561902984881</v>
      </c>
      <c r="E29" s="536">
        <v>503.59365006471211</v>
      </c>
      <c r="F29" s="536">
        <v>504.14052566991091</v>
      </c>
      <c r="G29" s="536">
        <v>525.223970089977</v>
      </c>
      <c r="H29" s="279">
        <f>IF(D29=0,"nm",IF(G29=0,"nm",(G29/D29)^(1/3)-1))</f>
        <v>2.1512126981468205E-2</v>
      </c>
      <c r="I29" s="252"/>
      <c r="J29" s="249"/>
      <c r="K29" s="249"/>
      <c r="L29" s="249"/>
      <c r="M29" s="249"/>
      <c r="N29" s="249"/>
      <c r="O29" s="251"/>
      <c r="Q29" s="5"/>
      <c r="S29" s="88"/>
      <c r="T29" s="42"/>
      <c r="U29" s="42"/>
      <c r="V29" s="147" t="s">
        <v>525</v>
      </c>
      <c r="W29" s="288">
        <f t="shared" si="5"/>
        <v>1.4981353373644761</v>
      </c>
      <c r="X29" s="288">
        <v>1</v>
      </c>
      <c r="Y29" s="42"/>
      <c r="Z29" s="42"/>
      <c r="AA29" s="42"/>
    </row>
    <row r="30" spans="2:27">
      <c r="B30" s="5" t="s">
        <v>584</v>
      </c>
      <c r="C30" s="545">
        <v>408.24321960288864</v>
      </c>
      <c r="D30" s="536">
        <v>450.52186802127437</v>
      </c>
      <c r="E30" s="536">
        <v>470.66390815163072</v>
      </c>
      <c r="F30" s="536">
        <v>486.25272401387019</v>
      </c>
      <c r="G30" s="536">
        <v>520.63468315302521</v>
      </c>
      <c r="H30" s="279">
        <f>IF(D30=0,"nm",IF(G30=0,"nm",(G30/D30)^(1/3)-1))</f>
        <v>4.9395199877763529E-2</v>
      </c>
      <c r="I30" s="254"/>
      <c r="J30" s="248"/>
      <c r="K30" s="248"/>
      <c r="L30" s="248"/>
      <c r="M30" s="248"/>
      <c r="N30" s="248"/>
      <c r="O30" s="5"/>
      <c r="Q30" s="5"/>
      <c r="S30" s="88"/>
      <c r="T30" s="42"/>
      <c r="U30" s="42"/>
      <c r="V30" s="147" t="s">
        <v>588</v>
      </c>
      <c r="W30" s="288">
        <f t="shared" si="5"/>
        <v>3.8670447209719199</v>
      </c>
      <c r="X30" s="288">
        <v>1</v>
      </c>
      <c r="Y30" s="42"/>
      <c r="Z30" s="42"/>
      <c r="AA30" s="42"/>
    </row>
    <row r="31" spans="2:27">
      <c r="B31" s="5" t="s">
        <v>585</v>
      </c>
      <c r="C31" s="545">
        <v>459.51574475000001</v>
      </c>
      <c r="D31" s="536">
        <v>460.21504375000006</v>
      </c>
      <c r="E31" s="536">
        <v>460.94559275</v>
      </c>
      <c r="F31" s="536">
        <v>461.70739175</v>
      </c>
      <c r="G31" s="536">
        <v>481.00045838</v>
      </c>
      <c r="H31" s="279">
        <f>IF(D31=0,"nm",IF(G31=0,"nm",(G31/D31)^(1/3)-1))</f>
        <v>1.4833729194414724E-2</v>
      </c>
      <c r="I31" s="254"/>
      <c r="J31" s="252"/>
      <c r="K31" s="252"/>
      <c r="L31" s="252"/>
      <c r="M31" s="252"/>
      <c r="N31" s="252"/>
      <c r="O31" s="5"/>
      <c r="Q31" s="5"/>
      <c r="S31" s="88"/>
      <c r="T31" s="42"/>
      <c r="U31" s="42"/>
      <c r="V31" s="147" t="s">
        <v>470</v>
      </c>
      <c r="W31" s="288">
        <f t="shared" si="5"/>
        <v>0.86102601453731642</v>
      </c>
      <c r="X31" s="288">
        <v>1</v>
      </c>
      <c r="Y31" s="42"/>
      <c r="Z31" s="42"/>
      <c r="AA31" s="42"/>
    </row>
    <row r="32" spans="2:27">
      <c r="B32" s="5" t="s">
        <v>601</v>
      </c>
      <c r="C32" s="546">
        <v>6</v>
      </c>
      <c r="D32" s="536">
        <v>6</v>
      </c>
      <c r="E32" s="536">
        <v>6</v>
      </c>
      <c r="F32" s="536">
        <v>6</v>
      </c>
      <c r="G32" s="536">
        <v>6</v>
      </c>
      <c r="H32" s="279">
        <f>IF(D32=0,"nm",IF(G32=0,"nm",(G32/D32)^(1/3)-1))</f>
        <v>0</v>
      </c>
      <c r="I32" s="254"/>
      <c r="J32" s="254"/>
      <c r="K32" s="254"/>
      <c r="L32" s="254"/>
      <c r="M32" s="254"/>
      <c r="N32" s="254"/>
      <c r="O32" s="251"/>
      <c r="Q32" s="5"/>
      <c r="S32" s="88"/>
      <c r="T32" s="42"/>
      <c r="U32" s="42"/>
      <c r="V32" s="147" t="s">
        <v>528</v>
      </c>
      <c r="W32" s="288">
        <f t="shared" si="5"/>
        <v>1.0515361140077573</v>
      </c>
      <c r="X32" s="288">
        <v>1</v>
      </c>
      <c r="Y32" s="42"/>
      <c r="Z32" s="42"/>
      <c r="AA32" s="42"/>
    </row>
    <row r="33" spans="2:27">
      <c r="B33" s="5" t="s">
        <v>5</v>
      </c>
      <c r="C33" s="545">
        <v>25.555903428650709</v>
      </c>
      <c r="D33" s="536">
        <v>19.356024004760627</v>
      </c>
      <c r="E33" s="536">
        <v>10.949565247042557</v>
      </c>
      <c r="F33" s="536">
        <v>1.6150148607588619</v>
      </c>
      <c r="G33" s="536">
        <v>-8.0345052205350669</v>
      </c>
      <c r="H33" s="279">
        <f>IF(ISERROR((G33/D33)^(1/3)-1),"na",(G33/D33)^(1/3)-1)</f>
        <v>-1.7459579184559912</v>
      </c>
      <c r="I33" s="5"/>
      <c r="J33" s="254"/>
      <c r="K33" s="254"/>
      <c r="L33" s="254"/>
      <c r="M33" s="254"/>
      <c r="N33" s="254"/>
      <c r="O33" s="251"/>
      <c r="Q33" s="5"/>
      <c r="S33" s="88"/>
      <c r="T33" s="42"/>
      <c r="U33" s="42"/>
      <c r="V33" s="147" t="s">
        <v>575</v>
      </c>
      <c r="W33" s="288">
        <f t="shared" si="5"/>
        <v>1.5606212034721678</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1.1614050947547305</v>
      </c>
      <c r="X34" s="288">
        <v>1</v>
      </c>
      <c r="Y34" s="288"/>
      <c r="Z34" s="288"/>
      <c r="AA34" s="42"/>
    </row>
    <row r="35" spans="2:27" ht="12.6" thickBot="1">
      <c r="B35" s="306" t="s">
        <v>898</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1.6106737709659755</v>
      </c>
      <c r="E37" s="525">
        <f t="shared" ref="E37:G40" si="7">E$18/E23</f>
        <v>1.4389422047999179</v>
      </c>
      <c r="F37" s="525">
        <f t="shared" si="7"/>
        <v>1.2657658850867199</v>
      </c>
      <c r="G37" s="525">
        <f t="shared" si="7"/>
        <v>1.0992846466175108</v>
      </c>
      <c r="H37" s="17">
        <f t="shared" ref="H37:H45" si="8">H23</f>
        <v>2.5531307948985615E-2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5.1826575077416068</v>
      </c>
      <c r="E38" s="525">
        <f t="shared" si="7"/>
        <v>4.6769333269718993</v>
      </c>
      <c r="F38" s="525">
        <f t="shared" si="7"/>
        <v>4.1980043948757313</v>
      </c>
      <c r="G38" s="525">
        <f t="shared" si="7"/>
        <v>3.6059302071331052</v>
      </c>
      <c r="H38" s="17">
        <f t="shared" si="8"/>
        <v>1.897026982795702E-2</v>
      </c>
      <c r="I38" s="259"/>
      <c r="J38" s="17"/>
      <c r="K38" s="17"/>
      <c r="L38" s="17"/>
      <c r="M38" s="17"/>
      <c r="N38" s="17"/>
      <c r="O38" s="5"/>
      <c r="Q38" s="5"/>
      <c r="R38" s="5"/>
      <c r="S38" s="42"/>
      <c r="T38" s="42"/>
      <c r="U38" s="42"/>
      <c r="V38" s="42"/>
      <c r="W38" s="42"/>
      <c r="X38" s="42"/>
      <c r="Y38" s="42"/>
      <c r="Z38" s="42"/>
      <c r="AA38" s="42"/>
    </row>
    <row r="39" spans="2:27">
      <c r="B39" s="5" t="s">
        <v>181</v>
      </c>
      <c r="C39" s="247"/>
      <c r="D39" s="525">
        <f>D$18/D25</f>
        <v>8.2485307986898881</v>
      </c>
      <c r="E39" s="525">
        <f t="shared" si="7"/>
        <v>7.4884684234063688</v>
      </c>
      <c r="F39" s="525">
        <f t="shared" si="7"/>
        <v>6.8050974198840111</v>
      </c>
      <c r="G39" s="525">
        <f t="shared" si="7"/>
        <v>5.8058401869857876</v>
      </c>
      <c r="H39" s="17">
        <f t="shared" si="8"/>
        <v>1.5048879877651355E-2</v>
      </c>
      <c r="I39" s="17"/>
      <c r="J39" s="5"/>
      <c r="K39" s="5"/>
      <c r="L39" s="5"/>
      <c r="M39" s="5"/>
      <c r="N39" s="5"/>
      <c r="O39" s="5"/>
      <c r="Q39" s="5"/>
      <c r="R39" s="5"/>
      <c r="S39" s="42"/>
      <c r="T39" s="42"/>
      <c r="U39" s="42"/>
      <c r="V39" s="42"/>
      <c r="W39" s="42"/>
      <c r="X39" s="42"/>
      <c r="Y39" s="42"/>
      <c r="Z39" s="42"/>
      <c r="AA39" s="42"/>
    </row>
    <row r="40" spans="2:27">
      <c r="B40" s="5" t="s">
        <v>461</v>
      </c>
      <c r="C40" s="247"/>
      <c r="D40" s="525">
        <f>D$18/D26</f>
        <v>11.456292775958179</v>
      </c>
      <c r="E40" s="525">
        <f t="shared" si="7"/>
        <v>10.400650588064401</v>
      </c>
      <c r="F40" s="525">
        <f t="shared" si="7"/>
        <v>9.4515241942833494</v>
      </c>
      <c r="G40" s="525">
        <f t="shared" si="7"/>
        <v>8.0636669263691498</v>
      </c>
      <c r="H40" s="17">
        <f t="shared" si="8"/>
        <v>1.5048879877651355E-2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1.7169407455443186</v>
      </c>
      <c r="E41" s="525">
        <f t="shared" ref="E41:G41" si="9">E18/E27</f>
        <v>1.5835488276614913</v>
      </c>
      <c r="F41" s="525">
        <f t="shared" si="9"/>
        <v>1.4408563199772928</v>
      </c>
      <c r="G41" s="525">
        <f t="shared" si="9"/>
        <v>1.2851173495556365</v>
      </c>
      <c r="H41" s="17">
        <f t="shared" si="8"/>
        <v>-5.5400699397566422E-3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5.9075430404756339</v>
      </c>
      <c r="E42" s="525">
        <f t="shared" ref="E42:G42" si="10">E18/E28</f>
        <v>5.290860590620504</v>
      </c>
      <c r="F42" s="525">
        <f t="shared" si="10"/>
        <v>4.6611752563892797</v>
      </c>
      <c r="G42" s="525">
        <f t="shared" si="10"/>
        <v>4.0405270571756038</v>
      </c>
      <c r="H42" s="17">
        <f t="shared" si="8"/>
        <v>2.4800684779147764E-2</v>
      </c>
      <c r="I42" s="248"/>
      <c r="J42" s="5"/>
      <c r="K42" s="5"/>
      <c r="L42" s="5"/>
      <c r="M42" s="5"/>
      <c r="N42" s="5"/>
      <c r="O42" s="5"/>
      <c r="Q42" s="5"/>
      <c r="R42" s="5"/>
      <c r="S42" s="42"/>
      <c r="T42" s="42"/>
      <c r="U42" s="42"/>
      <c r="V42" s="42"/>
      <c r="W42" s="288"/>
      <c r="X42" s="288"/>
      <c r="Y42" s="288"/>
      <c r="Z42" s="288"/>
      <c r="AA42" s="42"/>
    </row>
    <row r="43" spans="2:27">
      <c r="B43" s="5" t="s">
        <v>470</v>
      </c>
      <c r="C43" s="247"/>
      <c r="D43" s="525">
        <f>L26/D29</f>
        <v>13.150719302083713</v>
      </c>
      <c r="E43" s="525">
        <f>M26/E29</f>
        <v>12.887600836678573</v>
      </c>
      <c r="F43" s="525">
        <f>N26/F29</f>
        <v>12.894896848852943</v>
      </c>
      <c r="G43" s="525">
        <f>O26/G29</f>
        <v>12.398532010342972</v>
      </c>
      <c r="H43" s="17">
        <f t="shared" si="8"/>
        <v>2.1512126981468205E-2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14.382937379843263</v>
      </c>
      <c r="E44" s="525">
        <f>E11/E30</f>
        <v>13.789274753204834</v>
      </c>
      <c r="F44" s="525">
        <f>F11/F30</f>
        <v>13.369262021151302</v>
      </c>
      <c r="G44" s="525">
        <f>G11/G30</f>
        <v>12.507822502954509</v>
      </c>
      <c r="H44" s="17">
        <f t="shared" si="8"/>
        <v>4.9395199877763529E-2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7.1022727272727279E-2</v>
      </c>
      <c r="E45" s="248">
        <f>E31/E11</f>
        <v>7.1022727272727265E-2</v>
      </c>
      <c r="F45" s="248">
        <f>F31/F11</f>
        <v>7.1022727272727265E-2</v>
      </c>
      <c r="G45" s="248">
        <f>G31/G11</f>
        <v>7.3863636363636367E-2</v>
      </c>
      <c r="H45" s="17">
        <f t="shared" si="8"/>
        <v>1.4833729194414724E-2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7.1948677802644884E-2</v>
      </c>
      <c r="E46" s="248">
        <f>(E31+E32)/E11</f>
        <v>7.1947210271022216E-2</v>
      </c>
      <c r="F46" s="248">
        <f>(F31+F32)/F11</f>
        <v>7.1945684910509913E-2</v>
      </c>
      <c r="G46" s="248">
        <f>(G31+G32)/G11</f>
        <v>7.4785011406966778E-2</v>
      </c>
      <c r="H46" s="279">
        <f>((G31+G32)/(D31+D32))^(1/3)-1</f>
        <v>1.4645567015539651E-2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7.6041467924994138E-2</v>
      </c>
      <c r="E47" s="248">
        <f>1/E43</f>
        <v>7.7593961255687266E-2</v>
      </c>
      <c r="F47" s="248">
        <f>1/F43</f>
        <v>7.7550058113799836E-2</v>
      </c>
      <c r="G47" s="248">
        <f>1/G43</f>
        <v>8.065470969997017E-2</v>
      </c>
      <c r="H47" s="17">
        <f>H29</f>
        <v>2.1512126981468205E-2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0.93399995043208206</v>
      </c>
      <c r="E48" s="305">
        <f>E31/E29</f>
        <v>0.91531255942319412</v>
      </c>
      <c r="F48" s="305">
        <f>F31/F29</f>
        <v>0.91583074210603277</v>
      </c>
      <c r="G48" s="305">
        <f>G31/G29</f>
        <v>0.91580065985487868</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221">
    <pageSetUpPr fitToPage="1"/>
  </sheetPr>
  <dimension ref="B1:AR165"/>
  <sheetViews>
    <sheetView showGridLines="0" zoomScale="80" zoomScaleNormal="80" workbookViewId="0"/>
  </sheetViews>
  <sheetFormatPr defaultColWidth="9.109375" defaultRowHeight="12"/>
  <cols>
    <col min="1" max="1" width="2.33203125" style="292" customWidth="1"/>
    <col min="2" max="2" width="26.5546875" style="292" customWidth="1"/>
    <col min="3" max="9" width="10" style="292" customWidth="1"/>
    <col min="10" max="10" width="26.6640625" style="292" customWidth="1"/>
    <col min="11" max="16" width="10" style="292" customWidth="1"/>
    <col min="17" max="19" width="8.6640625" style="292" customWidth="1"/>
    <col min="20" max="28" width="8.6640625" style="192" customWidth="1"/>
    <col min="29" max="44" width="9.109375" style="192"/>
    <col min="45" max="16384" width="9.109375" style="292"/>
  </cols>
  <sheetData>
    <row r="1" spans="2:44" s="313" customFormat="1">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row>
    <row r="2" spans="2:44" s="314" customFormat="1"/>
    <row r="3" spans="2:44" s="314" customFormat="1">
      <c r="H3" s="315"/>
      <c r="P3" s="315"/>
    </row>
    <row r="4" spans="2:44" s="317" customFormat="1" ht="21">
      <c r="B4" s="129" t="s">
        <v>970</v>
      </c>
      <c r="H4" s="318"/>
      <c r="P4" s="318"/>
    </row>
    <row r="5" spans="2:44" s="314" customFormat="1">
      <c r="C5" s="315"/>
      <c r="D5" s="153" t="str" cm="1">
        <f t="array" ref="D5:H5">headings</f>
        <v>2023E</v>
      </c>
      <c r="E5" s="153" t="str">
        <v>2024E</v>
      </c>
      <c r="F5" s="153" t="str">
        <v>2025E</v>
      </c>
      <c r="G5" s="153" t="str">
        <v>2026E</v>
      </c>
      <c r="H5" s="153" t="str">
        <v>23E-26E</v>
      </c>
      <c r="I5" s="315"/>
      <c r="J5" s="315"/>
      <c r="K5" s="315"/>
      <c r="L5" s="153" t="str" cm="1">
        <f t="array" ref="L5:P5">headings</f>
        <v>2023E</v>
      </c>
      <c r="M5" s="153" t="str">
        <v>2024E</v>
      </c>
      <c r="N5" s="153" t="str">
        <v>2025E</v>
      </c>
      <c r="O5" s="153" t="str">
        <v>2026E</v>
      </c>
      <c r="P5" s="153" t="str">
        <v>23E-26E</v>
      </c>
      <c r="Q5" s="316"/>
      <c r="R5" s="316"/>
      <c r="S5" s="316"/>
      <c r="T5" s="316"/>
      <c r="U5" s="316"/>
      <c r="V5" s="316"/>
      <c r="W5" s="316"/>
      <c r="X5" s="316"/>
      <c r="Y5" s="316"/>
    </row>
    <row r="6" spans="2:44">
      <c r="I6" s="192"/>
      <c r="J6" s="192"/>
      <c r="K6" s="192"/>
      <c r="L6" s="192"/>
      <c r="M6" s="192"/>
      <c r="N6" s="192"/>
      <c r="O6" s="293"/>
    </row>
    <row r="7" spans="2:44" ht="12.6" thickBot="1">
      <c r="B7" s="307" t="s">
        <v>266</v>
      </c>
      <c r="C7" s="294"/>
      <c r="D7" s="294" t="str">
        <f>D5</f>
        <v>2023E</v>
      </c>
      <c r="E7" s="294" t="str">
        <f t="shared" ref="E7:H7" si="0">E5</f>
        <v>2024E</v>
      </c>
      <c r="F7" s="294" t="str">
        <f t="shared" si="0"/>
        <v>2025E</v>
      </c>
      <c r="G7" s="294" t="str">
        <f t="shared" si="0"/>
        <v>2026E</v>
      </c>
      <c r="H7" s="294" t="str">
        <f t="shared" si="0"/>
        <v>23E-26E</v>
      </c>
      <c r="I7" s="293"/>
      <c r="J7" s="307" t="s">
        <v>74</v>
      </c>
      <c r="K7" s="307"/>
      <c r="L7" s="294" t="str">
        <f>L5</f>
        <v>2023E</v>
      </c>
      <c r="M7" s="294" t="str">
        <f t="shared" ref="M7:P7" si="1">M5</f>
        <v>2024E</v>
      </c>
      <c r="N7" s="294" t="str">
        <f t="shared" si="1"/>
        <v>2025E</v>
      </c>
      <c r="O7" s="294" t="str">
        <f t="shared" si="1"/>
        <v>2026E</v>
      </c>
      <c r="P7" s="294" t="str">
        <f t="shared" si="1"/>
        <v>23E-26E</v>
      </c>
    </row>
    <row r="8" spans="2:44" ht="12.6" thickTop="1">
      <c r="B8" s="192"/>
      <c r="C8" s="192"/>
      <c r="D8" s="192"/>
      <c r="E8" s="192"/>
      <c r="F8" s="192"/>
      <c r="G8" s="192"/>
      <c r="H8" s="192"/>
      <c r="I8" s="192"/>
      <c r="J8" s="192"/>
      <c r="K8" s="192"/>
      <c r="L8" s="192"/>
      <c r="M8" s="192"/>
      <c r="N8" s="192"/>
      <c r="S8" s="323"/>
      <c r="T8" s="194"/>
      <c r="U8" s="194"/>
      <c r="V8" s="194"/>
      <c r="W8" s="194"/>
      <c r="X8" s="194"/>
      <c r="Y8" s="194"/>
      <c r="Z8" s="194"/>
      <c r="AA8" s="194"/>
    </row>
    <row r="9" spans="2:44">
      <c r="B9" s="296" t="s">
        <v>879</v>
      </c>
      <c r="C9" s="267">
        <f>Prices!C69</f>
        <v>0.06</v>
      </c>
      <c r="D9" s="538">
        <v>207.14620300000001</v>
      </c>
      <c r="E9" s="532">
        <v>207.14620300000001</v>
      </c>
      <c r="F9" s="532">
        <v>207.14620300000001</v>
      </c>
      <c r="G9" s="532">
        <v>207.14620300000001</v>
      </c>
      <c r="H9" s="249"/>
      <c r="I9" s="249"/>
      <c r="J9" s="192" t="s">
        <v>268</v>
      </c>
      <c r="L9" s="525">
        <f>'AGG ASIA INCUMB'!D37</f>
        <v>1.2719441813172812</v>
      </c>
      <c r="M9" s="525">
        <f>'AGG ASIA INCUMB'!E37</f>
        <v>1.2095974060822232</v>
      </c>
      <c r="N9" s="525">
        <f>'AGG ASIA INCUMB'!F37</f>
        <v>1.0996822317000925</v>
      </c>
      <c r="O9" s="525">
        <f>'AGG ASIA INCUMB'!G37</f>
        <v>0.99635076165065495</v>
      </c>
      <c r="P9" s="286">
        <v>2.7626267912032043E-2</v>
      </c>
      <c r="S9" s="323"/>
      <c r="T9" s="194"/>
      <c r="U9" s="194"/>
      <c r="V9" s="194"/>
      <c r="W9" s="194"/>
      <c r="X9" s="194"/>
      <c r="Y9" s="194"/>
      <c r="Z9" s="194"/>
      <c r="AA9" s="194"/>
    </row>
    <row r="10" spans="2:44">
      <c r="B10" s="192" t="s">
        <v>269</v>
      </c>
      <c r="C10" s="192"/>
      <c r="D10" s="527">
        <v>207.14620300000001</v>
      </c>
      <c r="E10" s="527">
        <v>207.14620300000001</v>
      </c>
      <c r="F10" s="527">
        <v>207.14620300000001</v>
      </c>
      <c r="G10" s="527">
        <v>207.14620300000001</v>
      </c>
      <c r="H10" s="247"/>
      <c r="I10" s="247"/>
      <c r="J10" s="192" t="s">
        <v>180</v>
      </c>
      <c r="L10" s="525">
        <f>'AGG ASIA INCUMB'!D38</f>
        <v>4.6234760036627636</v>
      </c>
      <c r="M10" s="525">
        <f>'AGG ASIA INCUMB'!E38</f>
        <v>4.4228353660546906</v>
      </c>
      <c r="N10" s="525">
        <f>'AGG ASIA INCUMB'!F38</f>
        <v>3.9347110260162674</v>
      </c>
      <c r="O10" s="525">
        <f>'AGG ASIA INCUMB'!G38</f>
        <v>3.5504425976257274</v>
      </c>
      <c r="P10" s="286">
        <v>5.6786671664065258E-2</v>
      </c>
      <c r="S10" s="323"/>
      <c r="T10" s="194"/>
      <c r="U10" s="194"/>
      <c r="V10" s="194"/>
      <c r="W10" s="328"/>
      <c r="X10" s="328"/>
      <c r="Y10" s="328"/>
      <c r="Z10" s="328"/>
      <c r="AA10" s="194"/>
    </row>
    <row r="11" spans="2:44">
      <c r="B11" s="296" t="s">
        <v>880</v>
      </c>
      <c r="C11" s="192"/>
      <c r="D11" s="528">
        <f>D10*C9</f>
        <v>12.428772180000001</v>
      </c>
      <c r="E11" s="528">
        <f>E10*$C$9</f>
        <v>12.428772180000001</v>
      </c>
      <c r="F11" s="528">
        <f>F10*$C$9</f>
        <v>12.428772180000001</v>
      </c>
      <c r="G11" s="528">
        <f>G10*$C$9</f>
        <v>12.428772180000001</v>
      </c>
      <c r="H11" s="249"/>
      <c r="I11" s="249"/>
      <c r="J11" s="192" t="s">
        <v>181</v>
      </c>
      <c r="L11" s="525">
        <f>'AGG ASIA INCUMB'!D39</f>
        <v>11.794671519746432</v>
      </c>
      <c r="M11" s="525">
        <f>'AGG ASIA INCUMB'!E39</f>
        <v>10.669369371390847</v>
      </c>
      <c r="N11" s="525">
        <f>'AGG ASIA INCUMB'!F39</f>
        <v>8.6767991012662229</v>
      </c>
      <c r="O11" s="525">
        <f>'AGG ASIA INCUMB'!G39</f>
        <v>7.5891310442771198</v>
      </c>
      <c r="P11" s="286">
        <v>0.15456874877070614</v>
      </c>
      <c r="S11" s="323"/>
      <c r="T11" s="194"/>
      <c r="U11" s="194"/>
      <c r="V11" s="194"/>
      <c r="W11" s="328"/>
      <c r="X11" s="328"/>
      <c r="Y11" s="328"/>
      <c r="Z11" s="328"/>
      <c r="AA11" s="194"/>
    </row>
    <row r="12" spans="2:44">
      <c r="B12" s="192" t="s">
        <v>24</v>
      </c>
      <c r="C12" s="249"/>
      <c r="D12" s="529">
        <v>-4.1195925540018061</v>
      </c>
      <c r="E12" s="529">
        <v>-7.1570206507624325</v>
      </c>
      <c r="F12" s="529">
        <v>-10.920459088203362</v>
      </c>
      <c r="G12" s="529">
        <v>-14.977079369424004</v>
      </c>
      <c r="H12" s="247"/>
      <c r="I12" s="247"/>
      <c r="J12" s="192" t="s">
        <v>461</v>
      </c>
      <c r="L12" s="525">
        <f>'AGG ASIA INCUMB'!D40</f>
        <v>15.854102984572272</v>
      </c>
      <c r="M12" s="525">
        <f>'AGG ASIA INCUMB'!E40</f>
        <v>14.308248533194654</v>
      </c>
      <c r="N12" s="525">
        <f>'AGG ASIA INCUMB'!F40</f>
        <v>11.663579867439855</v>
      </c>
      <c r="O12" s="525">
        <f>'AGG ASIA INCUMB'!G40</f>
        <v>10.196208292202796</v>
      </c>
      <c r="P12" s="286">
        <v>0.16692677660857735</v>
      </c>
      <c r="S12" s="323"/>
      <c r="T12" s="194"/>
      <c r="U12" s="194"/>
      <c r="V12" s="194"/>
      <c r="W12" s="328"/>
      <c r="X12" s="328"/>
      <c r="Y12" s="328"/>
      <c r="Z12" s="328"/>
      <c r="AA12" s="194"/>
    </row>
    <row r="13" spans="2:44">
      <c r="B13" s="192" t="s">
        <v>524</v>
      </c>
      <c r="C13" s="257"/>
      <c r="D13" s="529">
        <v>0</v>
      </c>
      <c r="E13" s="529">
        <v>0</v>
      </c>
      <c r="F13" s="529">
        <v>0</v>
      </c>
      <c r="G13" s="529">
        <v>0</v>
      </c>
      <c r="H13" s="247"/>
      <c r="I13" s="247"/>
      <c r="J13" s="192" t="s">
        <v>525</v>
      </c>
      <c r="L13" s="525">
        <f>'AGG ASIA INCUMB'!D41</f>
        <v>1.1460518303805354</v>
      </c>
      <c r="M13" s="525">
        <f>'AGG ASIA INCUMB'!E41</f>
        <v>1.0866662606716921</v>
      </c>
      <c r="N13" s="525">
        <f>'AGG ASIA INCUMB'!F41</f>
        <v>0.99834975778923052</v>
      </c>
      <c r="O13" s="525">
        <f>'AGG ASIA INCUMB'!G41</f>
        <v>0.90898439887584492</v>
      </c>
      <c r="P13" s="286">
        <v>3.0131028803586535E-2</v>
      </c>
      <c r="S13" s="323"/>
      <c r="T13" s="194"/>
      <c r="U13" s="194"/>
      <c r="V13" s="194"/>
      <c r="W13" s="194"/>
      <c r="X13" s="194"/>
      <c r="Y13" s="194"/>
      <c r="Z13" s="194"/>
      <c r="AA13" s="194"/>
    </row>
    <row r="14" spans="2:44">
      <c r="B14" s="192" t="s">
        <v>527</v>
      </c>
      <c r="C14" s="257"/>
      <c r="D14" s="529"/>
      <c r="E14" s="529"/>
      <c r="F14" s="529"/>
      <c r="G14" s="529"/>
      <c r="H14" s="247"/>
      <c r="I14" s="247"/>
      <c r="J14" s="192" t="s">
        <v>588</v>
      </c>
      <c r="L14" s="525">
        <f>'AGG ASIA INCUMB'!D42</f>
        <v>1.5276634915643974</v>
      </c>
      <c r="M14" s="525">
        <f>'AGG ASIA INCUMB'!E42</f>
        <v>1.4907282921032592</v>
      </c>
      <c r="N14" s="525">
        <f>'AGG ASIA INCUMB'!F42</f>
        <v>1.4247632256720226</v>
      </c>
      <c r="O14" s="525">
        <f>'AGG ASIA INCUMB'!G42</f>
        <v>1.3972444432688993</v>
      </c>
      <c r="P14" s="286">
        <v>1.7476314443021224E-2</v>
      </c>
      <c r="S14" s="323"/>
      <c r="T14" s="194"/>
      <c r="U14" s="194"/>
      <c r="V14" s="194"/>
      <c r="W14" s="194"/>
      <c r="X14" s="194"/>
      <c r="Y14" s="194"/>
      <c r="Z14" s="194"/>
      <c r="AA14" s="194"/>
    </row>
    <row r="15" spans="2:44">
      <c r="B15" s="192" t="s">
        <v>526</v>
      </c>
      <c r="C15" s="274"/>
      <c r="D15" s="529"/>
      <c r="E15" s="529"/>
      <c r="F15" s="529"/>
      <c r="G15" s="529"/>
      <c r="H15" s="247"/>
      <c r="I15" s="247"/>
      <c r="J15" s="192" t="s">
        <v>470</v>
      </c>
      <c r="L15" s="525">
        <f>'AGG ASIA INCUMB'!D43</f>
        <v>15.273312397129398</v>
      </c>
      <c r="M15" s="525">
        <f>'AGG ASIA INCUMB'!E43</f>
        <v>13.757505713732883</v>
      </c>
      <c r="N15" s="525">
        <f>'AGG ASIA INCUMB'!F43</f>
        <v>11.624732006664775</v>
      </c>
      <c r="O15" s="525">
        <f>'AGG ASIA INCUMB'!G43</f>
        <v>10.50556297379473</v>
      </c>
      <c r="P15" s="286">
        <v>0.32412765555889766</v>
      </c>
      <c r="S15" s="323"/>
      <c r="T15" s="194"/>
      <c r="U15" s="194"/>
      <c r="V15" s="194"/>
      <c r="W15" s="194"/>
      <c r="X15" s="194"/>
      <c r="Y15" s="194"/>
      <c r="Z15" s="194"/>
      <c r="AA15" s="194"/>
    </row>
    <row r="16" spans="2:44">
      <c r="B16" s="192" t="s">
        <v>529</v>
      </c>
      <c r="C16" s="257"/>
      <c r="D16" s="529">
        <v>3.1071930450000003</v>
      </c>
      <c r="E16" s="529">
        <v>5.5929474810000004</v>
      </c>
      <c r="F16" s="529">
        <v>8.4929943230000013</v>
      </c>
      <c r="G16" s="529">
        <v>11.807333571000001</v>
      </c>
      <c r="H16" s="247"/>
      <c r="I16" s="247"/>
      <c r="J16" s="192" t="s">
        <v>528</v>
      </c>
      <c r="L16" s="525">
        <f>'AGG ASIA INCUMB'!D44</f>
        <v>13.678025117962957</v>
      </c>
      <c r="M16" s="525">
        <f>'AGG ASIA INCUMB'!E44</f>
        <v>12.517033973894927</v>
      </c>
      <c r="N16" s="525">
        <f>'AGG ASIA INCUMB'!F44</f>
        <v>11.122029574192924</v>
      </c>
      <c r="O16" s="525">
        <f>'AGG ASIA INCUMB'!G44</f>
        <v>10.11878172223563</v>
      </c>
      <c r="P16" s="286">
        <v>0.12741577924656111</v>
      </c>
      <c r="S16" s="323"/>
      <c r="T16" s="194"/>
      <c r="U16" s="194"/>
      <c r="V16" s="194"/>
      <c r="W16" s="194"/>
      <c r="X16" s="194"/>
      <c r="Y16" s="194"/>
      <c r="Z16" s="194"/>
      <c r="AA16" s="194"/>
    </row>
    <row r="17" spans="2:27">
      <c r="B17" s="192" t="s">
        <v>6</v>
      </c>
      <c r="C17" s="257"/>
      <c r="D17" s="529">
        <v>0</v>
      </c>
      <c r="E17" s="529">
        <v>0</v>
      </c>
      <c r="F17" s="529">
        <v>0</v>
      </c>
      <c r="G17" s="529">
        <v>0</v>
      </c>
      <c r="H17" s="247"/>
      <c r="I17" s="247"/>
      <c r="J17" s="192" t="s">
        <v>575</v>
      </c>
      <c r="L17" s="525">
        <f>'AGG ASIA INCUMB'!D45</f>
        <v>4.5509267152536094E-2</v>
      </c>
      <c r="M17" s="525">
        <f>'AGG ASIA INCUMB'!E45</f>
        <v>5.1800129870851246E-2</v>
      </c>
      <c r="N17" s="525">
        <f>'AGG ASIA INCUMB'!F45</f>
        <v>5.7884939069478336E-2</v>
      </c>
      <c r="O17" s="525">
        <f>'AGG ASIA INCUMB'!G45</f>
        <v>6.5680371296715834E-2</v>
      </c>
      <c r="P17" s="286">
        <v>7.1463271864339761E-2</v>
      </c>
      <c r="S17" s="323"/>
      <c r="T17" s="194"/>
      <c r="U17" s="194"/>
      <c r="V17" s="194"/>
      <c r="W17" s="194"/>
      <c r="X17" s="194"/>
      <c r="Y17" s="194"/>
      <c r="Z17" s="194"/>
      <c r="AA17" s="194"/>
    </row>
    <row r="18" spans="2:27" ht="12.6" thickBot="1">
      <c r="B18" s="296" t="s">
        <v>578</v>
      </c>
      <c r="C18" s="249"/>
      <c r="D18" s="530">
        <f>D11+D12+D13-D14+D15-D16-D17</f>
        <v>5.2019865809981933</v>
      </c>
      <c r="E18" s="530">
        <f>E11+E12+E13-E14+E15-E16-E17</f>
        <v>-0.32119595176243187</v>
      </c>
      <c r="F18" s="530">
        <f>F11+F12+F13-F14+F15-F16-F17</f>
        <v>-6.9846812312033624</v>
      </c>
      <c r="G18" s="530">
        <f>G11+G12+G13-G14+G15-G16-G17</f>
        <v>-14.355640760424004</v>
      </c>
      <c r="H18" s="276">
        <f>IF(D18=0,"nm",IF(G18=0,"nm",(G18/D18)^(1/3)-1))</f>
        <v>-2.4026558201577113</v>
      </c>
      <c r="I18" s="254"/>
      <c r="J18" s="192" t="s">
        <v>36</v>
      </c>
      <c r="L18" s="525">
        <f>'AGG ASIA INCUMB'!D46</f>
        <v>4.5540516507029512E-2</v>
      </c>
      <c r="M18" s="525">
        <f>'AGG ASIA INCUMB'!E46</f>
        <v>5.1831531492466568E-2</v>
      </c>
      <c r="N18" s="525">
        <f>'AGG ASIA INCUMB'!F46</f>
        <v>5.8199730113416448E-2</v>
      </c>
      <c r="O18" s="525">
        <f>'AGG ASIA INCUMB'!G46</f>
        <v>6.6192895380097247E-2</v>
      </c>
      <c r="P18" s="286">
        <v>6.7570981783111828E-2</v>
      </c>
      <c r="S18" s="323"/>
      <c r="T18" s="194"/>
      <c r="U18" s="194"/>
      <c r="V18" s="194"/>
      <c r="W18" s="194"/>
      <c r="X18" s="194"/>
      <c r="Y18" s="194"/>
      <c r="Z18" s="194"/>
      <c r="AA18" s="194"/>
    </row>
    <row r="19" spans="2:27" ht="12.6" thickTop="1">
      <c r="B19" s="296"/>
      <c r="C19" s="249"/>
      <c r="D19" s="229"/>
      <c r="E19" s="229"/>
      <c r="F19" s="229"/>
      <c r="G19" s="229"/>
      <c r="H19" s="276"/>
      <c r="I19" s="254"/>
      <c r="J19" s="192" t="s">
        <v>576</v>
      </c>
      <c r="L19" s="525">
        <f>'AGG ASIA INCUMB'!D47</f>
        <v>6.5473682067024891E-2</v>
      </c>
      <c r="M19" s="525">
        <f>'AGG ASIA INCUMB'!E47</f>
        <v>7.2687594743412673E-2</v>
      </c>
      <c r="N19" s="525">
        <f>'AGG ASIA INCUMB'!F47</f>
        <v>8.6023488492179667E-2</v>
      </c>
      <c r="O19" s="525">
        <f>'AGG ASIA INCUMB'!G47</f>
        <v>9.5187664144645884E-2</v>
      </c>
      <c r="P19" s="286">
        <v>0.32412765555889766</v>
      </c>
      <c r="S19" s="323"/>
      <c r="T19" s="194"/>
      <c r="U19" s="194"/>
      <c r="V19" s="194"/>
      <c r="W19" s="194"/>
      <c r="X19" s="194"/>
      <c r="Y19" s="194"/>
      <c r="Z19" s="194"/>
      <c r="AA19" s="194"/>
    </row>
    <row r="20" spans="2:27">
      <c r="H20" s="277"/>
      <c r="I20" s="17"/>
      <c r="J20" s="192" t="s">
        <v>599</v>
      </c>
      <c r="L20" s="525">
        <f>'AGG ASIA INCUMB'!D48</f>
        <v>0.59351892336330403</v>
      </c>
      <c r="M20" s="525">
        <f>'AGG ASIA INCUMB'!E48</f>
        <v>0.60592876311616806</v>
      </c>
      <c r="N20" s="525">
        <f>'AGG ASIA INCUMB'!F48</f>
        <v>0.57735687268970703</v>
      </c>
      <c r="O20" s="525">
        <f>'AGG ASIA INCUMB'!G48</f>
        <v>0.59846585949408893</v>
      </c>
      <c r="P20" s="286" t="s">
        <v>602</v>
      </c>
      <c r="S20" s="323"/>
      <c r="T20" s="194"/>
      <c r="U20" s="194"/>
      <c r="V20" s="194"/>
      <c r="W20" s="194"/>
      <c r="X20" s="194"/>
      <c r="Y20" s="194"/>
      <c r="Z20" s="194"/>
      <c r="AA20" s="194"/>
    </row>
    <row r="21" spans="2:27" ht="12.6" thickBot="1">
      <c r="B21" s="307" t="s">
        <v>947</v>
      </c>
      <c r="C21" s="294"/>
      <c r="D21" s="294" t="str">
        <f>D5</f>
        <v>2023E</v>
      </c>
      <c r="E21" s="294" t="str">
        <f t="shared" ref="E21:H21" si="2">E5</f>
        <v>2024E</v>
      </c>
      <c r="F21" s="294" t="str">
        <f t="shared" si="2"/>
        <v>2025E</v>
      </c>
      <c r="G21" s="294" t="str">
        <f t="shared" si="2"/>
        <v>2026E</v>
      </c>
      <c r="H21" s="294" t="str">
        <f t="shared" si="2"/>
        <v>23E-26E</v>
      </c>
      <c r="I21" s="293"/>
      <c r="J21" s="296"/>
      <c r="L21" s="250"/>
      <c r="M21" s="250"/>
      <c r="N21" s="250"/>
      <c r="O21" s="250"/>
      <c r="P21" s="286"/>
      <c r="S21" s="323"/>
      <c r="T21" s="194"/>
      <c r="U21" s="194"/>
      <c r="V21" s="194"/>
      <c r="W21" s="194"/>
      <c r="X21" s="194"/>
      <c r="Y21" s="194"/>
      <c r="Z21" s="194"/>
      <c r="AA21" s="194"/>
    </row>
    <row r="22" spans="2:27" ht="12.6" thickTop="1">
      <c r="B22" s="192"/>
      <c r="C22" s="257"/>
      <c r="D22" s="17"/>
      <c r="E22" s="17"/>
      <c r="F22" s="17"/>
      <c r="G22" s="17"/>
      <c r="H22" s="17"/>
      <c r="I22" s="17"/>
      <c r="P22" s="277"/>
      <c r="S22" s="323"/>
      <c r="T22" s="194"/>
      <c r="U22" s="194"/>
      <c r="V22" s="194"/>
      <c r="W22" s="194"/>
      <c r="X22" s="194"/>
      <c r="Y22" s="194"/>
      <c r="Z22" s="194"/>
      <c r="AA22" s="194"/>
    </row>
    <row r="23" spans="2:27" ht="12.6" thickBot="1">
      <c r="B23" s="192" t="s">
        <v>579</v>
      </c>
      <c r="C23" s="544">
        <v>19.339360425000006</v>
      </c>
      <c r="D23" s="536">
        <v>21.721969629360007</v>
      </c>
      <c r="E23" s="536">
        <v>24.055995266034742</v>
      </c>
      <c r="F23" s="536">
        <v>26.016558880216579</v>
      </c>
      <c r="G23" s="536">
        <v>27.600967316021762</v>
      </c>
      <c r="H23" s="279">
        <f>IF(D23=0,"nm",IF(G23=0,"nm",(G23/D23)^(1/3)-1))</f>
        <v>8.3116155100894984E-2</v>
      </c>
      <c r="I23" s="247"/>
      <c r="J23" s="307" t="s">
        <v>9</v>
      </c>
      <c r="K23" s="307"/>
      <c r="L23" s="294" t="str">
        <f>D21</f>
        <v>2023E</v>
      </c>
      <c r="M23" s="294" t="str">
        <f t="shared" ref="M23:P23" si="3">E21</f>
        <v>2024E</v>
      </c>
      <c r="N23" s="294" t="str">
        <f t="shared" si="3"/>
        <v>2025E</v>
      </c>
      <c r="O23" s="294" t="str">
        <f t="shared" si="3"/>
        <v>2026E</v>
      </c>
      <c r="P23" s="294" t="str">
        <f t="shared" si="3"/>
        <v>23E-26E</v>
      </c>
      <c r="S23" s="323"/>
      <c r="T23" s="194"/>
      <c r="U23" s="194"/>
      <c r="V23" s="194"/>
      <c r="W23" s="194"/>
      <c r="X23" s="194"/>
      <c r="Y23" s="194"/>
      <c r="Z23" s="194"/>
      <c r="AA23" s="194"/>
    </row>
    <row r="24" spans="2:27" ht="12.6" thickTop="1">
      <c r="B24" s="192" t="s">
        <v>478</v>
      </c>
      <c r="C24" s="545">
        <v>4.8788129708346109</v>
      </c>
      <c r="D24" s="536">
        <v>5.904517771908683</v>
      </c>
      <c r="E24" s="536">
        <v>7.5407019663703174</v>
      </c>
      <c r="F24" s="536">
        <v>8.7615752373841342</v>
      </c>
      <c r="G24" s="536">
        <v>9.5615150059995404</v>
      </c>
      <c r="H24" s="279">
        <f>IF(D24=0,"nm",IF(G24=0,"nm",(G24/D24)^(1/3)-1))</f>
        <v>0.17430459145349086</v>
      </c>
      <c r="I24" s="249"/>
      <c r="J24" s="17"/>
      <c r="K24" s="17"/>
      <c r="L24" s="17"/>
      <c r="M24" s="17"/>
      <c r="N24" s="17"/>
      <c r="O24" s="248"/>
      <c r="S24" s="323"/>
      <c r="T24" s="194"/>
      <c r="U24" s="194"/>
      <c r="V24" s="194"/>
      <c r="W24" s="194" t="s">
        <v>301</v>
      </c>
      <c r="X24" s="194" t="s">
        <v>254</v>
      </c>
      <c r="Y24" s="194"/>
      <c r="Z24" s="194"/>
      <c r="AA24" s="194"/>
    </row>
    <row r="25" spans="2:27">
      <c r="B25" s="192" t="s">
        <v>179</v>
      </c>
      <c r="C25" s="544">
        <v>2.5580897198346104</v>
      </c>
      <c r="D25" s="536">
        <v>4.9727205756150825</v>
      </c>
      <c r="E25" s="536">
        <v>6.9149847412099703</v>
      </c>
      <c r="F25" s="536">
        <v>8.2637125889819689</v>
      </c>
      <c r="G25" s="536">
        <v>9.045777944188572</v>
      </c>
      <c r="H25" s="279">
        <f>IF(D25=0,"nm",IF(G25=0,"nm",(G25/D25)^(1/3)-1))</f>
        <v>0.22072345370118418</v>
      </c>
      <c r="I25" s="248"/>
      <c r="J25" s="247" t="s">
        <v>10</v>
      </c>
      <c r="K25" s="247"/>
      <c r="L25" s="321">
        <v>0</v>
      </c>
      <c r="M25" s="321">
        <v>0</v>
      </c>
      <c r="N25" s="321">
        <v>0</v>
      </c>
      <c r="O25" s="321">
        <v>0</v>
      </c>
      <c r="P25" s="279" t="str">
        <f>IF(L25=0,"nm",IF(O25=0,"nm",(O25/L25)^(1/3)-1))</f>
        <v>nm</v>
      </c>
      <c r="S25" s="323"/>
      <c r="T25" s="194"/>
      <c r="U25" s="194"/>
      <c r="V25" s="329" t="s">
        <v>268</v>
      </c>
      <c r="W25" s="328">
        <f t="shared" ref="W25:W33" si="4">D37/L9</f>
        <v>0.18827903880267674</v>
      </c>
      <c r="X25" s="328">
        <v>1</v>
      </c>
      <c r="Y25" s="194"/>
      <c r="Z25" s="194"/>
      <c r="AA25" s="194"/>
    </row>
    <row r="26" spans="2:27">
      <c r="B26" s="192" t="s">
        <v>581</v>
      </c>
      <c r="C26" s="544">
        <v>1.7906628038842272</v>
      </c>
      <c r="D26" s="536">
        <v>3.4809044029305576</v>
      </c>
      <c r="E26" s="536">
        <v>4.8404893188469789</v>
      </c>
      <c r="F26" s="536">
        <v>5.7845988122873777</v>
      </c>
      <c r="G26" s="536">
        <v>6.3320445609320002</v>
      </c>
      <c r="H26" s="279">
        <f>IF(D26=0,"nm",IF(G26=0,"nm",(G26/D26)^(1/3)-1))</f>
        <v>0.22072345370118418</v>
      </c>
      <c r="I26" s="249"/>
      <c r="J26" s="249" t="s">
        <v>11</v>
      </c>
      <c r="K26" s="249"/>
      <c r="L26" s="281">
        <f>D11+L25</f>
        <v>12.428772180000001</v>
      </c>
      <c r="M26" s="281">
        <f>E11+M25</f>
        <v>12.428772180000001</v>
      </c>
      <c r="N26" s="281">
        <f>F11+N25</f>
        <v>12.428772180000001</v>
      </c>
      <c r="O26" s="281">
        <f>G11+O25</f>
        <v>12.428772180000001</v>
      </c>
      <c r="P26" s="279">
        <f>IF(L26=0,"nm",IF(O26=0,"nm",(O26/L26)^(1/3)-1))</f>
        <v>0</v>
      </c>
      <c r="Q26" s="192"/>
      <c r="S26" s="323"/>
      <c r="T26" s="194"/>
      <c r="U26" s="194"/>
      <c r="V26" s="329" t="s">
        <v>180</v>
      </c>
      <c r="W26" s="328">
        <f t="shared" si="4"/>
        <v>0.19055317329593097</v>
      </c>
      <c r="X26" s="328">
        <v>1</v>
      </c>
      <c r="Y26" s="194"/>
      <c r="Z26" s="194"/>
      <c r="AA26" s="194"/>
    </row>
    <row r="27" spans="2:27">
      <c r="B27" s="192" t="s">
        <v>582</v>
      </c>
      <c r="C27" s="545">
        <v>11.903380926385131</v>
      </c>
      <c r="D27" s="536">
        <v>11.668792192109972</v>
      </c>
      <c r="E27" s="536">
        <v>11.321430773969674</v>
      </c>
      <c r="F27" s="536">
        <v>10.923661783805425</v>
      </c>
      <c r="G27" s="536">
        <v>10.62235615982452</v>
      </c>
      <c r="H27" s="279">
        <f>IF(ISERROR((G27/D27)^(1/3)-1),"na",(G27/D27)^(1/3)-1)</f>
        <v>-3.083367012509497E-2</v>
      </c>
      <c r="I27" s="249"/>
      <c r="J27" s="248"/>
      <c r="K27" s="248"/>
      <c r="L27" s="248"/>
      <c r="M27" s="248"/>
      <c r="N27" s="248"/>
      <c r="O27" s="248"/>
      <c r="Q27" s="296"/>
      <c r="S27" s="323"/>
      <c r="T27" s="194"/>
      <c r="U27" s="194"/>
      <c r="V27" s="329" t="s">
        <v>181</v>
      </c>
      <c r="W27" s="328">
        <f t="shared" si="4"/>
        <v>8.8692995095005098E-2</v>
      </c>
      <c r="X27" s="328">
        <v>1</v>
      </c>
      <c r="Y27" s="194"/>
      <c r="Z27" s="194"/>
      <c r="AA27" s="194"/>
    </row>
    <row r="28" spans="2:27" ht="12.6" thickBot="1">
      <c r="B28" s="192" t="s">
        <v>587</v>
      </c>
      <c r="C28" s="544">
        <v>6.4504828144516022</v>
      </c>
      <c r="D28" s="536">
        <v>6.0921834478548824</v>
      </c>
      <c r="E28" s="536">
        <v>5.4994639834442527</v>
      </c>
      <c r="F28" s="536">
        <v>4.8974338351575684</v>
      </c>
      <c r="G28" s="536">
        <v>4.4336841299370224</v>
      </c>
      <c r="H28" s="279">
        <f>IF(ISERROR((G28/D28)^(1/3)-1),"na",(G28/D28)^(1/3)-1)</f>
        <v>-0.1005080955335439</v>
      </c>
      <c r="I28" s="248"/>
      <c r="J28" s="307" t="s">
        <v>1352</v>
      </c>
      <c r="K28" s="307"/>
      <c r="L28" s="307"/>
      <c r="M28" s="307"/>
      <c r="N28" s="295"/>
      <c r="O28" s="295"/>
      <c r="P28" s="295"/>
      <c r="Q28" s="192"/>
      <c r="S28" s="323"/>
      <c r="T28" s="194"/>
      <c r="U28" s="194"/>
      <c r="V28" s="329" t="s">
        <v>461</v>
      </c>
      <c r="W28" s="328">
        <f t="shared" si="4"/>
        <v>9.4261740885087125E-2</v>
      </c>
      <c r="X28" s="328">
        <v>1</v>
      </c>
      <c r="Y28" s="194"/>
      <c r="Z28" s="194"/>
      <c r="AA28" s="194"/>
    </row>
    <row r="29" spans="2:27" ht="12.6" thickTop="1">
      <c r="B29" s="192" t="s">
        <v>583</v>
      </c>
      <c r="C29" s="544">
        <v>1.6287931729881056</v>
      </c>
      <c r="D29" s="536">
        <v>3.8448026103045421</v>
      </c>
      <c r="E29" s="536">
        <v>5.280976438462357</v>
      </c>
      <c r="F29" s="536">
        <v>6.4256320980545745</v>
      </c>
      <c r="G29" s="536">
        <v>7.13756936741669</v>
      </c>
      <c r="H29" s="279">
        <f>IF(D29=0,"nm",IF(G29=0,"nm",(G29/D29)^(1/3)-1))</f>
        <v>0.22901947447559179</v>
      </c>
      <c r="I29" s="297"/>
      <c r="J29" s="249"/>
      <c r="K29" s="249"/>
      <c r="L29" s="249"/>
      <c r="M29" s="249"/>
      <c r="N29" s="249"/>
      <c r="O29" s="251"/>
      <c r="Q29" s="192"/>
      <c r="S29" s="323"/>
      <c r="T29" s="194"/>
      <c r="U29" s="194"/>
      <c r="V29" s="329" t="s">
        <v>525</v>
      </c>
      <c r="W29" s="328">
        <f t="shared" si="4"/>
        <v>0.38899056071890242</v>
      </c>
      <c r="X29" s="328">
        <v>1</v>
      </c>
      <c r="Y29" s="194"/>
      <c r="Z29" s="194"/>
      <c r="AA29" s="194"/>
    </row>
    <row r="30" spans="2:27">
      <c r="B30" s="192" t="s">
        <v>584</v>
      </c>
      <c r="C30" s="545">
        <v>2.8321443382837717</v>
      </c>
      <c r="D30" s="536">
        <v>3.4423730869987583</v>
      </c>
      <c r="E30" s="536">
        <v>4.7615287086203288</v>
      </c>
      <c r="F30" s="536">
        <v>5.8514238832766798</v>
      </c>
      <c r="G30" s="536">
        <v>6.6553614992397385</v>
      </c>
      <c r="H30" s="279">
        <f>IF(D30=0,"nm",IF(G30=0,"nm",(G30/D30)^(1/3)-1))</f>
        <v>0.24577010297953872</v>
      </c>
      <c r="I30" s="254"/>
      <c r="J30" s="248"/>
      <c r="K30" s="248"/>
      <c r="L30" s="248"/>
      <c r="M30" s="248"/>
      <c r="N30" s="248"/>
      <c r="O30" s="192"/>
      <c r="Q30" s="192"/>
      <c r="S30" s="323"/>
      <c r="T30" s="194"/>
      <c r="U30" s="194"/>
      <c r="V30" s="329" t="s">
        <v>588</v>
      </c>
      <c r="W30" s="328">
        <f t="shared" si="4"/>
        <v>0.55894433046268943</v>
      </c>
      <c r="X30" s="328">
        <v>1</v>
      </c>
      <c r="Y30" s="194"/>
      <c r="Z30" s="194"/>
      <c r="AA30" s="194"/>
    </row>
    <row r="31" spans="2:27">
      <c r="B31" s="192" t="s">
        <v>585</v>
      </c>
      <c r="C31" s="545">
        <v>1.0357310150000001</v>
      </c>
      <c r="D31" s="536">
        <v>2.0714620300000002</v>
      </c>
      <c r="E31" s="536">
        <v>2.4857544360000001</v>
      </c>
      <c r="F31" s="536">
        <v>2.9000468420000001</v>
      </c>
      <c r="G31" s="536">
        <v>3.314339248</v>
      </c>
      <c r="H31" s="279">
        <f>IF(D31=0,"nm",IF(G31=0,"nm",(G31/D31)^(1/3)-1))</f>
        <v>0.1696070952851465</v>
      </c>
      <c r="I31" s="254"/>
      <c r="J31" s="297"/>
      <c r="K31" s="297"/>
      <c r="L31" s="297"/>
      <c r="M31" s="297"/>
      <c r="N31" s="297"/>
      <c r="O31" s="192"/>
      <c r="Q31" s="192"/>
      <c r="S31" s="323"/>
      <c r="T31" s="194"/>
      <c r="U31" s="194"/>
      <c r="V31" s="329" t="s">
        <v>470</v>
      </c>
      <c r="W31" s="328">
        <f t="shared" si="4"/>
        <v>0.21165130194612178</v>
      </c>
      <c r="X31" s="328">
        <v>1</v>
      </c>
      <c r="Y31" s="194"/>
      <c r="Z31" s="194"/>
      <c r="AA31" s="194"/>
    </row>
    <row r="32" spans="2:27">
      <c r="B32" s="192" t="s">
        <v>601</v>
      </c>
      <c r="C32" s="547">
        <v>0</v>
      </c>
      <c r="D32" s="536">
        <v>0</v>
      </c>
      <c r="E32" s="536">
        <v>0</v>
      </c>
      <c r="F32" s="536">
        <v>0</v>
      </c>
      <c r="G32" s="536">
        <v>0</v>
      </c>
      <c r="H32" s="279" t="str">
        <f>IF(D32=0,"nm",IF(G32=0,"nm",(G32/D32)^(1/3)-1))</f>
        <v>nm</v>
      </c>
      <c r="I32" s="254"/>
      <c r="J32" s="254"/>
      <c r="K32" s="254"/>
      <c r="L32" s="254"/>
      <c r="M32" s="254"/>
      <c r="N32" s="254"/>
      <c r="O32" s="251"/>
      <c r="Q32" s="192"/>
      <c r="S32" s="323"/>
      <c r="T32" s="194"/>
      <c r="U32" s="194"/>
      <c r="V32" s="329" t="s">
        <v>528</v>
      </c>
      <c r="W32" s="328">
        <f t="shared" si="4"/>
        <v>0.26396533227791369</v>
      </c>
      <c r="X32" s="328">
        <v>1</v>
      </c>
      <c r="Y32" s="194"/>
      <c r="Z32" s="194"/>
      <c r="AA32" s="194"/>
    </row>
    <row r="33" spans="2:27">
      <c r="B33" s="192" t="s">
        <v>5</v>
      </c>
      <c r="C33" s="545">
        <v>8.6227936288942958E-2</v>
      </c>
      <c r="D33" s="536">
        <v>0.16053723482680218</v>
      </c>
      <c r="E33" s="536">
        <v>0.27289752462862671</v>
      </c>
      <c r="F33" s="536">
        <v>0.43748059658366084</v>
      </c>
      <c r="G33" s="536">
        <v>0.62672843438074655</v>
      </c>
      <c r="H33" s="279">
        <f>IF(ISERROR((G33/D33)^(1/3)-1),"na",(G33/D33)^(1/3)-1)</f>
        <v>0.57459139438357343</v>
      </c>
      <c r="I33" s="192"/>
      <c r="J33" s="254"/>
      <c r="K33" s="254"/>
      <c r="L33" s="254"/>
      <c r="M33" s="254"/>
      <c r="N33" s="254"/>
      <c r="O33" s="251"/>
      <c r="Q33" s="192"/>
      <c r="S33" s="323"/>
      <c r="T33" s="194"/>
      <c r="U33" s="194"/>
      <c r="V33" s="329" t="s">
        <v>575</v>
      </c>
      <c r="W33" s="328">
        <f t="shared" si="4"/>
        <v>3.6622577574813535</v>
      </c>
      <c r="X33" s="328">
        <v>1</v>
      </c>
      <c r="Y33" s="194"/>
      <c r="Z33" s="194"/>
      <c r="AA33" s="194"/>
    </row>
    <row r="34" spans="2:27">
      <c r="D34" s="192"/>
      <c r="E34" s="192"/>
      <c r="F34" s="192"/>
      <c r="G34" s="192"/>
      <c r="I34" s="293"/>
      <c r="J34" s="254"/>
      <c r="K34" s="254"/>
      <c r="L34" s="254"/>
      <c r="M34" s="254"/>
      <c r="N34" s="254"/>
      <c r="O34" s="251"/>
      <c r="Q34" s="192"/>
      <c r="S34" s="323"/>
      <c r="T34" s="194"/>
      <c r="U34" s="194"/>
      <c r="V34" s="329" t="s">
        <v>576</v>
      </c>
      <c r="W34" s="328">
        <f>D47/L19</f>
        <v>4.7247524149629898</v>
      </c>
      <c r="X34" s="328">
        <v>1</v>
      </c>
      <c r="Y34" s="328"/>
      <c r="Z34" s="328"/>
      <c r="AA34" s="194"/>
    </row>
    <row r="35" spans="2:27" ht="12.6" thickBot="1">
      <c r="B35" s="307" t="s">
        <v>911</v>
      </c>
      <c r="C35" s="294"/>
      <c r="D35" s="294" t="str">
        <f>D5</f>
        <v>2023E</v>
      </c>
      <c r="E35" s="294" t="str">
        <f t="shared" ref="E35:H35" si="5">E5</f>
        <v>2024E</v>
      </c>
      <c r="F35" s="294" t="str">
        <f t="shared" si="5"/>
        <v>2025E</v>
      </c>
      <c r="G35" s="294" t="str">
        <f t="shared" si="5"/>
        <v>2026E</v>
      </c>
      <c r="H35" s="294" t="str">
        <f t="shared" si="5"/>
        <v>23E-26E</v>
      </c>
      <c r="I35" s="254"/>
      <c r="J35" s="192"/>
      <c r="K35" s="192"/>
      <c r="L35" s="192"/>
      <c r="M35" s="192"/>
      <c r="N35" s="192"/>
      <c r="O35" s="192"/>
      <c r="Q35" s="192"/>
      <c r="S35" s="323"/>
      <c r="T35" s="194"/>
      <c r="U35" s="194"/>
      <c r="V35" s="194"/>
      <c r="W35" s="194"/>
      <c r="X35" s="194"/>
      <c r="Y35" s="328"/>
      <c r="Z35" s="328"/>
      <c r="AA35" s="194"/>
    </row>
    <row r="36" spans="2:27" ht="12.6" thickTop="1">
      <c r="B36" s="296"/>
      <c r="C36" s="249"/>
      <c r="D36" s="254"/>
      <c r="E36" s="254"/>
      <c r="F36" s="254"/>
      <c r="G36" s="254"/>
      <c r="H36" s="254"/>
      <c r="I36" s="17"/>
      <c r="J36" s="293"/>
      <c r="K36" s="293"/>
      <c r="L36" s="293"/>
      <c r="M36" s="293"/>
      <c r="N36" s="293"/>
      <c r="O36" s="293"/>
      <c r="Q36" s="192"/>
      <c r="S36" s="323"/>
      <c r="T36" s="194"/>
      <c r="U36" s="194"/>
      <c r="V36" s="194"/>
      <c r="W36" s="194"/>
      <c r="X36" s="194"/>
      <c r="Y36" s="328"/>
      <c r="Z36" s="328"/>
      <c r="AA36" s="194"/>
    </row>
    <row r="37" spans="2:27">
      <c r="B37" s="192" t="s">
        <v>268</v>
      </c>
      <c r="C37" s="247"/>
      <c r="D37" s="525">
        <f t="shared" ref="D37:G40" si="6">D$18/D23</f>
        <v>0.23948042786907528</v>
      </c>
      <c r="E37" s="525">
        <f t="shared" si="6"/>
        <v>-1.3352012594379599E-2</v>
      </c>
      <c r="F37" s="525">
        <f t="shared" si="6"/>
        <v>-0.26847060225611274</v>
      </c>
      <c r="G37" s="525">
        <f t="shared" si="6"/>
        <v>-0.52011368283063275</v>
      </c>
      <c r="H37" s="17">
        <f t="shared" ref="H37:H45" si="7">H23</f>
        <v>8.3116155100894984E-2</v>
      </c>
      <c r="I37" s="192"/>
      <c r="J37" s="259"/>
      <c r="K37" s="259"/>
      <c r="L37" s="259"/>
      <c r="M37" s="259"/>
      <c r="N37" s="259"/>
      <c r="O37" s="18"/>
      <c r="Q37" s="192"/>
      <c r="R37" s="192"/>
      <c r="S37" s="194"/>
      <c r="T37" s="194"/>
      <c r="U37" s="194"/>
      <c r="V37" s="194"/>
      <c r="W37" s="194"/>
      <c r="X37" s="194"/>
      <c r="Y37" s="194"/>
      <c r="Z37" s="194"/>
      <c r="AA37" s="194"/>
    </row>
    <row r="38" spans="2:27">
      <c r="B38" s="192" t="s">
        <v>180</v>
      </c>
      <c r="C38" s="247"/>
      <c r="D38" s="525">
        <f t="shared" si="6"/>
        <v>0.88101802415552888</v>
      </c>
      <c r="E38" s="525">
        <f t="shared" si="6"/>
        <v>-4.259496704615659E-2</v>
      </c>
      <c r="F38" s="525">
        <f t="shared" si="6"/>
        <v>-0.79719468725223397</v>
      </c>
      <c r="G38" s="525">
        <f t="shared" si="6"/>
        <v>-1.5013981310928557</v>
      </c>
      <c r="H38" s="17">
        <f t="shared" si="7"/>
        <v>0.17430459145349086</v>
      </c>
      <c r="I38" s="259"/>
      <c r="J38" s="17"/>
      <c r="K38" s="17"/>
      <c r="L38" s="17"/>
      <c r="M38" s="17"/>
      <c r="N38" s="17"/>
      <c r="O38" s="192"/>
      <c r="Q38" s="192"/>
      <c r="R38" s="192"/>
      <c r="S38" s="194"/>
      <c r="T38" s="194"/>
      <c r="U38" s="194"/>
      <c r="V38" s="194"/>
      <c r="W38" s="194"/>
      <c r="X38" s="194"/>
      <c r="Y38" s="194"/>
      <c r="Z38" s="194"/>
      <c r="AA38" s="194"/>
    </row>
    <row r="39" spans="2:27">
      <c r="B39" s="192" t="s">
        <v>181</v>
      </c>
      <c r="C39" s="247"/>
      <c r="D39" s="525">
        <f t="shared" si="6"/>
        <v>1.0461047432480666</v>
      </c>
      <c r="E39" s="525">
        <f t="shared" si="6"/>
        <v>-4.6449263994504442E-2</v>
      </c>
      <c r="F39" s="525">
        <f t="shared" si="6"/>
        <v>-0.84522315557247929</v>
      </c>
      <c r="G39" s="525">
        <f t="shared" si="6"/>
        <v>-1.5869990230797932</v>
      </c>
      <c r="H39" s="17">
        <f t="shared" si="7"/>
        <v>0.22072345370118418</v>
      </c>
      <c r="I39" s="17"/>
      <c r="J39" s="192"/>
      <c r="K39" s="192"/>
      <c r="L39" s="192"/>
      <c r="M39" s="192"/>
      <c r="N39" s="192"/>
      <c r="O39" s="192"/>
      <c r="Q39" s="192"/>
      <c r="R39" s="192"/>
      <c r="S39" s="194"/>
      <c r="T39" s="194"/>
      <c r="U39" s="194"/>
      <c r="V39" s="194"/>
      <c r="W39" s="194"/>
      <c r="X39" s="194"/>
      <c r="Y39" s="194"/>
      <c r="Z39" s="194"/>
      <c r="AA39" s="194"/>
    </row>
    <row r="40" spans="2:27">
      <c r="B40" s="192" t="s">
        <v>461</v>
      </c>
      <c r="C40" s="247"/>
      <c r="D40" s="525">
        <f t="shared" si="6"/>
        <v>1.4944353474972378</v>
      </c>
      <c r="E40" s="525">
        <f t="shared" si="6"/>
        <v>-6.6356091420720631E-2</v>
      </c>
      <c r="F40" s="525">
        <f t="shared" si="6"/>
        <v>-1.2074616508178277</v>
      </c>
      <c r="G40" s="525">
        <f t="shared" si="6"/>
        <v>-2.267141461542562</v>
      </c>
      <c r="H40" s="17">
        <f t="shared" si="7"/>
        <v>0.22072345370118418</v>
      </c>
      <c r="I40" s="192"/>
      <c r="J40" s="259"/>
      <c r="K40" s="259"/>
      <c r="L40" s="259"/>
      <c r="M40" s="259"/>
      <c r="N40" s="259"/>
      <c r="O40" s="18"/>
      <c r="Q40" s="192"/>
      <c r="R40" s="192"/>
      <c r="S40" s="194"/>
      <c r="T40" s="194"/>
      <c r="U40" s="194"/>
      <c r="V40" s="194"/>
      <c r="W40" s="328"/>
      <c r="X40" s="328"/>
      <c r="Y40" s="194"/>
      <c r="Z40" s="194"/>
      <c r="AA40" s="194"/>
    </row>
    <row r="41" spans="2:27">
      <c r="B41" s="192" t="s">
        <v>525</v>
      </c>
      <c r="C41" s="247"/>
      <c r="D41" s="525">
        <f>D18/D27</f>
        <v>0.44580334411264894</v>
      </c>
      <c r="E41" s="525">
        <f>E18/E27</f>
        <v>-2.837061482555087E-2</v>
      </c>
      <c r="F41" s="525">
        <f>F18/F27</f>
        <v>-0.63940841170662299</v>
      </c>
      <c r="G41" s="525">
        <f>G18/G27</f>
        <v>-1.3514554157691845</v>
      </c>
      <c r="H41" s="17">
        <f t="shared" si="7"/>
        <v>-3.083367012509497E-2</v>
      </c>
      <c r="I41" s="247"/>
      <c r="J41" s="17"/>
      <c r="K41" s="17"/>
      <c r="L41" s="17"/>
      <c r="M41" s="17"/>
      <c r="N41" s="17"/>
      <c r="O41" s="192"/>
      <c r="Q41" s="192"/>
      <c r="R41" s="192"/>
      <c r="S41" s="194"/>
      <c r="T41" s="194"/>
      <c r="U41" s="194"/>
      <c r="V41" s="194"/>
      <c r="W41" s="328"/>
      <c r="X41" s="328"/>
      <c r="Y41" s="328"/>
      <c r="Z41" s="328"/>
      <c r="AA41" s="194"/>
    </row>
    <row r="42" spans="2:27">
      <c r="B42" s="192" t="s">
        <v>588</v>
      </c>
      <c r="C42" s="247"/>
      <c r="D42" s="525">
        <f>D18/D28</f>
        <v>0.85387884746475651</v>
      </c>
      <c r="E42" s="525">
        <f>E18/E28</f>
        <v>-5.8404955961048124E-2</v>
      </c>
      <c r="F42" s="525">
        <f>F18/F28</f>
        <v>-1.426192056146204</v>
      </c>
      <c r="G42" s="525">
        <f>G18/G28</f>
        <v>-3.2378582550552415</v>
      </c>
      <c r="H42" s="17">
        <f t="shared" si="7"/>
        <v>-0.1005080955335439</v>
      </c>
      <c r="I42" s="248"/>
      <c r="J42" s="192"/>
      <c r="K42" s="192"/>
      <c r="L42" s="192"/>
      <c r="M42" s="192"/>
      <c r="N42" s="192"/>
      <c r="O42" s="192"/>
      <c r="Q42" s="192"/>
      <c r="R42" s="192"/>
      <c r="S42" s="194"/>
      <c r="T42" s="194"/>
      <c r="U42" s="194"/>
      <c r="V42" s="194"/>
      <c r="W42" s="328"/>
      <c r="X42" s="328"/>
      <c r="Y42" s="328"/>
      <c r="Z42" s="328"/>
      <c r="AA42" s="194"/>
    </row>
    <row r="43" spans="2:27">
      <c r="B43" s="192" t="s">
        <v>470</v>
      </c>
      <c r="C43" s="247"/>
      <c r="D43" s="525">
        <f>L26/D29</f>
        <v>3.2326164538822795</v>
      </c>
      <c r="E43" s="525">
        <f>M26/E29</f>
        <v>2.3534988888567816</v>
      </c>
      <c r="F43" s="525">
        <f>N26/F29</f>
        <v>1.9342489564198577</v>
      </c>
      <c r="G43" s="525">
        <f>O26/G29</f>
        <v>1.7413171823923532</v>
      </c>
      <c r="H43" s="17">
        <f t="shared" si="7"/>
        <v>0.22901947447559179</v>
      </c>
      <c r="I43" s="247"/>
      <c r="J43" s="247"/>
      <c r="K43" s="247"/>
      <c r="L43" s="247"/>
      <c r="M43" s="247"/>
      <c r="N43" s="247"/>
      <c r="O43" s="18"/>
      <c r="Q43" s="192"/>
      <c r="R43" s="192"/>
      <c r="S43" s="194"/>
      <c r="T43" s="194"/>
      <c r="U43" s="194"/>
      <c r="V43" s="194"/>
      <c r="W43" s="328"/>
      <c r="X43" s="328"/>
      <c r="Y43" s="328"/>
      <c r="Z43" s="328"/>
      <c r="AA43" s="194"/>
    </row>
    <row r="44" spans="2:27">
      <c r="B44" s="192" t="s">
        <v>528</v>
      </c>
      <c r="C44" s="298"/>
      <c r="D44" s="525">
        <f>D11/D30</f>
        <v>3.6105244451687417</v>
      </c>
      <c r="E44" s="525">
        <f>E11/E30</f>
        <v>2.6102482922131296</v>
      </c>
      <c r="F44" s="525">
        <f>F11/F30</f>
        <v>2.1240594473972956</v>
      </c>
      <c r="G44" s="525">
        <f>G11/G30</f>
        <v>1.8674826576166863</v>
      </c>
      <c r="H44" s="17">
        <f t="shared" si="7"/>
        <v>0.24577010297953872</v>
      </c>
      <c r="I44" s="247"/>
      <c r="J44" s="248"/>
      <c r="K44" s="248"/>
      <c r="L44" s="248"/>
      <c r="M44" s="248"/>
      <c r="N44" s="248"/>
      <c r="O44" s="248"/>
      <c r="Q44" s="192"/>
      <c r="R44" s="192"/>
      <c r="S44" s="194"/>
      <c r="T44" s="194"/>
      <c r="U44" s="194"/>
      <c r="V44" s="194"/>
      <c r="W44" s="330"/>
      <c r="X44" s="330"/>
      <c r="Y44" s="328"/>
      <c r="Z44" s="328"/>
      <c r="AA44" s="194"/>
    </row>
    <row r="45" spans="2:27">
      <c r="B45" s="192" t="s">
        <v>575</v>
      </c>
      <c r="C45" s="247"/>
      <c r="D45" s="248">
        <f>D31/D11</f>
        <v>0.16666666666666666</v>
      </c>
      <c r="E45" s="248">
        <f>E31/E11</f>
        <v>0.19999999999999998</v>
      </c>
      <c r="F45" s="248">
        <f>F31/F11</f>
        <v>0.23333333333333331</v>
      </c>
      <c r="G45" s="248">
        <f>G31/G11</f>
        <v>0.26666666666666666</v>
      </c>
      <c r="H45" s="17">
        <f t="shared" si="7"/>
        <v>0.1696070952851465</v>
      </c>
      <c r="I45" s="248"/>
      <c r="J45" s="247"/>
      <c r="K45" s="247"/>
      <c r="L45" s="247"/>
      <c r="M45" s="247"/>
      <c r="N45" s="247"/>
      <c r="O45" s="248"/>
      <c r="Q45" s="192"/>
      <c r="R45" s="192"/>
      <c r="S45" s="194"/>
      <c r="T45" s="194"/>
      <c r="U45" s="194"/>
      <c r="V45" s="194"/>
      <c r="W45" s="194"/>
      <c r="X45" s="194"/>
      <c r="Y45" s="330"/>
      <c r="Z45" s="330"/>
      <c r="AA45" s="194"/>
    </row>
    <row r="46" spans="2:27">
      <c r="B46" s="192" t="s">
        <v>600</v>
      </c>
      <c r="C46" s="247"/>
      <c r="D46" s="248">
        <f>(D31+D32)/D11</f>
        <v>0.16666666666666666</v>
      </c>
      <c r="E46" s="248">
        <f>(E31+E32)/E11</f>
        <v>0.19999999999999998</v>
      </c>
      <c r="F46" s="248">
        <f>(F31+F32)/F11</f>
        <v>0.23333333333333331</v>
      </c>
      <c r="G46" s="248">
        <f>(G31+G32)/G11</f>
        <v>0.26666666666666666</v>
      </c>
      <c r="H46" s="279">
        <f>((G31+G32)/(D31+D32))^(1/3)-1</f>
        <v>0.1696070952851465</v>
      </c>
      <c r="I46" s="247"/>
      <c r="J46" s="247"/>
      <c r="K46" s="247"/>
      <c r="L46" s="247"/>
      <c r="M46" s="247"/>
      <c r="N46" s="247"/>
      <c r="O46" s="18"/>
      <c r="Q46" s="192"/>
      <c r="R46" s="192"/>
      <c r="S46" s="194"/>
      <c r="T46" s="194"/>
      <c r="U46" s="194"/>
      <c r="V46" s="194"/>
      <c r="W46" s="194"/>
      <c r="X46" s="194"/>
      <c r="Y46" s="194"/>
      <c r="Z46" s="194"/>
      <c r="AA46" s="326"/>
    </row>
    <row r="47" spans="2:27">
      <c r="B47" s="192" t="s">
        <v>576</v>
      </c>
      <c r="C47" s="192"/>
      <c r="D47" s="248">
        <f>1/D43</f>
        <v>0.30934693746269487</v>
      </c>
      <c r="E47" s="248">
        <f>1/E43</f>
        <v>0.42489928707200397</v>
      </c>
      <c r="F47" s="248">
        <f>1/F43</f>
        <v>0.51699653071077323</v>
      </c>
      <c r="G47" s="248">
        <f>1/G43</f>
        <v>0.57427791450729526</v>
      </c>
      <c r="H47" s="17">
        <f>H29</f>
        <v>0.22901947447559179</v>
      </c>
      <c r="I47" s="17"/>
      <c r="J47" s="248"/>
      <c r="K47" s="248"/>
      <c r="L47" s="248"/>
      <c r="M47" s="248"/>
      <c r="N47" s="248"/>
      <c r="O47" s="248"/>
      <c r="Q47" s="192"/>
      <c r="R47" s="192"/>
      <c r="S47" s="194"/>
      <c r="T47" s="194"/>
      <c r="U47" s="194"/>
      <c r="V47" s="194"/>
      <c r="W47" s="194"/>
      <c r="X47" s="194"/>
      <c r="Y47" s="194"/>
      <c r="Z47" s="194"/>
      <c r="AA47" s="326"/>
    </row>
    <row r="48" spans="2:27">
      <c r="B48" s="192" t="s">
        <v>613</v>
      </c>
      <c r="C48" s="192"/>
      <c r="D48" s="305">
        <f>D31/D29</f>
        <v>0.53876940898037995</v>
      </c>
      <c r="E48" s="305">
        <f>E31/E29</f>
        <v>0.4706997777713563</v>
      </c>
      <c r="F48" s="305">
        <f>F31/F29</f>
        <v>0.45132475649796677</v>
      </c>
      <c r="G48" s="305">
        <f>G31/G29</f>
        <v>0.46435124863796079</v>
      </c>
      <c r="H48" s="279" t="s">
        <v>602</v>
      </c>
      <c r="I48" s="247"/>
      <c r="J48" s="247"/>
      <c r="K48" s="247"/>
      <c r="L48" s="247"/>
      <c r="M48" s="247"/>
      <c r="N48" s="247"/>
      <c r="O48" s="248"/>
      <c r="Q48" s="192"/>
      <c r="R48" s="192"/>
      <c r="S48" s="194"/>
      <c r="T48" s="194"/>
      <c r="U48" s="194"/>
      <c r="V48" s="194"/>
      <c r="W48" s="194"/>
      <c r="X48" s="194"/>
      <c r="Y48" s="194"/>
      <c r="Z48" s="194"/>
      <c r="AA48" s="326"/>
    </row>
    <row r="49" spans="2:27">
      <c r="B49" s="296"/>
      <c r="C49" s="17"/>
      <c r="D49" s="17"/>
      <c r="E49" s="17"/>
      <c r="F49" s="17"/>
      <c r="G49" s="17"/>
      <c r="H49" s="17"/>
      <c r="I49" s="254"/>
      <c r="J49" s="17"/>
      <c r="K49" s="17"/>
      <c r="L49" s="17"/>
      <c r="M49" s="17"/>
      <c r="N49" s="17"/>
      <c r="O49" s="248"/>
      <c r="Q49" s="192"/>
      <c r="R49" s="192"/>
      <c r="S49" s="194"/>
      <c r="T49" s="194"/>
      <c r="U49" s="194"/>
      <c r="V49" s="194"/>
      <c r="W49" s="194"/>
      <c r="X49" s="194"/>
      <c r="Y49" s="194"/>
      <c r="Z49" s="194"/>
      <c r="AA49" s="326"/>
    </row>
    <row r="50" spans="2:27">
      <c r="B50" s="192"/>
      <c r="C50" s="257"/>
      <c r="D50" s="257"/>
      <c r="E50" s="257"/>
      <c r="F50" s="192"/>
      <c r="G50" s="296"/>
      <c r="H50" s="249"/>
      <c r="I50" s="17"/>
      <c r="J50" s="249"/>
      <c r="K50" s="249"/>
      <c r="L50" s="249"/>
      <c r="M50" s="249"/>
      <c r="N50" s="249"/>
      <c r="O50" s="250"/>
      <c r="Q50" s="192"/>
      <c r="R50" s="192"/>
      <c r="S50" s="194"/>
      <c r="T50" s="194"/>
      <c r="U50" s="194"/>
      <c r="V50" s="194"/>
      <c r="W50" s="328"/>
      <c r="X50" s="328"/>
      <c r="Y50" s="194"/>
      <c r="Z50" s="194"/>
      <c r="AA50" s="326"/>
    </row>
    <row r="51" spans="2:27">
      <c r="B51" s="296"/>
      <c r="C51" s="249"/>
      <c r="D51" s="254"/>
      <c r="E51" s="254"/>
      <c r="F51" s="254"/>
      <c r="G51" s="254"/>
      <c r="H51" s="254"/>
      <c r="I51" s="259"/>
      <c r="J51" s="254"/>
      <c r="K51" s="254"/>
      <c r="L51" s="254"/>
      <c r="M51" s="254"/>
      <c r="N51" s="254"/>
      <c r="O51" s="251"/>
      <c r="Q51" s="192"/>
      <c r="R51" s="192"/>
      <c r="S51" s="194"/>
      <c r="T51" s="194"/>
      <c r="U51" s="194"/>
      <c r="V51" s="194"/>
      <c r="W51" s="328"/>
      <c r="X51" s="328"/>
      <c r="Y51" s="328"/>
      <c r="Z51" s="328"/>
      <c r="AA51" s="194"/>
    </row>
    <row r="52" spans="2:27">
      <c r="B52" s="192"/>
      <c r="C52" s="257"/>
      <c r="D52" s="17"/>
      <c r="E52" s="17"/>
      <c r="F52" s="17"/>
      <c r="G52" s="17"/>
      <c r="H52" s="17"/>
      <c r="I52" s="254"/>
      <c r="J52" s="17"/>
      <c r="K52" s="17"/>
      <c r="L52" s="17"/>
      <c r="M52" s="17"/>
      <c r="N52" s="17"/>
      <c r="O52" s="248"/>
      <c r="Q52" s="192"/>
      <c r="R52" s="192"/>
      <c r="S52" s="192"/>
      <c r="Y52" s="308"/>
      <c r="Z52" s="308"/>
    </row>
    <row r="53" spans="2:27">
      <c r="B53" s="192"/>
      <c r="C53" s="257"/>
      <c r="D53" s="257"/>
      <c r="E53" s="257"/>
      <c r="F53" s="192"/>
      <c r="G53" s="192"/>
      <c r="H53" s="259"/>
      <c r="I53" s="17"/>
      <c r="J53" s="259"/>
      <c r="K53" s="259"/>
      <c r="L53" s="259"/>
      <c r="M53" s="259"/>
      <c r="N53" s="259"/>
      <c r="O53" s="18"/>
      <c r="Q53" s="192"/>
      <c r="R53" s="192"/>
      <c r="S53" s="192"/>
    </row>
    <row r="54" spans="2:27">
      <c r="B54" s="296"/>
      <c r="C54" s="249"/>
      <c r="D54" s="254"/>
      <c r="E54" s="254"/>
      <c r="F54" s="254"/>
      <c r="G54" s="254"/>
      <c r="H54" s="254"/>
      <c r="I54" s="259"/>
      <c r="J54" s="254"/>
      <c r="K54" s="254"/>
      <c r="L54" s="254"/>
      <c r="M54" s="254"/>
      <c r="N54" s="254"/>
      <c r="O54" s="251"/>
      <c r="Q54" s="192"/>
      <c r="R54" s="192"/>
      <c r="S54" s="192"/>
    </row>
    <row r="55" spans="2:27">
      <c r="B55" s="192"/>
      <c r="C55" s="257"/>
      <c r="D55" s="17"/>
      <c r="E55" s="17"/>
      <c r="F55" s="17"/>
      <c r="G55" s="17"/>
      <c r="H55" s="17"/>
      <c r="I55" s="249"/>
      <c r="J55" s="17"/>
      <c r="K55" s="17"/>
      <c r="L55" s="17"/>
      <c r="M55" s="17"/>
      <c r="N55" s="17"/>
      <c r="O55" s="18"/>
      <c r="Q55" s="192"/>
      <c r="R55" s="192"/>
      <c r="S55" s="192"/>
    </row>
    <row r="56" spans="2:27">
      <c r="B56" s="192"/>
      <c r="C56" s="248"/>
      <c r="D56" s="248"/>
      <c r="E56" s="248"/>
      <c r="F56" s="192"/>
      <c r="G56" s="192"/>
      <c r="H56" s="259"/>
      <c r="I56" s="248"/>
      <c r="J56" s="259"/>
      <c r="K56" s="259"/>
      <c r="L56" s="259"/>
      <c r="M56" s="259"/>
      <c r="N56" s="259"/>
      <c r="O56" s="18"/>
      <c r="Q56" s="192"/>
      <c r="R56" s="192"/>
      <c r="S56" s="192"/>
    </row>
    <row r="57" spans="2:27">
      <c r="B57" s="296"/>
      <c r="C57" s="249"/>
      <c r="D57" s="249"/>
      <c r="E57" s="249"/>
      <c r="F57" s="249"/>
      <c r="G57" s="249"/>
      <c r="H57" s="249"/>
      <c r="I57" s="192"/>
      <c r="J57" s="249"/>
      <c r="K57" s="249"/>
      <c r="L57" s="249"/>
      <c r="M57" s="249"/>
      <c r="N57" s="249"/>
      <c r="O57" s="251"/>
      <c r="Q57" s="192"/>
      <c r="R57" s="192"/>
      <c r="S57" s="192"/>
    </row>
    <row r="58" spans="2:27">
      <c r="B58" s="192"/>
      <c r="C58" s="192"/>
      <c r="D58" s="248"/>
      <c r="E58" s="248"/>
      <c r="F58" s="248"/>
      <c r="G58" s="248"/>
      <c r="H58" s="248"/>
      <c r="I58" s="17"/>
      <c r="J58" s="248"/>
      <c r="K58" s="248"/>
      <c r="L58" s="248"/>
      <c r="M58" s="248"/>
      <c r="N58" s="248"/>
      <c r="O58" s="18"/>
      <c r="Q58" s="192"/>
      <c r="R58" s="192"/>
      <c r="S58" s="192"/>
    </row>
    <row r="59" spans="2:27">
      <c r="B59" s="192"/>
      <c r="C59" s="192"/>
      <c r="D59" s="192"/>
      <c r="E59" s="192"/>
      <c r="F59" s="192"/>
      <c r="G59" s="192"/>
      <c r="H59" s="192"/>
      <c r="I59" s="192"/>
      <c r="J59" s="192"/>
      <c r="K59" s="192"/>
      <c r="L59" s="192"/>
      <c r="M59" s="192"/>
      <c r="N59" s="192"/>
      <c r="O59" s="192"/>
      <c r="Q59" s="192"/>
      <c r="R59" s="192"/>
      <c r="S59" s="192"/>
    </row>
    <row r="60" spans="2:27">
      <c r="B60" s="296"/>
      <c r="C60" s="17"/>
      <c r="D60" s="17"/>
      <c r="E60" s="17"/>
      <c r="F60" s="17"/>
      <c r="G60" s="17"/>
      <c r="H60" s="17"/>
      <c r="I60" s="249"/>
      <c r="J60" s="17"/>
      <c r="K60" s="17"/>
      <c r="L60" s="17"/>
      <c r="M60" s="17"/>
      <c r="N60" s="17"/>
      <c r="O60" s="251"/>
      <c r="Q60" s="192"/>
      <c r="R60" s="192"/>
      <c r="S60" s="192"/>
    </row>
    <row r="61" spans="2:27">
      <c r="B61" s="192"/>
      <c r="C61" s="192"/>
      <c r="D61" s="192"/>
      <c r="E61" s="192"/>
      <c r="F61" s="192"/>
      <c r="G61" s="192"/>
      <c r="H61" s="192"/>
      <c r="I61" s="192"/>
      <c r="J61" s="192"/>
      <c r="K61" s="192"/>
      <c r="L61" s="192"/>
      <c r="M61" s="192"/>
      <c r="N61" s="192"/>
      <c r="O61" s="192"/>
      <c r="Q61" s="296"/>
      <c r="R61" s="192"/>
      <c r="S61" s="192"/>
    </row>
    <row r="62" spans="2:27">
      <c r="B62" s="296"/>
      <c r="C62" s="249"/>
      <c r="D62" s="249"/>
      <c r="E62" s="249"/>
      <c r="F62" s="249"/>
      <c r="G62" s="249"/>
      <c r="H62" s="249"/>
      <c r="I62" s="192"/>
      <c r="J62" s="249"/>
      <c r="K62" s="249"/>
      <c r="L62" s="249"/>
      <c r="M62" s="249"/>
      <c r="N62" s="249"/>
      <c r="O62" s="251"/>
      <c r="Q62" s="192"/>
      <c r="R62" s="192"/>
      <c r="S62" s="192"/>
    </row>
    <row r="63" spans="2:27">
      <c r="B63" s="192"/>
      <c r="C63" s="192"/>
      <c r="D63" s="192"/>
      <c r="E63" s="192"/>
      <c r="F63" s="192"/>
      <c r="G63" s="192"/>
      <c r="H63" s="192"/>
      <c r="I63" s="254"/>
      <c r="J63" s="192"/>
      <c r="K63" s="192"/>
      <c r="L63" s="192"/>
      <c r="M63" s="192"/>
      <c r="N63" s="192"/>
      <c r="O63" s="192"/>
      <c r="Q63" s="192"/>
      <c r="R63" s="192"/>
      <c r="S63" s="192"/>
    </row>
    <row r="64" spans="2:27">
      <c r="B64" s="192"/>
      <c r="C64" s="192"/>
      <c r="D64" s="192"/>
      <c r="E64" s="192"/>
      <c r="F64" s="192"/>
      <c r="G64" s="192"/>
      <c r="H64" s="192"/>
      <c r="I64" s="17"/>
      <c r="J64" s="192"/>
      <c r="K64" s="192"/>
      <c r="L64" s="192"/>
      <c r="M64" s="192"/>
      <c r="N64" s="192"/>
      <c r="O64" s="192"/>
      <c r="Q64" s="192"/>
      <c r="R64" s="192"/>
      <c r="S64" s="192"/>
    </row>
    <row r="65" spans="2:26">
      <c r="B65" s="296"/>
      <c r="C65" s="249"/>
      <c r="D65" s="254"/>
      <c r="E65" s="254"/>
      <c r="F65" s="254"/>
      <c r="G65" s="254"/>
      <c r="H65" s="254"/>
      <c r="I65" s="254"/>
      <c r="J65" s="254"/>
      <c r="K65" s="254"/>
      <c r="L65" s="254"/>
      <c r="M65" s="254"/>
      <c r="N65" s="254"/>
      <c r="O65" s="251"/>
      <c r="Q65" s="192"/>
      <c r="R65" s="192"/>
      <c r="S65" s="192"/>
    </row>
    <row r="66" spans="2:26">
      <c r="B66" s="192"/>
      <c r="C66" s="192"/>
      <c r="D66" s="17"/>
      <c r="E66" s="17"/>
      <c r="F66" s="17"/>
      <c r="G66" s="17"/>
      <c r="H66" s="17"/>
      <c r="I66" s="248"/>
      <c r="J66" s="17"/>
      <c r="K66" s="17"/>
      <c r="L66" s="17"/>
      <c r="M66" s="17"/>
      <c r="N66" s="17"/>
      <c r="O66" s="192"/>
      <c r="Q66" s="192"/>
      <c r="R66" s="192"/>
      <c r="S66" s="192"/>
    </row>
    <row r="67" spans="2:26">
      <c r="B67" s="296"/>
      <c r="C67" s="249"/>
      <c r="D67" s="254"/>
      <c r="E67" s="254"/>
      <c r="F67" s="254"/>
      <c r="G67" s="254"/>
      <c r="H67" s="254"/>
      <c r="I67" s="192"/>
      <c r="J67" s="254"/>
      <c r="K67" s="254"/>
      <c r="L67" s="254"/>
      <c r="M67" s="254"/>
      <c r="N67" s="254"/>
      <c r="O67" s="251"/>
      <c r="Q67" s="296"/>
      <c r="R67" s="192"/>
      <c r="S67" s="192"/>
    </row>
    <row r="68" spans="2:26">
      <c r="B68" s="192"/>
      <c r="C68" s="192"/>
      <c r="D68" s="248"/>
      <c r="E68" s="248"/>
      <c r="F68" s="248"/>
      <c r="G68" s="248"/>
      <c r="H68" s="248"/>
      <c r="I68" s="299"/>
      <c r="J68" s="248"/>
      <c r="K68" s="248"/>
      <c r="L68" s="248"/>
      <c r="M68" s="248"/>
      <c r="N68" s="248"/>
      <c r="O68" s="192"/>
      <c r="Q68" s="192"/>
      <c r="R68" s="192"/>
      <c r="S68" s="192"/>
    </row>
    <row r="69" spans="2:26">
      <c r="B69" s="296"/>
      <c r="C69" s="192"/>
      <c r="D69" s="192"/>
      <c r="E69" s="192"/>
      <c r="F69" s="192"/>
      <c r="G69" s="192"/>
      <c r="H69" s="192"/>
      <c r="I69" s="248"/>
      <c r="J69" s="192"/>
      <c r="K69" s="192"/>
      <c r="L69" s="192"/>
      <c r="M69" s="192"/>
      <c r="N69" s="192"/>
      <c r="O69" s="192"/>
      <c r="Q69" s="192"/>
      <c r="R69" s="192"/>
      <c r="S69" s="192"/>
    </row>
    <row r="70" spans="2:26">
      <c r="B70" s="296"/>
      <c r="C70" s="299"/>
      <c r="D70" s="299"/>
      <c r="E70" s="299"/>
      <c r="F70" s="299"/>
      <c r="G70" s="299"/>
      <c r="H70" s="299"/>
      <c r="I70" s="192"/>
      <c r="J70" s="299"/>
      <c r="K70" s="299"/>
      <c r="L70" s="299"/>
      <c r="M70" s="299"/>
      <c r="N70" s="299"/>
      <c r="O70" s="251"/>
      <c r="Q70" s="192"/>
      <c r="R70" s="192"/>
      <c r="S70" s="192"/>
      <c r="W70" s="309"/>
      <c r="X70" s="309"/>
    </row>
    <row r="71" spans="2:26">
      <c r="B71" s="192"/>
      <c r="C71" s="192"/>
      <c r="D71" s="248"/>
      <c r="E71" s="248"/>
      <c r="F71" s="248"/>
      <c r="G71" s="248"/>
      <c r="H71" s="248"/>
      <c r="I71" s="299"/>
      <c r="J71" s="248"/>
      <c r="K71" s="248"/>
      <c r="L71" s="248"/>
      <c r="M71" s="248"/>
      <c r="N71" s="248"/>
      <c r="O71" s="192"/>
      <c r="Q71" s="192"/>
      <c r="R71" s="192"/>
      <c r="S71" s="192"/>
      <c r="W71" s="309"/>
      <c r="X71" s="309"/>
      <c r="Y71" s="309"/>
      <c r="Z71" s="309"/>
    </row>
    <row r="72" spans="2:26">
      <c r="B72" s="296"/>
      <c r="C72" s="192"/>
      <c r="D72" s="192"/>
      <c r="E72" s="192"/>
      <c r="F72" s="192"/>
      <c r="G72" s="192"/>
      <c r="H72" s="192"/>
      <c r="I72" s="18"/>
      <c r="J72" s="192"/>
      <c r="K72" s="192"/>
      <c r="L72" s="192"/>
      <c r="M72" s="192"/>
      <c r="N72" s="192"/>
      <c r="O72" s="192"/>
      <c r="Q72" s="192"/>
      <c r="R72" s="192"/>
      <c r="S72" s="192"/>
      <c r="Y72" s="309"/>
      <c r="Z72" s="309"/>
    </row>
    <row r="73" spans="2:26">
      <c r="B73" s="296"/>
      <c r="C73" s="299"/>
      <c r="D73" s="299"/>
      <c r="E73" s="299"/>
      <c r="F73" s="299"/>
      <c r="G73" s="299"/>
      <c r="H73" s="299"/>
      <c r="I73" s="192"/>
      <c r="J73" s="299"/>
      <c r="K73" s="299"/>
      <c r="L73" s="299"/>
      <c r="M73" s="299"/>
      <c r="N73" s="299"/>
      <c r="O73" s="251"/>
      <c r="Q73" s="192"/>
      <c r="R73" s="192"/>
      <c r="S73" s="192"/>
    </row>
    <row r="74" spans="2:26">
      <c r="B74" s="192"/>
      <c r="C74" s="192"/>
      <c r="D74" s="18"/>
      <c r="E74" s="18"/>
      <c r="F74" s="18"/>
      <c r="G74" s="18"/>
      <c r="H74" s="18"/>
      <c r="I74" s="249"/>
      <c r="J74" s="18"/>
      <c r="K74" s="18"/>
      <c r="L74" s="18"/>
      <c r="M74" s="18"/>
      <c r="N74" s="18"/>
      <c r="O74" s="192"/>
      <c r="Q74" s="192"/>
      <c r="R74" s="192"/>
      <c r="S74" s="192"/>
    </row>
    <row r="75" spans="2:26">
      <c r="B75" s="296"/>
      <c r="C75" s="192"/>
      <c r="D75" s="192"/>
      <c r="E75" s="192"/>
      <c r="F75" s="192"/>
      <c r="G75" s="192"/>
      <c r="H75" s="192"/>
      <c r="I75" s="248"/>
      <c r="J75" s="192"/>
      <c r="K75" s="192"/>
      <c r="L75" s="192"/>
      <c r="M75" s="192"/>
      <c r="N75" s="192"/>
      <c r="O75" s="192"/>
      <c r="Q75" s="192"/>
      <c r="R75" s="192"/>
      <c r="S75" s="192"/>
    </row>
    <row r="76" spans="2:26">
      <c r="B76" s="296"/>
      <c r="C76" s="249"/>
      <c r="D76" s="249"/>
      <c r="E76" s="249"/>
      <c r="F76" s="249"/>
      <c r="G76" s="249"/>
      <c r="H76" s="249"/>
      <c r="I76" s="192"/>
      <c r="J76" s="249"/>
      <c r="K76" s="249"/>
      <c r="L76" s="249"/>
      <c r="M76" s="249"/>
      <c r="N76" s="249"/>
      <c r="O76" s="251"/>
      <c r="Q76" s="192"/>
      <c r="R76" s="192"/>
      <c r="S76" s="192"/>
    </row>
    <row r="77" spans="2:26">
      <c r="B77" s="192"/>
      <c r="C77" s="192"/>
      <c r="D77" s="248"/>
      <c r="E77" s="248"/>
      <c r="F77" s="248"/>
      <c r="G77" s="248"/>
      <c r="H77" s="248"/>
      <c r="I77" s="299"/>
      <c r="J77" s="248"/>
      <c r="K77" s="248"/>
      <c r="L77" s="248"/>
      <c r="M77" s="248"/>
      <c r="N77" s="248"/>
      <c r="O77" s="192"/>
      <c r="Q77" s="192"/>
      <c r="R77" s="192"/>
      <c r="S77" s="192"/>
    </row>
    <row r="78" spans="2:26">
      <c r="B78" s="296"/>
      <c r="C78" s="192"/>
      <c r="D78" s="192"/>
      <c r="E78" s="192"/>
      <c r="F78" s="192"/>
      <c r="G78" s="192"/>
      <c r="H78" s="192"/>
      <c r="I78" s="248"/>
      <c r="J78" s="192"/>
      <c r="K78" s="192"/>
      <c r="L78" s="192"/>
      <c r="M78" s="192"/>
      <c r="N78" s="192"/>
      <c r="O78" s="192"/>
      <c r="Q78" s="192"/>
      <c r="R78" s="192"/>
      <c r="S78" s="192"/>
    </row>
    <row r="79" spans="2:26">
      <c r="B79" s="296"/>
      <c r="C79" s="299"/>
      <c r="D79" s="299"/>
      <c r="E79" s="299"/>
      <c r="F79" s="299"/>
      <c r="G79" s="299"/>
      <c r="H79" s="299"/>
      <c r="I79" s="192"/>
      <c r="J79" s="299"/>
      <c r="K79" s="299"/>
      <c r="L79" s="299"/>
      <c r="M79" s="299"/>
      <c r="N79" s="299"/>
      <c r="O79" s="251"/>
      <c r="Q79" s="192"/>
      <c r="R79" s="192"/>
      <c r="S79" s="192"/>
    </row>
    <row r="80" spans="2:26">
      <c r="B80" s="192"/>
      <c r="C80" s="192"/>
      <c r="D80" s="248"/>
      <c r="E80" s="248"/>
      <c r="F80" s="248"/>
      <c r="G80" s="248"/>
      <c r="H80" s="248"/>
      <c r="I80" s="249"/>
      <c r="J80" s="248"/>
      <c r="K80" s="248"/>
      <c r="L80" s="248"/>
      <c r="M80" s="248"/>
      <c r="N80" s="248"/>
      <c r="O80" s="192"/>
      <c r="Q80" s="192"/>
      <c r="R80" s="192"/>
      <c r="S80" s="192"/>
    </row>
    <row r="81" spans="2:26">
      <c r="B81" s="296"/>
      <c r="C81" s="192"/>
      <c r="D81" s="192"/>
      <c r="E81" s="192"/>
      <c r="F81" s="192"/>
      <c r="G81" s="192"/>
      <c r="H81" s="192"/>
      <c r="I81" s="248"/>
      <c r="J81" s="192"/>
      <c r="K81" s="192"/>
      <c r="L81" s="192"/>
      <c r="M81" s="192"/>
      <c r="N81" s="192"/>
      <c r="O81" s="192"/>
      <c r="Q81" s="192"/>
      <c r="R81" s="192"/>
      <c r="S81" s="192"/>
    </row>
    <row r="82" spans="2:26">
      <c r="B82" s="296"/>
      <c r="C82" s="249"/>
      <c r="D82" s="249"/>
      <c r="E82" s="249"/>
      <c r="F82" s="249"/>
      <c r="G82" s="249"/>
      <c r="H82" s="249"/>
      <c r="I82" s="259"/>
      <c r="J82" s="249"/>
      <c r="K82" s="249"/>
      <c r="L82" s="249"/>
      <c r="M82" s="249"/>
      <c r="N82" s="249"/>
      <c r="O82" s="251"/>
      <c r="Q82" s="192"/>
      <c r="R82" s="192"/>
      <c r="S82" s="192"/>
    </row>
    <row r="83" spans="2:26">
      <c r="B83" s="192"/>
      <c r="C83" s="192"/>
      <c r="D83" s="248"/>
      <c r="E83" s="248"/>
      <c r="F83" s="248"/>
      <c r="G83" s="248"/>
      <c r="H83" s="248"/>
      <c r="I83" s="192"/>
      <c r="J83" s="248"/>
      <c r="K83" s="248"/>
      <c r="L83" s="248"/>
      <c r="M83" s="248"/>
      <c r="N83" s="248"/>
      <c r="O83" s="192"/>
      <c r="Q83" s="192"/>
      <c r="R83" s="192"/>
      <c r="S83" s="192"/>
    </row>
    <row r="84" spans="2:26">
      <c r="B84" s="192"/>
      <c r="C84" s="259"/>
      <c r="D84" s="259"/>
      <c r="E84" s="259"/>
      <c r="F84" s="259"/>
      <c r="G84" s="259"/>
      <c r="H84" s="259"/>
      <c r="I84" s="299"/>
      <c r="J84" s="259"/>
      <c r="K84" s="259"/>
      <c r="L84" s="259"/>
      <c r="M84" s="259"/>
      <c r="N84" s="259"/>
      <c r="O84" s="251"/>
      <c r="Q84" s="192"/>
      <c r="R84" s="192"/>
      <c r="S84" s="192"/>
    </row>
    <row r="85" spans="2:26">
      <c r="B85" s="296"/>
      <c r="C85" s="192"/>
      <c r="D85" s="192"/>
      <c r="E85" s="192"/>
      <c r="F85" s="192"/>
      <c r="G85" s="192"/>
      <c r="H85" s="192"/>
      <c r="I85" s="248"/>
      <c r="J85" s="192"/>
      <c r="K85" s="192"/>
      <c r="L85" s="192"/>
      <c r="M85" s="192"/>
      <c r="N85" s="192"/>
      <c r="O85" s="192"/>
      <c r="Q85" s="192"/>
      <c r="R85" s="192"/>
      <c r="S85" s="192"/>
    </row>
    <row r="86" spans="2:26">
      <c r="B86" s="296"/>
      <c r="C86" s="299"/>
      <c r="D86" s="299"/>
      <c r="E86" s="299"/>
      <c r="F86" s="299"/>
      <c r="G86" s="299"/>
      <c r="H86" s="299"/>
      <c r="I86" s="192"/>
      <c r="J86" s="299"/>
      <c r="K86" s="299"/>
      <c r="L86" s="299"/>
      <c r="M86" s="299"/>
      <c r="N86" s="299"/>
      <c r="O86" s="251"/>
      <c r="Q86" s="192"/>
      <c r="R86" s="192"/>
      <c r="S86" s="192"/>
    </row>
    <row r="87" spans="2:26">
      <c r="B87" s="192"/>
      <c r="C87" s="192"/>
      <c r="D87" s="248"/>
      <c r="E87" s="248"/>
      <c r="F87" s="248"/>
      <c r="G87" s="248"/>
      <c r="H87" s="248"/>
      <c r="I87" s="192"/>
      <c r="J87" s="248"/>
      <c r="K87" s="248"/>
      <c r="L87" s="248"/>
      <c r="M87" s="248"/>
      <c r="N87" s="248"/>
      <c r="O87" s="192"/>
      <c r="Q87" s="192"/>
      <c r="R87" s="192"/>
      <c r="S87" s="192"/>
    </row>
    <row r="88" spans="2:26">
      <c r="B88" s="296"/>
      <c r="C88" s="192"/>
      <c r="D88" s="192"/>
      <c r="E88" s="192"/>
      <c r="F88" s="192"/>
      <c r="G88" s="192"/>
      <c r="H88" s="192"/>
      <c r="I88" s="192"/>
      <c r="J88" s="192"/>
      <c r="K88" s="192"/>
      <c r="L88" s="192"/>
      <c r="M88" s="192"/>
      <c r="N88" s="192"/>
      <c r="O88" s="192"/>
      <c r="Q88" s="192"/>
      <c r="R88" s="192"/>
      <c r="S88" s="192"/>
    </row>
    <row r="89" spans="2:26">
      <c r="B89" s="296"/>
      <c r="C89" s="192"/>
      <c r="D89" s="192"/>
      <c r="E89" s="192"/>
      <c r="F89" s="192"/>
      <c r="G89" s="192"/>
      <c r="H89" s="192"/>
      <c r="I89" s="192"/>
      <c r="J89" s="192"/>
      <c r="K89" s="192"/>
      <c r="L89" s="192"/>
      <c r="M89" s="192"/>
      <c r="N89" s="192"/>
      <c r="O89" s="192"/>
      <c r="Q89" s="192"/>
      <c r="R89" s="192"/>
      <c r="S89" s="192"/>
    </row>
    <row r="90" spans="2:26">
      <c r="B90" s="296"/>
      <c r="C90" s="192"/>
      <c r="D90" s="192"/>
      <c r="E90" s="192"/>
      <c r="F90" s="192"/>
      <c r="G90" s="192"/>
      <c r="H90" s="192"/>
      <c r="I90" s="293"/>
      <c r="J90" s="192"/>
      <c r="K90" s="192"/>
      <c r="L90" s="192"/>
      <c r="M90" s="192"/>
      <c r="N90" s="192"/>
      <c r="O90" s="192"/>
      <c r="Q90" s="296"/>
      <c r="R90" s="192"/>
      <c r="S90" s="192"/>
    </row>
    <row r="91" spans="2:26">
      <c r="B91" s="192"/>
      <c r="C91" s="192"/>
      <c r="D91" s="192"/>
      <c r="E91" s="192"/>
      <c r="F91" s="192"/>
      <c r="G91" s="192"/>
      <c r="H91" s="192"/>
      <c r="I91" s="192"/>
      <c r="J91" s="192"/>
      <c r="K91" s="192"/>
      <c r="L91" s="192"/>
      <c r="M91" s="192"/>
      <c r="N91" s="192"/>
      <c r="O91" s="192"/>
      <c r="Q91" s="192"/>
      <c r="R91" s="192"/>
      <c r="S91" s="192"/>
    </row>
    <row r="92" spans="2:26">
      <c r="B92" s="296"/>
      <c r="C92" s="293"/>
      <c r="D92" s="293"/>
      <c r="E92" s="293"/>
      <c r="F92" s="293"/>
      <c r="G92" s="293"/>
      <c r="H92" s="293"/>
      <c r="I92" s="247"/>
      <c r="J92" s="293"/>
      <c r="K92" s="293"/>
      <c r="L92" s="293"/>
      <c r="M92" s="293"/>
      <c r="N92" s="293"/>
      <c r="O92" s="293"/>
      <c r="Q92" s="192"/>
      <c r="R92" s="192"/>
      <c r="S92" s="192"/>
      <c r="W92" s="310"/>
      <c r="X92" s="310"/>
    </row>
    <row r="93" spans="2:26">
      <c r="B93" s="192"/>
      <c r="C93" s="192"/>
      <c r="D93" s="192"/>
      <c r="E93" s="192"/>
      <c r="F93" s="192"/>
      <c r="G93" s="192"/>
      <c r="H93" s="192"/>
      <c r="I93" s="247"/>
      <c r="J93" s="192"/>
      <c r="K93" s="192"/>
      <c r="L93" s="192"/>
      <c r="M93" s="192"/>
      <c r="N93" s="192"/>
      <c r="O93" s="192"/>
      <c r="Q93" s="192"/>
      <c r="R93" s="192"/>
      <c r="S93" s="192"/>
      <c r="W93" s="310"/>
      <c r="X93" s="310"/>
      <c r="Y93" s="310"/>
      <c r="Z93" s="310"/>
    </row>
    <row r="94" spans="2:26">
      <c r="B94" s="192"/>
      <c r="C94" s="259"/>
      <c r="D94" s="247"/>
      <c r="E94" s="247"/>
      <c r="F94" s="247"/>
      <c r="G94" s="247"/>
      <c r="H94" s="247"/>
      <c r="I94" s="247"/>
      <c r="J94" s="247"/>
      <c r="K94" s="247"/>
      <c r="L94" s="247"/>
      <c r="M94" s="247"/>
      <c r="N94" s="247"/>
      <c r="O94" s="248"/>
      <c r="Q94" s="192"/>
      <c r="R94" s="192"/>
      <c r="S94" s="192"/>
      <c r="Y94" s="310"/>
      <c r="Z94" s="310"/>
    </row>
    <row r="95" spans="2:26">
      <c r="B95" s="192"/>
      <c r="C95" s="259"/>
      <c r="D95" s="247"/>
      <c r="E95" s="247"/>
      <c r="F95" s="247"/>
      <c r="G95" s="247"/>
      <c r="H95" s="247"/>
      <c r="I95" s="248"/>
      <c r="J95" s="247"/>
      <c r="K95" s="247"/>
      <c r="L95" s="247"/>
      <c r="M95" s="247"/>
      <c r="N95" s="247"/>
      <c r="O95" s="248"/>
      <c r="Q95" s="192"/>
      <c r="R95" s="192"/>
      <c r="S95" s="192"/>
    </row>
    <row r="96" spans="2:26">
      <c r="B96" s="192"/>
      <c r="C96" s="259"/>
      <c r="D96" s="247"/>
      <c r="E96" s="247"/>
      <c r="F96" s="247"/>
      <c r="G96" s="247"/>
      <c r="H96" s="247"/>
      <c r="I96" s="247"/>
      <c r="J96" s="247"/>
      <c r="K96" s="247"/>
      <c r="L96" s="247"/>
      <c r="M96" s="247"/>
      <c r="N96" s="247"/>
      <c r="O96" s="248"/>
      <c r="Q96" s="192"/>
      <c r="R96" s="192"/>
      <c r="S96" s="192"/>
    </row>
    <row r="97" spans="2:19">
      <c r="B97" s="192"/>
      <c r="C97" s="259"/>
      <c r="D97" s="248"/>
      <c r="E97" s="248"/>
      <c r="F97" s="248"/>
      <c r="G97" s="248"/>
      <c r="H97" s="248"/>
      <c r="I97" s="249"/>
      <c r="J97" s="248"/>
      <c r="K97" s="248"/>
      <c r="L97" s="248"/>
      <c r="M97" s="248"/>
      <c r="N97" s="248"/>
      <c r="O97" s="248"/>
      <c r="Q97" s="192"/>
      <c r="R97" s="192"/>
      <c r="S97" s="192"/>
    </row>
    <row r="98" spans="2:19">
      <c r="B98" s="192"/>
      <c r="C98" s="259"/>
      <c r="D98" s="247"/>
      <c r="E98" s="247"/>
      <c r="F98" s="247"/>
      <c r="G98" s="247"/>
      <c r="H98" s="247"/>
      <c r="I98" s="248"/>
      <c r="J98" s="247"/>
      <c r="K98" s="247"/>
      <c r="L98" s="247"/>
      <c r="M98" s="247"/>
      <c r="N98" s="247"/>
      <c r="O98" s="248"/>
      <c r="Q98" s="192"/>
      <c r="R98" s="192"/>
      <c r="S98" s="192"/>
    </row>
    <row r="99" spans="2:19">
      <c r="B99" s="296"/>
      <c r="C99" s="249"/>
      <c r="D99" s="249"/>
      <c r="E99" s="249"/>
      <c r="F99" s="249"/>
      <c r="G99" s="249"/>
      <c r="H99" s="249"/>
      <c r="I99" s="192"/>
      <c r="J99" s="249"/>
      <c r="K99" s="249"/>
      <c r="L99" s="249"/>
      <c r="M99" s="249"/>
      <c r="N99" s="249"/>
      <c r="O99" s="248"/>
      <c r="Q99" s="192"/>
      <c r="R99" s="192"/>
      <c r="S99" s="192"/>
    </row>
    <row r="100" spans="2:19">
      <c r="B100" s="296"/>
      <c r="C100" s="257"/>
      <c r="D100" s="248"/>
      <c r="E100" s="248"/>
      <c r="F100" s="248"/>
      <c r="G100" s="248"/>
      <c r="H100" s="248"/>
      <c r="I100" s="259"/>
      <c r="J100" s="248"/>
      <c r="K100" s="248"/>
      <c r="L100" s="248"/>
      <c r="M100" s="248"/>
      <c r="N100" s="248"/>
      <c r="O100" s="248"/>
      <c r="Q100" s="192"/>
      <c r="R100" s="192"/>
      <c r="S100" s="192"/>
    </row>
    <row r="101" spans="2:19" s="192" customFormat="1">
      <c r="B101" s="296"/>
      <c r="I101" s="259"/>
      <c r="O101" s="248"/>
      <c r="P101" s="292"/>
    </row>
    <row r="102" spans="2:19">
      <c r="B102" s="192"/>
      <c r="C102" s="259"/>
      <c r="D102" s="259"/>
      <c r="E102" s="259"/>
      <c r="F102" s="259"/>
      <c r="G102" s="259"/>
      <c r="H102" s="259"/>
      <c r="I102" s="247"/>
      <c r="J102" s="259"/>
      <c r="K102" s="259"/>
      <c r="L102" s="259"/>
      <c r="M102" s="259"/>
      <c r="N102" s="259"/>
      <c r="O102" s="192"/>
      <c r="Q102" s="192"/>
      <c r="R102" s="192"/>
      <c r="S102" s="192"/>
    </row>
    <row r="103" spans="2:19">
      <c r="B103" s="192"/>
      <c r="C103" s="259"/>
      <c r="D103" s="259"/>
      <c r="E103" s="259"/>
      <c r="F103" s="259"/>
      <c r="G103" s="259"/>
      <c r="H103" s="259"/>
      <c r="I103" s="192"/>
      <c r="J103" s="259"/>
      <c r="K103" s="259"/>
      <c r="L103" s="259"/>
      <c r="M103" s="259"/>
      <c r="N103" s="259"/>
      <c r="O103" s="192"/>
      <c r="P103" s="192"/>
      <c r="Q103" s="192"/>
      <c r="R103" s="192"/>
      <c r="S103" s="192"/>
    </row>
    <row r="104" spans="2:19">
      <c r="B104" s="192"/>
      <c r="C104" s="247"/>
      <c r="D104" s="247"/>
      <c r="E104" s="247"/>
      <c r="F104" s="247"/>
      <c r="G104" s="247"/>
      <c r="H104" s="247"/>
      <c r="I104" s="247"/>
      <c r="J104" s="247"/>
      <c r="K104" s="247"/>
      <c r="L104" s="247"/>
      <c r="M104" s="247"/>
      <c r="N104" s="247"/>
      <c r="O104" s="192"/>
      <c r="Q104" s="192"/>
      <c r="R104" s="192"/>
      <c r="S104" s="192"/>
    </row>
    <row r="105" spans="2:19" s="192" customFormat="1">
      <c r="P105" s="292"/>
    </row>
    <row r="106" spans="2:19" s="192" customFormat="1">
      <c r="C106" s="259"/>
      <c r="D106" s="247"/>
      <c r="E106" s="247"/>
      <c r="F106" s="247"/>
      <c r="G106" s="247"/>
      <c r="H106" s="247"/>
      <c r="I106" s="259"/>
      <c r="J106" s="247"/>
      <c r="K106" s="247"/>
      <c r="L106" s="247"/>
      <c r="M106" s="247"/>
      <c r="N106" s="247"/>
      <c r="P106" s="292"/>
    </row>
    <row r="107" spans="2:19">
      <c r="B107" s="192"/>
      <c r="C107" s="259"/>
      <c r="D107" s="192"/>
      <c r="E107" s="192"/>
      <c r="F107" s="192"/>
      <c r="G107" s="192"/>
      <c r="H107" s="192"/>
      <c r="I107" s="247"/>
      <c r="J107" s="192"/>
      <c r="K107" s="192"/>
      <c r="L107" s="192"/>
      <c r="M107" s="192"/>
      <c r="N107" s="192"/>
      <c r="O107" s="192"/>
      <c r="P107" s="192"/>
      <c r="Q107" s="192"/>
      <c r="R107" s="192"/>
      <c r="S107" s="192"/>
    </row>
    <row r="108" spans="2:19">
      <c r="B108" s="192"/>
      <c r="C108" s="259"/>
      <c r="D108" s="259"/>
      <c r="E108" s="259"/>
      <c r="F108" s="259"/>
      <c r="G108" s="259"/>
      <c r="H108" s="259"/>
      <c r="I108" s="249"/>
      <c r="J108" s="259"/>
      <c r="K108" s="259"/>
      <c r="L108" s="259"/>
      <c r="M108" s="259"/>
      <c r="N108" s="259"/>
      <c r="O108" s="192"/>
      <c r="P108" s="192"/>
      <c r="Q108" s="192"/>
      <c r="R108" s="192"/>
      <c r="S108" s="192"/>
    </row>
    <row r="109" spans="2:19">
      <c r="B109" s="192"/>
      <c r="C109" s="247"/>
      <c r="D109" s="247"/>
      <c r="E109" s="247"/>
      <c r="F109" s="247"/>
      <c r="G109" s="247"/>
      <c r="H109" s="247"/>
      <c r="I109" s="249"/>
      <c r="J109" s="247"/>
      <c r="K109" s="247"/>
      <c r="L109" s="247"/>
      <c r="M109" s="247"/>
      <c r="N109" s="247"/>
      <c r="O109" s="192"/>
      <c r="Q109" s="192"/>
      <c r="R109" s="192"/>
      <c r="S109" s="192"/>
    </row>
    <row r="110" spans="2:19">
      <c r="B110" s="296"/>
      <c r="C110" s="249"/>
      <c r="D110" s="249"/>
      <c r="E110" s="249"/>
      <c r="F110" s="249"/>
      <c r="G110" s="249"/>
      <c r="H110" s="249"/>
      <c r="I110" s="247"/>
      <c r="J110" s="249"/>
      <c r="K110" s="249"/>
      <c r="L110" s="249"/>
      <c r="M110" s="249"/>
      <c r="N110" s="249"/>
      <c r="O110" s="192"/>
      <c r="Q110" s="192"/>
      <c r="R110" s="192"/>
      <c r="S110" s="192"/>
    </row>
    <row r="111" spans="2:19">
      <c r="B111" s="192"/>
      <c r="C111" s="249"/>
      <c r="D111" s="249"/>
      <c r="E111" s="249"/>
      <c r="F111" s="249"/>
      <c r="G111" s="249"/>
      <c r="H111" s="249"/>
      <c r="I111" s="192"/>
      <c r="J111" s="249"/>
      <c r="K111" s="249"/>
      <c r="L111" s="249"/>
      <c r="M111" s="249"/>
      <c r="N111" s="249"/>
      <c r="O111" s="192"/>
      <c r="Q111" s="192"/>
      <c r="R111" s="192"/>
      <c r="S111" s="192"/>
    </row>
    <row r="112" spans="2:19">
      <c r="B112" s="192"/>
      <c r="C112" s="247"/>
      <c r="D112" s="247"/>
      <c r="E112" s="247"/>
      <c r="F112" s="247"/>
      <c r="G112" s="247"/>
      <c r="H112" s="247"/>
      <c r="I112" s="192"/>
      <c r="J112" s="247"/>
      <c r="K112" s="247"/>
      <c r="L112" s="247"/>
      <c r="M112" s="247"/>
      <c r="N112" s="247"/>
      <c r="O112" s="192"/>
      <c r="Q112" s="192"/>
      <c r="R112" s="192"/>
      <c r="S112" s="192"/>
    </row>
    <row r="113" spans="2:19">
      <c r="B113" s="192"/>
      <c r="C113" s="192"/>
      <c r="D113" s="192"/>
      <c r="E113" s="192"/>
      <c r="F113" s="192"/>
      <c r="G113" s="192"/>
      <c r="H113" s="192"/>
      <c r="I113" s="192"/>
      <c r="J113" s="192"/>
      <c r="K113" s="192"/>
      <c r="L113" s="192"/>
      <c r="M113" s="192"/>
      <c r="N113" s="192"/>
      <c r="O113" s="192"/>
      <c r="Q113" s="192"/>
      <c r="R113" s="192"/>
      <c r="S113" s="192"/>
    </row>
    <row r="114" spans="2:19">
      <c r="B114" s="192"/>
      <c r="C114" s="192"/>
      <c r="D114" s="192"/>
      <c r="E114" s="192"/>
      <c r="F114" s="192"/>
      <c r="G114" s="192"/>
      <c r="H114" s="192"/>
      <c r="I114" s="192"/>
      <c r="J114" s="192"/>
      <c r="K114" s="192"/>
      <c r="L114" s="192"/>
      <c r="M114" s="192"/>
      <c r="N114" s="192"/>
      <c r="O114" s="192"/>
      <c r="Q114" s="192"/>
      <c r="R114" s="192"/>
      <c r="S114" s="192"/>
    </row>
    <row r="115" spans="2:19">
      <c r="B115" s="192"/>
      <c r="C115" s="192"/>
      <c r="D115" s="192"/>
      <c r="E115" s="192"/>
      <c r="F115" s="192"/>
      <c r="G115" s="192"/>
      <c r="H115" s="192"/>
      <c r="I115" s="293"/>
      <c r="J115" s="192"/>
      <c r="K115" s="192"/>
      <c r="L115" s="192"/>
      <c r="M115" s="192"/>
      <c r="N115" s="192"/>
      <c r="O115" s="192"/>
      <c r="Q115" s="296"/>
      <c r="R115" s="192"/>
      <c r="S115" s="192"/>
    </row>
    <row r="116" spans="2:19">
      <c r="B116" s="192"/>
      <c r="C116" s="192"/>
      <c r="D116" s="192"/>
      <c r="E116" s="192"/>
      <c r="F116" s="192"/>
      <c r="G116" s="192"/>
      <c r="H116" s="192"/>
      <c r="I116" s="192"/>
      <c r="J116" s="192"/>
      <c r="K116" s="192"/>
      <c r="L116" s="192"/>
      <c r="M116" s="192"/>
      <c r="N116" s="192"/>
      <c r="O116" s="192"/>
      <c r="Q116" s="192"/>
      <c r="R116" s="192"/>
      <c r="S116" s="192"/>
    </row>
    <row r="117" spans="2:19">
      <c r="B117" s="296"/>
      <c r="C117" s="293"/>
      <c r="D117" s="293"/>
      <c r="E117" s="293"/>
      <c r="F117" s="293"/>
      <c r="G117" s="293"/>
      <c r="H117" s="293"/>
      <c r="I117" s="254"/>
      <c r="J117" s="293"/>
      <c r="K117" s="293"/>
      <c r="L117" s="293"/>
      <c r="M117" s="293"/>
      <c r="N117" s="293"/>
      <c r="O117" s="293"/>
      <c r="Q117" s="192"/>
      <c r="R117" s="192"/>
      <c r="S117" s="192"/>
    </row>
    <row r="118" spans="2:19">
      <c r="B118" s="192"/>
      <c r="C118" s="192"/>
      <c r="D118" s="192"/>
      <c r="E118" s="192"/>
      <c r="F118" s="192"/>
      <c r="G118" s="192"/>
      <c r="H118" s="192"/>
      <c r="I118" s="249"/>
      <c r="J118" s="192"/>
      <c r="K118" s="192"/>
      <c r="L118" s="192"/>
      <c r="M118" s="192"/>
      <c r="N118" s="192"/>
      <c r="O118" s="192"/>
      <c r="Q118" s="192"/>
      <c r="R118" s="192"/>
      <c r="S118" s="192"/>
    </row>
    <row r="119" spans="2:19">
      <c r="B119" s="296"/>
      <c r="C119" s="254"/>
      <c r="D119" s="254"/>
      <c r="E119" s="254"/>
      <c r="F119" s="254"/>
      <c r="G119" s="254"/>
      <c r="H119" s="254"/>
      <c r="I119" s="254"/>
      <c r="J119" s="254"/>
      <c r="K119" s="254"/>
      <c r="L119" s="254"/>
      <c r="M119" s="254"/>
      <c r="N119" s="254"/>
      <c r="O119" s="248"/>
      <c r="Q119" s="192"/>
      <c r="R119" s="192"/>
      <c r="S119" s="192"/>
    </row>
    <row r="120" spans="2:19">
      <c r="B120" s="296"/>
      <c r="C120" s="254"/>
      <c r="D120" s="249"/>
      <c r="E120" s="249"/>
      <c r="F120" s="249"/>
      <c r="G120" s="249"/>
      <c r="H120" s="249"/>
      <c r="I120" s="254"/>
      <c r="J120" s="249"/>
      <c r="K120" s="249"/>
      <c r="L120" s="249"/>
      <c r="M120" s="249"/>
      <c r="N120" s="249"/>
      <c r="O120" s="248"/>
      <c r="Q120" s="192"/>
      <c r="R120" s="192"/>
      <c r="S120" s="192"/>
    </row>
    <row r="121" spans="2:19">
      <c r="B121" s="296"/>
      <c r="C121" s="254"/>
      <c r="D121" s="254"/>
      <c r="E121" s="254"/>
      <c r="F121" s="254"/>
      <c r="G121" s="254"/>
      <c r="H121" s="254"/>
      <c r="I121" s="254"/>
      <c r="J121" s="254"/>
      <c r="K121" s="254"/>
      <c r="L121" s="254"/>
      <c r="M121" s="254"/>
      <c r="N121" s="254"/>
      <c r="O121" s="248"/>
      <c r="Q121" s="192"/>
      <c r="R121" s="192"/>
      <c r="S121" s="192"/>
    </row>
    <row r="122" spans="2:19">
      <c r="B122" s="296"/>
      <c r="C122" s="254"/>
      <c r="D122" s="254"/>
      <c r="E122" s="254"/>
      <c r="F122" s="254"/>
      <c r="G122" s="254"/>
      <c r="H122" s="254"/>
      <c r="I122" s="254"/>
      <c r="J122" s="254"/>
      <c r="K122" s="254"/>
      <c r="L122" s="254"/>
      <c r="M122" s="254"/>
      <c r="N122" s="254"/>
      <c r="O122" s="248"/>
      <c r="Q122" s="192"/>
      <c r="R122" s="192"/>
      <c r="S122" s="192"/>
    </row>
    <row r="123" spans="2:19">
      <c r="B123" s="296"/>
      <c r="C123" s="254"/>
      <c r="D123" s="254"/>
      <c r="E123" s="254"/>
      <c r="F123" s="254"/>
      <c r="G123" s="254"/>
      <c r="H123" s="254"/>
      <c r="I123" s="254"/>
      <c r="J123" s="254"/>
      <c r="K123" s="254"/>
      <c r="L123" s="254"/>
      <c r="M123" s="254"/>
      <c r="N123" s="254"/>
      <c r="O123" s="248"/>
      <c r="Q123" s="192"/>
      <c r="R123" s="192"/>
      <c r="S123" s="192"/>
    </row>
    <row r="124" spans="2:19">
      <c r="B124" s="296"/>
      <c r="C124" s="254"/>
      <c r="D124" s="254"/>
      <c r="E124" s="254"/>
      <c r="F124" s="254"/>
      <c r="G124" s="254"/>
      <c r="H124" s="254"/>
      <c r="I124" s="254"/>
      <c r="J124" s="254"/>
      <c r="K124" s="254"/>
      <c r="L124" s="254"/>
      <c r="M124" s="254"/>
      <c r="N124" s="254"/>
      <c r="O124" s="248"/>
      <c r="Q124" s="192"/>
      <c r="R124" s="192"/>
      <c r="S124" s="192"/>
    </row>
    <row r="125" spans="2:19">
      <c r="B125" s="296"/>
      <c r="C125" s="254"/>
      <c r="D125" s="254"/>
      <c r="E125" s="254"/>
      <c r="F125" s="254"/>
      <c r="G125" s="254"/>
      <c r="H125" s="254"/>
      <c r="I125" s="254"/>
      <c r="J125" s="254"/>
      <c r="K125" s="254"/>
      <c r="L125" s="254"/>
      <c r="M125" s="254"/>
      <c r="N125" s="254"/>
      <c r="O125" s="192"/>
      <c r="Q125" s="192"/>
      <c r="R125" s="192"/>
      <c r="S125" s="192"/>
    </row>
    <row r="126" spans="2:19">
      <c r="B126" s="296"/>
      <c r="C126" s="254"/>
      <c r="D126" s="254"/>
      <c r="E126" s="254"/>
      <c r="F126" s="254"/>
      <c r="G126" s="254"/>
      <c r="H126" s="254"/>
      <c r="I126" s="254"/>
      <c r="J126" s="254"/>
      <c r="K126" s="254"/>
      <c r="L126" s="254"/>
      <c r="M126" s="254"/>
      <c r="N126" s="254"/>
      <c r="O126" s="192"/>
      <c r="Q126" s="192"/>
      <c r="R126" s="192"/>
      <c r="S126" s="192"/>
    </row>
    <row r="127" spans="2:19">
      <c r="B127" s="296"/>
      <c r="C127" s="254"/>
      <c r="D127" s="254"/>
      <c r="E127" s="254"/>
      <c r="F127" s="254"/>
      <c r="G127" s="254"/>
      <c r="H127" s="254"/>
      <c r="I127" s="18"/>
      <c r="J127" s="254"/>
      <c r="K127" s="254"/>
      <c r="L127" s="254"/>
      <c r="M127" s="254"/>
      <c r="N127" s="254"/>
      <c r="O127" s="192"/>
      <c r="Q127" s="192"/>
      <c r="R127" s="192"/>
      <c r="S127" s="192"/>
    </row>
    <row r="128" spans="2:19">
      <c r="B128" s="296"/>
      <c r="C128" s="254"/>
      <c r="D128" s="254"/>
      <c r="E128" s="254"/>
      <c r="F128" s="254"/>
      <c r="G128" s="254"/>
      <c r="H128" s="254"/>
      <c r="I128" s="192"/>
      <c r="J128" s="254"/>
      <c r="K128" s="254"/>
      <c r="L128" s="254"/>
      <c r="M128" s="254"/>
      <c r="N128" s="254"/>
      <c r="O128" s="192"/>
      <c r="Q128" s="192"/>
      <c r="R128" s="192"/>
      <c r="S128" s="192"/>
    </row>
    <row r="129" spans="2:27">
      <c r="B129" s="192"/>
      <c r="C129" s="192"/>
      <c r="D129" s="18"/>
      <c r="E129" s="18"/>
      <c r="F129" s="18"/>
      <c r="G129" s="18"/>
      <c r="H129" s="18"/>
      <c r="I129" s="254"/>
      <c r="J129" s="18"/>
      <c r="K129" s="18"/>
      <c r="L129" s="18"/>
      <c r="M129" s="18"/>
      <c r="N129" s="18"/>
      <c r="O129" s="192"/>
      <c r="Q129" s="192"/>
      <c r="R129" s="192"/>
      <c r="S129" s="192"/>
    </row>
    <row r="130" spans="2:27">
      <c r="B130" s="192"/>
      <c r="C130" s="192"/>
      <c r="D130" s="192"/>
      <c r="E130" s="192"/>
      <c r="F130" s="192"/>
      <c r="G130" s="192"/>
      <c r="H130" s="192"/>
      <c r="I130" s="18"/>
      <c r="J130" s="192"/>
      <c r="K130" s="192"/>
      <c r="L130" s="192"/>
      <c r="M130" s="192"/>
      <c r="N130" s="192"/>
      <c r="O130" s="192"/>
      <c r="Q130" s="192"/>
      <c r="R130" s="192"/>
      <c r="S130" s="192"/>
    </row>
    <row r="131" spans="2:27">
      <c r="B131" s="296"/>
      <c r="C131" s="254"/>
      <c r="D131" s="254"/>
      <c r="E131" s="254"/>
      <c r="F131" s="254"/>
      <c r="G131" s="254"/>
      <c r="H131" s="254"/>
      <c r="I131" s="192"/>
      <c r="J131" s="254"/>
      <c r="K131" s="254"/>
      <c r="L131" s="254"/>
      <c r="M131" s="254"/>
      <c r="N131" s="254"/>
      <c r="O131" s="192"/>
      <c r="Q131" s="192"/>
      <c r="R131" s="192"/>
      <c r="S131" s="192"/>
    </row>
    <row r="132" spans="2:27">
      <c r="B132" s="192"/>
      <c r="C132" s="259"/>
      <c r="D132" s="18"/>
      <c r="E132" s="18"/>
      <c r="F132" s="18"/>
      <c r="G132" s="18"/>
      <c r="H132" s="18"/>
      <c r="I132" s="192"/>
      <c r="J132" s="18"/>
      <c r="K132" s="18"/>
      <c r="L132" s="18"/>
      <c r="M132" s="18"/>
      <c r="N132" s="18"/>
      <c r="O132" s="192"/>
      <c r="Q132" s="192"/>
      <c r="R132" s="192"/>
      <c r="S132" s="192"/>
    </row>
    <row r="133" spans="2:27">
      <c r="B133" s="192"/>
      <c r="C133" s="192"/>
      <c r="D133" s="192"/>
      <c r="E133" s="192"/>
      <c r="F133" s="192"/>
      <c r="G133" s="192"/>
      <c r="H133" s="192"/>
      <c r="I133" s="17"/>
      <c r="J133" s="192"/>
      <c r="K133" s="192"/>
      <c r="L133" s="192"/>
      <c r="M133" s="192"/>
      <c r="N133" s="192"/>
      <c r="O133" s="192"/>
      <c r="Q133" s="192"/>
      <c r="R133" s="192"/>
      <c r="S133" s="192"/>
    </row>
    <row r="134" spans="2:27">
      <c r="B134" s="296"/>
      <c r="C134" s="192"/>
      <c r="D134" s="192"/>
      <c r="E134" s="192"/>
      <c r="F134" s="192"/>
      <c r="G134" s="192"/>
      <c r="H134" s="192"/>
      <c r="I134" s="17"/>
      <c r="J134" s="192"/>
      <c r="K134" s="192"/>
      <c r="L134" s="192"/>
      <c r="M134" s="192"/>
      <c r="N134" s="192"/>
      <c r="O134" s="192"/>
      <c r="Q134" s="192"/>
      <c r="R134" s="192"/>
      <c r="S134" s="192"/>
    </row>
    <row r="135" spans="2:27">
      <c r="B135" s="192"/>
      <c r="C135" s="17"/>
      <c r="D135" s="17"/>
      <c r="E135" s="17"/>
      <c r="F135" s="17"/>
      <c r="G135" s="17"/>
      <c r="H135" s="17"/>
      <c r="I135" s="17"/>
      <c r="J135" s="17"/>
      <c r="K135" s="17"/>
      <c r="L135" s="17"/>
      <c r="M135" s="17"/>
      <c r="N135" s="17"/>
      <c r="O135" s="192"/>
      <c r="Q135" s="296"/>
      <c r="R135" s="192"/>
      <c r="S135" s="192"/>
    </row>
    <row r="136" spans="2:27">
      <c r="B136" s="192"/>
      <c r="C136" s="17"/>
      <c r="D136" s="17"/>
      <c r="E136" s="17"/>
      <c r="F136" s="17"/>
      <c r="G136" s="17"/>
      <c r="H136" s="17"/>
      <c r="I136" s="17"/>
      <c r="J136" s="17"/>
      <c r="K136" s="17"/>
      <c r="L136" s="17"/>
      <c r="M136" s="17"/>
      <c r="N136" s="17"/>
      <c r="O136" s="192"/>
      <c r="Q136" s="192"/>
      <c r="R136" s="192"/>
      <c r="S136" s="192"/>
      <c r="X136" s="311"/>
    </row>
    <row r="137" spans="2:27">
      <c r="B137" s="192"/>
      <c r="C137" s="192"/>
      <c r="D137" s="17"/>
      <c r="E137" s="17"/>
      <c r="F137" s="17"/>
      <c r="G137" s="17"/>
      <c r="H137" s="17"/>
      <c r="I137" s="17"/>
      <c r="J137" s="17"/>
      <c r="K137" s="17"/>
      <c r="L137" s="17"/>
      <c r="M137" s="17"/>
      <c r="N137" s="17"/>
      <c r="O137" s="192"/>
      <c r="Q137" s="192"/>
      <c r="R137" s="192"/>
      <c r="S137" s="192"/>
      <c r="X137" s="308"/>
      <c r="Y137" s="311"/>
      <c r="Z137" s="311"/>
      <c r="AA137" s="311"/>
    </row>
    <row r="138" spans="2:27">
      <c r="B138" s="192"/>
      <c r="C138" s="192"/>
      <c r="D138" s="17"/>
      <c r="E138" s="17"/>
      <c r="F138" s="17"/>
      <c r="G138" s="17"/>
      <c r="H138" s="17"/>
      <c r="I138" s="17"/>
      <c r="J138" s="17"/>
      <c r="K138" s="17"/>
      <c r="L138" s="17"/>
      <c r="M138" s="17"/>
      <c r="N138" s="17"/>
      <c r="O138" s="192"/>
      <c r="Q138" s="192"/>
      <c r="R138" s="192"/>
      <c r="S138" s="192"/>
      <c r="Y138" s="308"/>
      <c r="Z138" s="308"/>
      <c r="AA138" s="308"/>
    </row>
    <row r="139" spans="2:27">
      <c r="B139" s="192"/>
      <c r="C139" s="192"/>
      <c r="D139" s="17"/>
      <c r="E139" s="17"/>
      <c r="F139" s="17"/>
      <c r="G139" s="17"/>
      <c r="H139" s="17"/>
      <c r="I139" s="192"/>
      <c r="J139" s="17"/>
      <c r="K139" s="17"/>
      <c r="L139" s="17"/>
      <c r="M139" s="17"/>
      <c r="N139" s="17"/>
      <c r="O139" s="192"/>
      <c r="Q139" s="192"/>
      <c r="R139" s="192"/>
      <c r="S139" s="192"/>
    </row>
    <row r="140" spans="2:27">
      <c r="B140" s="192"/>
      <c r="C140" s="17"/>
      <c r="D140" s="17"/>
      <c r="E140" s="17"/>
      <c r="F140" s="17"/>
      <c r="G140" s="17"/>
      <c r="H140" s="17"/>
      <c r="I140" s="192"/>
      <c r="J140" s="17"/>
      <c r="K140" s="17"/>
      <c r="L140" s="17"/>
      <c r="M140" s="17"/>
      <c r="N140" s="17"/>
      <c r="O140" s="192"/>
      <c r="Q140" s="192"/>
      <c r="R140" s="192"/>
      <c r="S140" s="192"/>
    </row>
    <row r="141" spans="2:27">
      <c r="B141" s="192"/>
      <c r="C141" s="192"/>
      <c r="D141" s="192"/>
      <c r="E141" s="192"/>
      <c r="F141" s="192"/>
      <c r="G141" s="192"/>
      <c r="H141" s="192"/>
      <c r="I141" s="192"/>
      <c r="J141" s="192"/>
      <c r="K141" s="192"/>
      <c r="L141" s="192"/>
      <c r="M141" s="192"/>
      <c r="N141" s="192"/>
      <c r="O141" s="192"/>
      <c r="Q141" s="192"/>
      <c r="R141" s="192"/>
      <c r="S141" s="192"/>
    </row>
    <row r="142" spans="2:27">
      <c r="B142" s="192"/>
      <c r="C142" s="192"/>
      <c r="D142" s="192"/>
      <c r="E142" s="192"/>
      <c r="F142" s="192"/>
      <c r="G142" s="192"/>
      <c r="H142" s="192"/>
      <c r="I142" s="192"/>
      <c r="J142" s="192"/>
      <c r="K142" s="192"/>
      <c r="L142" s="192"/>
      <c r="M142" s="192"/>
      <c r="N142" s="192"/>
      <c r="O142" s="192"/>
      <c r="Q142" s="192"/>
      <c r="R142" s="192"/>
      <c r="S142" s="192"/>
    </row>
    <row r="143" spans="2:27">
      <c r="B143" s="192"/>
      <c r="C143" s="192"/>
      <c r="D143" s="192"/>
      <c r="E143" s="192"/>
      <c r="F143" s="192"/>
      <c r="G143" s="192"/>
      <c r="H143" s="192"/>
      <c r="I143" s="192"/>
      <c r="J143" s="192"/>
      <c r="K143" s="192"/>
      <c r="L143" s="192"/>
      <c r="M143" s="192"/>
      <c r="N143" s="192"/>
      <c r="O143" s="192"/>
      <c r="Q143" s="192"/>
      <c r="R143" s="192"/>
      <c r="S143" s="192"/>
    </row>
    <row r="144" spans="2:27">
      <c r="B144" s="192"/>
      <c r="C144" s="192"/>
      <c r="D144" s="192"/>
      <c r="E144" s="192"/>
      <c r="F144" s="192"/>
      <c r="G144" s="192"/>
      <c r="H144" s="192"/>
      <c r="I144" s="192"/>
      <c r="J144" s="192"/>
      <c r="K144" s="192"/>
      <c r="L144" s="192"/>
      <c r="M144" s="192"/>
      <c r="N144" s="192"/>
      <c r="O144" s="192"/>
      <c r="Q144" s="192"/>
      <c r="R144" s="192"/>
      <c r="S144" s="192"/>
    </row>
    <row r="145" spans="2:19">
      <c r="B145" s="192"/>
      <c r="C145" s="192"/>
      <c r="D145" s="192"/>
      <c r="E145" s="192"/>
      <c r="F145" s="192"/>
      <c r="G145" s="192"/>
      <c r="H145" s="192"/>
      <c r="I145" s="192"/>
      <c r="J145" s="192"/>
      <c r="K145" s="192"/>
      <c r="L145" s="192"/>
      <c r="M145" s="192"/>
      <c r="N145" s="192"/>
      <c r="O145" s="192"/>
      <c r="Q145" s="192"/>
      <c r="R145" s="192"/>
      <c r="S145" s="192"/>
    </row>
    <row r="146" spans="2:19">
      <c r="B146" s="192"/>
      <c r="C146" s="192"/>
      <c r="D146" s="192"/>
      <c r="E146" s="192"/>
      <c r="F146" s="192"/>
      <c r="G146" s="192"/>
      <c r="H146" s="192"/>
      <c r="I146" s="192"/>
      <c r="J146" s="192"/>
      <c r="K146" s="192"/>
      <c r="L146" s="192"/>
      <c r="M146" s="192"/>
      <c r="N146" s="192"/>
      <c r="O146" s="192"/>
      <c r="Q146" s="192"/>
      <c r="R146" s="192"/>
      <c r="S146" s="192"/>
    </row>
    <row r="147" spans="2:19">
      <c r="B147" s="192"/>
      <c r="C147" s="192"/>
      <c r="D147" s="192"/>
      <c r="E147" s="192"/>
      <c r="F147" s="192"/>
      <c r="G147" s="192"/>
      <c r="H147" s="192"/>
      <c r="I147" s="192"/>
      <c r="J147" s="192"/>
      <c r="K147" s="192"/>
      <c r="L147" s="192"/>
      <c r="M147" s="192"/>
      <c r="N147" s="192"/>
      <c r="O147" s="192"/>
      <c r="Q147" s="192"/>
      <c r="R147" s="192"/>
      <c r="S147" s="192"/>
    </row>
    <row r="148" spans="2:19">
      <c r="B148" s="192"/>
      <c r="C148" s="192"/>
      <c r="D148" s="192"/>
      <c r="E148" s="192"/>
      <c r="F148" s="192"/>
      <c r="G148" s="192"/>
      <c r="H148" s="192"/>
      <c r="I148" s="192"/>
      <c r="J148" s="192"/>
      <c r="K148" s="192"/>
      <c r="L148" s="192"/>
      <c r="M148" s="192"/>
      <c r="N148" s="192"/>
      <c r="O148" s="192"/>
      <c r="Q148" s="192"/>
      <c r="R148" s="192"/>
      <c r="S148" s="192"/>
    </row>
    <row r="149" spans="2:19">
      <c r="B149" s="192"/>
      <c r="C149" s="192"/>
      <c r="D149" s="192"/>
      <c r="E149" s="192"/>
      <c r="F149" s="192"/>
      <c r="G149" s="192"/>
      <c r="H149" s="192"/>
      <c r="J149" s="192"/>
      <c r="K149" s="192"/>
      <c r="L149" s="192"/>
      <c r="M149" s="192"/>
      <c r="N149" s="192"/>
      <c r="O149" s="192"/>
      <c r="Q149" s="192"/>
      <c r="R149" s="192"/>
      <c r="S149" s="192"/>
    </row>
    <row r="150" spans="2:19">
      <c r="B150" s="192"/>
      <c r="C150" s="192"/>
      <c r="D150" s="192"/>
      <c r="E150" s="192"/>
      <c r="F150" s="192"/>
      <c r="G150" s="192"/>
      <c r="H150" s="192"/>
      <c r="J150" s="192"/>
      <c r="K150" s="192"/>
      <c r="L150" s="192"/>
      <c r="M150" s="192"/>
      <c r="N150" s="192"/>
      <c r="O150" s="192"/>
      <c r="Q150" s="192"/>
      <c r="R150" s="192"/>
      <c r="S150" s="192"/>
    </row>
    <row r="151" spans="2:19">
      <c r="Q151" s="192"/>
      <c r="R151" s="192"/>
      <c r="S151" s="192"/>
    </row>
    <row r="152" spans="2:19">
      <c r="Q152" s="192"/>
      <c r="R152" s="192"/>
      <c r="S152" s="192"/>
    </row>
    <row r="153" spans="2:19">
      <c r="C153" s="300"/>
      <c r="Q153" s="192"/>
      <c r="R153" s="192"/>
      <c r="S153" s="192"/>
    </row>
    <row r="154" spans="2:19">
      <c r="Q154" s="192"/>
      <c r="R154" s="192"/>
      <c r="S154" s="192"/>
    </row>
    <row r="155" spans="2:19">
      <c r="Q155" s="192"/>
      <c r="R155" s="192"/>
      <c r="S155" s="192"/>
    </row>
    <row r="156" spans="2:19">
      <c r="Q156" s="192"/>
      <c r="R156" s="192"/>
      <c r="S156" s="192"/>
    </row>
    <row r="157" spans="2:19">
      <c r="Q157" s="192"/>
      <c r="R157" s="192"/>
      <c r="S157" s="192"/>
    </row>
    <row r="158" spans="2:19">
      <c r="Q158" s="192"/>
      <c r="R158" s="192"/>
      <c r="S158" s="192"/>
    </row>
    <row r="159" spans="2:19">
      <c r="Q159" s="192"/>
      <c r="R159" s="192"/>
      <c r="S159" s="192"/>
    </row>
    <row r="160" spans="2:19">
      <c r="Q160" s="192"/>
      <c r="R160" s="192"/>
      <c r="S160" s="192"/>
    </row>
    <row r="161" spans="17:19">
      <c r="Q161" s="192"/>
      <c r="R161" s="192"/>
      <c r="S161" s="192"/>
    </row>
    <row r="162" spans="17:19">
      <c r="Q162" s="192"/>
      <c r="R162" s="192"/>
      <c r="S162" s="192"/>
    </row>
    <row r="163" spans="17:19">
      <c r="Q163" s="192"/>
      <c r="R163" s="192"/>
      <c r="S163" s="192"/>
    </row>
    <row r="164" spans="17:19">
      <c r="Q164" s="192"/>
      <c r="R164" s="192"/>
      <c r="S164" s="192"/>
    </row>
    <row r="165" spans="17:19">
      <c r="Q165" s="192"/>
      <c r="R165" s="192"/>
      <c r="S165" s="192"/>
    </row>
  </sheetData>
  <pageMargins left="0.75" right="0.75" top="1" bottom="1" header="0.5" footer="0.5"/>
  <pageSetup scale="71"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3">
    <pageSetUpPr fitToPage="1"/>
  </sheetPr>
  <dimension ref="B1:AR165"/>
  <sheetViews>
    <sheetView showGridLines="0" zoomScale="80" zoomScaleNormal="80" workbookViewId="0">
      <selection activeCell="E13" sqref="E13"/>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157</v>
      </c>
      <c r="C9" s="287">
        <f>Prices!C14</f>
        <v>549</v>
      </c>
      <c r="D9" s="531">
        <v>0</v>
      </c>
      <c r="E9" s="532">
        <v>0</v>
      </c>
      <c r="F9" s="532">
        <v>0</v>
      </c>
      <c r="G9" s="532">
        <v>0</v>
      </c>
      <c r="H9" s="249"/>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44">
      <c r="B10" s="5" t="s">
        <v>269</v>
      </c>
      <c r="C10" s="5"/>
      <c r="D10" s="527">
        <v>51.801000000000002</v>
      </c>
      <c r="E10" s="527">
        <v>51.801000000000002</v>
      </c>
      <c r="F10" s="527">
        <v>51.801000000000002</v>
      </c>
      <c r="G10" s="527">
        <v>51.801000000000002</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44">
      <c r="B11" s="41" t="s">
        <v>270</v>
      </c>
      <c r="C11" s="5"/>
      <c r="D11" s="528">
        <f>$C$9*D10</f>
        <v>28438.749</v>
      </c>
      <c r="E11" s="528">
        <f>$C$9*E10</f>
        <v>28438.749</v>
      </c>
      <c r="F11" s="528">
        <f>$C$9*F10</f>
        <v>28438.749</v>
      </c>
      <c r="G11" s="528">
        <f>$C$9*G10</f>
        <v>28438.749</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44">
      <c r="B12" s="5" t="s">
        <v>24</v>
      </c>
      <c r="C12" s="249"/>
      <c r="D12" s="529">
        <v>5459</v>
      </c>
      <c r="E12" s="529">
        <v>5459</v>
      </c>
      <c r="F12" s="529">
        <v>4739.8251866349665</v>
      </c>
      <c r="G12" s="529">
        <v>12355.026348873653</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44">
      <c r="B13" s="5" t="s">
        <v>524</v>
      </c>
      <c r="C13" s="257"/>
      <c r="D13" s="529">
        <v>3851.7597612394366</v>
      </c>
      <c r="E13" s="529">
        <v>3851.7597612394366</v>
      </c>
      <c r="F13" s="529">
        <v>3851.7597612394366</v>
      </c>
      <c r="G13" s="529">
        <v>3851.7597612394366</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44">
      <c r="B14" s="5" t="s">
        <v>527</v>
      </c>
      <c r="C14" s="257"/>
      <c r="D14" s="529">
        <f>SWISSSOP!R19</f>
        <v>0</v>
      </c>
      <c r="E14" s="529">
        <f t="shared" ref="E14:G15" si="2">D14</f>
        <v>0</v>
      </c>
      <c r="F14" s="529">
        <f t="shared" si="2"/>
        <v>0</v>
      </c>
      <c r="G14" s="529">
        <f t="shared" si="2"/>
        <v>0</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44">
      <c r="B15" s="5" t="s">
        <v>526</v>
      </c>
      <c r="C15" s="274"/>
      <c r="D15" s="529">
        <f>SWISSSOP!T17</f>
        <v>0</v>
      </c>
      <c r="E15" s="529">
        <f t="shared" si="2"/>
        <v>0</v>
      </c>
      <c r="F15" s="529">
        <f t="shared" si="2"/>
        <v>0</v>
      </c>
      <c r="G15" s="529">
        <f t="shared" si="2"/>
        <v>0</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44">
      <c r="B16" s="5" t="s">
        <v>529</v>
      </c>
      <c r="C16" s="257"/>
      <c r="D16" s="529">
        <v>0</v>
      </c>
      <c r="E16" s="529">
        <v>0</v>
      </c>
      <c r="F16" s="529">
        <v>1139.6220000000001</v>
      </c>
      <c r="G16" s="529">
        <v>2486.4480000000003</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137.19999999999999</v>
      </c>
      <c r="E17" s="529">
        <v>137.19999999999999</v>
      </c>
      <c r="F17" s="529">
        <v>137.19999999999999</v>
      </c>
      <c r="G17" s="529">
        <v>137.19999999999999</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578</v>
      </c>
      <c r="C18" s="249"/>
      <c r="D18" s="530">
        <f>D11+D12+D13-D14+D15-D16-D17</f>
        <v>37612.308761239437</v>
      </c>
      <c r="E18" s="530">
        <f>E11+E12+E13-E14+E15-E16-E17</f>
        <v>37612.308761239437</v>
      </c>
      <c r="F18" s="530">
        <f>F11+F12+F13-F14+F15-F16-F17</f>
        <v>35753.511947874402</v>
      </c>
      <c r="G18" s="530">
        <f>G11+G12+G13-G14+G15-G16-G17</f>
        <v>42021.887110113094</v>
      </c>
      <c r="H18" s="276">
        <f>IF(D18=0,"nm",IF(G18=0,"nm",(G18/D18)^(1/3)-1))</f>
        <v>3.7644335748050484E-2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943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11061.314753025174</v>
      </c>
      <c r="D23" s="536">
        <v>11181.420142526629</v>
      </c>
      <c r="E23" s="536">
        <v>15563.799819214219</v>
      </c>
      <c r="F23" s="536">
        <v>15571.743608316527</v>
      </c>
      <c r="G23" s="536">
        <v>15595.718555919289</v>
      </c>
      <c r="H23" s="279">
        <f t="shared" ref="H23:H32" si="4">IF(D23=0,"nm",IF(G23=0,"nm",(G23/D23)^(1/3)-1))</f>
        <v>0.11729916515339012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4272</v>
      </c>
      <c r="D24" s="536">
        <v>4350</v>
      </c>
      <c r="E24" s="536">
        <v>4301.2408145323952</v>
      </c>
      <c r="F24" s="536">
        <v>5104.3672355319941</v>
      </c>
      <c r="G24" s="536">
        <v>5294.3844026960032</v>
      </c>
      <c r="H24" s="279">
        <f t="shared" si="4"/>
        <v>6.7682369028132738E-2</v>
      </c>
      <c r="I24" s="249"/>
      <c r="J24" s="17"/>
      <c r="K24" s="17"/>
      <c r="L24" s="17"/>
      <c r="M24" s="17"/>
      <c r="N24" s="17"/>
      <c r="O24" s="248"/>
      <c r="S24" s="88"/>
      <c r="T24" s="42"/>
      <c r="U24" s="42"/>
      <c r="V24" s="42"/>
      <c r="W24" s="42" t="s">
        <v>458</v>
      </c>
      <c r="X24" s="42" t="s">
        <v>246</v>
      </c>
      <c r="Y24" s="42"/>
      <c r="Z24" s="42"/>
      <c r="AA24" s="42"/>
    </row>
    <row r="25" spans="2:27">
      <c r="B25" s="5" t="s">
        <v>179</v>
      </c>
      <c r="C25" s="544">
        <v>1963</v>
      </c>
      <c r="D25" s="536">
        <v>2058</v>
      </c>
      <c r="E25" s="536">
        <v>2010.2960544626394</v>
      </c>
      <c r="F25" s="536">
        <v>2141.4322099290457</v>
      </c>
      <c r="G25" s="536">
        <v>2345.6999508368726</v>
      </c>
      <c r="H25" s="279">
        <f t="shared" si="4"/>
        <v>4.4581578775683584E-2</v>
      </c>
      <c r="I25" s="248"/>
      <c r="J25" s="247" t="s">
        <v>10</v>
      </c>
      <c r="K25" s="247"/>
      <c r="L25" s="321">
        <v>921</v>
      </c>
      <c r="M25" s="321">
        <v>921</v>
      </c>
      <c r="N25" s="321">
        <v>921</v>
      </c>
      <c r="O25" s="321">
        <v>921</v>
      </c>
      <c r="P25" s="279">
        <f>IF(L25=0,"nm",IF(O25=0,"nm",(O25/L25)^(1/3)-1))</f>
        <v>0</v>
      </c>
      <c r="S25" s="88"/>
      <c r="T25" s="42"/>
      <c r="U25" s="42"/>
      <c r="V25" s="147" t="s">
        <v>268</v>
      </c>
      <c r="W25" s="288">
        <f>D37/L9</f>
        <v>1.4487372247866461</v>
      </c>
      <c r="X25" s="288">
        <v>1</v>
      </c>
      <c r="Y25" s="42"/>
      <c r="Z25" s="42"/>
      <c r="AA25" s="42"/>
    </row>
    <row r="26" spans="2:27">
      <c r="B26" s="5" t="s">
        <v>581</v>
      </c>
      <c r="C26" s="544">
        <v>1558.6220000000001</v>
      </c>
      <c r="D26" s="536">
        <v>1634.0520000000001</v>
      </c>
      <c r="E26" s="536">
        <v>1596.1750672433357</v>
      </c>
      <c r="F26" s="536">
        <v>1700.2971746836624</v>
      </c>
      <c r="G26" s="536">
        <v>1862.4857609644769</v>
      </c>
      <c r="H26" s="279">
        <f t="shared" si="4"/>
        <v>4.4581578775683584E-2</v>
      </c>
      <c r="I26" s="249"/>
      <c r="J26" s="249" t="s">
        <v>11</v>
      </c>
      <c r="K26" s="249"/>
      <c r="L26" s="281">
        <f>D11+L25</f>
        <v>29359.749</v>
      </c>
      <c r="M26" s="281">
        <f>E11+M25</f>
        <v>29359.749</v>
      </c>
      <c r="N26" s="281">
        <f>F11+N25</f>
        <v>29359.749</v>
      </c>
      <c r="O26" s="281">
        <f>G11+O25</f>
        <v>29359.749</v>
      </c>
      <c r="P26" s="279">
        <f>IF(L26=0,"nm",IF(O26=0,"nm",(O26/L26)^(1/3)-1))</f>
        <v>0</v>
      </c>
      <c r="Q26" s="5"/>
      <c r="S26" s="88"/>
      <c r="T26" s="42"/>
      <c r="U26" s="42"/>
      <c r="V26" s="147" t="s">
        <v>180</v>
      </c>
      <c r="W26" s="288">
        <f t="shared" ref="W26:W33" si="6">D38/L10</f>
        <v>1.2363637888705836</v>
      </c>
      <c r="X26" s="288">
        <v>1</v>
      </c>
      <c r="Y26" s="42"/>
      <c r="Z26" s="42"/>
      <c r="AA26" s="42"/>
    </row>
    <row r="27" spans="2:27">
      <c r="B27" s="5" t="s">
        <v>582</v>
      </c>
      <c r="C27" s="545">
        <v>16961</v>
      </c>
      <c r="D27" s="536">
        <v>17281.378000000001</v>
      </c>
      <c r="E27" s="536">
        <v>17837.660519382734</v>
      </c>
      <c r="F27" s="536">
        <v>18594.45430836263</v>
      </c>
      <c r="G27" s="536">
        <v>27410.330966655933</v>
      </c>
      <c r="H27" s="279">
        <f t="shared" si="4"/>
        <v>0.16621503627329615</v>
      </c>
      <c r="I27" s="249"/>
      <c r="J27" s="248"/>
      <c r="K27" s="248"/>
      <c r="L27" s="248"/>
      <c r="M27" s="248"/>
      <c r="N27" s="248"/>
      <c r="O27" s="248"/>
      <c r="Q27" s="41"/>
      <c r="S27" s="88"/>
      <c r="T27" s="42"/>
      <c r="U27" s="42"/>
      <c r="V27" s="147" t="s">
        <v>181</v>
      </c>
      <c r="W27" s="288">
        <f t="shared" si="6"/>
        <v>1.2674712358637761</v>
      </c>
      <c r="X27" s="288">
        <v>1</v>
      </c>
      <c r="Y27" s="42"/>
      <c r="Z27" s="42"/>
      <c r="AA27" s="42"/>
    </row>
    <row r="28" spans="2:27" ht="12.6" thickBot="1">
      <c r="B28" s="5" t="s">
        <v>587</v>
      </c>
      <c r="C28" s="544">
        <v>10437</v>
      </c>
      <c r="D28" s="536">
        <v>10437</v>
      </c>
      <c r="E28" s="536">
        <v>10656.136587173009</v>
      </c>
      <c r="F28" s="536">
        <v>11275.489882111335</v>
      </c>
      <c r="G28" s="536">
        <v>11799.124062620278</v>
      </c>
      <c r="H28" s="279">
        <f t="shared" si="4"/>
        <v>4.1736852481159881E-2</v>
      </c>
      <c r="I28" s="248"/>
      <c r="J28" s="306" t="s">
        <v>1352</v>
      </c>
      <c r="K28" s="306"/>
      <c r="L28" s="306"/>
      <c r="M28" s="306"/>
      <c r="N28" s="266"/>
      <c r="O28" s="266"/>
      <c r="P28" s="266"/>
      <c r="Q28" s="5"/>
      <c r="S28" s="88"/>
      <c r="T28" s="42"/>
      <c r="U28" s="42"/>
      <c r="V28" s="147" t="s">
        <v>461</v>
      </c>
      <c r="W28" s="288">
        <f t="shared" si="6"/>
        <v>1.190182026665078</v>
      </c>
      <c r="X28" s="288">
        <v>1</v>
      </c>
      <c r="Y28" s="42"/>
      <c r="Z28" s="42"/>
      <c r="AA28" s="42"/>
    </row>
    <row r="29" spans="2:27" ht="12.6" thickTop="1">
      <c r="B29" s="5" t="s">
        <v>583</v>
      </c>
      <c r="C29" s="544">
        <v>1549</v>
      </c>
      <c r="D29" s="536">
        <v>1565.3219290304348</v>
      </c>
      <c r="E29" s="536">
        <v>1477.9007805963699</v>
      </c>
      <c r="F29" s="536">
        <v>1860.6447081544904</v>
      </c>
      <c r="G29" s="536">
        <v>1928.7437854965656</v>
      </c>
      <c r="H29" s="279">
        <f t="shared" si="4"/>
        <v>7.2071185457139197E-2</v>
      </c>
      <c r="I29" s="252"/>
      <c r="J29" s="249"/>
      <c r="K29" s="249"/>
      <c r="L29" s="249"/>
      <c r="M29" s="249"/>
      <c r="N29" s="249"/>
      <c r="O29" s="251"/>
      <c r="Q29" s="5"/>
      <c r="S29" s="88"/>
      <c r="T29" s="42"/>
      <c r="U29" s="42"/>
      <c r="V29" s="147" t="s">
        <v>525</v>
      </c>
      <c r="W29" s="288">
        <f t="shared" si="6"/>
        <v>1.4545074789839436</v>
      </c>
      <c r="X29" s="288">
        <v>1</v>
      </c>
      <c r="Y29" s="42"/>
      <c r="Z29" s="42"/>
      <c r="AA29" s="42"/>
    </row>
    <row r="30" spans="2:27">
      <c r="B30" s="5" t="s">
        <v>584</v>
      </c>
      <c r="C30" s="545">
        <v>1756</v>
      </c>
      <c r="D30" s="536">
        <v>1731.3219290304348</v>
      </c>
      <c r="E30" s="536">
        <v>1669.9045193827344</v>
      </c>
      <c r="F30" s="536">
        <v>2589.5906023449261</v>
      </c>
      <c r="G30" s="536">
        <v>2521.5014960546164</v>
      </c>
      <c r="H30" s="279">
        <f t="shared" si="4"/>
        <v>0.13351463940292296</v>
      </c>
      <c r="I30" s="254"/>
      <c r="J30" s="248"/>
      <c r="K30" s="248"/>
      <c r="L30" s="248"/>
      <c r="M30" s="248"/>
      <c r="N30" s="248"/>
      <c r="O30" s="5"/>
      <c r="Q30" s="5"/>
      <c r="S30" s="88"/>
      <c r="T30" s="42"/>
      <c r="U30" s="42"/>
      <c r="V30" s="147" t="s">
        <v>588</v>
      </c>
      <c r="W30" s="288">
        <f t="shared" si="6"/>
        <v>1.0914355361329739</v>
      </c>
      <c r="X30" s="288">
        <v>1</v>
      </c>
      <c r="Y30" s="42"/>
      <c r="Z30" s="42"/>
      <c r="AA30" s="42"/>
    </row>
    <row r="31" spans="2:27">
      <c r="B31" s="5" t="s">
        <v>585</v>
      </c>
      <c r="C31" s="545">
        <v>1139.6220000000001</v>
      </c>
      <c r="D31" s="536">
        <v>1139.6220000000001</v>
      </c>
      <c r="E31" s="536">
        <v>1139.6220000000001</v>
      </c>
      <c r="F31" s="536">
        <v>1346.826</v>
      </c>
      <c r="G31" s="536">
        <v>1398.6270000000002</v>
      </c>
      <c r="H31" s="279">
        <f t="shared" si="4"/>
        <v>7.0648783255412351E-2</v>
      </c>
      <c r="I31" s="254"/>
      <c r="J31" s="252"/>
      <c r="K31" s="252"/>
      <c r="L31" s="252"/>
      <c r="M31" s="252"/>
      <c r="N31" s="252"/>
      <c r="O31" s="5"/>
      <c r="Q31" s="5"/>
      <c r="S31" s="88"/>
      <c r="T31" s="42"/>
      <c r="U31" s="42"/>
      <c r="V31" s="147" t="s">
        <v>470</v>
      </c>
      <c r="W31" s="288">
        <f t="shared" si="6"/>
        <v>1.0758749887236232</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1.0206098451500503</v>
      </c>
      <c r="X32" s="288">
        <v>1</v>
      </c>
      <c r="Y32" s="42"/>
      <c r="Z32" s="42"/>
      <c r="AA32" s="42"/>
    </row>
    <row r="33" spans="2:27">
      <c r="B33" s="5" t="s">
        <v>5</v>
      </c>
      <c r="C33" s="545">
        <v>72</v>
      </c>
      <c r="D33" s="536">
        <v>77</v>
      </c>
      <c r="E33" s="536">
        <v>141.06364875753869</v>
      </c>
      <c r="F33" s="536">
        <v>169.21562966587419</v>
      </c>
      <c r="G33" s="536">
        <v>353.78909357684523</v>
      </c>
      <c r="H33" s="279">
        <f>IF(D33=0,"nm",IF(G33=0,"nm",(G33/D33)^(1/3)-1))</f>
        <v>0.66246012942342758</v>
      </c>
      <c r="I33" s="5"/>
      <c r="J33" s="254"/>
      <c r="K33" s="254"/>
      <c r="L33" s="254"/>
      <c r="M33" s="254"/>
      <c r="N33" s="254"/>
      <c r="O33" s="251"/>
      <c r="Q33" s="5"/>
      <c r="S33" s="88"/>
      <c r="T33" s="42"/>
      <c r="U33" s="42"/>
      <c r="V33" s="147" t="s">
        <v>575</v>
      </c>
      <c r="W33" s="288">
        <f t="shared" si="6"/>
        <v>0.90410795109352948</v>
      </c>
      <c r="X33" s="288">
        <v>1</v>
      </c>
      <c r="Y33" s="42"/>
      <c r="Z33" s="42"/>
      <c r="AA33" s="42"/>
    </row>
    <row r="34" spans="2:27">
      <c r="H34" s="277"/>
      <c r="I34" s="49"/>
      <c r="J34" s="254"/>
      <c r="K34" s="254"/>
      <c r="L34" s="254"/>
      <c r="M34" s="254"/>
      <c r="N34" s="254"/>
      <c r="O34" s="251"/>
      <c r="Q34" s="5"/>
      <c r="S34" s="88"/>
      <c r="T34" s="42"/>
      <c r="U34" s="42"/>
      <c r="V34" s="147" t="s">
        <v>576</v>
      </c>
      <c r="W34" s="288">
        <f>D47/L19</f>
        <v>0.92947601764249732</v>
      </c>
      <c r="X34" s="288">
        <v>1</v>
      </c>
      <c r="Y34" s="288"/>
      <c r="Z34" s="288"/>
      <c r="AA34" s="42"/>
    </row>
    <row r="35" spans="2:27" ht="12.6" thickBot="1">
      <c r="B35" s="306" t="s">
        <v>434</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3.3638221515518785</v>
      </c>
      <c r="E37" s="525">
        <f t="shared" ref="E37:G41" si="8">E$18/E23</f>
        <v>2.4166533364689857</v>
      </c>
      <c r="F37" s="525">
        <f t="shared" si="8"/>
        <v>2.2960506445006734</v>
      </c>
      <c r="G37" s="525">
        <f t="shared" si="8"/>
        <v>2.6944502082056272</v>
      </c>
      <c r="H37" s="17">
        <f t="shared" ref="H37:H45" si="9">H23</f>
        <v>0.11729916515339012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8.6465077612044681</v>
      </c>
      <c r="E38" s="525">
        <f t="shared" si="8"/>
        <v>8.7445252156448756</v>
      </c>
      <c r="F38" s="525">
        <f t="shared" si="8"/>
        <v>7.0044944452645854</v>
      </c>
      <c r="G38" s="525">
        <f t="shared" si="8"/>
        <v>7.9370676388202437</v>
      </c>
      <c r="H38" s="17">
        <f t="shared" si="9"/>
        <v>6.7682369028132738E-2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18.27614614248758</v>
      </c>
      <c r="E39" s="525">
        <f t="shared" si="8"/>
        <v>18.709835637265559</v>
      </c>
      <c r="F39" s="525">
        <f t="shared" si="8"/>
        <v>16.696074609365784</v>
      </c>
      <c r="G39" s="525">
        <f t="shared" si="8"/>
        <v>17.914434066949184</v>
      </c>
      <c r="H39" s="17">
        <f t="shared" si="9"/>
        <v>4.4581578775683584E-2</v>
      </c>
      <c r="I39" s="17"/>
      <c r="J39" s="5"/>
      <c r="K39" s="5"/>
      <c r="L39" s="5"/>
      <c r="M39" s="5"/>
      <c r="N39" s="5"/>
      <c r="O39" s="5"/>
      <c r="Q39" s="5"/>
      <c r="R39" s="5"/>
      <c r="S39" s="42"/>
      <c r="T39" s="42"/>
      <c r="U39" s="42"/>
      <c r="V39" s="42"/>
      <c r="W39" s="42"/>
      <c r="X39" s="42"/>
      <c r="Y39" s="42"/>
      <c r="Z39" s="42"/>
      <c r="AA39" s="42"/>
    </row>
    <row r="40" spans="2:27">
      <c r="B40" s="5" t="s">
        <v>461</v>
      </c>
      <c r="C40" s="247"/>
      <c r="D40" s="525">
        <f>D$18/D26</f>
        <v>23.017816300362188</v>
      </c>
      <c r="E40" s="525">
        <f t="shared" si="8"/>
        <v>23.564024732072493</v>
      </c>
      <c r="F40" s="525">
        <f t="shared" si="8"/>
        <v>21.027801775019878</v>
      </c>
      <c r="G40" s="525">
        <f t="shared" si="8"/>
        <v>22.562259530162699</v>
      </c>
      <c r="H40" s="17">
        <f t="shared" si="9"/>
        <v>4.4581578775683584E-2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2.1764646755160055</v>
      </c>
      <c r="E41" s="525">
        <f t="shared" si="8"/>
        <v>2.1085897850992961</v>
      </c>
      <c r="F41" s="525">
        <f t="shared" si="8"/>
        <v>1.9228051200079959</v>
      </c>
      <c r="G41" s="525">
        <f t="shared" si="8"/>
        <v>1.5330674832504503</v>
      </c>
      <c r="H41" s="17">
        <f t="shared" si="9"/>
        <v>0.16621503627329615</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3.6037471266876917</v>
      </c>
      <c r="E42" s="525">
        <f>E18/E28</f>
        <v>3.5296383875666608</v>
      </c>
      <c r="F42" s="525">
        <f>F18/F28</f>
        <v>3.1709054171205162</v>
      </c>
      <c r="G42" s="525">
        <f>G18/G28</f>
        <v>3.5614412465785303</v>
      </c>
      <c r="H42" s="17">
        <f t="shared" si="9"/>
        <v>4.1736852481159881E-2</v>
      </c>
      <c r="I42" s="248"/>
      <c r="J42" s="5"/>
      <c r="K42" s="5"/>
      <c r="L42" s="5"/>
      <c r="M42" s="5"/>
      <c r="N42" s="5"/>
      <c r="O42" s="5"/>
      <c r="Q42" s="5"/>
      <c r="R42" s="5"/>
      <c r="S42" s="42"/>
      <c r="T42" s="42"/>
      <c r="U42" s="42"/>
      <c r="V42" s="42"/>
      <c r="W42" s="288"/>
      <c r="X42" s="288"/>
      <c r="Y42" s="288"/>
      <c r="Z42" s="288"/>
      <c r="AA42" s="42"/>
    </row>
    <row r="43" spans="2:27">
      <c r="B43" s="5" t="s">
        <v>470</v>
      </c>
      <c r="C43" s="247"/>
      <c r="D43" s="525">
        <f>L26/D29</f>
        <v>18.756364716736268</v>
      </c>
      <c r="E43" s="525">
        <f>M26/E29</f>
        <v>19.865845789832122</v>
      </c>
      <c r="F43" s="525">
        <f>N26/F29</f>
        <v>15.779341897637687</v>
      </c>
      <c r="G43" s="525">
        <f>O26/G29</f>
        <v>15.222213142447623</v>
      </c>
      <c r="H43" s="17">
        <f t="shared" si="9"/>
        <v>7.2071185457139197E-2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16.42603176402098</v>
      </c>
      <c r="E44" s="525">
        <f>E11/E30</f>
        <v>17.030164700980709</v>
      </c>
      <c r="F44" s="525">
        <f>F11/F30</f>
        <v>10.981947870156828</v>
      </c>
      <c r="G44" s="525">
        <f>G11/G30</f>
        <v>11.278497769879573</v>
      </c>
      <c r="H44" s="17">
        <f t="shared" si="9"/>
        <v>0.13351463940292296</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4.0072859744990898E-2</v>
      </c>
      <c r="E45" s="248">
        <f>E31/E11</f>
        <v>4.0072859744990898E-2</v>
      </c>
      <c r="F45" s="248">
        <f>F31/F11</f>
        <v>4.7358834244080147E-2</v>
      </c>
      <c r="G45" s="248">
        <f>G31/G11</f>
        <v>4.9180327868852465E-2</v>
      </c>
      <c r="H45" s="17">
        <f t="shared" si="9"/>
        <v>7.0648783255412351E-2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4.0072859744990898E-2</v>
      </c>
      <c r="E46" s="248">
        <f>(E31+E32)/E11</f>
        <v>4.0072859744990898E-2</v>
      </c>
      <c r="F46" s="248">
        <f>(F31+F32)/F11</f>
        <v>4.7358834244080147E-2</v>
      </c>
      <c r="G46" s="248">
        <f>(G31+G32)/G11</f>
        <v>4.9180327868852465E-2</v>
      </c>
      <c r="H46" s="279">
        <f>((G31+G32)/(D31+D32))^(1/3)-1</f>
        <v>7.0648783255412351E-2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5.3315235393546274E-2</v>
      </c>
      <c r="E47" s="248">
        <f>1/E43</f>
        <v>5.0337650386465149E-2</v>
      </c>
      <c r="F47" s="248">
        <f>1/F43</f>
        <v>6.3373999149464483E-2</v>
      </c>
      <c r="G47" s="248">
        <f>1/G43</f>
        <v>6.5693469841876559E-2</v>
      </c>
      <c r="H47" s="17">
        <f>H29</f>
        <v>7.2071185457139197E-2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0.72804320878957174</v>
      </c>
      <c r="E48" s="305">
        <f>E31/E29</f>
        <v>0.77110859873836324</v>
      </c>
      <c r="F48" s="305">
        <f>F31/F29</f>
        <v>0.72384910138801861</v>
      </c>
      <c r="G48" s="305">
        <f>G31/G29</f>
        <v>0.7251491932298908</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SWISSSOP!A1" display="Jump to Swisscom SOP" xr:uid="{00000000-0004-0000-5A00-000001000000}"/>
  </hyperlinks>
  <pageMargins left="0.75" right="0.75" top="1" bottom="1" header="0.5" footer="0.5"/>
  <pageSetup scale="71"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50">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337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340</v>
      </c>
      <c r="C9" s="287">
        <f>Prices!C92</f>
        <v>115</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44">
      <c r="B10" s="5" t="s">
        <v>269</v>
      </c>
      <c r="C10" s="5"/>
      <c r="D10" s="527">
        <v>2703.52</v>
      </c>
      <c r="E10" s="527">
        <v>2703.52</v>
      </c>
      <c r="F10" s="527">
        <v>2703.52</v>
      </c>
      <c r="G10" s="527">
        <v>2703.52</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44">
      <c r="B11" s="41" t="s">
        <v>270</v>
      </c>
      <c r="C11" s="5"/>
      <c r="D11" s="528">
        <f>$C$9*D10</f>
        <v>310904.8</v>
      </c>
      <c r="E11" s="528">
        <f>$C$9*E10</f>
        <v>310904.8</v>
      </c>
      <c r="F11" s="528">
        <f>$C$9*F10</f>
        <v>310904.8</v>
      </c>
      <c r="G11" s="528">
        <f>$C$9*G10</f>
        <v>310904.8</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44">
      <c r="B12" s="5" t="s">
        <v>24</v>
      </c>
      <c r="C12" s="249"/>
      <c r="D12" s="529">
        <v>71879.894528027013</v>
      </c>
      <c r="E12" s="529">
        <v>67385.856922452222</v>
      </c>
      <c r="F12" s="529">
        <v>62479.313412806645</v>
      </c>
      <c r="G12" s="529">
        <v>55447.966173735418</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44">
      <c r="B15" s="5" t="s">
        <v>526</v>
      </c>
      <c r="C15" s="274"/>
      <c r="D15" s="529">
        <v>0</v>
      </c>
      <c r="E15" s="529">
        <f t="shared" si="2"/>
        <v>0</v>
      </c>
      <c r="F15" s="529">
        <f t="shared" si="2"/>
        <v>0</v>
      </c>
      <c r="G15" s="529">
        <f t="shared" si="2"/>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44">
      <c r="B16" s="5" t="s">
        <v>529</v>
      </c>
      <c r="C16" s="257"/>
      <c r="D16" s="529">
        <v>58666.384000000005</v>
      </c>
      <c r="E16" s="529">
        <v>73265.392000000007</v>
      </c>
      <c r="F16" s="529">
        <v>87864.400000000009</v>
      </c>
      <c r="G16" s="529">
        <v>102463.40800000001</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324118.31052802695</v>
      </c>
      <c r="E18" s="530">
        <f>E11+E12+E13-E14+E15-E16-E17</f>
        <v>305025.26492245222</v>
      </c>
      <c r="F18" s="530">
        <f>F11+F12+F13-F14+F15-F16-F17</f>
        <v>285519.71341280662</v>
      </c>
      <c r="G18" s="530">
        <f>G11+G12+G13-G14+G15-G16-G17</f>
        <v>263889.35817373538</v>
      </c>
      <c r="H18" s="276">
        <f>IF(D18=0,"nm",IF(G18=0,"nm",(G18/D18)^(1/3)-1))</f>
        <v>-6.6231032235767096E-2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924</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149301.29357745347</v>
      </c>
      <c r="D23" s="536">
        <v>153059.54972312672</v>
      </c>
      <c r="E23" s="536">
        <v>157641.7750561471</v>
      </c>
      <c r="F23" s="536">
        <v>162909.61498745449</v>
      </c>
      <c r="G23" s="536">
        <v>168422.43050361387</v>
      </c>
      <c r="H23" s="279">
        <f t="shared" ref="H23:H32" si="4">IF(D23=0,"nm",IF(G23=0,"nm",(G23/D23)^(1/3)-1))</f>
        <v>3.2396443240543915E-2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33224.734212262127</v>
      </c>
      <c r="D24" s="536">
        <v>34402.188542309596</v>
      </c>
      <c r="E24" s="536">
        <v>35919.533508428118</v>
      </c>
      <c r="F24" s="536">
        <v>37730.726971542645</v>
      </c>
      <c r="G24" s="536">
        <v>40626.969291758789</v>
      </c>
      <c r="H24" s="279">
        <f t="shared" si="4"/>
        <v>5.7002752048651795E-2</v>
      </c>
      <c r="I24" s="249"/>
      <c r="J24" s="17"/>
      <c r="K24" s="17"/>
      <c r="L24" s="17"/>
      <c r="M24" s="17"/>
      <c r="N24" s="17"/>
      <c r="O24" s="248"/>
      <c r="S24" s="88"/>
      <c r="T24" s="42"/>
      <c r="U24" s="42"/>
      <c r="V24" s="42"/>
      <c r="W24" s="42" t="s">
        <v>242</v>
      </c>
      <c r="X24" s="42" t="s">
        <v>252</v>
      </c>
      <c r="Y24" s="42"/>
      <c r="Z24" s="42"/>
      <c r="AA24" s="42"/>
    </row>
    <row r="25" spans="2:27">
      <c r="B25" s="5" t="s">
        <v>179</v>
      </c>
      <c r="C25" s="544">
        <v>21280.63072606585</v>
      </c>
      <c r="D25" s="536">
        <v>23688.020061690724</v>
      </c>
      <c r="E25" s="536">
        <v>26461.027005059292</v>
      </c>
      <c r="F25" s="536">
        <v>27141.601997358102</v>
      </c>
      <c r="G25" s="536">
        <v>29679.511309023888</v>
      </c>
      <c r="H25" s="279">
        <f t="shared" si="4"/>
        <v>7.8059326725372857E-2</v>
      </c>
      <c r="I25" s="248"/>
      <c r="J25" s="247" t="s">
        <v>10</v>
      </c>
      <c r="K25" s="247"/>
      <c r="L25" s="321">
        <v>0</v>
      </c>
      <c r="M25" s="321">
        <v>0</v>
      </c>
      <c r="N25" s="321">
        <v>0</v>
      </c>
      <c r="O25" s="321">
        <v>0</v>
      </c>
      <c r="P25" s="279" t="str">
        <f>IF(L25=0,"nm",IF(O25=0,"nm",(O25/L25)^(1/3)-1))</f>
        <v>nm</v>
      </c>
      <c r="S25" s="88"/>
      <c r="T25" s="42"/>
      <c r="U25" s="42"/>
      <c r="V25" s="147" t="s">
        <v>268</v>
      </c>
      <c r="W25" s="288">
        <f>D37/L9</f>
        <v>0.98363680247097585</v>
      </c>
      <c r="X25" s="288">
        <v>1</v>
      </c>
      <c r="Y25" s="42"/>
      <c r="Z25" s="42"/>
      <c r="AA25" s="42"/>
    </row>
    <row r="26" spans="2:27">
      <c r="B26" s="5" t="s">
        <v>581</v>
      </c>
      <c r="C26" s="544">
        <v>17422.471263207965</v>
      </c>
      <c r="D26" s="536">
        <v>19393.403048979879</v>
      </c>
      <c r="E26" s="536">
        <v>21663.666294718114</v>
      </c>
      <c r="F26" s="536">
        <v>22220.853644962408</v>
      </c>
      <c r="G26" s="536">
        <v>24298.64225096297</v>
      </c>
      <c r="H26" s="279">
        <f t="shared" si="4"/>
        <v>7.8059326725372857E-2</v>
      </c>
      <c r="I26" s="249"/>
      <c r="J26" s="249" t="s">
        <v>11</v>
      </c>
      <c r="K26" s="249"/>
      <c r="L26" s="281">
        <f>D11+L25</f>
        <v>310904.8</v>
      </c>
      <c r="M26" s="281">
        <f>E11+M25</f>
        <v>310904.8</v>
      </c>
      <c r="N26" s="281">
        <f>F11+N25</f>
        <v>310904.8</v>
      </c>
      <c r="O26" s="281">
        <f>G11+O25</f>
        <v>310904.8</v>
      </c>
      <c r="P26" s="279">
        <f>IF(L26=0,"nm",IF(O26=0,"nm",(O26/L26)^(1/3)-1))</f>
        <v>0</v>
      </c>
      <c r="Q26" s="5"/>
      <c r="S26" s="88"/>
      <c r="T26" s="42"/>
      <c r="U26" s="42"/>
      <c r="V26" s="147" t="s">
        <v>180</v>
      </c>
      <c r="W26" s="288">
        <f t="shared" ref="W26:W33" si="6">D38/L10</f>
        <v>1.4281054300817586</v>
      </c>
      <c r="X26" s="288">
        <v>1</v>
      </c>
      <c r="Y26" s="42"/>
      <c r="Z26" s="42"/>
      <c r="AA26" s="42"/>
    </row>
    <row r="27" spans="2:27">
      <c r="B27" s="5" t="s">
        <v>582</v>
      </c>
      <c r="C27" s="545">
        <v>104280.76978323933</v>
      </c>
      <c r="D27" s="536">
        <v>100286.92119515152</v>
      </c>
      <c r="E27" s="536">
        <v>96023.138919026242</v>
      </c>
      <c r="F27" s="536">
        <v>93299.710427415761</v>
      </c>
      <c r="G27" s="536">
        <v>90584.367360271644</v>
      </c>
      <c r="H27" s="279">
        <f t="shared" si="4"/>
        <v>-3.3349116329359663E-2</v>
      </c>
      <c r="I27" s="249"/>
      <c r="J27" s="248"/>
      <c r="K27" s="248"/>
      <c r="L27" s="248"/>
      <c r="M27" s="248"/>
      <c r="N27" s="248"/>
      <c r="O27" s="248"/>
      <c r="Q27" s="41"/>
      <c r="S27" s="88"/>
      <c r="T27" s="42"/>
      <c r="U27" s="42"/>
      <c r="V27" s="147" t="s">
        <v>181</v>
      </c>
      <c r="W27" s="288">
        <f t="shared" si="6"/>
        <v>1.0761591907925052</v>
      </c>
      <c r="X27" s="288">
        <v>1</v>
      </c>
      <c r="Y27" s="42"/>
      <c r="Z27" s="42"/>
      <c r="AA27" s="42"/>
    </row>
    <row r="28" spans="2:27" ht="12.6" thickBot="1">
      <c r="B28" s="5" t="s">
        <v>587</v>
      </c>
      <c r="C28" s="544">
        <v>35046.031205275242</v>
      </c>
      <c r="D28" s="536">
        <v>32097.830158154073</v>
      </c>
      <c r="E28" s="536">
        <v>29288.649649985746</v>
      </c>
      <c r="F28" s="536">
        <v>28455.297792666679</v>
      </c>
      <c r="G28" s="536">
        <v>28078.804393993196</v>
      </c>
      <c r="H28" s="279">
        <f t="shared" si="4"/>
        <v>-4.3611572895530193E-2</v>
      </c>
      <c r="I28" s="248"/>
      <c r="J28" s="306" t="s">
        <v>1352</v>
      </c>
      <c r="K28" s="306"/>
      <c r="L28" s="306"/>
      <c r="M28" s="306"/>
      <c r="N28" s="266"/>
      <c r="O28" s="266"/>
      <c r="P28" s="266"/>
      <c r="Q28" s="5"/>
      <c r="S28" s="88"/>
      <c r="T28" s="42"/>
      <c r="U28" s="42"/>
      <c r="V28" s="147" t="s">
        <v>461</v>
      </c>
      <c r="W28" s="288">
        <f t="shared" si="6"/>
        <v>1.0095667167782665</v>
      </c>
      <c r="X28" s="288">
        <v>1</v>
      </c>
      <c r="Y28" s="42"/>
      <c r="Z28" s="42"/>
      <c r="AA28" s="42"/>
    </row>
    <row r="29" spans="2:27" ht="12.6" thickTop="1">
      <c r="B29" s="5" t="s">
        <v>583</v>
      </c>
      <c r="C29" s="544">
        <v>18271.725850911142</v>
      </c>
      <c r="D29" s="536">
        <v>19958.787187198512</v>
      </c>
      <c r="E29" s="536">
        <v>22378.232534398394</v>
      </c>
      <c r="F29" s="536">
        <v>22744.300497506145</v>
      </c>
      <c r="G29" s="536">
        <v>24926.397356140522</v>
      </c>
      <c r="H29" s="279">
        <f t="shared" si="4"/>
        <v>7.6899368139329516E-2</v>
      </c>
      <c r="I29" s="252"/>
      <c r="J29" s="249"/>
      <c r="K29" s="249"/>
      <c r="L29" s="249"/>
      <c r="M29" s="249"/>
      <c r="N29" s="249"/>
      <c r="O29" s="251"/>
      <c r="Q29" s="5"/>
      <c r="S29" s="88"/>
      <c r="T29" s="42"/>
      <c r="U29" s="42"/>
      <c r="V29" s="147" t="s">
        <v>525</v>
      </c>
      <c r="W29" s="288">
        <f t="shared" si="6"/>
        <v>2.1794915804233264</v>
      </c>
      <c r="X29" s="288">
        <v>1</v>
      </c>
      <c r="Y29" s="42"/>
      <c r="Z29" s="42"/>
      <c r="AA29" s="42"/>
    </row>
    <row r="30" spans="2:27">
      <c r="B30" s="5" t="s">
        <v>584</v>
      </c>
      <c r="C30" s="545">
        <v>8480.6667803017626</v>
      </c>
      <c r="D30" s="536">
        <v>12247.240297093393</v>
      </c>
      <c r="E30" s="536">
        <v>14401.532821439478</v>
      </c>
      <c r="F30" s="536">
        <v>16304.961669660599</v>
      </c>
      <c r="G30" s="536">
        <v>18468.244912140661</v>
      </c>
      <c r="H30" s="279">
        <f t="shared" si="4"/>
        <v>0.14673340005885316</v>
      </c>
      <c r="I30" s="254"/>
      <c r="J30" s="248"/>
      <c r="K30" s="248"/>
      <c r="L30" s="248"/>
      <c r="M30" s="248"/>
      <c r="N30" s="248"/>
      <c r="O30" s="5"/>
      <c r="Q30" s="5"/>
      <c r="S30" s="88"/>
      <c r="T30" s="42"/>
      <c r="U30" s="42"/>
      <c r="V30" s="147" t="s">
        <v>588</v>
      </c>
      <c r="W30" s="288">
        <f t="shared" si="6"/>
        <v>3.3188622615504406</v>
      </c>
      <c r="X30" s="288">
        <v>1</v>
      </c>
      <c r="Y30" s="42"/>
      <c r="Z30" s="42"/>
      <c r="AA30" s="42"/>
    </row>
    <row r="31" spans="2:27">
      <c r="B31" s="5" t="s">
        <v>585</v>
      </c>
      <c r="C31" s="545">
        <v>14599.008000000002</v>
      </c>
      <c r="D31" s="536">
        <v>14599.008000000002</v>
      </c>
      <c r="E31" s="536">
        <v>14599.008000000002</v>
      </c>
      <c r="F31" s="536">
        <v>14599.008000000002</v>
      </c>
      <c r="G31" s="536">
        <v>14599.008000000002</v>
      </c>
      <c r="H31" s="279">
        <f t="shared" si="4"/>
        <v>0</v>
      </c>
      <c r="I31" s="254"/>
      <c r="J31" s="252"/>
      <c r="K31" s="252"/>
      <c r="L31" s="252"/>
      <c r="M31" s="252"/>
      <c r="N31" s="252"/>
      <c r="O31" s="5"/>
      <c r="Q31" s="5"/>
      <c r="S31" s="88"/>
      <c r="T31" s="42"/>
      <c r="U31" s="42"/>
      <c r="V31" s="147" t="s">
        <v>470</v>
      </c>
      <c r="W31" s="288">
        <f t="shared" si="6"/>
        <v>0.79128132352778724</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1.1863904421323077</v>
      </c>
      <c r="X32" s="288">
        <v>1</v>
      </c>
      <c r="Y32" s="42"/>
      <c r="Z32" s="42"/>
      <c r="AA32" s="42"/>
    </row>
    <row r="33" spans="2:27">
      <c r="B33" s="5" t="s">
        <v>5</v>
      </c>
      <c r="C33" s="545">
        <v>597.51120172066703</v>
      </c>
      <c r="D33" s="536">
        <v>530.11755877362327</v>
      </c>
      <c r="E33" s="536">
        <v>452.23705823406902</v>
      </c>
      <c r="F33" s="536">
        <v>371.45314766366369</v>
      </c>
      <c r="G33" s="536">
        <v>291.66970110127647</v>
      </c>
      <c r="H33" s="279">
        <f>IF(D33=0,"nm",IF(G33=0,"nm",(G33/D33)^(1/3)-1))</f>
        <v>-0.18058034725771788</v>
      </c>
      <c r="I33" s="5"/>
      <c r="J33" s="254"/>
      <c r="K33" s="254"/>
      <c r="L33" s="254"/>
      <c r="M33" s="254"/>
      <c r="N33" s="254"/>
      <c r="O33" s="251"/>
      <c r="Q33" s="5"/>
      <c r="S33" s="88"/>
      <c r="T33" s="42"/>
      <c r="U33" s="42"/>
      <c r="V33" s="147" t="s">
        <v>575</v>
      </c>
      <c r="W33" s="288">
        <f t="shared" si="6"/>
        <v>1.1907018918703753</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1.2637730352862087</v>
      </c>
      <c r="X34" s="288">
        <v>1</v>
      </c>
      <c r="Y34" s="288"/>
      <c r="Z34" s="288"/>
      <c r="AA34" s="42"/>
    </row>
    <row r="35" spans="2:27" ht="12.6" thickBot="1">
      <c r="B35" s="306" t="s">
        <v>343</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2.117596132448663</v>
      </c>
      <c r="E37" s="525">
        <f t="shared" ref="E37:G41" si="8">E$18/E23</f>
        <v>1.9349266069467417</v>
      </c>
      <c r="F37" s="525">
        <f t="shared" si="8"/>
        <v>1.7526265311890536</v>
      </c>
      <c r="G37" s="525">
        <f t="shared" si="8"/>
        <v>1.5668302457378032</v>
      </c>
      <c r="H37" s="17">
        <f t="shared" ref="H37:H45" si="9">H23</f>
        <v>3.2396443240543915E-2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9.4214445144793455</v>
      </c>
      <c r="E38" s="525">
        <f t="shared" si="8"/>
        <v>8.4919049644918534</v>
      </c>
      <c r="F38" s="525">
        <f t="shared" si="8"/>
        <v>7.5672995547674438</v>
      </c>
      <c r="G38" s="525">
        <f t="shared" si="8"/>
        <v>6.49542318253273</v>
      </c>
      <c r="H38" s="17">
        <f t="shared" si="9"/>
        <v>5.7002752048651795E-2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13.682794496286538</v>
      </c>
      <c r="E39" s="525">
        <f t="shared" si="8"/>
        <v>11.527340373604247</v>
      </c>
      <c r="F39" s="525">
        <f t="shared" si="8"/>
        <v>10.519633787298128</v>
      </c>
      <c r="G39" s="525">
        <f t="shared" si="8"/>
        <v>8.8912972800027639</v>
      </c>
      <c r="H39" s="17">
        <f t="shared" si="9"/>
        <v>7.8059326725372857E-2</v>
      </c>
      <c r="I39" s="17"/>
      <c r="J39" s="5"/>
      <c r="K39" s="5"/>
      <c r="L39" s="5"/>
      <c r="M39" s="5"/>
      <c r="N39" s="5"/>
      <c r="O39" s="5"/>
      <c r="Q39" s="5"/>
      <c r="R39" s="5"/>
      <c r="S39" s="42"/>
      <c r="T39" s="42"/>
      <c r="U39" s="42"/>
      <c r="V39" s="42"/>
      <c r="W39" s="42"/>
      <c r="X39" s="42"/>
      <c r="Y39" s="42"/>
      <c r="Z39" s="42"/>
      <c r="AA39" s="42"/>
    </row>
    <row r="40" spans="2:27">
      <c r="B40" s="5" t="s">
        <v>461</v>
      </c>
      <c r="C40" s="247"/>
      <c r="D40" s="525">
        <f>D$18/D26</f>
        <v>16.712812584229567</v>
      </c>
      <c r="E40" s="525">
        <f t="shared" si="8"/>
        <v>14.080038935829684</v>
      </c>
      <c r="F40" s="525">
        <f t="shared" si="8"/>
        <v>12.849178432779766</v>
      </c>
      <c r="G40" s="525">
        <f t="shared" si="8"/>
        <v>10.860251179807269</v>
      </c>
      <c r="H40" s="17">
        <f t="shared" si="9"/>
        <v>7.8059326725372857E-2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3.2319100702803989</v>
      </c>
      <c r="E41" s="525">
        <f t="shared" si="8"/>
        <v>3.1765808570335521</v>
      </c>
      <c r="F41" s="525">
        <f t="shared" si="8"/>
        <v>3.0602422248130341</v>
      </c>
      <c r="G41" s="525">
        <f t="shared" si="8"/>
        <v>2.9131887307243214</v>
      </c>
      <c r="H41" s="17">
        <f t="shared" si="9"/>
        <v>-3.3349116329359663E-2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10.09782620603993</v>
      </c>
      <c r="E42" s="525">
        <f>E18/E28</f>
        <v>10.414452990071554</v>
      </c>
      <c r="F42" s="525">
        <f>F18/F28</f>
        <v>10.033973831276823</v>
      </c>
      <c r="G42" s="525">
        <f>G18/G28</f>
        <v>9.3981693262619235</v>
      </c>
      <c r="H42" s="17">
        <f t="shared" si="9"/>
        <v>-4.3611572895530193E-2</v>
      </c>
      <c r="I42" s="248"/>
      <c r="J42" s="5"/>
      <c r="K42" s="5"/>
      <c r="L42" s="5"/>
      <c r="M42" s="5"/>
      <c r="N42" s="5"/>
      <c r="O42" s="5"/>
      <c r="Q42" s="5"/>
      <c r="R42" s="5"/>
      <c r="S42" s="42"/>
      <c r="T42" s="42"/>
      <c r="U42" s="42"/>
      <c r="V42" s="42"/>
      <c r="W42" s="288"/>
      <c r="X42" s="288"/>
      <c r="Y42" s="288"/>
      <c r="Z42" s="288"/>
      <c r="AA42" s="42"/>
    </row>
    <row r="43" spans="2:27">
      <c r="B43" s="5" t="s">
        <v>470</v>
      </c>
      <c r="C43" s="247"/>
      <c r="D43" s="525">
        <f>L26/D29</f>
        <v>15.577339298422558</v>
      </c>
      <c r="E43" s="525">
        <f>M26/E29</f>
        <v>13.893179433277268</v>
      </c>
      <c r="F43" s="525">
        <f>N26/F29</f>
        <v>13.669569659180766</v>
      </c>
      <c r="G43" s="525">
        <f>O26/G29</f>
        <v>12.472913576634843</v>
      </c>
      <c r="H43" s="17">
        <f t="shared" si="9"/>
        <v>7.6899368139329516E-2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25.385702612023238</v>
      </c>
      <c r="E44" s="525">
        <f>E11/E30</f>
        <v>21.588313122972426</v>
      </c>
      <c r="F44" s="525">
        <f>F11/F30</f>
        <v>19.068109836683334</v>
      </c>
      <c r="G44" s="525">
        <f>G11/G30</f>
        <v>16.834561241692072</v>
      </c>
      <c r="H44" s="17">
        <f t="shared" si="9"/>
        <v>0.14673340005885316</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4.6956521739130438E-2</v>
      </c>
      <c r="E45" s="248">
        <f>E31/E11</f>
        <v>4.6956521739130438E-2</v>
      </c>
      <c r="F45" s="248">
        <f>F31/F11</f>
        <v>4.6956521739130438E-2</v>
      </c>
      <c r="G45" s="248">
        <f>G31/G11</f>
        <v>4.6956521739130438E-2</v>
      </c>
      <c r="H45" s="17">
        <f t="shared" si="9"/>
        <v>0</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4.6956521739130438E-2</v>
      </c>
      <c r="E46" s="248">
        <f>(E31+E32)/E11</f>
        <v>4.6956521739130438E-2</v>
      </c>
      <c r="F46" s="248">
        <f>(F31+F32)/F11</f>
        <v>4.6956521739130438E-2</v>
      </c>
      <c r="G46" s="248">
        <f>(G31+G32)/G11</f>
        <v>4.6956521739130438E-2</v>
      </c>
      <c r="H46" s="279">
        <f>((G31+G32)/(D31+D32))^(1/3)-1</f>
        <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6.4195815526805991E-2</v>
      </c>
      <c r="E47" s="248">
        <f>1/E43</f>
        <v>7.1977764686805709E-2</v>
      </c>
      <c r="F47" s="248">
        <f>1/F43</f>
        <v>7.3155192513933986E-2</v>
      </c>
      <c r="G47" s="248">
        <f>1/G43</f>
        <v>8.0173729566544241E-2</v>
      </c>
      <c r="H47" s="17">
        <f>H29</f>
        <v>7.6899368139329516E-2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0.73145767140418971</v>
      </c>
      <c r="E48" s="305">
        <f>E31/E29</f>
        <v>0.652375382084324</v>
      </c>
      <c r="F48" s="305">
        <f>F31/F29</f>
        <v>0.64187544486587955</v>
      </c>
      <c r="G48" s="305">
        <f>G31/G29</f>
        <v>0.58568463751154931</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82">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769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771</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869</v>
      </c>
      <c r="C9" s="290">
        <f>Prices!$C$100</f>
        <v>1920</v>
      </c>
      <c r="D9" s="531">
        <v>0</v>
      </c>
      <c r="E9" s="532">
        <v>0</v>
      </c>
      <c r="F9" s="532">
        <v>0</v>
      </c>
      <c r="G9" s="532">
        <v>0</v>
      </c>
      <c r="H9" s="249"/>
      <c r="I9" s="249"/>
      <c r="J9" s="5" t="s">
        <v>268</v>
      </c>
      <c r="L9" s="525">
        <f>'EM TOWERS'!D37</f>
        <v>3.1620526700243352</v>
      </c>
      <c r="M9" s="525">
        <f>'EM TOWERS'!E37</f>
        <v>2.9424000564542334</v>
      </c>
      <c r="N9" s="525">
        <f>'EM TOWERS'!F37</f>
        <v>2.5659911609656558</v>
      </c>
      <c r="O9" s="525">
        <f>'EM TOWERS'!G37</f>
        <v>2.2128014874226967</v>
      </c>
      <c r="P9" s="279">
        <f>'EM TOWERS'!H37</f>
        <v>5.2839276228291432E-2</v>
      </c>
      <c r="S9" s="88"/>
      <c r="T9" s="42"/>
      <c r="U9" s="42"/>
      <c r="V9" s="42"/>
      <c r="W9" s="42"/>
      <c r="X9" s="42"/>
      <c r="Y9" s="42"/>
      <c r="Z9" s="42"/>
      <c r="AA9" s="42"/>
    </row>
    <row r="10" spans="2:44">
      <c r="B10" s="5" t="s">
        <v>269</v>
      </c>
      <c r="C10" s="5"/>
      <c r="D10" s="527">
        <v>22636.538745000002</v>
      </c>
      <c r="E10" s="527">
        <v>22636.538745000002</v>
      </c>
      <c r="F10" s="527">
        <v>22636.538745000002</v>
      </c>
      <c r="G10" s="527">
        <v>22636.538745000002</v>
      </c>
      <c r="H10" s="247"/>
      <c r="I10" s="247"/>
      <c r="J10" s="5" t="s">
        <v>180</v>
      </c>
      <c r="L10" s="525">
        <f>'EM TOWERS'!D38</f>
        <v>4.925565476585744</v>
      </c>
      <c r="M10" s="525">
        <f>'EM TOWERS'!E38</f>
        <v>4.5370192974808798</v>
      </c>
      <c r="N10" s="525">
        <f>'EM TOWERS'!F38</f>
        <v>3.9348737497172284</v>
      </c>
      <c r="O10" s="525">
        <f>'EM TOWERS'!G38</f>
        <v>3.3927175182471632</v>
      </c>
      <c r="P10" s="279">
        <f>'EM TOWERS'!H38</f>
        <v>5.841502106121288E-2</v>
      </c>
      <c r="S10" s="88"/>
      <c r="T10" s="42"/>
      <c r="U10" s="42"/>
      <c r="V10" s="42"/>
      <c r="W10" s="288"/>
      <c r="X10" s="288"/>
      <c r="Y10" s="288"/>
      <c r="Z10" s="288"/>
      <c r="AA10" s="42"/>
    </row>
    <row r="11" spans="2:44">
      <c r="B11" s="41" t="s">
        <v>270</v>
      </c>
      <c r="C11" s="5"/>
      <c r="D11" s="528">
        <f>$C$9*D10/1000</f>
        <v>43462.154390399999</v>
      </c>
      <c r="E11" s="528">
        <f>$C$9*E10/1000</f>
        <v>43462.154390399999</v>
      </c>
      <c r="F11" s="528">
        <f>$C$9*F10/1000</f>
        <v>43462.154390399999</v>
      </c>
      <c r="G11" s="528">
        <f>$C$9*G10/1000</f>
        <v>43462.154390399999</v>
      </c>
      <c r="H11" s="249"/>
      <c r="I11" s="249"/>
      <c r="J11" s="5" t="s">
        <v>181</v>
      </c>
      <c r="L11" s="525">
        <f>'EM TOWERS'!D39</f>
        <v>9.3696948912200728</v>
      </c>
      <c r="M11" s="525">
        <f>'EM TOWERS'!E39</f>
        <v>6.8594503743264976</v>
      </c>
      <c r="N11" s="525">
        <f>'EM TOWERS'!F39</f>
        <v>5.8273489357381703</v>
      </c>
      <c r="O11" s="525">
        <f>'EM TOWERS'!G39</f>
        <v>4.9434351005636117</v>
      </c>
      <c r="P11" s="279">
        <f>'EM TOWERS'!H39</f>
        <v>0.15678345110080794</v>
      </c>
      <c r="S11" s="88"/>
      <c r="T11" s="42"/>
      <c r="U11" s="42"/>
      <c r="V11" s="42"/>
      <c r="W11" s="288"/>
      <c r="X11" s="288"/>
      <c r="Y11" s="288"/>
      <c r="Z11" s="288"/>
      <c r="AA11" s="42"/>
    </row>
    <row r="12" spans="2:44">
      <c r="B12" s="5" t="s">
        <v>24</v>
      </c>
      <c r="C12" s="249"/>
      <c r="D12" s="529">
        <v>27401.1</v>
      </c>
      <c r="E12" s="529">
        <v>27250.561990660564</v>
      </c>
      <c r="F12" s="529">
        <v>26864.516449337931</v>
      </c>
      <c r="G12" s="529">
        <v>26400.16636046637</v>
      </c>
      <c r="H12" s="247"/>
      <c r="I12" s="247"/>
      <c r="J12" s="5" t="s">
        <v>461</v>
      </c>
      <c r="L12" s="525">
        <f>'EM TOWERS'!D40</f>
        <v>12.097154573967106</v>
      </c>
      <c r="M12" s="525">
        <f>'EM TOWERS'!E40</f>
        <v>8.2078607710351097</v>
      </c>
      <c r="N12" s="525">
        <f>'EM TOWERS'!F40</f>
        <v>6.4966647693535213</v>
      </c>
      <c r="O12" s="525">
        <f>'EM TOWERS'!G40</f>
        <v>5.4854068423881115</v>
      </c>
      <c r="P12" s="279">
        <f>'EM TOWERS'!H40</f>
        <v>0.21668454558802974</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'EM TOWERS'!D41</f>
        <v>1.2624385351891199</v>
      </c>
      <c r="M13" s="525">
        <f>'EM TOWERS'!E41</f>
        <v>1.2659168158606797</v>
      </c>
      <c r="N13" s="525">
        <f>'EM TOWERS'!F41</f>
        <v>1.2021862019111522</v>
      </c>
      <c r="O13" s="525">
        <f>'EM TOWERS'!G41</f>
        <v>1.0983319967969536</v>
      </c>
      <c r="P13" s="279">
        <f>'EM TOWERS'!H41</f>
        <v>-2.0858634191997183E-2</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'EM TOWERS'!D42</f>
        <v>1.7465887360675805</v>
      </c>
      <c r="M14" s="525">
        <f>'EM TOWERS'!E42</f>
        <v>1.85806888290891</v>
      </c>
      <c r="N14" s="525">
        <f>'EM TOWERS'!F42</f>
        <v>1.9385154484894787</v>
      </c>
      <c r="O14" s="525">
        <f>'EM TOWERS'!G42</f>
        <v>1.9579432137545243</v>
      </c>
      <c r="P14" s="279">
        <f>'EM TOWERS'!H42</f>
        <v>-0.10019158430344766</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'EM TOWERS'!D43</f>
        <v>9.7516598460327248</v>
      </c>
      <c r="M15" s="525">
        <f>'EM TOWERS'!E43</f>
        <v>6.513674430115775</v>
      </c>
      <c r="N15" s="525">
        <f>'EM TOWERS'!F43</f>
        <v>5.5078171276714709</v>
      </c>
      <c r="O15" s="525">
        <f>'EM TOWERS'!G43</f>
        <v>5.2100521422471591</v>
      </c>
      <c r="P15" s="279">
        <f>'EM TOWERS'!H43</f>
        <v>0.23024510578702229</v>
      </c>
      <c r="S15" s="88"/>
      <c r="T15" s="42"/>
      <c r="U15" s="42"/>
      <c r="V15" s="42"/>
      <c r="W15" s="42"/>
      <c r="X15" s="42"/>
      <c r="Y15" s="42"/>
      <c r="Z15" s="42"/>
      <c r="AA15" s="42"/>
    </row>
    <row r="16" spans="2:44">
      <c r="B16" s="5" t="s">
        <v>529</v>
      </c>
      <c r="C16" s="257"/>
      <c r="D16" s="529">
        <v>0</v>
      </c>
      <c r="E16" s="529">
        <v>0</v>
      </c>
      <c r="F16" s="529">
        <v>806.98051323643404</v>
      </c>
      <c r="G16" s="529">
        <v>1666.0973283260942</v>
      </c>
      <c r="H16" s="247"/>
      <c r="I16" s="247"/>
      <c r="J16" s="5" t="s">
        <v>528</v>
      </c>
      <c r="L16" s="525">
        <f>'EM TOWERS'!D44</f>
        <v>16.675071508591021</v>
      </c>
      <c r="M16" s="525">
        <f>'EM TOWERS'!E44</f>
        <v>12.851369251759737</v>
      </c>
      <c r="N16" s="525">
        <f>'EM TOWERS'!F44</f>
        <v>10.194942053136637</v>
      </c>
      <c r="O16" s="525">
        <f>'EM TOWERS'!G44</f>
        <v>7.7971320939080435</v>
      </c>
      <c r="P16" s="279">
        <f>'EM TOWERS'!H44</f>
        <v>0.28614645680803363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525">
        <f>'EM TOWERS'!D45</f>
        <v>2.3318770967946687E-2</v>
      </c>
      <c r="M17" s="525">
        <f>'EM TOWERS'!E45</f>
        <v>3.253951189440675E-2</v>
      </c>
      <c r="N17" s="525">
        <f>'EM TOWERS'!F45</f>
        <v>4.1886670508327097E-2</v>
      </c>
      <c r="O17" s="525">
        <f>'EM TOWERS'!G45</f>
        <v>5.866090554375173E-2</v>
      </c>
      <c r="P17" s="279">
        <f>'EM TOWERS'!H45</f>
        <v>0.35766885870880061</v>
      </c>
      <c r="S17" s="88"/>
      <c r="T17" s="42"/>
      <c r="U17" s="42"/>
      <c r="V17" s="42"/>
      <c r="W17" s="42"/>
      <c r="X17" s="42"/>
      <c r="Y17" s="42"/>
      <c r="Z17" s="42"/>
      <c r="AA17" s="42"/>
    </row>
    <row r="18" spans="2:27" ht="12.6" thickBot="1">
      <c r="B18" s="41" t="s">
        <v>578</v>
      </c>
      <c r="C18" s="249"/>
      <c r="D18" s="530">
        <f>D11+D12+D13-D14+D15-D16-D17</f>
        <v>70863.25439039999</v>
      </c>
      <c r="E18" s="530">
        <f>E11+E12+E13-E14+E15-E16-E17</f>
        <v>70712.716381060571</v>
      </c>
      <c r="F18" s="530">
        <f>F11+F12+F13-F14+F15-F16-F17</f>
        <v>69519.690326501499</v>
      </c>
      <c r="G18" s="530">
        <f>G11+G12+G13-G14+G15-G16-G17</f>
        <v>68196.223422540279</v>
      </c>
      <c r="H18" s="276">
        <f>IF(D18=0,"nm",IF(G18=0,"nm",(G18/D18)^(1/3)-1))</f>
        <v>-1.2706198267482316E-2</v>
      </c>
      <c r="I18" s="254"/>
      <c r="J18" s="5" t="s">
        <v>36</v>
      </c>
      <c r="L18" s="525">
        <f>'EM TOWERS'!D46</f>
        <v>1.9474450052594346E-2</v>
      </c>
      <c r="M18" s="525">
        <f>'EM TOWERS'!E46</f>
        <v>2.8141352347676236E-2</v>
      </c>
      <c r="N18" s="525">
        <f>'EM TOWERS'!F46</f>
        <v>3.7027360214756909E-2</v>
      </c>
      <c r="O18" s="525">
        <f>'EM TOWERS'!G46</f>
        <v>5.3633582434496278E-2</v>
      </c>
      <c r="P18" s="279">
        <f>'EM TOWERS'!H46</f>
        <v>0.3992759054986339</v>
      </c>
      <c r="S18" s="88"/>
      <c r="T18" s="42"/>
      <c r="U18" s="42"/>
      <c r="V18" s="42"/>
      <c r="W18" s="42"/>
      <c r="X18" s="42"/>
      <c r="Y18" s="42"/>
      <c r="Z18" s="42"/>
      <c r="AA18" s="42"/>
    </row>
    <row r="19" spans="2:27" ht="12.6" thickTop="1">
      <c r="B19" s="41"/>
      <c r="C19" s="249"/>
      <c r="D19" s="229"/>
      <c r="E19" s="229"/>
      <c r="F19" s="229"/>
      <c r="G19" s="229"/>
      <c r="H19" s="276"/>
      <c r="I19" s="254"/>
      <c r="J19" s="5" t="s">
        <v>576</v>
      </c>
      <c r="L19" s="525">
        <f>'EM TOWERS'!D47</f>
        <v>0.10254664495981479</v>
      </c>
      <c r="M19" s="525">
        <f>'EM TOWERS'!E47</f>
        <v>0.1535231781583265</v>
      </c>
      <c r="N19" s="525">
        <f>'EM TOWERS'!F47</f>
        <v>0.18156013114087688</v>
      </c>
      <c r="O19" s="525">
        <f>'EM TOWERS'!G47</f>
        <v>0.19193665873153581</v>
      </c>
      <c r="P19" s="279">
        <f>'EM TOWERS'!H47</f>
        <v>0.23024510578702229</v>
      </c>
      <c r="S19" s="88"/>
      <c r="T19" s="42"/>
      <c r="U19" s="42"/>
      <c r="V19" s="42"/>
      <c r="W19" s="42"/>
      <c r="X19" s="42"/>
      <c r="Y19" s="42"/>
      <c r="Z19" s="42"/>
      <c r="AA19" s="42"/>
    </row>
    <row r="20" spans="2:27">
      <c r="H20" s="277"/>
      <c r="I20" s="17"/>
      <c r="J20" s="5" t="s">
        <v>599</v>
      </c>
      <c r="L20" s="525">
        <f>'EM TOWERS'!D48</f>
        <v>0.22739672250695939</v>
      </c>
      <c r="M20" s="525">
        <f>'EM TOWERS'!E48</f>
        <v>0.21195178659504538</v>
      </c>
      <c r="N20" s="525">
        <f>'EM TOWERS'!F48</f>
        <v>0.23070412124689543</v>
      </c>
      <c r="O20" s="525">
        <f>'EM TOWERS'!G48</f>
        <v>0.30562637659438197</v>
      </c>
      <c r="P20" s="279" t="str">
        <f>'EM TOWERS'!H48</f>
        <v>nm</v>
      </c>
      <c r="S20" s="88"/>
      <c r="T20" s="42"/>
      <c r="U20" s="42"/>
      <c r="V20" s="42"/>
      <c r="W20" s="42"/>
      <c r="X20" s="42"/>
      <c r="Y20" s="42"/>
      <c r="Z20" s="42"/>
      <c r="AA20" s="42"/>
    </row>
    <row r="21" spans="2:27" ht="12.6" thickBot="1">
      <c r="B21" s="306" t="s">
        <v>944</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6524.3689999999997</v>
      </c>
      <c r="D23" s="536">
        <v>6640.6450000000004</v>
      </c>
      <c r="E23" s="536">
        <v>6814.8734236271384</v>
      </c>
      <c r="F23" s="536">
        <v>7027.2487821009099</v>
      </c>
      <c r="G23" s="536">
        <v>7278.1663727956693</v>
      </c>
      <c r="H23" s="279">
        <f>IF(D23=0,"nm",IF(G23=0,"nm",(G23/D23)^(1/3)-1))</f>
        <v>3.1028265659850618E-2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478</v>
      </c>
      <c r="C24" s="545">
        <v>5661.915</v>
      </c>
      <c r="D24" s="536">
        <v>5727.7</v>
      </c>
      <c r="E24" s="536">
        <v>5853.9762708957123</v>
      </c>
      <c r="F24" s="536">
        <v>6022.3522062604798</v>
      </c>
      <c r="G24" s="536">
        <v>6222.8322487402966</v>
      </c>
      <c r="H24" s="279">
        <f>IF(D24=0,"nm",IF(G24=0,"nm",(G24/D24)^(1/3)-1))</f>
        <v>2.8022476946732544E-2</v>
      </c>
      <c r="I24" s="249"/>
      <c r="J24" s="17"/>
      <c r="K24" s="17"/>
      <c r="L24" s="17"/>
      <c r="M24" s="17"/>
      <c r="N24" s="17"/>
      <c r="O24" s="248"/>
      <c r="S24" s="88"/>
      <c r="T24" s="42"/>
      <c r="U24" s="42"/>
      <c r="V24" s="42"/>
      <c r="W24" s="42" t="s">
        <v>774</v>
      </c>
      <c r="X24" s="42" t="s">
        <v>773</v>
      </c>
      <c r="Y24" s="42"/>
      <c r="Z24" s="42"/>
      <c r="AA24" s="42"/>
    </row>
    <row r="25" spans="2:27">
      <c r="B25" s="5" t="s">
        <v>179</v>
      </c>
      <c r="C25" s="544">
        <v>1758.8329999999996</v>
      </c>
      <c r="D25" s="536">
        <v>2981.962</v>
      </c>
      <c r="E25" s="536">
        <v>3746.5553834614707</v>
      </c>
      <c r="F25" s="536">
        <v>4032.2260570043195</v>
      </c>
      <c r="G25" s="536">
        <v>4184.365455402969</v>
      </c>
      <c r="H25" s="279">
        <f>IF(D25=0,"nm",IF(G25=0,"nm",(G25/D25)^(1/3)-1))</f>
        <v>0.11954743966083115</v>
      </c>
      <c r="I25" s="248"/>
      <c r="J25" s="247" t="s">
        <v>10</v>
      </c>
      <c r="K25" s="247"/>
      <c r="L25" s="321">
        <v>0</v>
      </c>
      <c r="M25" s="321">
        <v>0</v>
      </c>
      <c r="N25" s="321">
        <v>0</v>
      </c>
      <c r="O25" s="321">
        <v>0</v>
      </c>
      <c r="P25" s="279" t="str">
        <f>IF(L25=0,"nm",IF(O25=0,"nm",(O25/L25)^(1/3)-1))</f>
        <v>nm</v>
      </c>
      <c r="S25" s="88"/>
      <c r="T25" s="42"/>
      <c r="U25" s="42"/>
      <c r="V25" s="147" t="s">
        <v>268</v>
      </c>
      <c r="W25" s="288">
        <f t="shared" ref="W25:W30" si="4">E37/M9</f>
        <v>3.5264522415748338</v>
      </c>
      <c r="X25" s="288">
        <v>1</v>
      </c>
      <c r="Y25" s="42"/>
      <c r="Z25" s="42"/>
      <c r="AA25" s="42"/>
    </row>
    <row r="26" spans="2:27">
      <c r="B26" s="5" t="s">
        <v>581</v>
      </c>
      <c r="C26" s="544">
        <v>1407.0663999999997</v>
      </c>
      <c r="D26" s="536">
        <v>2385.5696000000003</v>
      </c>
      <c r="E26" s="536">
        <v>2997.2443067691765</v>
      </c>
      <c r="F26" s="536">
        <v>3225.7808456034559</v>
      </c>
      <c r="G26" s="536">
        <v>3347.4923643223756</v>
      </c>
      <c r="H26" s="279">
        <f>IF(D26=0,"nm",IF(G26=0,"nm",(G26/D26)^(1/3)-1))</f>
        <v>0.11954743966083115</v>
      </c>
      <c r="I26" s="249"/>
      <c r="J26" s="249" t="s">
        <v>11</v>
      </c>
      <c r="K26" s="249"/>
      <c r="L26" s="281">
        <f>D11+L25</f>
        <v>43462.154390399999</v>
      </c>
      <c r="M26" s="281">
        <f>E11+M25</f>
        <v>43462.154390399999</v>
      </c>
      <c r="N26" s="281">
        <f>F11+N25</f>
        <v>43462.154390399999</v>
      </c>
      <c r="O26" s="281">
        <f>G11+O25</f>
        <v>43462.154390399999</v>
      </c>
      <c r="P26" s="279">
        <f>IF(L26=0,"nm",IF(O26=0,"nm",(O26/L26)^(1/3)-1))</f>
        <v>0</v>
      </c>
      <c r="Q26" s="5"/>
      <c r="S26" s="88"/>
      <c r="T26" s="42"/>
      <c r="U26" s="42"/>
      <c r="V26" s="147" t="s">
        <v>180</v>
      </c>
      <c r="W26" s="288">
        <f t="shared" si="4"/>
        <v>2.6624161347933524</v>
      </c>
      <c r="X26" s="288">
        <v>1</v>
      </c>
      <c r="Y26" s="42"/>
      <c r="Z26" s="42"/>
      <c r="AA26" s="42"/>
    </row>
    <row r="27" spans="2:27">
      <c r="B27" s="5" t="s">
        <v>582</v>
      </c>
      <c r="C27" s="545">
        <v>38218.331000000006</v>
      </c>
      <c r="D27" s="536">
        <v>40409.06</v>
      </c>
      <c r="E27" s="536">
        <v>41230.900732756425</v>
      </c>
      <c r="F27" s="536">
        <v>41851.371382690035</v>
      </c>
      <c r="G27" s="536">
        <v>42458.565117225386</v>
      </c>
      <c r="H27" s="279">
        <f>IF(ISERROR((G27/D27)^(1/3)-1),"na",(G27/D27)^(1/3)-1)</f>
        <v>1.6628284444581753E-2</v>
      </c>
      <c r="I27" s="249"/>
      <c r="J27" s="248"/>
      <c r="K27" s="248"/>
      <c r="L27" s="248"/>
      <c r="M27" s="248"/>
      <c r="N27" s="248"/>
      <c r="O27" s="248"/>
      <c r="Q27" s="41"/>
      <c r="S27" s="88"/>
      <c r="T27" s="42"/>
      <c r="U27" s="42"/>
      <c r="V27" s="147" t="s">
        <v>181</v>
      </c>
      <c r="W27" s="288">
        <f t="shared" si="4"/>
        <v>2.7515413596419482</v>
      </c>
      <c r="X27" s="288">
        <v>1</v>
      </c>
      <c r="Y27" s="42"/>
      <c r="Z27" s="42"/>
      <c r="AA27" s="42"/>
    </row>
    <row r="28" spans="2:27">
      <c r="B28" s="5" t="s">
        <v>587</v>
      </c>
      <c r="C28" s="544">
        <v>34893.117000000006</v>
      </c>
      <c r="D28" s="536">
        <v>36392.802000000003</v>
      </c>
      <c r="E28" s="536">
        <v>37119.624175228288</v>
      </c>
      <c r="F28" s="536">
        <v>37647.460342869039</v>
      </c>
      <c r="G28" s="536">
        <v>38161.510846785051</v>
      </c>
      <c r="H28" s="279">
        <f>IF(ISERROR((G28/D28)^(1/3)-1),"na",(G28/D28)^(1/3)-1)</f>
        <v>1.5944589857579849E-2</v>
      </c>
      <c r="I28" s="248"/>
      <c r="Q28" s="5"/>
      <c r="S28" s="88"/>
      <c r="T28" s="42"/>
      <c r="U28" s="42"/>
      <c r="V28" s="147" t="s">
        <v>461</v>
      </c>
      <c r="W28" s="288">
        <f t="shared" si="4"/>
        <v>2.8743880311627406</v>
      </c>
      <c r="X28" s="288">
        <v>1</v>
      </c>
      <c r="Y28" s="42"/>
      <c r="Z28" s="42"/>
      <c r="AA28" s="42"/>
    </row>
    <row r="29" spans="2:27" ht="12.6" thickBot="1">
      <c r="B29" s="5" t="s">
        <v>583</v>
      </c>
      <c r="C29" s="544">
        <v>-148.77899999999963</v>
      </c>
      <c r="D29" s="536">
        <v>1123.0809999999999</v>
      </c>
      <c r="E29" s="536">
        <v>1881.274790027067</v>
      </c>
      <c r="F29" s="536">
        <v>2168.1954714771623</v>
      </c>
      <c r="G29" s="536">
        <v>2328.7456247114151</v>
      </c>
      <c r="H29" s="279">
        <f>IF(D29=0,"nm",IF(G29=0,"nm",(G29/D29)^(1/3)-1))</f>
        <v>0.2751765686588783</v>
      </c>
      <c r="I29" s="252"/>
      <c r="J29" s="306" t="s">
        <v>1353</v>
      </c>
      <c r="K29" s="306"/>
      <c r="L29" s="265" t="str">
        <f>L$5</f>
        <v>2023E</v>
      </c>
      <c r="M29" s="265" t="str">
        <f t="shared" ref="M29:P29" si="5">M$5</f>
        <v>2024E</v>
      </c>
      <c r="N29" s="265" t="str">
        <f t="shared" si="5"/>
        <v>2025E</v>
      </c>
      <c r="O29" s="265" t="str">
        <f t="shared" si="5"/>
        <v>2026E</v>
      </c>
      <c r="P29" s="265" t="str">
        <f t="shared" si="5"/>
        <v>23E-26E</v>
      </c>
      <c r="Q29" s="5"/>
      <c r="S29" s="88"/>
      <c r="T29" s="42"/>
      <c r="U29" s="42"/>
      <c r="V29" s="147" t="s">
        <v>525</v>
      </c>
      <c r="W29" s="288">
        <f t="shared" si="4"/>
        <v>1.3547823476189917</v>
      </c>
      <c r="X29" s="288">
        <v>1</v>
      </c>
      <c r="Y29" s="42"/>
      <c r="Z29" s="42"/>
      <c r="AA29" s="42"/>
    </row>
    <row r="30" spans="2:27" ht="12.6" thickTop="1">
      <c r="B30" s="5" t="s">
        <v>584</v>
      </c>
      <c r="C30" s="545">
        <v>2362.6290000000004</v>
      </c>
      <c r="D30" s="536">
        <v>2359.7179999999998</v>
      </c>
      <c r="E30" s="536">
        <v>2544.1966716731176</v>
      </c>
      <c r="F30" s="536">
        <v>2629.8879881595271</v>
      </c>
      <c r="G30" s="536">
        <v>2772.3791584308747</v>
      </c>
      <c r="H30" s="279">
        <f>IF(D30=0,"nm",IF(G30=0,"nm",(G30/D30)^(1/3)-1))</f>
        <v>5.5190420895431691E-2</v>
      </c>
      <c r="I30" s="254"/>
      <c r="J30" s="248"/>
      <c r="K30" s="248"/>
      <c r="L30" s="248"/>
      <c r="M30" s="248"/>
      <c r="N30" s="248"/>
      <c r="O30" s="5"/>
      <c r="Q30" s="5"/>
      <c r="S30" s="88"/>
      <c r="T30" s="42"/>
      <c r="U30" s="42"/>
      <c r="V30" s="147" t="s">
        <v>588</v>
      </c>
      <c r="W30" s="288">
        <f t="shared" si="4"/>
        <v>1.0252555760612285</v>
      </c>
      <c r="X30" s="288">
        <v>1</v>
      </c>
      <c r="Y30" s="42"/>
      <c r="Z30" s="42"/>
      <c r="AA30" s="42"/>
    </row>
    <row r="31" spans="2:27">
      <c r="B31" s="5" t="s">
        <v>585</v>
      </c>
      <c r="C31" s="545">
        <v>788.88738777805486</v>
      </c>
      <c r="D31" s="536">
        <v>683.00266142294049</v>
      </c>
      <c r="E31" s="536">
        <v>779.61060455205779</v>
      </c>
      <c r="F31" s="536">
        <v>806.98051323643404</v>
      </c>
      <c r="G31" s="536">
        <v>859.11681508966001</v>
      </c>
      <c r="H31" s="279">
        <f>IF(D31=0,"nm",IF(G31=0,"nm",(G31/D31)^(1/3)-1))</f>
        <v>7.946841904828128E-2</v>
      </c>
      <c r="I31" s="254"/>
      <c r="J31" s="5" t="s">
        <v>731</v>
      </c>
      <c r="K31" s="247"/>
      <c r="L31" s="322">
        <v>22475</v>
      </c>
      <c r="M31" s="322">
        <v>23075</v>
      </c>
      <c r="N31" s="322">
        <v>23675</v>
      </c>
      <c r="O31" s="322">
        <v>24275</v>
      </c>
      <c r="Q31" s="5"/>
      <c r="S31" s="88"/>
      <c r="T31" s="42"/>
      <c r="U31" s="42"/>
      <c r="V31" s="147" t="s">
        <v>143</v>
      </c>
      <c r="W31" s="288">
        <f>F43/N15</f>
        <v>3.6394294493245267</v>
      </c>
      <c r="X31" s="288">
        <v>1</v>
      </c>
      <c r="Y31" s="42"/>
      <c r="Z31" s="42"/>
      <c r="AA31" s="42"/>
    </row>
    <row r="32" spans="2:27">
      <c r="B32" s="5" t="s">
        <v>601</v>
      </c>
      <c r="C32" s="546">
        <v>0</v>
      </c>
      <c r="D32" s="536">
        <v>0</v>
      </c>
      <c r="E32" s="536">
        <v>0</v>
      </c>
      <c r="F32" s="536">
        <v>0</v>
      </c>
      <c r="G32" s="536">
        <v>0</v>
      </c>
      <c r="H32" s="279" t="str">
        <f>IF(D32=0,"nm",IF(G32=0,"nm",(G32/D32)^(1/3)-1))</f>
        <v>nm</v>
      </c>
      <c r="I32" s="254"/>
      <c r="J32" s="5" t="s">
        <v>1351</v>
      </c>
      <c r="K32" s="254"/>
      <c r="L32" s="322">
        <v>41227</v>
      </c>
      <c r="M32" s="322">
        <v>41481.057374860953</v>
      </c>
      <c r="N32" s="322">
        <v>42134.058202224696</v>
      </c>
      <c r="O32" s="322">
        <v>42769.850907303669</v>
      </c>
      <c r="Q32" s="5"/>
      <c r="S32" s="88"/>
      <c r="T32" s="42"/>
      <c r="U32" s="42"/>
      <c r="V32" s="147" t="s">
        <v>528</v>
      </c>
      <c r="W32" s="288">
        <f>E44/M16</f>
        <v>1.3292637700879775</v>
      </c>
      <c r="X32" s="288">
        <v>1</v>
      </c>
      <c r="Y32" s="42"/>
      <c r="Z32" s="42"/>
      <c r="AA32" s="42"/>
    </row>
    <row r="33" spans="2:27">
      <c r="B33" s="5" t="s">
        <v>5</v>
      </c>
      <c r="C33" s="545">
        <v>-1685.2869999999998</v>
      </c>
      <c r="D33" s="536">
        <v>-1676.056</v>
      </c>
      <c r="E33" s="536">
        <v>-1677.7151430937722</v>
      </c>
      <c r="F33" s="536">
        <v>-1669.8802462455694</v>
      </c>
      <c r="G33" s="536">
        <v>-1648.9260897693302</v>
      </c>
      <c r="H33" s="279">
        <f>IF(ISERROR((G33/D33)^(1/3)-1),"na",(G33/D33)^(1/3)-1)</f>
        <v>-5.4249624743699654E-3</v>
      </c>
      <c r="I33" s="5"/>
      <c r="Q33" s="5"/>
      <c r="S33" s="88"/>
      <c r="T33" s="42"/>
      <c r="U33" s="42"/>
      <c r="V33" s="147" t="s">
        <v>575</v>
      </c>
      <c r="W33" s="42">
        <f>E45/M17</f>
        <v>0.55125869626429624</v>
      </c>
      <c r="X33" s="288">
        <v>1</v>
      </c>
      <c r="Y33" s="42"/>
      <c r="Z33" s="42"/>
      <c r="AA33" s="42"/>
    </row>
    <row r="34" spans="2:27">
      <c r="D34" s="5"/>
      <c r="E34" s="5"/>
      <c r="F34" s="5"/>
      <c r="G34" s="5"/>
      <c r="I34" s="49"/>
      <c r="Q34" s="5"/>
      <c r="S34" s="88"/>
      <c r="T34" s="42"/>
      <c r="U34" s="42"/>
      <c r="V34" s="147" t="s">
        <v>144</v>
      </c>
      <c r="W34" s="288">
        <f>E47/M19</f>
        <v>0.28194671128699084</v>
      </c>
      <c r="X34" s="288">
        <v>1</v>
      </c>
      <c r="Y34" s="288"/>
      <c r="Z34" s="288"/>
      <c r="AA34" s="42"/>
    </row>
    <row r="35" spans="2:27" ht="12.6" thickBot="1">
      <c r="B35" s="306" t="s">
        <v>775</v>
      </c>
      <c r="C35" s="265"/>
      <c r="D35" s="265" t="str">
        <f>D5</f>
        <v>2023E</v>
      </c>
      <c r="E35" s="265" t="str">
        <f t="shared" ref="E35:H35" si="6">E5</f>
        <v>2024E</v>
      </c>
      <c r="F35" s="265" t="str">
        <f t="shared" si="6"/>
        <v>2025E</v>
      </c>
      <c r="G35" s="265" t="str">
        <f t="shared" si="6"/>
        <v>2026E</v>
      </c>
      <c r="H35" s="265" t="str">
        <f t="shared" si="6"/>
        <v>23E-26E</v>
      </c>
      <c r="I35" s="254"/>
      <c r="J35" s="306" t="s">
        <v>1352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D$18/D23</f>
        <v>10.67114028688478</v>
      </c>
      <c r="E37" s="525">
        <f t="shared" ref="E37:G41" si="7">E$18/E23</f>
        <v>10.376233274692948</v>
      </c>
      <c r="F37" s="525">
        <f t="shared" si="7"/>
        <v>9.8928745063893206</v>
      </c>
      <c r="G37" s="525">
        <f t="shared" si="7"/>
        <v>9.3699731401365227</v>
      </c>
      <c r="H37" s="17">
        <f t="shared" ref="H37:H45" si="8">H23</f>
        <v>3.1028265659850618E-2</v>
      </c>
      <c r="I37" s="5"/>
      <c r="J37" s="248"/>
      <c r="K37" s="248"/>
      <c r="L37" s="248"/>
      <c r="M37" s="248"/>
      <c r="N37" s="248"/>
      <c r="O37" s="5"/>
      <c r="Q37" s="5"/>
      <c r="R37" s="5"/>
      <c r="S37" s="42"/>
      <c r="T37" s="42"/>
      <c r="U37" s="42"/>
      <c r="V37" s="42"/>
      <c r="W37" s="42"/>
      <c r="X37" s="42"/>
      <c r="Y37" s="42"/>
      <c r="Z37" s="42"/>
      <c r="AA37" s="42"/>
    </row>
    <row r="38" spans="2:27">
      <c r="B38" s="5" t="s">
        <v>180</v>
      </c>
      <c r="C38" s="247"/>
      <c r="D38" s="525">
        <f>D$18/D24</f>
        <v>12.372026186846377</v>
      </c>
      <c r="E38" s="525">
        <f t="shared" si="7"/>
        <v>12.079433381481895</v>
      </c>
      <c r="F38" s="525">
        <f t="shared" si="7"/>
        <v>11.543610859264085</v>
      </c>
      <c r="G38" s="525">
        <f t="shared" si="7"/>
        <v>10.959032912440378</v>
      </c>
      <c r="H38" s="17">
        <f t="shared" si="8"/>
        <v>2.8022476946732544E-2</v>
      </c>
      <c r="I38" s="259"/>
      <c r="J38" s="252"/>
      <c r="K38" s="252"/>
      <c r="L38" s="252"/>
      <c r="M38" s="252"/>
      <c r="N38" s="252"/>
      <c r="O38" s="5"/>
      <c r="Q38" s="5"/>
      <c r="R38" s="5"/>
      <c r="S38" s="42"/>
      <c r="T38" s="42"/>
      <c r="U38" s="42"/>
      <c r="V38" s="42"/>
      <c r="W38" s="42"/>
      <c r="X38" s="42"/>
      <c r="Y38" s="42"/>
      <c r="Z38" s="42"/>
      <c r="AA38" s="42"/>
    </row>
    <row r="39" spans="2:27">
      <c r="B39" s="5" t="s">
        <v>181</v>
      </c>
      <c r="C39" s="247"/>
      <c r="D39" s="525">
        <f>D$18/D25</f>
        <v>23.763969624830896</v>
      </c>
      <c r="E39" s="525">
        <f t="shared" si="7"/>
        <v>18.874061409370803</v>
      </c>
      <c r="F39" s="525">
        <f t="shared" si="7"/>
        <v>17.241020057826344</v>
      </c>
      <c r="G39" s="525">
        <f t="shared" si="7"/>
        <v>16.297865028611071</v>
      </c>
      <c r="H39" s="17">
        <f t="shared" si="8"/>
        <v>0.11954743966083115</v>
      </c>
      <c r="I39" s="17"/>
      <c r="J39" s="259"/>
      <c r="K39" s="259"/>
      <c r="L39" s="259"/>
      <c r="M39" s="259"/>
      <c r="N39" s="259"/>
      <c r="O39" s="18"/>
      <c r="Q39" s="5"/>
      <c r="R39" s="5"/>
      <c r="S39" s="42"/>
      <c r="T39" s="42"/>
      <c r="U39" s="42"/>
      <c r="V39" s="42"/>
      <c r="W39" s="42"/>
      <c r="X39" s="42"/>
      <c r="Y39" s="42"/>
      <c r="Z39" s="42"/>
      <c r="AA39" s="42"/>
    </row>
    <row r="40" spans="2:27">
      <c r="B40" s="5" t="s">
        <v>461</v>
      </c>
      <c r="C40" s="247"/>
      <c r="D40" s="525">
        <f>D$18/D26</f>
        <v>29.704962031038619</v>
      </c>
      <c r="E40" s="525">
        <f t="shared" si="7"/>
        <v>23.592576761713502</v>
      </c>
      <c r="F40" s="525">
        <f t="shared" si="7"/>
        <v>21.551275072282927</v>
      </c>
      <c r="G40" s="525">
        <f t="shared" si="7"/>
        <v>20.372331285763835</v>
      </c>
      <c r="H40" s="17">
        <f t="shared" si="8"/>
        <v>0.11954743966083115</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1.7536476817426585</v>
      </c>
      <c r="E41" s="525">
        <f t="shared" si="7"/>
        <v>1.7150417556820905</v>
      </c>
      <c r="F41" s="525">
        <f t="shared" si="7"/>
        <v>1.6611090157789963</v>
      </c>
      <c r="G41" s="525">
        <f t="shared" si="7"/>
        <v>1.6061829511726282</v>
      </c>
      <c r="H41" s="17">
        <f t="shared" si="8"/>
        <v>1.6628284444581753E-2</v>
      </c>
      <c r="I41" s="247"/>
      <c r="J41" s="259"/>
      <c r="K41" s="259"/>
      <c r="L41" s="259"/>
      <c r="M41" s="259"/>
      <c r="N41" s="259"/>
      <c r="O41" s="18"/>
      <c r="Q41" s="5"/>
      <c r="R41" s="5"/>
      <c r="S41" s="42"/>
      <c r="T41" s="42"/>
      <c r="U41" s="42"/>
      <c r="V41" s="42"/>
      <c r="W41" s="288"/>
      <c r="X41" s="288"/>
      <c r="Y41" s="288"/>
      <c r="Z41" s="288"/>
      <c r="AA41" s="42"/>
    </row>
    <row r="42" spans="2:27">
      <c r="B42" s="5" t="s">
        <v>588</v>
      </c>
      <c r="C42" s="247"/>
      <c r="D42" s="525">
        <f>D18/D28</f>
        <v>1.9471777520840519</v>
      </c>
      <c r="E42" s="525">
        <f>E18/E28</f>
        <v>1.9049954829082179</v>
      </c>
      <c r="F42" s="525">
        <f>F18/F28</f>
        <v>1.8465970796797588</v>
      </c>
      <c r="G42" s="525">
        <f>G18/G28</f>
        <v>1.7870420198073873</v>
      </c>
      <c r="H42" s="17">
        <f t="shared" si="8"/>
        <v>1.5944589857579849E-2</v>
      </c>
      <c r="I42" s="248"/>
      <c r="J42" s="5"/>
      <c r="K42" s="5"/>
      <c r="L42" s="5"/>
      <c r="M42" s="5"/>
      <c r="N42" s="5"/>
      <c r="O42" s="5"/>
      <c r="Q42" s="5"/>
      <c r="R42" s="5"/>
      <c r="S42" s="42"/>
      <c r="T42" s="42"/>
      <c r="U42" s="42"/>
      <c r="V42" s="42"/>
      <c r="W42" s="288"/>
      <c r="X42" s="288"/>
      <c r="Y42" s="288"/>
      <c r="Z42" s="288"/>
      <c r="AA42" s="42"/>
    </row>
    <row r="43" spans="2:27">
      <c r="B43" s="5" t="s">
        <v>470</v>
      </c>
      <c r="C43" s="247"/>
      <c r="D43" s="525">
        <f>L26/D29</f>
        <v>38.699038083985037</v>
      </c>
      <c r="E43" s="525">
        <f>M26/E29</f>
        <v>23.102501889038063</v>
      </c>
      <c r="F43" s="525">
        <f>N26/F29</f>
        <v>20.045311855941577</v>
      </c>
      <c r="G43" s="525">
        <f>O26/G29</f>
        <v>18.663332709765566</v>
      </c>
      <c r="H43" s="17">
        <f t="shared" si="8"/>
        <v>0.2751765686588783</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18.418367953458848</v>
      </c>
      <c r="E44" s="525">
        <f>E11/E30</f>
        <v>17.082859542386856</v>
      </c>
      <c r="F44" s="525">
        <f>F11/F30</f>
        <v>16.526237842097636</v>
      </c>
      <c r="G44" s="525">
        <f>G11/G30</f>
        <v>15.676843572507208</v>
      </c>
      <c r="H44" s="17">
        <f t="shared" si="8"/>
        <v>5.5190420895431691E-2</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1.5714882775663862E-2</v>
      </c>
      <c r="E45" s="248">
        <f>E31/E11</f>
        <v>1.7937688903987226E-2</v>
      </c>
      <c r="F45" s="248">
        <f>F31/F11</f>
        <v>1.8567430090733868E-2</v>
      </c>
      <c r="G45" s="248">
        <f>G31/G11</f>
        <v>1.976700941634461E-2</v>
      </c>
      <c r="H45" s="17">
        <f t="shared" si="8"/>
        <v>7.946841904828128E-2</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1.5714882775663862E-2</v>
      </c>
      <c r="E46" s="248">
        <f>(E31+E32)/E11</f>
        <v>1.7937688903987226E-2</v>
      </c>
      <c r="F46" s="248">
        <f>(F31+F32)/F11</f>
        <v>1.8567430090733868E-2</v>
      </c>
      <c r="G46" s="248">
        <f>(G31+G32)/G11</f>
        <v>1.976700941634461E-2</v>
      </c>
      <c r="H46" s="279">
        <f>((G31+G32)/(D31+D32))^(1/3)-1</f>
        <v>7.946841904828128E-2</v>
      </c>
      <c r="I46" s="247"/>
      <c r="J46" s="5"/>
      <c r="K46" s="5"/>
      <c r="L46" s="5"/>
      <c r="M46" s="5"/>
      <c r="N46" s="5"/>
      <c r="O46" s="5"/>
      <c r="Q46" s="5"/>
      <c r="R46" s="5"/>
      <c r="S46" s="42"/>
      <c r="T46" s="42"/>
      <c r="U46" s="42"/>
      <c r="V46" s="42"/>
      <c r="W46" s="42"/>
      <c r="X46" s="42"/>
      <c r="Y46" s="42"/>
      <c r="Z46" s="42"/>
      <c r="AA46" s="326"/>
    </row>
    <row r="47" spans="2:27">
      <c r="B47" s="5" t="s">
        <v>576</v>
      </c>
      <c r="C47" s="5"/>
      <c r="D47" s="248">
        <f>1/D43</f>
        <v>2.5840435564051748E-2</v>
      </c>
      <c r="E47" s="248">
        <f>1/E43</f>
        <v>4.3285355188066942E-2</v>
      </c>
      <c r="F47" s="248">
        <f>1/F43</f>
        <v>4.9886976425542247E-2</v>
      </c>
      <c r="G47" s="248">
        <f>1/G43</f>
        <v>5.3580998396752108E-2</v>
      </c>
      <c r="H47" s="17">
        <f>H29</f>
        <v>0.2751765686588783</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0.60815084702077638</v>
      </c>
      <c r="E48" s="305">
        <f>E31/E29</f>
        <v>0.414405491789342</v>
      </c>
      <c r="F48" s="305">
        <f>F31/F29</f>
        <v>0.37218992653215399</v>
      </c>
      <c r="G48" s="305">
        <f>G31/G29</f>
        <v>0.36891827341430827</v>
      </c>
      <c r="H48" s="279" t="s">
        <v>602</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49"/>
      <c r="D53" s="249"/>
      <c r="E53" s="249"/>
      <c r="F53" s="249"/>
      <c r="G53" s="249"/>
      <c r="H53" s="249"/>
      <c r="I53" s="17"/>
      <c r="J53" s="249"/>
      <c r="K53" s="249"/>
      <c r="L53" s="249"/>
      <c r="M53" s="249"/>
      <c r="N53" s="249"/>
      <c r="O53" s="251"/>
      <c r="Q53" s="5"/>
      <c r="R53" s="5"/>
      <c r="S53" s="5"/>
    </row>
    <row r="54" spans="2:27">
      <c r="B54" s="41"/>
      <c r="C54" s="249"/>
      <c r="D54" s="249"/>
      <c r="E54" s="249"/>
      <c r="F54" s="249"/>
      <c r="G54" s="249"/>
      <c r="H54" s="249"/>
      <c r="I54" s="259"/>
      <c r="J54" s="248"/>
      <c r="K54" s="248"/>
      <c r="L54" s="248"/>
      <c r="M54" s="248"/>
      <c r="N54" s="248"/>
      <c r="O54" s="248"/>
      <c r="Q54" s="5"/>
      <c r="R54" s="5"/>
      <c r="S54" s="5"/>
    </row>
    <row r="55" spans="2:27">
      <c r="B55" s="5"/>
      <c r="C55" s="254"/>
      <c r="D55" s="249"/>
      <c r="E55" s="249"/>
      <c r="F55" s="249"/>
      <c r="G55" s="249"/>
      <c r="H55" s="249"/>
      <c r="I55" s="249"/>
      <c r="J55" s="247"/>
      <c r="K55" s="247"/>
      <c r="L55" s="247"/>
      <c r="M55" s="247"/>
      <c r="N55" s="247"/>
      <c r="O55" s="248"/>
      <c r="Q55" s="5"/>
      <c r="R55" s="5"/>
      <c r="S55" s="5"/>
    </row>
    <row r="56" spans="2:27">
      <c r="B56" s="5"/>
      <c r="C56" s="254"/>
      <c r="D56" s="249"/>
      <c r="E56" s="249"/>
      <c r="F56" s="249"/>
      <c r="G56" s="249"/>
      <c r="H56" s="249"/>
      <c r="I56" s="248"/>
      <c r="J56" s="17"/>
      <c r="K56" s="17"/>
      <c r="L56" s="17"/>
      <c r="M56" s="17"/>
      <c r="N56" s="17"/>
      <c r="O56" s="248"/>
      <c r="Q56" s="5"/>
      <c r="R56" s="5"/>
      <c r="S56" s="5"/>
    </row>
    <row r="57" spans="2:27">
      <c r="B57" s="41"/>
      <c r="C57" s="254"/>
      <c r="D57" s="249"/>
      <c r="E57" s="249"/>
      <c r="F57" s="249"/>
      <c r="G57" s="249"/>
      <c r="H57" s="249"/>
      <c r="I57" s="5"/>
      <c r="J57" s="249"/>
      <c r="K57" s="249"/>
      <c r="L57" s="249"/>
      <c r="M57" s="249"/>
      <c r="N57" s="249"/>
      <c r="O57" s="250"/>
      <c r="Q57" s="5"/>
      <c r="R57" s="5"/>
      <c r="S57" s="5"/>
    </row>
    <row r="58" spans="2:27">
      <c r="B58" s="5"/>
      <c r="C58" s="254"/>
      <c r="D58" s="249"/>
      <c r="E58" s="249"/>
      <c r="F58" s="249"/>
      <c r="G58" s="249"/>
      <c r="H58" s="249"/>
      <c r="I58" s="17"/>
      <c r="J58" s="248"/>
      <c r="K58" s="248"/>
      <c r="L58" s="248"/>
      <c r="M58" s="248"/>
      <c r="N58" s="248"/>
      <c r="O58" s="18"/>
      <c r="Q58" s="5"/>
      <c r="R58" s="5"/>
      <c r="S58" s="5"/>
    </row>
    <row r="59" spans="2:27">
      <c r="B59" s="5"/>
      <c r="C59" s="254"/>
      <c r="D59" s="249"/>
      <c r="E59" s="249"/>
      <c r="F59" s="249"/>
      <c r="G59" s="249"/>
      <c r="H59" s="249"/>
      <c r="I59" s="5"/>
      <c r="J59" s="5"/>
      <c r="K59" s="5"/>
      <c r="L59" s="5"/>
      <c r="M59" s="5"/>
      <c r="N59" s="5"/>
      <c r="O59" s="5"/>
      <c r="Q59" s="5"/>
      <c r="R59" s="5"/>
      <c r="S59" s="5"/>
    </row>
    <row r="60" spans="2:27">
      <c r="B60" s="41"/>
      <c r="C60" s="254"/>
      <c r="D60" s="249"/>
      <c r="E60" s="249"/>
      <c r="F60" s="249"/>
      <c r="G60" s="249"/>
      <c r="H60" s="249"/>
      <c r="I60" s="249"/>
      <c r="J60" s="17"/>
      <c r="K60" s="17"/>
      <c r="L60" s="17"/>
      <c r="M60" s="17"/>
      <c r="N60" s="17"/>
      <c r="O60" s="251"/>
      <c r="Q60" s="5"/>
      <c r="R60" s="5"/>
      <c r="S60" s="5"/>
    </row>
    <row r="61" spans="2:27">
      <c r="B61" s="5"/>
      <c r="C61" s="254"/>
      <c r="D61" s="249"/>
      <c r="E61" s="249"/>
      <c r="F61" s="249"/>
      <c r="G61" s="249"/>
      <c r="H61" s="249"/>
      <c r="I61" s="5"/>
      <c r="J61" s="5"/>
      <c r="K61" s="5"/>
      <c r="L61" s="5"/>
      <c r="M61" s="5"/>
      <c r="N61" s="5"/>
      <c r="O61" s="5"/>
      <c r="Q61" s="41"/>
      <c r="R61" s="5"/>
      <c r="S61" s="5"/>
    </row>
    <row r="62" spans="2:27">
      <c r="B62" s="41"/>
      <c r="C62" s="254"/>
      <c r="D62" s="249"/>
      <c r="E62" s="249"/>
      <c r="F62" s="249"/>
      <c r="G62" s="249"/>
      <c r="H62" s="249"/>
      <c r="I62" s="5"/>
      <c r="J62" s="249"/>
      <c r="K62" s="249"/>
      <c r="L62" s="249"/>
      <c r="M62" s="249"/>
      <c r="N62" s="249"/>
      <c r="O62" s="251"/>
      <c r="Q62" s="5"/>
      <c r="R62" s="5"/>
      <c r="S62" s="5"/>
    </row>
    <row r="63" spans="2:27">
      <c r="B63" s="5"/>
      <c r="C63" s="254"/>
      <c r="D63" s="249"/>
      <c r="E63" s="249"/>
      <c r="F63" s="249"/>
      <c r="G63" s="249"/>
      <c r="H63" s="249"/>
      <c r="I63" s="254"/>
      <c r="J63" s="5"/>
      <c r="K63" s="5"/>
      <c r="L63" s="5"/>
      <c r="M63" s="5"/>
      <c r="N63" s="5"/>
      <c r="O63" s="5"/>
      <c r="Q63" s="5"/>
      <c r="R63" s="5"/>
      <c r="S63" s="5"/>
    </row>
    <row r="64" spans="2:27">
      <c r="B64" s="5"/>
      <c r="C64" s="254"/>
      <c r="D64" s="249"/>
      <c r="E64" s="249"/>
      <c r="F64" s="249"/>
      <c r="G64" s="249"/>
      <c r="H64" s="249"/>
      <c r="I64" s="17"/>
      <c r="J64" s="5"/>
      <c r="K64" s="5"/>
      <c r="L64" s="5"/>
      <c r="M64" s="5"/>
      <c r="N64" s="5"/>
      <c r="O64" s="5"/>
      <c r="Q64" s="5"/>
      <c r="R64" s="5"/>
      <c r="S64" s="5"/>
    </row>
    <row r="65" spans="2:26">
      <c r="B65" s="41"/>
      <c r="C65" s="254"/>
      <c r="D65" s="249"/>
      <c r="E65" s="249"/>
      <c r="F65" s="249"/>
      <c r="G65" s="249"/>
      <c r="H65" s="249"/>
      <c r="I65" s="254"/>
      <c r="J65" s="254"/>
      <c r="K65" s="254"/>
      <c r="L65" s="254"/>
      <c r="M65" s="254"/>
      <c r="N65" s="254"/>
      <c r="O65" s="251"/>
      <c r="Q65" s="5"/>
      <c r="R65" s="5"/>
      <c r="S65" s="5"/>
    </row>
    <row r="66" spans="2:26">
      <c r="B66" s="5"/>
      <c r="C66" s="254"/>
      <c r="D66" s="249"/>
      <c r="E66" s="249"/>
      <c r="F66" s="249"/>
      <c r="G66" s="249"/>
      <c r="H66" s="249"/>
      <c r="I66" s="248"/>
      <c r="J66" s="17"/>
      <c r="K66" s="17"/>
      <c r="L66" s="17"/>
      <c r="M66" s="17"/>
      <c r="N66" s="17"/>
      <c r="O66" s="5"/>
      <c r="Q66" s="5"/>
      <c r="R66" s="5"/>
      <c r="S66" s="5"/>
    </row>
    <row r="67" spans="2:26">
      <c r="B67" s="41"/>
      <c r="C67" s="254"/>
      <c r="D67" s="249"/>
      <c r="E67" s="249"/>
      <c r="F67" s="249"/>
      <c r="G67" s="249"/>
      <c r="H67" s="249"/>
      <c r="I67" s="5"/>
      <c r="J67" s="254"/>
      <c r="K67" s="254"/>
      <c r="L67" s="254"/>
      <c r="M67" s="254"/>
      <c r="N67" s="254"/>
      <c r="O67" s="251"/>
      <c r="Q67" s="41"/>
      <c r="R67" s="5"/>
      <c r="S67" s="5"/>
    </row>
    <row r="68" spans="2:26">
      <c r="B68" s="5"/>
      <c r="C68" s="254"/>
      <c r="D68" s="249"/>
      <c r="E68" s="249"/>
      <c r="F68" s="249"/>
      <c r="G68" s="249"/>
      <c r="H68" s="249"/>
      <c r="I68" s="245"/>
      <c r="J68" s="248"/>
      <c r="K68" s="248"/>
      <c r="L68" s="248"/>
      <c r="M68" s="248"/>
      <c r="N68" s="248"/>
      <c r="O68" s="5"/>
      <c r="Q68" s="5"/>
      <c r="R68" s="5"/>
      <c r="S68" s="5"/>
    </row>
    <row r="69" spans="2:26">
      <c r="B69" s="41"/>
      <c r="C69" s="249"/>
      <c r="D69" s="249"/>
      <c r="E69" s="249"/>
      <c r="F69" s="249"/>
      <c r="G69" s="249"/>
      <c r="H69" s="249"/>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21"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0">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388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1378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393</v>
      </c>
      <c r="C9" s="287">
        <f>Prices!C30</f>
        <v>117.65</v>
      </c>
      <c r="D9" s="535">
        <v>2.411044</v>
      </c>
      <c r="E9" s="536">
        <v>2.411044</v>
      </c>
      <c r="F9" s="536">
        <v>2.411044</v>
      </c>
      <c r="G9" s="536">
        <v>2.411044</v>
      </c>
      <c r="H9" s="249" t="s">
        <v>391</v>
      </c>
      <c r="I9" s="249"/>
      <c r="J9" s="5" t="s">
        <v>268</v>
      </c>
      <c r="L9" s="525">
        <f>'W.EUR OTHER'!D37</f>
        <v>1.9589195361329668</v>
      </c>
      <c r="M9" s="525">
        <f>'W.EUR OTHER'!E37</f>
        <v>1.6383796798063159</v>
      </c>
      <c r="N9" s="525">
        <f>'W.EUR OTHER'!F37</f>
        <v>1.5411744049087741</v>
      </c>
      <c r="O9" s="525">
        <f>'W.EUR OTHER'!G37</f>
        <v>1.4434676732212866</v>
      </c>
      <c r="P9" s="279">
        <f>'W.EUR OTHER'!H37</f>
        <v>1.8004685546411769E-2</v>
      </c>
      <c r="S9" s="88"/>
      <c r="T9" s="42"/>
      <c r="U9" s="42"/>
      <c r="V9" s="42"/>
      <c r="W9" s="42"/>
      <c r="X9" s="42"/>
      <c r="Y9" s="42"/>
      <c r="Z9" s="42"/>
      <c r="AA9" s="42"/>
    </row>
    <row r="10" spans="2:44">
      <c r="B10" s="5" t="s">
        <v>269</v>
      </c>
      <c r="C10" s="287">
        <f>Prices!C29</f>
        <v>118</v>
      </c>
      <c r="D10" s="537">
        <v>687.93055300000003</v>
      </c>
      <c r="E10" s="537">
        <v>687.93055300000003</v>
      </c>
      <c r="F10" s="537">
        <v>687.93055300000003</v>
      </c>
      <c r="G10" s="537">
        <v>687.93055300000003</v>
      </c>
      <c r="H10" s="249" t="s">
        <v>390</v>
      </c>
      <c r="I10" s="247"/>
      <c r="J10" s="5" t="s">
        <v>180</v>
      </c>
      <c r="L10" s="525">
        <f>'W.EUR OTHER'!D38</f>
        <v>4.8812882235325841</v>
      </c>
      <c r="M10" s="525">
        <f>'W.EUR OTHER'!E38</f>
        <v>4.145841728258338</v>
      </c>
      <c r="N10" s="525">
        <f>'W.EUR OTHER'!F38</f>
        <v>3.8271320252352607</v>
      </c>
      <c r="O10" s="525">
        <f>'W.EUR OTHER'!G38</f>
        <v>3.5258553553595839</v>
      </c>
      <c r="P10" s="279">
        <f>'W.EUR OTHER'!H38</f>
        <v>2.4794026477105824E-2</v>
      </c>
      <c r="S10" s="88"/>
      <c r="T10" s="42"/>
      <c r="U10" s="42"/>
      <c r="V10" s="42"/>
      <c r="W10" s="288"/>
      <c r="X10" s="288"/>
      <c r="Y10" s="288"/>
      <c r="Z10" s="288"/>
      <c r="AA10" s="42"/>
    </row>
    <row r="11" spans="2:44">
      <c r="B11" s="41" t="s">
        <v>270</v>
      </c>
      <c r="C11" s="5"/>
      <c r="D11" s="528">
        <f>(D10*$C$10)+(D9*$C$9)</f>
        <v>81459.464580600004</v>
      </c>
      <c r="E11" s="528">
        <f>(E10*$C$10)+(E9*$C$9)</f>
        <v>81459.464580600004</v>
      </c>
      <c r="F11" s="528">
        <f>(F10*$C$10)+(F9*$C$9)</f>
        <v>81459.464580600004</v>
      </c>
      <c r="G11" s="528">
        <f>(G10*$C$10)+(G9*$C$9)</f>
        <v>81459.464580600004</v>
      </c>
      <c r="H11" s="249"/>
      <c r="I11" s="249"/>
      <c r="J11" s="5" t="s">
        <v>181</v>
      </c>
      <c r="L11" s="525">
        <f>'W.EUR OTHER'!D39</f>
        <v>13.16156410853363</v>
      </c>
      <c r="M11" s="525">
        <f>'W.EUR OTHER'!E39</f>
        <v>11.425296433104002</v>
      </c>
      <c r="N11" s="525">
        <f>'W.EUR OTHER'!F39</f>
        <v>9.8430805940601882</v>
      </c>
      <c r="O11" s="525">
        <f>'W.EUR OTHER'!G39</f>
        <v>8.6472666256233168</v>
      </c>
      <c r="P11" s="279">
        <f>'W.EUR OTHER'!H39</f>
        <v>5.7684523659928821E-2</v>
      </c>
      <c r="S11" s="88"/>
      <c r="T11" s="42"/>
      <c r="U11" s="42"/>
      <c r="V11" s="42"/>
      <c r="W11" s="288"/>
      <c r="X11" s="288"/>
      <c r="Y11" s="288"/>
      <c r="Z11" s="288"/>
      <c r="AA11" s="42"/>
    </row>
    <row r="12" spans="2:44">
      <c r="B12" s="5" t="s">
        <v>24</v>
      </c>
      <c r="C12" s="249"/>
      <c r="D12" s="529">
        <v>25648.239542963041</v>
      </c>
      <c r="E12" s="529">
        <v>25733.815861018058</v>
      </c>
      <c r="F12" s="529">
        <v>27245.530604034273</v>
      </c>
      <c r="G12" s="529">
        <v>28365.619234701062</v>
      </c>
      <c r="H12" s="247"/>
      <c r="I12" s="247"/>
      <c r="J12" s="5" t="s">
        <v>461</v>
      </c>
      <c r="L12" s="525">
        <f>'W.EUR OTHER'!D40</f>
        <v>18.782864415708623</v>
      </c>
      <c r="M12" s="525">
        <f>'W.EUR OTHER'!E40</f>
        <v>16.344811252802039</v>
      </c>
      <c r="N12" s="525">
        <f>'W.EUR OTHER'!F40</f>
        <v>14.257332213491615</v>
      </c>
      <c r="O12" s="525">
        <f>'W.EUR OTHER'!G40</f>
        <v>12.325553609893248</v>
      </c>
      <c r="P12" s="279">
        <f>'W.EUR OTHER'!H40</f>
        <v>5.8112215141036705E-2</v>
      </c>
      <c r="S12" s="88"/>
      <c r="T12" s="42"/>
      <c r="U12" s="42"/>
      <c r="V12" s="42"/>
      <c r="W12" s="288"/>
      <c r="X12" s="288"/>
      <c r="Y12" s="288"/>
      <c r="Z12" s="288"/>
      <c r="AA12" s="42"/>
    </row>
    <row r="13" spans="2:44">
      <c r="B13" s="5" t="s">
        <v>524</v>
      </c>
      <c r="C13" s="257"/>
      <c r="D13" s="529">
        <v>6884.9295991434055</v>
      </c>
      <c r="E13" s="529">
        <v>6884.9295991434055</v>
      </c>
      <c r="F13" s="529">
        <v>6884.9295991434055</v>
      </c>
      <c r="G13" s="529">
        <v>6884.9295991434055</v>
      </c>
      <c r="H13" s="247"/>
      <c r="I13" s="247"/>
      <c r="J13" s="5" t="s">
        <v>525</v>
      </c>
      <c r="L13" s="525">
        <f>'W.EUR OTHER'!D41</f>
        <v>0.84442389849965394</v>
      </c>
      <c r="M13" s="525">
        <f>'W.EUR OTHER'!E41</f>
        <v>0.81498961294635097</v>
      </c>
      <c r="N13" s="525">
        <f>'W.EUR OTHER'!F41</f>
        <v>0.77498610757856878</v>
      </c>
      <c r="O13" s="525">
        <f>'W.EUR OTHER'!G41</f>
        <v>0.73281741958307633</v>
      </c>
      <c r="P13" s="279">
        <f>'W.EUR OTHER'!H41</f>
        <v>-3.6019662148356391E-2</v>
      </c>
      <c r="S13" s="88"/>
      <c r="T13" s="42"/>
      <c r="U13" s="42"/>
      <c r="V13" s="42"/>
      <c r="W13" s="42"/>
      <c r="X13" s="42"/>
      <c r="Y13" s="42"/>
      <c r="Z13" s="42"/>
      <c r="AA13" s="42"/>
    </row>
    <row r="14" spans="2:44">
      <c r="B14" s="5" t="s">
        <v>527</v>
      </c>
      <c r="C14" s="257"/>
      <c r="D14" s="529">
        <f>TELE2SOP!J27</f>
        <v>0</v>
      </c>
      <c r="E14" s="529">
        <f t="shared" ref="E14:G15" si="2">D14</f>
        <v>0</v>
      </c>
      <c r="F14" s="529">
        <f t="shared" si="2"/>
        <v>0</v>
      </c>
      <c r="G14" s="529">
        <f t="shared" si="2"/>
        <v>0</v>
      </c>
      <c r="H14" s="247"/>
      <c r="I14" s="247"/>
      <c r="J14" s="5" t="s">
        <v>588</v>
      </c>
      <c r="L14" s="525">
        <f>'W.EUR OTHER'!D42</f>
        <v>2.9998062507434589</v>
      </c>
      <c r="M14" s="525">
        <f>'W.EUR OTHER'!E42</f>
        <v>2.5616627697063863</v>
      </c>
      <c r="N14" s="525">
        <f>'W.EUR OTHER'!F42</f>
        <v>2.4320616245212983</v>
      </c>
      <c r="O14" s="525">
        <f>'W.EUR OTHER'!G42</f>
        <v>2.298739291377446</v>
      </c>
      <c r="P14" s="279">
        <f>'W.EUR OTHER'!H42</f>
        <v>4.8033956462567584E-3</v>
      </c>
      <c r="S14" s="88"/>
      <c r="T14" s="42"/>
      <c r="U14" s="42"/>
      <c r="V14" s="42"/>
      <c r="W14" s="42"/>
      <c r="X14" s="42"/>
      <c r="Y14" s="42"/>
      <c r="Z14" s="42"/>
      <c r="AA14" s="42"/>
    </row>
    <row r="15" spans="2:44">
      <c r="B15" s="5" t="s">
        <v>526</v>
      </c>
      <c r="C15" s="274"/>
      <c r="D15" s="529">
        <f>TELE2SOP!T15</f>
        <v>0</v>
      </c>
      <c r="E15" s="529">
        <f t="shared" si="2"/>
        <v>0</v>
      </c>
      <c r="F15" s="529">
        <f t="shared" si="2"/>
        <v>0</v>
      </c>
      <c r="G15" s="529">
        <f t="shared" si="2"/>
        <v>0</v>
      </c>
      <c r="H15" s="247"/>
      <c r="I15" s="247"/>
      <c r="J15" s="5" t="s">
        <v>470</v>
      </c>
      <c r="L15" s="525">
        <f>'W.EUR OTHER'!D43</f>
        <v>36.043730510598792</v>
      </c>
      <c r="M15" s="525">
        <f>'W.EUR OTHER'!E43</f>
        <v>34.490732675014193</v>
      </c>
      <c r="N15" s="525">
        <f>'W.EUR OTHER'!F43</f>
        <v>16.287705091950169</v>
      </c>
      <c r="O15" s="525">
        <f>'W.EUR OTHER'!G43</f>
        <v>11.941589892511526</v>
      </c>
      <c r="P15" s="279">
        <f>'W.EUR OTHER'!H43</f>
        <v>0.37754240659126448</v>
      </c>
      <c r="S15" s="88"/>
      <c r="T15" s="42"/>
      <c r="U15" s="42"/>
      <c r="V15" s="42"/>
      <c r="W15" s="42"/>
      <c r="X15" s="42"/>
      <c r="Y15" s="42"/>
      <c r="Z15" s="42"/>
      <c r="AA15" s="42"/>
    </row>
    <row r="16" spans="2:44">
      <c r="B16" s="5" t="s">
        <v>529</v>
      </c>
      <c r="C16" s="257"/>
      <c r="D16" s="529">
        <v>0</v>
      </c>
      <c r="E16" s="529">
        <v>4677.9277603999999</v>
      </c>
      <c r="F16" s="529">
        <v>10801.885543206001</v>
      </c>
      <c r="G16" s="529">
        <v>16997.06477616409</v>
      </c>
      <c r="H16" s="247"/>
      <c r="I16" s="247"/>
      <c r="J16" s="5" t="s">
        <v>528</v>
      </c>
      <c r="L16" s="525">
        <f>'W.EUR OTHER'!D44</f>
        <v>18.190653543431651</v>
      </c>
      <c r="M16" s="525">
        <f>'W.EUR OTHER'!E44</f>
        <v>13.647996044938878</v>
      </c>
      <c r="N16" s="525">
        <f>'W.EUR OTHER'!F44</f>
        <v>10.565198529238016</v>
      </c>
      <c r="O16" s="525">
        <f>'W.EUR OTHER'!G44</f>
        <v>9.2374096772312519</v>
      </c>
      <c r="P16" s="279">
        <f>'W.EUR OTHER'!H44</f>
        <v>0.20457659904306258</v>
      </c>
      <c r="S16" s="88"/>
      <c r="T16" s="42"/>
      <c r="U16" s="42"/>
      <c r="V16" s="42"/>
      <c r="W16" s="42"/>
      <c r="X16" s="42"/>
      <c r="Y16" s="42"/>
      <c r="Z16" s="42"/>
      <c r="AA16" s="42"/>
    </row>
    <row r="17" spans="2:27">
      <c r="B17" s="5" t="s">
        <v>6</v>
      </c>
      <c r="C17" s="257"/>
      <c r="D17" s="529">
        <v>585.80067995249556</v>
      </c>
      <c r="E17" s="529">
        <v>585.80067995249556</v>
      </c>
      <c r="F17" s="529">
        <v>585.80067995249556</v>
      </c>
      <c r="G17" s="529">
        <v>585.80067995249556</v>
      </c>
      <c r="H17" s="247"/>
      <c r="I17" s="247"/>
      <c r="J17" s="5" t="s">
        <v>575</v>
      </c>
      <c r="L17" s="248">
        <f>'W.EUR OTHER'!D45</f>
        <v>6.6143118778113894E-2</v>
      </c>
      <c r="M17" s="248">
        <f>'W.EUR OTHER'!E45</f>
        <v>4.3051326641435336E-2</v>
      </c>
      <c r="N17" s="248">
        <f>'W.EUR OTHER'!F45</f>
        <v>4.4102284782265591E-2</v>
      </c>
      <c r="O17" s="248">
        <f>'W.EUR OTHER'!G45</f>
        <v>4.5021641876791196E-2</v>
      </c>
      <c r="P17" s="279">
        <f>'W.EUR OTHER'!H45</f>
        <v>-0.15462913486104612</v>
      </c>
      <c r="S17" s="88"/>
      <c r="T17" s="42"/>
      <c r="U17" s="42"/>
      <c r="V17" s="42"/>
      <c r="W17" s="42"/>
      <c r="X17" s="42"/>
      <c r="Y17" s="42"/>
      <c r="Z17" s="42"/>
      <c r="AA17" s="42"/>
    </row>
    <row r="18" spans="2:27" ht="12.6" thickBot="1">
      <c r="B18" s="41" t="s">
        <v>578</v>
      </c>
      <c r="C18" s="249"/>
      <c r="D18" s="530">
        <f>D11+D12+D13-D14+D15-D16-D17</f>
        <v>113406.83304275395</v>
      </c>
      <c r="E18" s="530">
        <f>E11+E12+E13-E14+E15-E16-E17</f>
        <v>108814.48160040897</v>
      </c>
      <c r="F18" s="530">
        <f>F11+F12+F13-F14+F15-F16-F17</f>
        <v>104202.23856061918</v>
      </c>
      <c r="G18" s="530">
        <f>G11+G12+G13-G14+G15-G16-G17</f>
        <v>99127.1479583279</v>
      </c>
      <c r="H18" s="276">
        <f>IF(D18=0,"nm",IF(G18=0,"nm",(G18/D18)^(1/3)-1))</f>
        <v>-4.3868126283677533E-2</v>
      </c>
      <c r="I18" s="254"/>
      <c r="J18" s="5" t="s">
        <v>36</v>
      </c>
      <c r="L18" s="248">
        <f>'W.EUR OTHER'!D46</f>
        <v>6.6143118778113894E-2</v>
      </c>
      <c r="M18" s="248">
        <f>'W.EUR OTHER'!E46</f>
        <v>4.3051326641435336E-2</v>
      </c>
      <c r="N18" s="248">
        <f>'W.EUR OTHER'!F46</f>
        <v>4.4102284782265591E-2</v>
      </c>
      <c r="O18" s="248">
        <f>'W.EUR OTHER'!G46</f>
        <v>4.5021641876791196E-2</v>
      </c>
      <c r="P18" s="279">
        <f>'W.EUR OTHER'!H46</f>
        <v>-0.15462913486104612</v>
      </c>
      <c r="S18" s="88"/>
      <c r="T18" s="42"/>
      <c r="U18" s="42"/>
      <c r="V18" s="42"/>
      <c r="W18" s="42"/>
      <c r="X18" s="42"/>
      <c r="Y18" s="42"/>
      <c r="Z18" s="42"/>
      <c r="AA18" s="42"/>
    </row>
    <row r="19" spans="2:27" ht="12.6" thickTop="1">
      <c r="B19" s="41"/>
      <c r="C19" s="249"/>
      <c r="D19" s="229"/>
      <c r="E19" s="229"/>
      <c r="F19" s="229"/>
      <c r="G19" s="229"/>
      <c r="H19" s="276"/>
      <c r="I19" s="254"/>
      <c r="J19" s="5" t="s">
        <v>576</v>
      </c>
      <c r="L19" s="248">
        <f>'W.EUR OTHER'!D47</f>
        <v>2.7744076038576149E-2</v>
      </c>
      <c r="M19" s="248">
        <f>'W.EUR OTHER'!E47</f>
        <v>2.8993295370742325E-2</v>
      </c>
      <c r="N19" s="248">
        <f>'W.EUR OTHER'!F47</f>
        <v>6.1396003571689631E-2</v>
      </c>
      <c r="O19" s="248">
        <f>'W.EUR OTHER'!G47</f>
        <v>8.3740943124088682E-2</v>
      </c>
      <c r="P19" s="279">
        <f>'W.EUR OTHER'!H47</f>
        <v>0.37754240659126448</v>
      </c>
      <c r="S19" s="88"/>
      <c r="T19" s="42"/>
      <c r="U19" s="42"/>
      <c r="V19" s="42"/>
      <c r="W19" s="42"/>
      <c r="X19" s="42"/>
      <c r="Y19" s="42"/>
      <c r="Z19" s="42"/>
      <c r="AA19" s="42"/>
    </row>
    <row r="20" spans="2:27">
      <c r="H20" s="277"/>
      <c r="I20" s="17"/>
      <c r="J20" s="5" t="s">
        <v>599</v>
      </c>
      <c r="L20" s="305">
        <f>'W.EUR OTHER'!D48</f>
        <v>2.1773296851754451</v>
      </c>
      <c r="M20" s="305">
        <f>'W.EUR OTHER'!E48</f>
        <v>1.3522122093409186</v>
      </c>
      <c r="N20" s="305">
        <f>'W.EUR OTHER'!F48</f>
        <v>0.65358788133464962</v>
      </c>
      <c r="O20" s="305">
        <f>'W.EUR OTHER'!G48</f>
        <v>0.50321211795021492</v>
      </c>
      <c r="P20" s="279" t="str">
        <f>'W.EUR OTHER'!H48</f>
        <v>nm</v>
      </c>
      <c r="S20" s="88"/>
      <c r="T20" s="42"/>
      <c r="U20" s="42"/>
      <c r="V20" s="42"/>
      <c r="W20" s="42"/>
      <c r="X20" s="42"/>
      <c r="Y20" s="42"/>
      <c r="Z20" s="42"/>
      <c r="AA20" s="42"/>
    </row>
    <row r="21" spans="2:27" ht="12.6" thickBot="1">
      <c r="B21" s="306" t="s">
        <v>945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29098.583328862755</v>
      </c>
      <c r="D23" s="536">
        <v>29741.049231114808</v>
      </c>
      <c r="E23" s="536">
        <v>30132.432616769049</v>
      </c>
      <c r="F23" s="536">
        <v>30550.102484658171</v>
      </c>
      <c r="G23" s="536">
        <v>30996.268823581031</v>
      </c>
      <c r="H23" s="279">
        <f t="shared" ref="H23:H32" si="4">IF(D23=0,"nm",IF(G23=0,"nm",(G23/D23)^(1/3)-1))</f>
        <v>1.3874914140054262E-2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4">
        <v>10060.173682611183</v>
      </c>
      <c r="D24" s="536">
        <v>10409.49270404981</v>
      </c>
      <c r="E24" s="536">
        <v>10572.77808631655</v>
      </c>
      <c r="F24" s="536">
        <v>11049.331344234024</v>
      </c>
      <c r="G24" s="536">
        <v>11396.446263616945</v>
      </c>
      <c r="H24" s="279">
        <f t="shared" si="4"/>
        <v>3.0654951327086399E-2</v>
      </c>
      <c r="I24" s="249"/>
      <c r="J24" s="17"/>
      <c r="K24" s="17"/>
      <c r="L24" s="17"/>
      <c r="M24" s="17"/>
      <c r="N24" s="17"/>
      <c r="O24" s="248"/>
      <c r="S24" s="88"/>
      <c r="T24" s="42"/>
      <c r="U24" s="42"/>
      <c r="V24" s="42"/>
      <c r="W24" s="42" t="s">
        <v>389</v>
      </c>
      <c r="X24" s="42" t="s">
        <v>251</v>
      </c>
      <c r="Y24" s="42"/>
      <c r="Z24" s="42"/>
      <c r="AA24" s="42"/>
    </row>
    <row r="25" spans="2:27">
      <c r="B25" s="5" t="s">
        <v>179</v>
      </c>
      <c r="C25" s="544">
        <v>6888.814303604865</v>
      </c>
      <c r="D25" s="536">
        <v>6468.5227252738105</v>
      </c>
      <c r="E25" s="536">
        <v>6543.8513883829828</v>
      </c>
      <c r="F25" s="536">
        <v>7041.3353027089115</v>
      </c>
      <c r="G25" s="536">
        <v>7593.1156675636785</v>
      </c>
      <c r="H25" s="279">
        <f t="shared" si="4"/>
        <v>5.4884641068119855E-2</v>
      </c>
      <c r="I25" s="248"/>
      <c r="J25" s="247" t="s">
        <v>10</v>
      </c>
      <c r="K25" s="247"/>
      <c r="L25" s="321">
        <v>6178.1252357957728</v>
      </c>
      <c r="M25" s="321">
        <v>6178.1252357957728</v>
      </c>
      <c r="N25" s="321">
        <v>6178.1252357957728</v>
      </c>
      <c r="O25" s="321">
        <v>0</v>
      </c>
      <c r="P25" s="279" t="str">
        <f>IF(L25=0,"nm",IF(O25=0,"nm",(O25/L25)^(1/3)-1))</f>
        <v>nm</v>
      </c>
      <c r="S25" s="88"/>
      <c r="T25" s="42"/>
      <c r="U25" s="42"/>
      <c r="V25" s="147" t="s">
        <v>268</v>
      </c>
      <c r="W25" s="288">
        <f>D37/L9</f>
        <v>1.9465534765557608</v>
      </c>
      <c r="X25" s="288">
        <v>1</v>
      </c>
      <c r="Y25" s="42"/>
      <c r="Z25" s="42"/>
      <c r="AA25" s="42"/>
    </row>
    <row r="26" spans="2:27">
      <c r="B26" s="5" t="s">
        <v>581</v>
      </c>
      <c r="C26" s="544">
        <v>5544.9146938613203</v>
      </c>
      <c r="D26" s="536">
        <v>5220.1145965103333</v>
      </c>
      <c r="E26" s="536">
        <v>5284.5563844187591</v>
      </c>
      <c r="F26" s="536">
        <v>5685.8431651688434</v>
      </c>
      <c r="G26" s="536">
        <v>6132.3650350764347</v>
      </c>
      <c r="H26" s="279">
        <f t="shared" si="4"/>
        <v>5.5154334217220935E-2</v>
      </c>
      <c r="I26" s="249"/>
      <c r="J26" s="249" t="s">
        <v>11</v>
      </c>
      <c r="K26" s="249"/>
      <c r="L26" s="281">
        <f>D11+L25</f>
        <v>87637.589816395775</v>
      </c>
      <c r="M26" s="281">
        <f>E11+M25</f>
        <v>87637.589816395775</v>
      </c>
      <c r="N26" s="281">
        <f>F11+N25</f>
        <v>87637.589816395775</v>
      </c>
      <c r="O26" s="281">
        <f>G11+O25</f>
        <v>81459.464580600004</v>
      </c>
      <c r="P26" s="279">
        <f>IF(L26=0,"nm",IF(O26=0,"nm",(O26/L26)^(1/3)-1))</f>
        <v>-2.4073654729907412E-2</v>
      </c>
      <c r="Q26" s="5"/>
      <c r="S26" s="88"/>
      <c r="T26" s="42"/>
      <c r="U26" s="42"/>
      <c r="V26" s="147" t="s">
        <v>180</v>
      </c>
      <c r="W26" s="288">
        <f t="shared" ref="W26:W33" si="6">D38/L10</f>
        <v>2.2319024324124528</v>
      </c>
      <c r="X26" s="288">
        <v>1</v>
      </c>
      <c r="Y26" s="42"/>
      <c r="Z26" s="42"/>
      <c r="AA26" s="42"/>
    </row>
    <row r="27" spans="2:27">
      <c r="B27" s="5" t="s">
        <v>582</v>
      </c>
      <c r="C27" s="544">
        <v>49330.707999999999</v>
      </c>
      <c r="D27" s="536">
        <v>48427.885947769711</v>
      </c>
      <c r="E27" s="536">
        <v>47055.475475386396</v>
      </c>
      <c r="F27" s="536">
        <v>46090.758033497783</v>
      </c>
      <c r="G27" s="536">
        <v>44905.529404250054</v>
      </c>
      <c r="H27" s="279">
        <f t="shared" si="4"/>
        <v>-2.4857458660562992E-2</v>
      </c>
      <c r="I27" s="249"/>
      <c r="J27" s="248"/>
      <c r="K27" s="248"/>
      <c r="L27" s="248"/>
      <c r="M27" s="248"/>
      <c r="N27" s="248"/>
      <c r="O27" s="248"/>
      <c r="Q27" s="41"/>
      <c r="S27" s="88"/>
      <c r="T27" s="42"/>
      <c r="U27" s="42"/>
      <c r="V27" s="147" t="s">
        <v>181</v>
      </c>
      <c r="W27" s="288">
        <f t="shared" si="6"/>
        <v>1.3320686607899765</v>
      </c>
      <c r="X27" s="288">
        <v>1</v>
      </c>
      <c r="Y27" s="42"/>
      <c r="Z27" s="42"/>
      <c r="AA27" s="42"/>
    </row>
    <row r="28" spans="2:27" ht="12.6" thickBot="1">
      <c r="B28" s="5" t="s">
        <v>587</v>
      </c>
      <c r="C28" s="544">
        <v>8219.8729999999996</v>
      </c>
      <c r="D28" s="536">
        <v>8985.810827513229</v>
      </c>
      <c r="E28" s="536">
        <v>8807.5058509634036</v>
      </c>
      <c r="F28" s="536">
        <v>8613.502882107241</v>
      </c>
      <c r="G28" s="536">
        <v>8266.0008291471895</v>
      </c>
      <c r="H28" s="279">
        <f t="shared" si="4"/>
        <v>-2.7448239464977875E-2</v>
      </c>
      <c r="I28" s="248"/>
      <c r="J28" s="306" t="s">
        <v>1352</v>
      </c>
      <c r="K28" s="306"/>
      <c r="L28" s="306"/>
      <c r="M28" s="306"/>
      <c r="N28" s="266"/>
      <c r="O28" s="266"/>
      <c r="P28" s="266"/>
      <c r="Q28" s="5"/>
      <c r="S28" s="88"/>
      <c r="T28" s="42"/>
      <c r="U28" s="42"/>
      <c r="V28" s="147" t="s">
        <v>461</v>
      </c>
      <c r="W28" s="288">
        <f t="shared" si="6"/>
        <v>1.1566377484426555</v>
      </c>
      <c r="X28" s="288">
        <v>1</v>
      </c>
      <c r="Y28" s="42"/>
      <c r="Z28" s="42"/>
      <c r="AA28" s="42"/>
    </row>
    <row r="29" spans="2:27" ht="12.6" thickTop="1">
      <c r="B29" s="5" t="s">
        <v>583</v>
      </c>
      <c r="C29" s="544">
        <v>5314.5763507672264</v>
      </c>
      <c r="D29" s="536">
        <v>4693.782396100175</v>
      </c>
      <c r="E29" s="536">
        <v>4592.3514423449842</v>
      </c>
      <c r="F29" s="536">
        <v>4981.2430397897851</v>
      </c>
      <c r="G29" s="536">
        <v>5375.0906022913014</v>
      </c>
      <c r="H29" s="279">
        <f t="shared" si="4"/>
        <v>4.6215008117570289E-2</v>
      </c>
      <c r="I29" s="252"/>
      <c r="J29" s="249"/>
      <c r="K29" s="249"/>
      <c r="L29" s="249"/>
      <c r="M29" s="249"/>
      <c r="N29" s="249"/>
      <c r="O29" s="251"/>
      <c r="Q29" s="5"/>
      <c r="S29" s="88"/>
      <c r="T29" s="42"/>
      <c r="U29" s="42"/>
      <c r="V29" s="147" t="s">
        <v>525</v>
      </c>
      <c r="W29" s="288">
        <f t="shared" si="6"/>
        <v>2.7732127978232946</v>
      </c>
      <c r="X29" s="288">
        <v>1</v>
      </c>
      <c r="Y29" s="42"/>
      <c r="Z29" s="42"/>
      <c r="AA29" s="42"/>
    </row>
    <row r="30" spans="2:27">
      <c r="B30" s="5" t="s">
        <v>584</v>
      </c>
      <c r="C30" s="544">
        <v>3540.1233578387551</v>
      </c>
      <c r="D30" s="536">
        <v>3783.3491317195703</v>
      </c>
      <c r="E30" s="536">
        <v>3640.7963701157269</v>
      </c>
      <c r="F30" s="536">
        <v>4068.3809980552342</v>
      </c>
      <c r="G30" s="536">
        <v>4310.7173731976354</v>
      </c>
      <c r="H30" s="279">
        <f t="shared" si="4"/>
        <v>4.4458150189770285E-2</v>
      </c>
      <c r="I30" s="254"/>
      <c r="J30" s="248"/>
      <c r="K30" s="248"/>
      <c r="L30" s="248"/>
      <c r="M30" s="248"/>
      <c r="N30" s="248"/>
      <c r="O30" s="5"/>
      <c r="Q30" s="5"/>
      <c r="S30" s="88"/>
      <c r="T30" s="42"/>
      <c r="U30" s="42"/>
      <c r="V30" s="147" t="s">
        <v>588</v>
      </c>
      <c r="W30" s="288">
        <f t="shared" si="6"/>
        <v>4.2071572562578456</v>
      </c>
      <c r="X30" s="288">
        <v>1</v>
      </c>
      <c r="Y30" s="42"/>
      <c r="Z30" s="42"/>
      <c r="AA30" s="42"/>
    </row>
    <row r="31" spans="2:27">
      <c r="B31" s="5" t="s">
        <v>585</v>
      </c>
      <c r="C31" s="544">
        <v>3854.4095350564662</v>
      </c>
      <c r="D31" s="536">
        <v>4047.13001180929</v>
      </c>
      <c r="E31" s="536">
        <v>4249.4865123997542</v>
      </c>
      <c r="F31" s="536">
        <v>4461.9608380197424</v>
      </c>
      <c r="G31" s="536">
        <v>4461.9608380197424</v>
      </c>
      <c r="H31" s="279">
        <f t="shared" si="4"/>
        <v>3.3061554146506911E-2</v>
      </c>
      <c r="I31" s="254"/>
      <c r="J31" s="252"/>
      <c r="K31" s="252"/>
      <c r="L31" s="252"/>
      <c r="M31" s="252"/>
      <c r="N31" s="252"/>
      <c r="O31" s="5"/>
      <c r="Q31" s="5"/>
      <c r="S31" s="88"/>
      <c r="T31" s="42"/>
      <c r="U31" s="42"/>
      <c r="V31" s="147" t="s">
        <v>470</v>
      </c>
      <c r="W31" s="288">
        <f t="shared" si="6"/>
        <v>0.51800951780887361</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1.1836323555978296</v>
      </c>
      <c r="X32" s="288">
        <v>1</v>
      </c>
      <c r="Y32" s="42"/>
      <c r="Z32" s="42"/>
      <c r="AA32" s="42"/>
    </row>
    <row r="33" spans="2:27">
      <c r="B33" s="5" t="s">
        <v>5</v>
      </c>
      <c r="C33" s="544">
        <v>689.30373683125777</v>
      </c>
      <c r="D33" s="536">
        <v>888.04643237825076</v>
      </c>
      <c r="E33" s="536">
        <v>1083.9083554068586</v>
      </c>
      <c r="F33" s="536">
        <v>1090.1994440028789</v>
      </c>
      <c r="G33" s="536">
        <v>1191.1972275042829</v>
      </c>
      <c r="H33" s="279">
        <f>IF(D33=0,"nm",IF(G33=0,"nm",(G33/D33)^(1/3)-1))</f>
        <v>0.10284886359343615</v>
      </c>
      <c r="I33" s="5"/>
      <c r="J33" s="254"/>
      <c r="K33" s="254"/>
      <c r="L33" s="254"/>
      <c r="M33" s="254"/>
      <c r="N33" s="254"/>
      <c r="O33" s="251"/>
      <c r="Q33" s="5"/>
      <c r="S33" s="88"/>
      <c r="T33" s="42"/>
      <c r="U33" s="42"/>
      <c r="V33" s="147" t="s">
        <v>575</v>
      </c>
      <c r="W33" s="288">
        <f t="shared" si="6"/>
        <v>0.75114007983043007</v>
      </c>
      <c r="X33" s="288">
        <v>1</v>
      </c>
      <c r="Y33" s="42"/>
      <c r="Z33" s="42"/>
      <c r="AA33" s="42"/>
    </row>
    <row r="34" spans="2:27">
      <c r="B34" s="5"/>
      <c r="C34" s="247"/>
      <c r="D34" s="17"/>
      <c r="E34" s="17"/>
      <c r="F34" s="17"/>
      <c r="G34" s="17"/>
      <c r="H34" s="277"/>
      <c r="I34" s="49"/>
      <c r="J34" s="254"/>
      <c r="K34" s="254"/>
      <c r="L34" s="254"/>
      <c r="M34" s="254"/>
      <c r="N34" s="254"/>
      <c r="O34" s="251"/>
      <c r="Q34" s="5"/>
      <c r="S34" s="88"/>
      <c r="T34" s="42"/>
      <c r="U34" s="42"/>
      <c r="V34" s="147" t="s">
        <v>576</v>
      </c>
      <c r="W34" s="288">
        <f>D47/L19</f>
        <v>1.9304664598247074</v>
      </c>
      <c r="X34" s="288">
        <v>1</v>
      </c>
      <c r="Y34" s="288"/>
      <c r="Z34" s="288"/>
      <c r="AA34" s="42"/>
    </row>
    <row r="35" spans="2:27" ht="12.6" thickBot="1">
      <c r="B35" s="306" t="s">
        <v>392</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3.8131416333526249</v>
      </c>
      <c r="E37" s="525">
        <f t="shared" ref="E37:G41" si="8">E$18/E23</f>
        <v>3.6112079958606609</v>
      </c>
      <c r="F37" s="525">
        <f t="shared" si="8"/>
        <v>3.4108637970346605</v>
      </c>
      <c r="G37" s="525">
        <f t="shared" si="8"/>
        <v>3.1980348513081336</v>
      </c>
      <c r="H37" s="17">
        <f t="shared" ref="H37:H45" si="9">H23</f>
        <v>1.3874914140054262E-2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10.894559059408635</v>
      </c>
      <c r="E38" s="525">
        <f t="shared" si="8"/>
        <v>10.291947935731132</v>
      </c>
      <c r="F38" s="525">
        <f t="shared" si="8"/>
        <v>9.4306375032364294</v>
      </c>
      <c r="G38" s="525">
        <f t="shared" si="8"/>
        <v>8.6980753179866657</v>
      </c>
      <c r="H38" s="17">
        <f t="shared" si="9"/>
        <v>3.0654951327086399E-2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17.532107075955814</v>
      </c>
      <c r="E39" s="525">
        <f t="shared" si="8"/>
        <v>16.628507455652588</v>
      </c>
      <c r="F39" s="525">
        <f t="shared" si="8"/>
        <v>14.798647427076929</v>
      </c>
      <c r="G39" s="525">
        <f t="shared" si="8"/>
        <v>13.054871320053756</v>
      </c>
      <c r="H39" s="17">
        <f t="shared" si="9"/>
        <v>5.4884641068119855E-2</v>
      </c>
      <c r="I39" s="17"/>
      <c r="J39" s="5"/>
      <c r="K39" s="5"/>
      <c r="L39" s="5"/>
      <c r="M39" s="5"/>
      <c r="N39" s="5"/>
      <c r="O39" s="5"/>
      <c r="Q39" s="5"/>
      <c r="R39" s="5"/>
      <c r="S39" s="42"/>
      <c r="T39" s="42"/>
      <c r="U39" s="42"/>
      <c r="V39" s="42"/>
      <c r="W39" s="42"/>
      <c r="X39" s="42"/>
      <c r="Y39" s="42"/>
      <c r="Z39" s="42"/>
      <c r="AA39" s="42"/>
    </row>
    <row r="40" spans="2:27">
      <c r="B40" s="5" t="s">
        <v>461</v>
      </c>
      <c r="C40" s="247"/>
      <c r="D40" s="525">
        <f>D$18/D26</f>
        <v>21.724970007088896</v>
      </c>
      <c r="E40" s="525">
        <f t="shared" si="8"/>
        <v>20.59103426755798</v>
      </c>
      <c r="F40" s="525">
        <f t="shared" si="8"/>
        <v>18.326611468806643</v>
      </c>
      <c r="G40" s="525">
        <f t="shared" si="8"/>
        <v>16.164586972779968</v>
      </c>
      <c r="H40" s="17">
        <f t="shared" si="9"/>
        <v>5.5154334217220935E-2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2.3417671621070788</v>
      </c>
      <c r="E41" s="525">
        <f t="shared" si="8"/>
        <v>2.3124722575022592</v>
      </c>
      <c r="F41" s="525">
        <f t="shared" si="8"/>
        <v>2.260805484797781</v>
      </c>
      <c r="G41" s="525">
        <f t="shared" si="8"/>
        <v>2.2074597332092933</v>
      </c>
      <c r="H41" s="17">
        <f t="shared" si="9"/>
        <v>-2.4857458660562992E-2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12.620656635182986</v>
      </c>
      <c r="E42" s="525">
        <f>E18/E28</f>
        <v>12.354744174084921</v>
      </c>
      <c r="F42" s="525">
        <f>F18/F28</f>
        <v>12.097544981041063</v>
      </c>
      <c r="G42" s="525">
        <f>G18/G28</f>
        <v>11.992153159335569</v>
      </c>
      <c r="H42" s="17">
        <f t="shared" si="9"/>
        <v>-2.7448239464977875E-2</v>
      </c>
      <c r="I42" s="248"/>
      <c r="J42" s="5"/>
      <c r="K42" s="5"/>
      <c r="L42" s="5"/>
      <c r="M42" s="5"/>
      <c r="N42" s="5"/>
      <c r="O42" s="5"/>
      <c r="Q42" s="5"/>
      <c r="R42" s="5"/>
      <c r="S42" s="42"/>
      <c r="T42" s="42"/>
      <c r="U42" s="42"/>
      <c r="V42" s="42"/>
      <c r="W42" s="288"/>
      <c r="X42" s="288"/>
      <c r="Y42" s="288"/>
      <c r="Z42" s="288"/>
      <c r="AA42" s="42"/>
    </row>
    <row r="43" spans="2:27">
      <c r="B43" s="5" t="s">
        <v>470</v>
      </c>
      <c r="C43" s="247"/>
      <c r="D43" s="525">
        <f>L26/D29</f>
        <v>18.670995461828266</v>
      </c>
      <c r="E43" s="525">
        <f>M26/E29</f>
        <v>19.083380467860174</v>
      </c>
      <c r="F43" s="525">
        <f>N26/F29</f>
        <v>17.593518147248282</v>
      </c>
      <c r="G43" s="525">
        <f>O26/G29</f>
        <v>15.154993768081853</v>
      </c>
      <c r="H43" s="17">
        <f t="shared" si="9"/>
        <v>4.6215008117570289E-2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21.531046103476012</v>
      </c>
      <c r="E44" s="525">
        <f>E11/E30</f>
        <v>22.374078717841261</v>
      </c>
      <c r="F44" s="525">
        <f>F11/F30</f>
        <v>20.02257522575669</v>
      </c>
      <c r="G44" s="525">
        <f>G11/G30</f>
        <v>18.896962507234477</v>
      </c>
      <c r="H44" s="17">
        <f t="shared" si="9"/>
        <v>4.4458150189770285E-2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4.9682747519226085E-2</v>
      </c>
      <c r="E45" s="248">
        <f>E31/E11</f>
        <v>5.2166884895187386E-2</v>
      </c>
      <c r="F45" s="248">
        <f>F31/F11</f>
        <v>5.4775229139946757E-2</v>
      </c>
      <c r="G45" s="248">
        <f>G31/G11</f>
        <v>5.4775229139946757E-2</v>
      </c>
      <c r="H45" s="17">
        <f t="shared" si="9"/>
        <v>3.3061554146506911E-2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4.9682747519226085E-2</v>
      </c>
      <c r="E46" s="248">
        <f>(E31+E32)/E11</f>
        <v>5.2166884895187386E-2</v>
      </c>
      <c r="F46" s="248">
        <f>(F31+F32)/F11</f>
        <v>5.4775229139946757E-2</v>
      </c>
      <c r="G46" s="248">
        <f>(G31+G32)/G11</f>
        <v>5.4775229139946757E-2</v>
      </c>
      <c r="H46" s="279">
        <f>((G31+G32)/(D31+D32))^(1/3)-1</f>
        <v>3.3061554146506911E-2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5.3559008251297592E-2</v>
      </c>
      <c r="E47" s="248">
        <f>1/E43</f>
        <v>5.2401617296483655E-2</v>
      </c>
      <c r="F47" s="248">
        <f>1/F43</f>
        <v>5.683911493031342E-2</v>
      </c>
      <c r="G47" s="248">
        <f>1/G43</f>
        <v>6.5984850624360811E-2</v>
      </c>
      <c r="H47" s="17">
        <f>H29</f>
        <v>4.6215008117570289E-2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0.86223213397618181</v>
      </c>
      <c r="E48" s="305">
        <f>E31/E29</f>
        <v>0.9253400062582855</v>
      </c>
      <c r="F48" s="305">
        <f>F31/F29</f>
        <v>0.89575248635289295</v>
      </c>
      <c r="G48" s="305">
        <f>G31/G29</f>
        <v>0.83011825626114866</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ELE2SOP!A1" display="Jump to Tele2 SOP" xr:uid="{00000000-0004-0000-5F00-000001000000}"/>
  </hyperlinks>
  <pageMargins left="0.75" right="0.75" top="1" bottom="1" header="0.5" footer="0.5"/>
  <pageSetup scale="71"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267</v>
      </c>
      <c r="C9" s="287">
        <f>Prices!C17</f>
        <v>4.2130000000000001</v>
      </c>
      <c r="D9" s="531">
        <v>0</v>
      </c>
      <c r="E9" s="532">
        <v>0</v>
      </c>
      <c r="F9" s="532">
        <v>0</v>
      </c>
      <c r="G9" s="532">
        <v>0</v>
      </c>
      <c r="H9" s="249"/>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44">
      <c r="B10" s="5" t="s">
        <v>269</v>
      </c>
      <c r="C10" s="5"/>
      <c r="D10" s="527">
        <v>5639.3586649999997</v>
      </c>
      <c r="E10" s="527">
        <v>5639.3586649999997</v>
      </c>
      <c r="F10" s="527">
        <v>5639.3586649999997</v>
      </c>
      <c r="G10" s="527">
        <v>5639.3586649999997</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44">
      <c r="B11" s="41" t="s">
        <v>270</v>
      </c>
      <c r="C11" s="5"/>
      <c r="D11" s="528">
        <f>$C$9*D10</f>
        <v>23758.618055644998</v>
      </c>
      <c r="E11" s="528">
        <f>$C$9*E10</f>
        <v>23758.618055644998</v>
      </c>
      <c r="F11" s="528">
        <f>$C$9*F10</f>
        <v>23758.618055644998</v>
      </c>
      <c r="G11" s="528">
        <f>$C$9*G10</f>
        <v>23758.618055644998</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44">
      <c r="B12" s="5" t="s">
        <v>24</v>
      </c>
      <c r="C12" s="249"/>
      <c r="D12" s="529">
        <v>27348.720816887901</v>
      </c>
      <c r="E12" s="529">
        <v>27022.592350195377</v>
      </c>
      <c r="F12" s="529">
        <v>26015.523960844708</v>
      </c>
      <c r="G12" s="529">
        <v>24954.437889883666</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44">
      <c r="B13" s="5" t="s">
        <v>524</v>
      </c>
      <c r="C13" s="257"/>
      <c r="D13" s="529">
        <v>7032.2775373851428</v>
      </c>
      <c r="E13" s="529">
        <v>7032.2775373851428</v>
      </c>
      <c r="F13" s="529">
        <v>7032.2775373851428</v>
      </c>
      <c r="G13" s="529">
        <v>7032.2775373851428</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44">
      <c r="B14" s="5" t="s">
        <v>527</v>
      </c>
      <c r="C14" s="257"/>
      <c r="D14" s="529">
        <f>TEFSOP!R29</f>
        <v>3886.2133876094936</v>
      </c>
      <c r="E14" s="529">
        <f t="shared" ref="E14:G15" si="2">D14</f>
        <v>3886.2133876094936</v>
      </c>
      <c r="F14" s="529">
        <f t="shared" si="2"/>
        <v>3886.2133876094936</v>
      </c>
      <c r="G14" s="529">
        <f t="shared" si="2"/>
        <v>3886.2133876094936</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44">
      <c r="B15" s="5" t="s">
        <v>526</v>
      </c>
      <c r="C15" s="274"/>
      <c r="D15" s="529">
        <f>TEFSOP!T31</f>
        <v>6363.0519215402837</v>
      </c>
      <c r="E15" s="529">
        <f t="shared" si="2"/>
        <v>6363.0519215402837</v>
      </c>
      <c r="F15" s="529">
        <f t="shared" si="2"/>
        <v>6363.0519215402837</v>
      </c>
      <c r="G15" s="529">
        <f t="shared" si="2"/>
        <v>6363.0519215402837</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44">
      <c r="B16" s="5" t="s">
        <v>529</v>
      </c>
      <c r="C16" s="257"/>
      <c r="D16" s="529">
        <v>0</v>
      </c>
      <c r="E16" s="529">
        <v>845.90379974999996</v>
      </c>
      <c r="F16" s="529">
        <v>2537.7113992499999</v>
      </c>
      <c r="G16" s="529">
        <v>4229.5189987499998</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412.91347588264546</v>
      </c>
      <c r="E17" s="529">
        <v>412.91347588264546</v>
      </c>
      <c r="F17" s="529">
        <v>412.91347588264546</v>
      </c>
      <c r="G17" s="529">
        <v>412.91347588264546</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578</v>
      </c>
      <c r="C18" s="249"/>
      <c r="D18" s="530">
        <f>D11+D12+D13-D14+D15-D16-D17</f>
        <v>60203.541467966177</v>
      </c>
      <c r="E18" s="530">
        <f>E11+E12+E13-E14+E15-E16-E17</f>
        <v>59031.509201523659</v>
      </c>
      <c r="F18" s="530">
        <f>F11+F12+F13-F14+F15-F16-F17</f>
        <v>56332.633212672983</v>
      </c>
      <c r="G18" s="530">
        <f>G11+G12+G13-G14+G15-G16-G17</f>
        <v>53579.739542211944</v>
      </c>
      <c r="H18" s="276">
        <f>IF(D18=0,"nm",IF(G18=0,"nm",(G18/D18)^(1/3)-1))</f>
        <v>-3.8108280153969165E-2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918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40652.3746914</v>
      </c>
      <c r="D23" s="536">
        <v>40509.624137144681</v>
      </c>
      <c r="E23" s="536">
        <v>40136.16840761515</v>
      </c>
      <c r="F23" s="536">
        <v>40391.167907431503</v>
      </c>
      <c r="G23" s="536">
        <v>40754.460911895541</v>
      </c>
      <c r="H23" s="279">
        <f t="shared" ref="H23:H32" si="4">IF(D23=0,"nm",IF(G23=0,"nm",(G23/D23)^(1/3)-1))</f>
        <v>2.0105935473027081E-3</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10485.1839722</v>
      </c>
      <c r="D24" s="536">
        <v>10526.639924499999</v>
      </c>
      <c r="E24" s="536">
        <v>10345.38063471339</v>
      </c>
      <c r="F24" s="536">
        <v>10359.805490173741</v>
      </c>
      <c r="G24" s="536">
        <v>10489.453675158144</v>
      </c>
      <c r="H24" s="279">
        <f t="shared" si="4"/>
        <v>-1.178917603610774E-3</v>
      </c>
      <c r="I24" s="249"/>
      <c r="J24" s="17"/>
      <c r="K24" s="17"/>
      <c r="L24" s="17"/>
      <c r="M24" s="17"/>
      <c r="N24" s="17"/>
      <c r="O24" s="248"/>
      <c r="S24" s="88"/>
      <c r="T24" s="42"/>
      <c r="U24" s="42"/>
      <c r="V24" s="42"/>
      <c r="W24" s="42" t="s">
        <v>456</v>
      </c>
      <c r="X24" s="42" t="s">
        <v>246</v>
      </c>
      <c r="Y24" s="42"/>
      <c r="Z24" s="42"/>
      <c r="AA24" s="42"/>
    </row>
    <row r="25" spans="2:27">
      <c r="B25" s="5" t="s">
        <v>179</v>
      </c>
      <c r="C25" s="544">
        <v>4839.6287289000011</v>
      </c>
      <c r="D25" s="536">
        <v>5129.9751780999995</v>
      </c>
      <c r="E25" s="536">
        <v>5066.562451371833</v>
      </c>
      <c r="F25" s="536">
        <v>5352.4059635291915</v>
      </c>
      <c r="G25" s="536">
        <v>5672.7646095307773</v>
      </c>
      <c r="H25" s="279">
        <f t="shared" si="4"/>
        <v>3.4093559005258456E-2</v>
      </c>
      <c r="I25" s="248"/>
      <c r="J25" s="247" t="s">
        <v>10</v>
      </c>
      <c r="K25" s="247"/>
      <c r="L25" s="321">
        <v>2195</v>
      </c>
      <c r="M25" s="321">
        <v>2195</v>
      </c>
      <c r="N25" s="321">
        <v>2195</v>
      </c>
      <c r="O25" s="321">
        <v>-509</v>
      </c>
      <c r="P25" s="279">
        <f>IF(L25=0,"nm",IF(O25=0,"nm",(O25/L25)^(1/3)-1))</f>
        <v>-1.6143668197093666</v>
      </c>
      <c r="S25" s="88"/>
      <c r="T25" s="42"/>
      <c r="U25" s="42"/>
      <c r="V25" s="147" t="s">
        <v>268</v>
      </c>
      <c r="W25" s="288">
        <f>D37/L9</f>
        <v>0.64005960447762</v>
      </c>
      <c r="X25" s="288">
        <v>1</v>
      </c>
      <c r="Y25" s="42"/>
      <c r="Z25" s="42"/>
      <c r="AA25" s="42"/>
    </row>
    <row r="26" spans="2:27">
      <c r="B26" s="5" t="s">
        <v>581</v>
      </c>
      <c r="C26" s="544">
        <v>3629.7215466750008</v>
      </c>
      <c r="D26" s="536">
        <v>3847.4813835749997</v>
      </c>
      <c r="E26" s="536">
        <v>3799.921838528875</v>
      </c>
      <c r="F26" s="536">
        <v>4014.3044726468934</v>
      </c>
      <c r="G26" s="536">
        <v>4254.5734571480825</v>
      </c>
      <c r="H26" s="279">
        <f t="shared" si="4"/>
        <v>3.4093559005258234E-2</v>
      </c>
      <c r="I26" s="249"/>
      <c r="J26" s="249" t="s">
        <v>11</v>
      </c>
      <c r="K26" s="249"/>
      <c r="L26" s="281">
        <f>D11+L25</f>
        <v>25953.618055644998</v>
      </c>
      <c r="M26" s="281">
        <f>E11+M25</f>
        <v>25953.618055644998</v>
      </c>
      <c r="N26" s="281">
        <f>F11+N25</f>
        <v>25953.618055644998</v>
      </c>
      <c r="O26" s="281">
        <f>G11+O25</f>
        <v>23249.618055644998</v>
      </c>
      <c r="P26" s="279">
        <f>IF(L26=0,"nm",IF(O26=0,"nm",(O26/L26)^(1/3)-1))</f>
        <v>-3.6009757784795982E-2</v>
      </c>
      <c r="Q26" s="5"/>
      <c r="S26" s="88"/>
      <c r="T26" s="42"/>
      <c r="U26" s="42"/>
      <c r="V26" s="147" t="s">
        <v>180</v>
      </c>
      <c r="W26" s="288">
        <f t="shared" ref="W26:W33" si="6">D38/L10</f>
        <v>0.81778250022545884</v>
      </c>
      <c r="X26" s="288">
        <v>1</v>
      </c>
      <c r="Y26" s="42"/>
      <c r="Z26" s="42"/>
      <c r="AA26" s="42"/>
    </row>
    <row r="27" spans="2:27">
      <c r="B27" s="5" t="s">
        <v>582</v>
      </c>
      <c r="C27" s="545">
        <v>58394.823531362003</v>
      </c>
      <c r="D27" s="536">
        <v>54444.720816887901</v>
      </c>
      <c r="E27" s="536">
        <v>52364.019600069427</v>
      </c>
      <c r="F27" s="536">
        <v>49899.123198740781</v>
      </c>
      <c r="G27" s="536">
        <v>47759.763246960538</v>
      </c>
      <c r="H27" s="279">
        <f t="shared" si="4"/>
        <v>-4.2727763519372908E-2</v>
      </c>
      <c r="I27" s="249"/>
      <c r="J27" s="248"/>
      <c r="K27" s="248"/>
      <c r="L27" s="248"/>
      <c r="M27" s="248"/>
      <c r="N27" s="248"/>
      <c r="O27" s="248"/>
      <c r="Q27" s="41"/>
      <c r="S27" s="88"/>
      <c r="T27" s="42"/>
      <c r="U27" s="42"/>
      <c r="V27" s="147" t="s">
        <v>181</v>
      </c>
      <c r="W27" s="288">
        <f t="shared" si="6"/>
        <v>0.81387979237851116</v>
      </c>
      <c r="X27" s="288">
        <v>1</v>
      </c>
      <c r="Y27" s="42"/>
      <c r="Z27" s="42"/>
      <c r="AA27" s="42"/>
    </row>
    <row r="28" spans="2:27" ht="12.6" thickBot="1">
      <c r="B28" s="5" t="s">
        <v>587</v>
      </c>
      <c r="C28" s="544">
        <v>23714</v>
      </c>
      <c r="D28" s="536">
        <v>22944</v>
      </c>
      <c r="E28" s="536">
        <v>23313.985585206712</v>
      </c>
      <c r="F28" s="536">
        <v>22136.87825422977</v>
      </c>
      <c r="G28" s="536">
        <v>20884.818805310962</v>
      </c>
      <c r="H28" s="279">
        <f t="shared" si="4"/>
        <v>-3.0858496631693155E-2</v>
      </c>
      <c r="I28" s="248"/>
      <c r="J28" s="306" t="s">
        <v>1352</v>
      </c>
      <c r="K28" s="306"/>
      <c r="L28" s="306"/>
      <c r="M28" s="306"/>
      <c r="N28" s="266"/>
      <c r="O28" s="266"/>
      <c r="P28" s="266"/>
      <c r="Q28" s="5"/>
      <c r="S28" s="88"/>
      <c r="T28" s="42"/>
      <c r="U28" s="42"/>
      <c r="V28" s="147" t="s">
        <v>461</v>
      </c>
      <c r="W28" s="288">
        <f t="shared" si="6"/>
        <v>0.80908617435689223</v>
      </c>
      <c r="X28" s="288">
        <v>1</v>
      </c>
      <c r="Y28" s="42"/>
      <c r="Z28" s="42"/>
      <c r="AA28" s="42"/>
    </row>
    <row r="29" spans="2:27" ht="12.6" thickTop="1">
      <c r="B29" s="5" t="s">
        <v>583</v>
      </c>
      <c r="C29" s="544">
        <v>2647.573751855246</v>
      </c>
      <c r="D29" s="536">
        <v>2251.2700204142998</v>
      </c>
      <c r="E29" s="536">
        <v>2187.7110742870227</v>
      </c>
      <c r="F29" s="536">
        <v>2273.0309746140779</v>
      </c>
      <c r="G29" s="536">
        <v>2577.4656673594673</v>
      </c>
      <c r="H29" s="279">
        <f t="shared" si="4"/>
        <v>4.613668949591343E-2</v>
      </c>
      <c r="I29" s="252"/>
      <c r="J29" s="249"/>
      <c r="K29" s="249"/>
      <c r="L29" s="249"/>
      <c r="M29" s="249"/>
      <c r="N29" s="249"/>
      <c r="O29" s="251"/>
      <c r="Q29" s="5"/>
      <c r="S29" s="88"/>
      <c r="T29" s="42"/>
      <c r="U29" s="42"/>
      <c r="V29" s="147" t="s">
        <v>525</v>
      </c>
      <c r="W29" s="288">
        <f t="shared" si="6"/>
        <v>0.73897645286314539</v>
      </c>
      <c r="X29" s="288">
        <v>1</v>
      </c>
      <c r="Y29" s="42"/>
      <c r="Z29" s="42"/>
      <c r="AA29" s="42"/>
    </row>
    <row r="30" spans="2:27">
      <c r="B30" s="5" t="s">
        <v>584</v>
      </c>
      <c r="C30" s="545">
        <v>1637.3922375000002</v>
      </c>
      <c r="D30" s="536">
        <v>1702.4563244373539</v>
      </c>
      <c r="E30" s="536">
        <v>2375.964708586514</v>
      </c>
      <c r="F30" s="536">
        <v>2503.3718368333475</v>
      </c>
      <c r="G30" s="536">
        <v>3007.7062400188124</v>
      </c>
      <c r="H30" s="279">
        <f t="shared" si="4"/>
        <v>0.20888914861646413</v>
      </c>
      <c r="I30" s="254"/>
      <c r="J30" s="248"/>
      <c r="K30" s="248"/>
      <c r="L30" s="248"/>
      <c r="M30" s="248"/>
      <c r="N30" s="248"/>
      <c r="O30" s="5"/>
      <c r="Q30" s="5"/>
      <c r="S30" s="88"/>
      <c r="T30" s="42"/>
      <c r="U30" s="42"/>
      <c r="V30" s="147" t="s">
        <v>588</v>
      </c>
      <c r="W30" s="288">
        <f t="shared" si="6"/>
        <v>0.79468805677614973</v>
      </c>
      <c r="X30" s="288">
        <v>1</v>
      </c>
      <c r="Y30" s="42"/>
      <c r="Z30" s="42"/>
      <c r="AA30" s="42"/>
    </row>
    <row r="31" spans="2:27">
      <c r="B31" s="5" t="s">
        <v>585</v>
      </c>
      <c r="C31" s="545">
        <v>1707.0059799000001</v>
      </c>
      <c r="D31" s="536">
        <v>1691.8075994999999</v>
      </c>
      <c r="E31" s="536">
        <v>1691.8075994999999</v>
      </c>
      <c r="F31" s="536">
        <v>1691.8075994999999</v>
      </c>
      <c r="G31" s="536">
        <v>1691.8075994999999</v>
      </c>
      <c r="H31" s="279">
        <f t="shared" si="4"/>
        <v>0</v>
      </c>
      <c r="I31" s="254"/>
      <c r="J31" s="252"/>
      <c r="K31" s="252"/>
      <c r="L31" s="252"/>
      <c r="M31" s="252"/>
      <c r="N31" s="252"/>
      <c r="O31" s="5"/>
      <c r="Q31" s="5"/>
      <c r="S31" s="88"/>
      <c r="T31" s="42"/>
      <c r="U31" s="42"/>
      <c r="V31" s="147" t="s">
        <v>470</v>
      </c>
      <c r="W31" s="288">
        <f t="shared" si="6"/>
        <v>0.66127706978429401</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0.86710620046640985</v>
      </c>
      <c r="X32" s="288">
        <v>1</v>
      </c>
      <c r="Y32" s="42"/>
      <c r="Z32" s="42"/>
      <c r="AA32" s="42"/>
    </row>
    <row r="33" spans="2:27">
      <c r="B33" s="5" t="s">
        <v>5</v>
      </c>
      <c r="C33" s="545">
        <v>1235.6610000000001</v>
      </c>
      <c r="D33" s="536">
        <v>1811</v>
      </c>
      <c r="E33" s="536">
        <v>1555.5671665337275</v>
      </c>
      <c r="F33" s="536">
        <v>1529.4873213972223</v>
      </c>
      <c r="G33" s="536">
        <v>1504.8489333310893</v>
      </c>
      <c r="H33" s="279">
        <f>IF(D33=0,"nm",IF(G33=0,"nm",(G33/D33)^(1/3)-1))</f>
        <v>-5.9862264590646252E-2</v>
      </c>
      <c r="I33" s="5"/>
      <c r="J33" s="254"/>
      <c r="K33" s="254"/>
      <c r="L33" s="254"/>
      <c r="M33" s="254"/>
      <c r="N33" s="254"/>
      <c r="O33" s="251"/>
      <c r="Q33" s="5"/>
      <c r="S33" s="88"/>
      <c r="T33" s="42"/>
      <c r="U33" s="42"/>
      <c r="V33" s="147" t="s">
        <v>575</v>
      </c>
      <c r="W33" s="288">
        <f t="shared" si="6"/>
        <v>1.6065703509171212</v>
      </c>
      <c r="X33" s="288">
        <v>1</v>
      </c>
      <c r="Y33" s="42"/>
      <c r="Z33" s="42"/>
      <c r="AA33" s="42"/>
    </row>
    <row r="34" spans="2:27">
      <c r="H34" s="277"/>
      <c r="I34" s="49"/>
      <c r="J34" s="254"/>
      <c r="K34" s="254"/>
      <c r="L34" s="254"/>
      <c r="M34" s="254"/>
      <c r="N34" s="254"/>
      <c r="O34" s="251"/>
      <c r="Q34" s="5"/>
      <c r="S34" s="88"/>
      <c r="T34" s="42"/>
      <c r="U34" s="42"/>
      <c r="V34" s="147" t="s">
        <v>576</v>
      </c>
      <c r="W34" s="288">
        <f>D47/L19</f>
        <v>1.5122254281797434</v>
      </c>
      <c r="X34" s="288">
        <v>1</v>
      </c>
      <c r="Y34" s="288"/>
      <c r="Z34" s="288"/>
      <c r="AA34" s="42"/>
    </row>
    <row r="35" spans="2:27" ht="12.6" thickBot="1">
      <c r="B35" s="306" t="s">
        <v>517</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1.486154037473862</v>
      </c>
      <c r="E37" s="525">
        <f t="shared" ref="E37:G41" si="8">E$18/E23</f>
        <v>1.4707808827691544</v>
      </c>
      <c r="F37" s="525">
        <f t="shared" si="8"/>
        <v>1.3946770081463387</v>
      </c>
      <c r="G37" s="525">
        <f t="shared" si="8"/>
        <v>1.314696314056087</v>
      </c>
      <c r="H37" s="17">
        <f t="shared" ref="H37:H45" si="9">H23</f>
        <v>2.0105935473027081E-3</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5.7191603303392906</v>
      </c>
      <c r="E38" s="525">
        <f t="shared" si="8"/>
        <v>5.7060741683536014</v>
      </c>
      <c r="F38" s="525">
        <f t="shared" si="8"/>
        <v>5.43761495002048</v>
      </c>
      <c r="G38" s="525">
        <f t="shared" si="8"/>
        <v>5.1079628359581033</v>
      </c>
      <c r="H38" s="17">
        <f t="shared" si="9"/>
        <v>-1.178917603610774E-3</v>
      </c>
      <c r="I38" s="259"/>
      <c r="J38" s="17"/>
      <c r="K38" s="17"/>
      <c r="L38" s="17"/>
      <c r="M38" s="17"/>
      <c r="N38" s="17"/>
      <c r="O38" s="5"/>
      <c r="Q38" s="5"/>
      <c r="R38" s="5"/>
      <c r="S38" s="42"/>
      <c r="T38" s="42"/>
      <c r="U38" s="42"/>
      <c r="V38" s="42"/>
      <c r="W38" s="42"/>
      <c r="X38" s="42"/>
      <c r="Y38" s="42"/>
      <c r="Z38" s="42"/>
      <c r="AA38" s="42"/>
    </row>
    <row r="39" spans="2:27">
      <c r="B39" s="5" t="s">
        <v>181</v>
      </c>
      <c r="C39" s="247"/>
      <c r="D39" s="525">
        <f>D$18/D25</f>
        <v>11.735639915954506</v>
      </c>
      <c r="E39" s="525">
        <f t="shared" si="8"/>
        <v>11.651195414662295</v>
      </c>
      <c r="F39" s="525">
        <f t="shared" si="8"/>
        <v>10.524731045536985</v>
      </c>
      <c r="G39" s="525">
        <f t="shared" si="8"/>
        <v>9.445084227925296</v>
      </c>
      <c r="H39" s="17">
        <f t="shared" si="9"/>
        <v>3.4093559005258456E-2</v>
      </c>
      <c r="I39" s="17"/>
      <c r="J39" s="5"/>
      <c r="K39" s="5"/>
      <c r="L39" s="5"/>
      <c r="M39" s="5"/>
      <c r="N39" s="5"/>
      <c r="O39" s="5"/>
      <c r="Q39" s="5"/>
      <c r="R39" s="5"/>
      <c r="S39" s="42"/>
      <c r="T39" s="42"/>
      <c r="U39" s="42"/>
      <c r="V39" s="42"/>
      <c r="W39" s="42"/>
      <c r="X39" s="42"/>
      <c r="Y39" s="42"/>
      <c r="Z39" s="42"/>
      <c r="AA39" s="42"/>
    </row>
    <row r="40" spans="2:27">
      <c r="B40" s="5" t="s">
        <v>461</v>
      </c>
      <c r="C40" s="247"/>
      <c r="D40" s="525">
        <f>D$18/D26</f>
        <v>15.647519887939341</v>
      </c>
      <c r="E40" s="525">
        <f t="shared" si="8"/>
        <v>15.534927219549726</v>
      </c>
      <c r="F40" s="525">
        <f t="shared" si="8"/>
        <v>14.032974727382648</v>
      </c>
      <c r="G40" s="525">
        <f t="shared" si="8"/>
        <v>12.59344563723373</v>
      </c>
      <c r="H40" s="17">
        <f t="shared" si="9"/>
        <v>3.4093559005258234E-2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1.1057737199249624</v>
      </c>
      <c r="E41" s="525">
        <f t="shared" si="8"/>
        <v>1.1273295986896581</v>
      </c>
      <c r="F41" s="525">
        <f t="shared" si="8"/>
        <v>1.1289303218477105</v>
      </c>
      <c r="G41" s="525">
        <f t="shared" si="8"/>
        <v>1.1218594042260415</v>
      </c>
      <c r="H41" s="17">
        <f t="shared" si="9"/>
        <v>-4.2727763519372908E-2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2.6239339900612872</v>
      </c>
      <c r="E42" s="525">
        <f>E18/E28</f>
        <v>2.5320213476918583</v>
      </c>
      <c r="F42" s="525">
        <f>F18/F28</f>
        <v>2.5447415198170189</v>
      </c>
      <c r="G42" s="525">
        <f>G18/G28</f>
        <v>2.5654874021979417</v>
      </c>
      <c r="H42" s="17">
        <f t="shared" si="9"/>
        <v>-3.0858496631693155E-2</v>
      </c>
      <c r="I42" s="248"/>
      <c r="J42" s="5"/>
      <c r="K42" s="5"/>
      <c r="L42" s="5"/>
      <c r="M42" s="5"/>
      <c r="N42" s="5"/>
      <c r="O42" s="5"/>
      <c r="Q42" s="5"/>
      <c r="R42" s="5"/>
      <c r="S42" s="42"/>
      <c r="T42" s="42"/>
      <c r="U42" s="42"/>
      <c r="V42" s="42"/>
      <c r="W42" s="288"/>
      <c r="X42" s="288"/>
      <c r="Y42" s="288"/>
      <c r="Z42" s="288"/>
      <c r="AA42" s="42"/>
    </row>
    <row r="43" spans="2:27">
      <c r="B43" s="5" t="s">
        <v>470</v>
      </c>
      <c r="C43" s="247"/>
      <c r="D43" s="525">
        <f>L26/D29</f>
        <v>11.52843409288983</v>
      </c>
      <c r="E43" s="525">
        <f>M26/E29</f>
        <v>11.863366401846875</v>
      </c>
      <c r="F43" s="525">
        <f>N26/F29</f>
        <v>11.418066161659535</v>
      </c>
      <c r="G43" s="525">
        <f>O26/G29</f>
        <v>9.0203405422907164</v>
      </c>
      <c r="H43" s="17">
        <f t="shared" si="9"/>
        <v>4.613668949591343E-2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13.955493432994237</v>
      </c>
      <c r="E44" s="525">
        <f>E11/E30</f>
        <v>9.9995669000400458</v>
      </c>
      <c r="F44" s="525">
        <f>F11/F30</f>
        <v>9.4906468571998399</v>
      </c>
      <c r="G44" s="525">
        <f>G11/G30</f>
        <v>7.8992481843893083</v>
      </c>
      <c r="H44" s="17">
        <f t="shared" si="9"/>
        <v>0.20888914861646413</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7.1208165202943277E-2</v>
      </c>
      <c r="E45" s="248">
        <f>E31/E11</f>
        <v>7.1208165202943277E-2</v>
      </c>
      <c r="F45" s="248">
        <f>F31/F11</f>
        <v>7.1208165202943277E-2</v>
      </c>
      <c r="G45" s="248">
        <f>G31/G11</f>
        <v>7.1208165202943277E-2</v>
      </c>
      <c r="H45" s="17">
        <f t="shared" si="9"/>
        <v>0</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7.1208165202943277E-2</v>
      </c>
      <c r="E46" s="248">
        <f>(E31+E32)/E11</f>
        <v>7.1208165202943277E-2</v>
      </c>
      <c r="F46" s="248">
        <f>(F31+F32)/F11</f>
        <v>7.1208165202943277E-2</v>
      </c>
      <c r="G46" s="248">
        <f>(G31+G32)/G11</f>
        <v>7.1208165202943277E-2</v>
      </c>
      <c r="H46" s="279">
        <f>((G31+G32)/(D31+D32))^(1/3)-1</f>
        <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8.6742049435556107E-2</v>
      </c>
      <c r="E47" s="248">
        <f>1/E43</f>
        <v>8.4293105862794662E-2</v>
      </c>
      <c r="F47" s="248">
        <f>1/F43</f>
        <v>8.7580504950818844E-2</v>
      </c>
      <c r="G47" s="248">
        <f>1/G43</f>
        <v>0.11086055956664025</v>
      </c>
      <c r="H47" s="17">
        <f>H29</f>
        <v>4.613668949591343E-2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0.75149030731935818</v>
      </c>
      <c r="E48" s="305">
        <f>E31/E29</f>
        <v>0.77332314096886023</v>
      </c>
      <c r="F48" s="305">
        <f>F31/F29</f>
        <v>0.74429588439165029</v>
      </c>
      <c r="G48" s="305">
        <f>G31/G29</f>
        <v>0.65638414545137425</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EFSOP!A1" display="Jump to TEF SOP" xr:uid="{00000000-0004-0000-6000-000001000000}"/>
  </hyperlinks>
  <pageMargins left="0.75" right="0.75" top="1" bottom="1" header="0.5" footer="0.5"/>
  <pageSetup scale="71"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
    <pageSetUpPr fitToPage="1"/>
  </sheetPr>
  <dimension ref="B1:AR165"/>
  <sheetViews>
    <sheetView showGridLines="0" zoomScale="80" zoomScaleNormal="80" zoomScaleSheetLayoutView="80" workbookViewId="0">
      <selection activeCell="E12" sqref="E12"/>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1030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393</v>
      </c>
      <c r="C9" s="287">
        <f>Prices!C19</f>
        <v>33.42</v>
      </c>
      <c r="D9" s="531">
        <v>0</v>
      </c>
      <c r="E9" s="532">
        <v>0</v>
      </c>
      <c r="F9" s="532">
        <v>0</v>
      </c>
      <c r="G9" s="532">
        <v>0</v>
      </c>
      <c r="H9" s="249"/>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44">
      <c r="B10" s="5" t="s">
        <v>269</v>
      </c>
      <c r="C10" s="5"/>
      <c r="D10" s="527">
        <v>3932.1092859999999</v>
      </c>
      <c r="E10" s="527">
        <v>3932.1092859999999</v>
      </c>
      <c r="F10" s="527">
        <v>3932.1092859999999</v>
      </c>
      <c r="G10" s="527">
        <v>3932.1092859999999</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44">
      <c r="B11" s="41" t="s">
        <v>270</v>
      </c>
      <c r="C11" s="5"/>
      <c r="D11" s="528">
        <f>$C$9*D10</f>
        <v>131411.09233812001</v>
      </c>
      <c r="E11" s="528">
        <f>$C$9*E10</f>
        <v>131411.09233812001</v>
      </c>
      <c r="F11" s="528">
        <f>$C$9*F10</f>
        <v>131411.09233812001</v>
      </c>
      <c r="G11" s="528">
        <f>$C$9*G10</f>
        <v>131411.09233812001</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44">
      <c r="B12" s="5" t="s">
        <v>24</v>
      </c>
      <c r="C12" s="249"/>
      <c r="D12" s="529">
        <v>55122</v>
      </c>
      <c r="E12" s="529">
        <v>46028.672709534614</v>
      </c>
      <c r="F12" s="529">
        <v>45257.359075652144</v>
      </c>
      <c r="G12" s="529">
        <v>44648.639575081092</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44">
      <c r="B13" s="5" t="s">
        <v>524</v>
      </c>
      <c r="C13" s="257"/>
      <c r="D13" s="529">
        <v>48124.124825503299</v>
      </c>
      <c r="E13" s="529">
        <v>48124.124825503299</v>
      </c>
      <c r="F13" s="529">
        <v>48124.124825503299</v>
      </c>
      <c r="G13" s="529">
        <v>48124.124825503299</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44">
      <c r="B14" s="5" t="s">
        <v>527</v>
      </c>
      <c r="C14" s="257"/>
      <c r="D14" s="606">
        <f>TSONSOP!R44</f>
        <v>2450</v>
      </c>
      <c r="E14" s="529">
        <f t="shared" ref="E14:G15" si="2">D14</f>
        <v>2450</v>
      </c>
      <c r="F14" s="529">
        <f t="shared" si="2"/>
        <v>2450</v>
      </c>
      <c r="G14" s="529">
        <f t="shared" si="2"/>
        <v>2450</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44">
      <c r="B15" s="5" t="s">
        <v>526</v>
      </c>
      <c r="C15" s="274"/>
      <c r="D15" s="606">
        <f>TSONSOP!T38</f>
        <v>18970.800831782137</v>
      </c>
      <c r="E15" s="529">
        <f t="shared" si="2"/>
        <v>18970.800831782137</v>
      </c>
      <c r="F15" s="529">
        <f t="shared" si="2"/>
        <v>18970.800831782137</v>
      </c>
      <c r="G15" s="529">
        <f t="shared" si="2"/>
        <v>18970.800831782137</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44">
      <c r="B16" s="5" t="s">
        <v>529</v>
      </c>
      <c r="C16" s="257"/>
      <c r="D16" s="529">
        <v>0</v>
      </c>
      <c r="E16" s="529">
        <v>3932.1092859999999</v>
      </c>
      <c r="F16" s="529">
        <v>11796.327858000001</v>
      </c>
      <c r="G16" s="529">
        <v>19857.151894299997</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1670.8733276814344</v>
      </c>
      <c r="E17" s="529">
        <v>1670.8733276814344</v>
      </c>
      <c r="F17" s="529">
        <v>1670.8733276814344</v>
      </c>
      <c r="G17" s="529">
        <v>1670.8733276814344</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578</v>
      </c>
      <c r="C18" s="249"/>
      <c r="D18" s="530">
        <f>D11+D12+D13-D14+D15-D16-D17</f>
        <v>249507.144667724</v>
      </c>
      <c r="E18" s="530">
        <f t="shared" ref="E18:G18" si="3">E11+E12+E13-E14+E15-E16-E17</f>
        <v>236481.70809125862</v>
      </c>
      <c r="F18" s="530">
        <f t="shared" si="3"/>
        <v>227846.17588537614</v>
      </c>
      <c r="G18" s="530">
        <f t="shared" si="3"/>
        <v>219176.63234850508</v>
      </c>
      <c r="H18" s="276">
        <f>IF(D18=0,"nm",IF(G18=0,"nm",(G18/D18)^(1/3)-1))</f>
        <v>-4.2283239534774308E-2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949</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88560.738027783606</v>
      </c>
      <c r="D23" s="536">
        <v>89142.0543407441</v>
      </c>
      <c r="E23" s="536">
        <v>90013.199394076044</v>
      </c>
      <c r="F23" s="536">
        <v>90419.466211875988</v>
      </c>
      <c r="G23" s="536">
        <v>91165.760698503436</v>
      </c>
      <c r="H23" s="279">
        <f t="shared" ref="H23:H32" si="5">IF(D23=0,"nm",IF(G23=0,"nm",(G23/D23)^(1/3)-1))</f>
        <v>7.5107929533639872E-3</v>
      </c>
      <c r="I23" s="247"/>
      <c r="J23" s="306" t="s">
        <v>9</v>
      </c>
      <c r="K23" s="306"/>
      <c r="L23" s="265" t="str">
        <f>D21</f>
        <v>2023E</v>
      </c>
      <c r="M23" s="265" t="str">
        <f t="shared" ref="M23:P23" si="6">E21</f>
        <v>2024E</v>
      </c>
      <c r="N23" s="265" t="str">
        <f t="shared" si="6"/>
        <v>2025E</v>
      </c>
      <c r="O23" s="265" t="str">
        <f t="shared" si="6"/>
        <v>2026E</v>
      </c>
      <c r="P23" s="265" t="str">
        <f t="shared" si="6"/>
        <v>23E-26E</v>
      </c>
      <c r="S23" s="88"/>
      <c r="T23" s="42"/>
      <c r="U23" s="42"/>
      <c r="V23" s="42"/>
      <c r="W23" s="42"/>
      <c r="X23" s="42"/>
      <c r="Y23" s="42"/>
      <c r="Z23" s="42"/>
      <c r="AA23" s="42"/>
    </row>
    <row r="24" spans="2:27" ht="12.6" thickTop="1">
      <c r="B24" s="5" t="s">
        <v>478</v>
      </c>
      <c r="C24" s="545">
        <v>26729.273221650805</v>
      </c>
      <c r="D24" s="536">
        <v>27365.165854360006</v>
      </c>
      <c r="E24" s="536">
        <v>28226.76216360812</v>
      </c>
      <c r="F24" s="536">
        <v>29126.114533628806</v>
      </c>
      <c r="G24" s="536">
        <v>29250.784900212497</v>
      </c>
      <c r="H24" s="279">
        <f t="shared" si="5"/>
        <v>2.2460360253348854E-2</v>
      </c>
      <c r="I24" s="249"/>
      <c r="J24" s="17"/>
      <c r="K24" s="17"/>
      <c r="L24" s="17"/>
      <c r="M24" s="17"/>
      <c r="N24" s="17"/>
      <c r="O24" s="248"/>
      <c r="S24" s="88"/>
      <c r="T24" s="42"/>
      <c r="U24" s="42"/>
      <c r="V24" s="42"/>
      <c r="W24" s="42" t="s">
        <v>1030</v>
      </c>
      <c r="X24" s="42" t="s">
        <v>245</v>
      </c>
      <c r="Y24" s="42"/>
      <c r="Z24" s="42"/>
      <c r="AA24" s="42"/>
    </row>
    <row r="25" spans="2:27">
      <c r="B25" s="5" t="s">
        <v>179</v>
      </c>
      <c r="C25" s="544">
        <v>11462.929616490805</v>
      </c>
      <c r="D25" s="536">
        <v>13736.756803400001</v>
      </c>
      <c r="E25" s="536">
        <v>14216.700825700125</v>
      </c>
      <c r="F25" s="536">
        <v>15672.526721458167</v>
      </c>
      <c r="G25" s="536">
        <v>15779.359917189311</v>
      </c>
      <c r="H25" s="279">
        <f t="shared" si="5"/>
        <v>4.7293458537705169E-2</v>
      </c>
      <c r="I25" s="248"/>
      <c r="J25" s="247" t="s">
        <v>10</v>
      </c>
      <c r="K25" s="247"/>
      <c r="L25" s="321">
        <v>36895</v>
      </c>
      <c r="M25" s="321">
        <v>36895</v>
      </c>
      <c r="N25" s="321">
        <v>36895</v>
      </c>
      <c r="O25" s="321">
        <v>36895</v>
      </c>
      <c r="P25" s="279">
        <f>IF(L25=0,"nm",IF(O25=0,"nm",(O25/L25)^(1/3)-1))</f>
        <v>0</v>
      </c>
      <c r="S25" s="88"/>
      <c r="T25" s="42"/>
      <c r="U25" s="42"/>
      <c r="V25" s="147" t="s">
        <v>268</v>
      </c>
      <c r="W25" s="288">
        <f>D37/L9</f>
        <v>1.2054714825207813</v>
      </c>
      <c r="X25" s="288">
        <v>1</v>
      </c>
      <c r="Y25" s="42"/>
      <c r="Z25" s="42"/>
      <c r="AA25" s="42"/>
    </row>
    <row r="26" spans="2:27">
      <c r="B26" s="5" t="s">
        <v>581</v>
      </c>
      <c r="C26" s="544">
        <v>9285.9512600542621</v>
      </c>
      <c r="D26" s="536">
        <v>11455.398040140177</v>
      </c>
      <c r="E26" s="536">
        <v>11657.694677074103</v>
      </c>
      <c r="F26" s="536">
        <v>12224.57084273737</v>
      </c>
      <c r="G26" s="536">
        <v>12307.900735407664</v>
      </c>
      <c r="H26" s="279">
        <f t="shared" si="5"/>
        <v>2.4215318317042822E-2</v>
      </c>
      <c r="I26" s="249"/>
      <c r="J26" s="249" t="s">
        <v>11</v>
      </c>
      <c r="K26" s="249"/>
      <c r="L26" s="281">
        <f>D11+L25</f>
        <v>168306.09233812001</v>
      </c>
      <c r="M26" s="281">
        <f>E11+M25</f>
        <v>168306.09233812001</v>
      </c>
      <c r="N26" s="281">
        <f>F11+N25</f>
        <v>168306.09233812001</v>
      </c>
      <c r="O26" s="281">
        <f>G11+O25</f>
        <v>168306.09233812001</v>
      </c>
      <c r="P26" s="279">
        <f>IF(L26=0,"nm",IF(O26=0,"nm",(O26/L26)^(1/3)-1))</f>
        <v>0</v>
      </c>
      <c r="Q26" s="5"/>
      <c r="S26" s="88"/>
      <c r="T26" s="42"/>
      <c r="U26" s="42"/>
      <c r="V26" s="147" t="s">
        <v>180</v>
      </c>
      <c r="W26" s="288">
        <f t="shared" ref="W26:W33" si="7">D38/L10</f>
        <v>1.3037383561204225</v>
      </c>
      <c r="X26" s="288">
        <v>1</v>
      </c>
      <c r="Y26" s="42"/>
      <c r="Z26" s="42"/>
      <c r="AA26" s="42"/>
    </row>
    <row r="27" spans="2:27">
      <c r="B27" s="5" t="s">
        <v>582</v>
      </c>
      <c r="C27" s="545">
        <v>118877.533</v>
      </c>
      <c r="D27" s="536">
        <v>119954.78899999999</v>
      </c>
      <c r="E27" s="536">
        <v>110302.8469755407</v>
      </c>
      <c r="F27" s="536">
        <v>109694.57334816852</v>
      </c>
      <c r="G27" s="536">
        <v>109155.04489445628</v>
      </c>
      <c r="H27" s="279">
        <f t="shared" si="5"/>
        <v>-3.0959175307437858E-2</v>
      </c>
      <c r="I27" s="249"/>
      <c r="J27" s="248"/>
      <c r="K27" s="248"/>
      <c r="L27" s="248"/>
      <c r="M27" s="248"/>
      <c r="N27" s="248"/>
      <c r="O27" s="248"/>
      <c r="Q27" s="41"/>
      <c r="S27" s="88"/>
      <c r="T27" s="42"/>
      <c r="U27" s="42"/>
      <c r="V27" s="147" t="s">
        <v>181</v>
      </c>
      <c r="W27" s="288">
        <f t="shared" si="7"/>
        <v>1.2596568906142223</v>
      </c>
      <c r="X27" s="288">
        <v>1</v>
      </c>
      <c r="Y27" s="42"/>
      <c r="Z27" s="42"/>
      <c r="AA27" s="42"/>
    </row>
    <row r="28" spans="2:27" ht="12.6" thickBot="1">
      <c r="B28" s="5" t="s">
        <v>587</v>
      </c>
      <c r="C28" s="544">
        <v>74824</v>
      </c>
      <c r="D28" s="536">
        <v>74824</v>
      </c>
      <c r="E28" s="536">
        <v>61449.230294168286</v>
      </c>
      <c r="F28" s="536">
        <v>57193.274500915315</v>
      </c>
      <c r="G28" s="536">
        <v>52938.809040260734</v>
      </c>
      <c r="H28" s="279">
        <f t="shared" si="5"/>
        <v>-0.10893151940265366</v>
      </c>
      <c r="I28" s="248"/>
      <c r="J28" s="306" t="s">
        <v>1352</v>
      </c>
      <c r="K28" s="306"/>
      <c r="L28" s="306"/>
      <c r="M28" s="306"/>
      <c r="N28" s="266"/>
      <c r="O28" s="266"/>
      <c r="P28" s="266"/>
      <c r="Q28" s="5"/>
      <c r="S28" s="88"/>
      <c r="T28" s="42"/>
      <c r="U28" s="42"/>
      <c r="V28" s="147" t="s">
        <v>461</v>
      </c>
      <c r="W28" s="288">
        <f t="shared" si="7"/>
        <v>1.1262169771621071</v>
      </c>
      <c r="X28" s="288">
        <v>1</v>
      </c>
      <c r="Y28" s="42"/>
      <c r="Z28" s="42"/>
      <c r="AA28" s="42"/>
    </row>
    <row r="29" spans="2:27" ht="12.6" thickTop="1">
      <c r="B29" s="5" t="s">
        <v>583</v>
      </c>
      <c r="C29" s="544">
        <v>36499.880803406311</v>
      </c>
      <c r="D29" s="536">
        <v>8783.486803400001</v>
      </c>
      <c r="E29" s="536">
        <v>8200.4290824653835</v>
      </c>
      <c r="F29" s="536">
        <v>9440.7803669120567</v>
      </c>
      <c r="G29" s="536">
        <v>9477.7326544824937</v>
      </c>
      <c r="H29" s="279">
        <f t="shared" si="5"/>
        <v>2.5681448044551525E-2</v>
      </c>
      <c r="I29" s="252"/>
      <c r="J29" s="249"/>
      <c r="K29" s="249"/>
      <c r="L29" s="249"/>
      <c r="M29" s="249"/>
      <c r="N29" s="249"/>
      <c r="O29" s="251"/>
      <c r="Q29" s="5"/>
      <c r="S29" s="88"/>
      <c r="T29" s="42"/>
      <c r="U29" s="42"/>
      <c r="V29" s="147" t="s">
        <v>525</v>
      </c>
      <c r="W29" s="288">
        <f t="shared" si="7"/>
        <v>1.39004778776604</v>
      </c>
      <c r="X29" s="288">
        <v>1</v>
      </c>
      <c r="Y29" s="42"/>
      <c r="Z29" s="42"/>
      <c r="AA29" s="42"/>
    </row>
    <row r="30" spans="2:27">
      <c r="B30" s="5" t="s">
        <v>584</v>
      </c>
      <c r="C30" s="545">
        <v>33320.894714646303</v>
      </c>
      <c r="D30" s="536">
        <v>3895.3069648400133</v>
      </c>
      <c r="E30" s="536">
        <v>3418.0527780060384</v>
      </c>
      <c r="F30" s="536">
        <v>4080.900917310254</v>
      </c>
      <c r="G30" s="536">
        <v>4124.6946887348877</v>
      </c>
      <c r="H30" s="279">
        <f t="shared" si="5"/>
        <v>1.9256226907571561E-2</v>
      </c>
      <c r="I30" s="254"/>
      <c r="J30" s="248"/>
      <c r="K30" s="248"/>
      <c r="L30" s="248"/>
      <c r="M30" s="248"/>
      <c r="N30" s="248"/>
      <c r="O30" s="5"/>
      <c r="Q30" s="5"/>
      <c r="S30" s="88"/>
      <c r="T30" s="42"/>
      <c r="U30" s="42"/>
      <c r="V30" s="147" t="s">
        <v>588</v>
      </c>
      <c r="W30" s="288">
        <f t="shared" si="7"/>
        <v>1.0099173787710714</v>
      </c>
      <c r="X30" s="288">
        <v>1</v>
      </c>
      <c r="Y30" s="42"/>
      <c r="Z30" s="42"/>
      <c r="AA30" s="42"/>
    </row>
    <row r="31" spans="2:27">
      <c r="B31" s="5" t="s">
        <v>585</v>
      </c>
      <c r="C31" s="545">
        <v>7864.2185719999998</v>
      </c>
      <c r="D31" s="536">
        <v>7864.2185719999998</v>
      </c>
      <c r="E31" s="536">
        <v>7864.2185719999998</v>
      </c>
      <c r="F31" s="536">
        <v>8060.8240362999986</v>
      </c>
      <c r="G31" s="536">
        <v>8262.3446372074995</v>
      </c>
      <c r="H31" s="279">
        <f t="shared" si="5"/>
        <v>1.6597982758808305E-2</v>
      </c>
      <c r="I31" s="254"/>
      <c r="J31" s="252"/>
      <c r="K31" s="252"/>
      <c r="L31" s="252"/>
      <c r="M31" s="252"/>
      <c r="N31" s="252"/>
      <c r="O31" s="5"/>
      <c r="Q31" s="5"/>
      <c r="S31" s="88"/>
      <c r="T31" s="42"/>
      <c r="U31" s="42"/>
      <c r="V31" s="147" t="s">
        <v>470</v>
      </c>
      <c r="W31" s="288">
        <f t="shared" si="7"/>
        <v>1.0991223172504341</v>
      </c>
      <c r="X31" s="288">
        <v>1</v>
      </c>
      <c r="Y31" s="42"/>
      <c r="Z31" s="42"/>
      <c r="AA31" s="42"/>
    </row>
    <row r="32" spans="2:27">
      <c r="B32" s="5" t="s">
        <v>601</v>
      </c>
      <c r="C32" s="546">
        <v>0</v>
      </c>
      <c r="D32" s="536">
        <v>0</v>
      </c>
      <c r="E32" s="536">
        <v>0</v>
      </c>
      <c r="F32" s="536">
        <v>0</v>
      </c>
      <c r="G32" s="536">
        <v>0</v>
      </c>
      <c r="H32" s="279" t="str">
        <f t="shared" si="5"/>
        <v>nm</v>
      </c>
      <c r="I32" s="254"/>
      <c r="J32" s="254"/>
      <c r="K32" s="254"/>
      <c r="L32" s="254"/>
      <c r="M32" s="254"/>
      <c r="N32" s="254"/>
      <c r="O32" s="251"/>
      <c r="Q32" s="5"/>
      <c r="S32" s="88"/>
      <c r="T32" s="42"/>
      <c r="U32" s="42"/>
      <c r="V32" s="147" t="s">
        <v>528</v>
      </c>
      <c r="W32" s="288">
        <f t="shared" si="7"/>
        <v>2.0961262319839826</v>
      </c>
      <c r="X32" s="288">
        <v>1</v>
      </c>
      <c r="Y32" s="42"/>
      <c r="Z32" s="42"/>
      <c r="AA32" s="42"/>
    </row>
    <row r="33" spans="2:27">
      <c r="B33" s="5" t="s">
        <v>5</v>
      </c>
      <c r="C33" s="545">
        <v>3340.3538254199989</v>
      </c>
      <c r="D33" s="536">
        <v>3875.8765932000015</v>
      </c>
      <c r="E33" s="536">
        <v>4803.678921750492</v>
      </c>
      <c r="F33" s="536">
        <v>4353.981815684243</v>
      </c>
      <c r="G33" s="536">
        <v>4320.3875205918484</v>
      </c>
      <c r="H33" s="279">
        <f>IF(D33=0,"nm",IF(G33=0,"nm",(G33/D33)^(1/3)-1))</f>
        <v>3.6853952122527289E-2</v>
      </c>
      <c r="I33" s="5"/>
      <c r="J33" s="254"/>
      <c r="K33" s="254"/>
      <c r="L33" s="254"/>
      <c r="M33" s="254"/>
      <c r="N33" s="254"/>
      <c r="O33" s="251"/>
      <c r="Q33" s="5"/>
      <c r="S33" s="88"/>
      <c r="T33" s="42"/>
      <c r="U33" s="42"/>
      <c r="V33" s="147" t="s">
        <v>575</v>
      </c>
      <c r="W33" s="288">
        <f t="shared" si="7"/>
        <v>1.3501856948760882</v>
      </c>
      <c r="X33" s="288">
        <v>1</v>
      </c>
      <c r="Y33" s="42"/>
      <c r="Z33" s="42"/>
      <c r="AA33" s="42"/>
    </row>
    <row r="34" spans="2:27">
      <c r="H34" s="277"/>
      <c r="I34" s="49"/>
      <c r="J34" s="254"/>
      <c r="K34" s="254"/>
      <c r="L34" s="254"/>
      <c r="M34" s="254"/>
      <c r="N34" s="254"/>
      <c r="O34" s="251"/>
      <c r="Q34" s="5"/>
      <c r="S34" s="88"/>
      <c r="T34" s="42"/>
      <c r="U34" s="42"/>
      <c r="V34" s="147" t="s">
        <v>576</v>
      </c>
      <c r="W34" s="288">
        <f>D47/L19</f>
        <v>0.90981684595541779</v>
      </c>
      <c r="X34" s="288">
        <v>1</v>
      </c>
      <c r="Y34" s="288"/>
      <c r="Z34" s="288"/>
      <c r="AA34" s="42"/>
    </row>
    <row r="35" spans="2:27" ht="12.6" thickBot="1">
      <c r="B35" s="306" t="s">
        <v>1031</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2.7989835607107154</v>
      </c>
      <c r="E37" s="525">
        <f>E$18/E23</f>
        <v>2.6271892309476335</v>
      </c>
      <c r="F37" s="525">
        <f>F$18/F23</f>
        <v>2.5198796833358221</v>
      </c>
      <c r="G37" s="525">
        <f>G$18/G23</f>
        <v>2.4041551418997051</v>
      </c>
      <c r="H37" s="17">
        <f t="shared" ref="H37:H45" si="9">H23</f>
        <v>7.5107929533639872E-3</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9.1176916666840082</v>
      </c>
      <c r="E38" s="525">
        <f t="shared" ref="E38:G38" si="10">E18/E24</f>
        <v>8.3779254142066311</v>
      </c>
      <c r="F38" s="525">
        <f t="shared" si="10"/>
        <v>7.8227453106491964</v>
      </c>
      <c r="G38" s="525">
        <f t="shared" si="10"/>
        <v>7.4930171308638229</v>
      </c>
      <c r="H38" s="17">
        <f t="shared" si="9"/>
        <v>2.2460360253348854E-2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18.16346814889874</v>
      </c>
      <c r="E39" s="525">
        <f t="shared" ref="E39:G39" si="11">E18/E25</f>
        <v>16.63407783497566</v>
      </c>
      <c r="F39" s="525">
        <f t="shared" si="11"/>
        <v>14.537935071657508</v>
      </c>
      <c r="G39" s="525">
        <f t="shared" si="11"/>
        <v>13.890083849963021</v>
      </c>
      <c r="H39" s="17">
        <f t="shared" si="9"/>
        <v>4.7293458537705169E-2</v>
      </c>
      <c r="I39" s="17"/>
      <c r="J39" s="5"/>
      <c r="K39" s="5"/>
      <c r="L39" s="5"/>
      <c r="M39" s="5"/>
      <c r="N39" s="5"/>
      <c r="O39" s="5"/>
      <c r="Q39" s="5"/>
      <c r="R39" s="5"/>
      <c r="S39" s="42"/>
      <c r="T39" s="42"/>
      <c r="U39" s="42"/>
      <c r="V39" s="42"/>
      <c r="W39" s="42"/>
      <c r="X39" s="42"/>
      <c r="Y39" s="42"/>
      <c r="Z39" s="42"/>
      <c r="AA39" s="42"/>
    </row>
    <row r="40" spans="2:27">
      <c r="B40" s="5" t="s">
        <v>461</v>
      </c>
      <c r="C40" s="247"/>
      <c r="D40" s="525">
        <f>D18/D26</f>
        <v>21.780748586250859</v>
      </c>
      <c r="E40" s="525">
        <f t="shared" ref="E40:G40" si="12">E18/E26</f>
        <v>20.285460774360562</v>
      </c>
      <c r="F40" s="525">
        <f t="shared" si="12"/>
        <v>18.638378296996805</v>
      </c>
      <c r="G40" s="525">
        <f t="shared" si="12"/>
        <v>17.807799807644898</v>
      </c>
      <c r="H40" s="17">
        <f t="shared" si="9"/>
        <v>2.4215318317042822E-2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2.0800098666150295</v>
      </c>
      <c r="E41" s="525">
        <f>E$18/E27</f>
        <v>2.1439311366432605</v>
      </c>
      <c r="F41" s="525">
        <f>F$18/F27</f>
        <v>2.0770961491613322</v>
      </c>
      <c r="G41" s="525">
        <f>G$18/G27</f>
        <v>2.0079386395785042</v>
      </c>
      <c r="H41" s="17">
        <f t="shared" si="9"/>
        <v>-3.0959175307437858E-2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3.3345870932818884</v>
      </c>
      <c r="E42" s="525">
        <f>E18/E28</f>
        <v>3.8484079777595106</v>
      </c>
      <c r="F42" s="525">
        <f>F18/F28</f>
        <v>3.9837931622839626</v>
      </c>
      <c r="G42" s="525">
        <f>G18/G28</f>
        <v>4.1401881969391878</v>
      </c>
      <c r="H42" s="17">
        <f t="shared" si="9"/>
        <v>-0.10893151940265366</v>
      </c>
      <c r="I42" s="248"/>
      <c r="J42" s="5"/>
      <c r="K42" s="5"/>
      <c r="L42" s="5"/>
      <c r="M42" s="5"/>
      <c r="N42" s="5"/>
      <c r="O42" s="5"/>
      <c r="Q42" s="5"/>
      <c r="R42" s="5"/>
      <c r="S42" s="42"/>
      <c r="T42" s="42"/>
      <c r="U42" s="42"/>
      <c r="V42" s="42"/>
      <c r="W42" s="288"/>
      <c r="X42" s="288"/>
      <c r="Y42" s="288"/>
      <c r="Z42" s="288"/>
      <c r="AA42" s="42"/>
    </row>
    <row r="43" spans="2:27">
      <c r="B43" s="5" t="s">
        <v>470</v>
      </c>
      <c r="C43" s="247"/>
      <c r="D43" s="525">
        <f>L26/D29</f>
        <v>19.161649138354758</v>
      </c>
      <c r="E43" s="525">
        <f>M26/E29</f>
        <v>20.52405924685106</v>
      </c>
      <c r="F43" s="525">
        <f>N26/F29</f>
        <v>17.827561472354272</v>
      </c>
      <c r="G43" s="525">
        <f>O26/G29</f>
        <v>17.758054428610585</v>
      </c>
      <c r="H43" s="17">
        <f t="shared" si="9"/>
        <v>2.5681448044551525E-2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33.735747535243938</v>
      </c>
      <c r="E44" s="525">
        <f>E11/E30</f>
        <v>38.446185847013233</v>
      </c>
      <c r="F44" s="525">
        <f>F11/F30</f>
        <v>32.201490553398152</v>
      </c>
      <c r="G44" s="525">
        <f>G11/G30</f>
        <v>31.859592589245914</v>
      </c>
      <c r="H44" s="17">
        <f t="shared" si="9"/>
        <v>1.9256226907571561E-2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5.9844404548174739E-2</v>
      </c>
      <c r="E45" s="248">
        <f>E31/E11</f>
        <v>5.9844404548174739E-2</v>
      </c>
      <c r="F45" s="248">
        <f>F31/F11</f>
        <v>6.1340514661879099E-2</v>
      </c>
      <c r="G45" s="248">
        <f>G31/G11</f>
        <v>6.287402752842608E-2</v>
      </c>
      <c r="H45" s="17">
        <f t="shared" si="9"/>
        <v>1.6597982758808305E-2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5.9844404548174739E-2</v>
      </c>
      <c r="E46" s="248">
        <f>(E31+E32)/E11</f>
        <v>5.9844404548174739E-2</v>
      </c>
      <c r="F46" s="248">
        <f>(F31+F32)/F11</f>
        <v>6.1340514661879099E-2</v>
      </c>
      <c r="G46" s="248">
        <f>(G31+G32)/G11</f>
        <v>6.287402752842608E-2</v>
      </c>
      <c r="H46" s="279">
        <f>((G31+G32)/(D31+D32))^(1/3)-1</f>
        <v>1.6597982758808305E-2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5.2187574920070853E-2</v>
      </c>
      <c r="E47" s="248">
        <f>1/E43</f>
        <v>4.8723305071993822E-2</v>
      </c>
      <c r="F47" s="248">
        <f>1/F43</f>
        <v>5.6092921151932616E-2</v>
      </c>
      <c r="G47" s="248">
        <f>1/G43</f>
        <v>5.6312475221883942E-2</v>
      </c>
      <c r="H47" s="17">
        <f>H29</f>
        <v>2.5681448044551525E-2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0.89534130898401743</v>
      </c>
      <c r="E48" s="305">
        <f>E31/E29</f>
        <v>0.9590008636030658</v>
      </c>
      <c r="F48" s="305">
        <f>F31/F29</f>
        <v>0.85383026858155564</v>
      </c>
      <c r="G48" s="305">
        <f>G31/G29</f>
        <v>0.87176384251562777</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SONSOP!A1" display="Jump to TSON SOP" xr:uid="{00000000-0004-0000-6F00-000001000000}"/>
  </hyperlinks>
  <pageMargins left="0.75" right="0.75" top="1" bottom="1" header="0.5" footer="0.5"/>
  <pageSetup scale="71"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2">
    <pageSetUpPr fitToPage="1"/>
  </sheetPr>
  <dimension ref="B1:AR165"/>
  <sheetViews>
    <sheetView showGridLines="0" zoomScale="80" zoomScaleNormal="80" workbookViewId="0">
      <selection activeCell="D15" sqref="D15:G15"/>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267</v>
      </c>
      <c r="C9" s="267">
        <f>Prices!C16</f>
        <v>0.26250000000000001</v>
      </c>
      <c r="D9" s="529">
        <v>6027.7916990000003</v>
      </c>
      <c r="E9" s="529">
        <v>6027.7916990000003</v>
      </c>
      <c r="F9" s="529">
        <v>6027.7916990000003</v>
      </c>
      <c r="G9" s="529">
        <v>6027.7916990000003</v>
      </c>
      <c r="H9" s="249" t="s">
        <v>8</v>
      </c>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44">
      <c r="B10" s="5" t="s">
        <v>269</v>
      </c>
      <c r="C10" s="267">
        <f>Prices!C15</f>
        <v>0.2361</v>
      </c>
      <c r="D10" s="527">
        <v>15224.404074</v>
      </c>
      <c r="E10" s="527">
        <v>15224.404073999998</v>
      </c>
      <c r="F10" s="527">
        <v>15224.404073999998</v>
      </c>
      <c r="G10" s="527">
        <v>15224.404073999998</v>
      </c>
      <c r="H10" s="249" t="s">
        <v>7</v>
      </c>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44">
      <c r="B11" s="41" t="s">
        <v>270</v>
      </c>
      <c r="D11" s="528">
        <f>(D10*$C$10)+(D9*$C$9)</f>
        <v>5176.7771228588999</v>
      </c>
      <c r="E11" s="528">
        <f>(E10*$C$10)+(E9*$C$9)</f>
        <v>5176.7771228588999</v>
      </c>
      <c r="F11" s="528">
        <f>(F10*$C$10)+(F9*$C$9)</f>
        <v>5176.7771228588999</v>
      </c>
      <c r="G11" s="528">
        <f>(G10*$C$10)+(G9*$C$9)</f>
        <v>5176.7771228588999</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44">
      <c r="B12" s="5" t="s">
        <v>24</v>
      </c>
      <c r="C12" s="249"/>
      <c r="D12" s="529">
        <v>20349</v>
      </c>
      <c r="E12" s="529">
        <v>20409.608851669524</v>
      </c>
      <c r="F12" s="529">
        <v>20330.195768894053</v>
      </c>
      <c r="G12" s="529">
        <v>19857.410363959938</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44">
      <c r="B13" s="5" t="s">
        <v>524</v>
      </c>
      <c r="C13" s="257"/>
      <c r="D13" s="529">
        <v>2302.9971980871569</v>
      </c>
      <c r="E13" s="529">
        <v>2436.2156371417809</v>
      </c>
      <c r="F13" s="529">
        <v>2579.5586775645561</v>
      </c>
      <c r="G13" s="529">
        <v>2733.7957890594625</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44">
      <c r="B14" s="5" t="s">
        <v>527</v>
      </c>
      <c r="C14" s="257"/>
      <c r="D14" s="529">
        <v>359.50080000000003</v>
      </c>
      <c r="E14" s="529">
        <v>359.50080000000003</v>
      </c>
      <c r="F14" s="529">
        <v>359.50080000000003</v>
      </c>
      <c r="G14" s="529">
        <v>359.50080000000003</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44">
      <c r="B15" s="5" t="s">
        <v>526</v>
      </c>
      <c r="C15" s="274"/>
      <c r="D15" s="529">
        <v>4158.3433296348257</v>
      </c>
      <c r="E15" s="529">
        <v>4158.3433296348257</v>
      </c>
      <c r="F15" s="529">
        <v>4158.3433296348257</v>
      </c>
      <c r="G15" s="529">
        <v>4158.3433296348257</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44">
      <c r="B16" s="5" t="s">
        <v>529</v>
      </c>
      <c r="C16" s="257"/>
      <c r="D16" s="529">
        <v>0</v>
      </c>
      <c r="E16" s="529">
        <v>0</v>
      </c>
      <c r="F16" s="529">
        <v>66.305708688999999</v>
      </c>
      <c r="G16" s="529">
        <v>132.611417378</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578</v>
      </c>
      <c r="C18" s="249"/>
      <c r="D18" s="530">
        <f>D11+D12+D13-D14+D15-D16-D17</f>
        <v>31627.616850580882</v>
      </c>
      <c r="E18" s="530">
        <f>E11+E12+E13-E14+E15-E16-E17</f>
        <v>31821.44414130503</v>
      </c>
      <c r="F18" s="530">
        <f>F11+F12+F13-F14+F15-F16-F17</f>
        <v>31819.068390263335</v>
      </c>
      <c r="G18" s="530">
        <f>G11+G12+G13-G14+G15-G16-G17</f>
        <v>31434.214388135126</v>
      </c>
      <c r="H18" s="276">
        <f>IF(D18=0,"nm",IF(G18=0,"nm",(G18/D18)^(1/3)-1))</f>
        <v>-2.0424979212435579E-3</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918</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16296</v>
      </c>
      <c r="D23" s="536">
        <v>15957.813381204518</v>
      </c>
      <c r="E23" s="536">
        <v>15894.77577675767</v>
      </c>
      <c r="F23" s="536">
        <v>15976.801476010372</v>
      </c>
      <c r="G23" s="536">
        <v>16093.645299167802</v>
      </c>
      <c r="H23" s="279">
        <f t="shared" ref="H23:H32" si="3">IF(D23=0,"nm",IF(G23=0,"nm",(G23/D23)^(1/3)-1))</f>
        <v>2.82930017453209E-3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4992</v>
      </c>
      <c r="D24" s="536">
        <v>5304</v>
      </c>
      <c r="E24" s="536">
        <v>5432.4362018758975</v>
      </c>
      <c r="F24" s="536">
        <v>5604.4172052738177</v>
      </c>
      <c r="G24" s="536">
        <v>5776.5931873157779</v>
      </c>
      <c r="H24" s="279">
        <f t="shared" si="3"/>
        <v>2.8859541316178516E-2</v>
      </c>
      <c r="I24" s="249"/>
      <c r="J24" s="17"/>
      <c r="K24" s="17"/>
      <c r="L24" s="17"/>
      <c r="M24" s="17"/>
      <c r="N24" s="17"/>
      <c r="O24" s="248"/>
      <c r="S24" s="88"/>
      <c r="T24" s="42"/>
      <c r="U24" s="42"/>
      <c r="V24" s="42"/>
      <c r="W24" s="42" t="s">
        <v>265</v>
      </c>
      <c r="X24" s="42" t="s">
        <v>246</v>
      </c>
      <c r="Y24" s="42"/>
      <c r="Z24" s="42"/>
      <c r="AA24" s="42"/>
    </row>
    <row r="25" spans="2:27">
      <c r="B25" s="5" t="s">
        <v>179</v>
      </c>
      <c r="C25" s="544">
        <v>1013</v>
      </c>
      <c r="D25" s="536">
        <v>1322</v>
      </c>
      <c r="E25" s="536">
        <v>1556.448281640894</v>
      </c>
      <c r="F25" s="536">
        <v>1795.0901464844164</v>
      </c>
      <c r="G25" s="536">
        <v>2263.8129863192885</v>
      </c>
      <c r="H25" s="279">
        <f t="shared" si="3"/>
        <v>0.19638152332503056</v>
      </c>
      <c r="I25" s="248"/>
      <c r="J25" s="247" t="s">
        <v>10</v>
      </c>
      <c r="K25" s="247"/>
      <c r="L25" s="321">
        <v>4131</v>
      </c>
      <c r="M25" s="321">
        <v>4131</v>
      </c>
      <c r="N25" s="321">
        <v>4131</v>
      </c>
      <c r="O25" s="321">
        <v>4131</v>
      </c>
      <c r="P25" s="279">
        <f>IF(L25=0,"nm",IF(O25=0,"nm",(O25/L25)^(1/3)-1))</f>
        <v>0</v>
      </c>
      <c r="S25" s="88"/>
      <c r="T25" s="42"/>
      <c r="U25" s="42"/>
      <c r="V25" s="147" t="s">
        <v>268</v>
      </c>
      <c r="W25" s="288">
        <f>D37/L9</f>
        <v>0.85359071067229986</v>
      </c>
      <c r="X25" s="288">
        <v>1</v>
      </c>
      <c r="Y25" s="42"/>
      <c r="Z25" s="42"/>
      <c r="AA25" s="42"/>
    </row>
    <row r="26" spans="2:27">
      <c r="B26" s="5" t="s">
        <v>581</v>
      </c>
      <c r="C26" s="544">
        <v>730.37300000000005</v>
      </c>
      <c r="D26" s="536">
        <v>953.16200000000015</v>
      </c>
      <c r="E26" s="536">
        <v>1122.1992110630847</v>
      </c>
      <c r="F26" s="536">
        <v>1294.2599956152644</v>
      </c>
      <c r="G26" s="536">
        <v>1632.2091631362073</v>
      </c>
      <c r="H26" s="279">
        <f t="shared" si="3"/>
        <v>0.19638152332503056</v>
      </c>
      <c r="I26" s="249"/>
      <c r="J26" s="249" t="s">
        <v>11</v>
      </c>
      <c r="K26" s="249"/>
      <c r="L26" s="281">
        <f>D11+L25</f>
        <v>9307.7771228589008</v>
      </c>
      <c r="M26" s="281">
        <f>E11+M25</f>
        <v>9307.7771228589008</v>
      </c>
      <c r="N26" s="281">
        <f>F11+N25</f>
        <v>9307.7771228589008</v>
      </c>
      <c r="O26" s="281">
        <f>G11+O25</f>
        <v>9307.7771228589008</v>
      </c>
      <c r="P26" s="279">
        <f>IF(L26=0,"nm",IF(O26=0,"nm",(O26/L26)^(1/3)-1))</f>
        <v>0</v>
      </c>
      <c r="Q26" s="5"/>
      <c r="S26" s="88"/>
      <c r="T26" s="42"/>
      <c r="U26" s="42"/>
      <c r="V26" s="147" t="s">
        <v>180</v>
      </c>
      <c r="W26" s="288">
        <f t="shared" ref="W26:W33" si="5">D38/L10</f>
        <v>0.85264548107493066</v>
      </c>
      <c r="X26" s="288">
        <v>1</v>
      </c>
      <c r="Y26" s="42"/>
      <c r="Z26" s="42"/>
      <c r="AA26" s="42"/>
    </row>
    <row r="27" spans="2:27">
      <c r="B27" s="5" t="s">
        <v>582</v>
      </c>
      <c r="C27" s="545">
        <v>38740</v>
      </c>
      <c r="D27" s="536">
        <v>37862</v>
      </c>
      <c r="E27" s="536">
        <v>37481.073202700158</v>
      </c>
      <c r="F27" s="536">
        <v>37232.238782815883</v>
      </c>
      <c r="G27" s="536">
        <v>36760.835594914271</v>
      </c>
      <c r="H27" s="279">
        <f t="shared" si="3"/>
        <v>-9.7900761998320762E-3</v>
      </c>
      <c r="I27" s="249"/>
      <c r="J27" s="248"/>
      <c r="K27" s="248"/>
      <c r="L27" s="248"/>
      <c r="M27" s="248"/>
      <c r="N27" s="248"/>
      <c r="O27" s="248"/>
      <c r="Q27" s="41"/>
      <c r="S27" s="88"/>
      <c r="T27" s="42"/>
      <c r="U27" s="42"/>
      <c r="V27" s="147" t="s">
        <v>181</v>
      </c>
      <c r="W27" s="288">
        <f t="shared" si="5"/>
        <v>1.659160897277832</v>
      </c>
      <c r="X27" s="288">
        <v>1</v>
      </c>
      <c r="Y27" s="42"/>
      <c r="Z27" s="42"/>
      <c r="AA27" s="42"/>
    </row>
    <row r="28" spans="2:27" ht="12.6" thickBot="1">
      <c r="B28" s="5" t="s">
        <v>587</v>
      </c>
      <c r="C28" s="544">
        <v>14100</v>
      </c>
      <c r="D28" s="536">
        <v>14692</v>
      </c>
      <c r="E28" s="536">
        <v>14594.573767968217</v>
      </c>
      <c r="F28" s="536">
        <v>14564.227296397283</v>
      </c>
      <c r="G28" s="536">
        <v>14319.940569911945</v>
      </c>
      <c r="H28" s="279">
        <f t="shared" si="3"/>
        <v>-8.5135912277238823E-3</v>
      </c>
      <c r="I28" s="248"/>
      <c r="J28" s="306" t="s">
        <v>1352</v>
      </c>
      <c r="K28" s="306"/>
      <c r="L28" s="306"/>
      <c r="M28" s="306"/>
      <c r="N28" s="266"/>
      <c r="O28" s="266"/>
      <c r="P28" s="266"/>
      <c r="Q28" s="5"/>
      <c r="S28" s="88"/>
      <c r="T28" s="42"/>
      <c r="U28" s="42"/>
      <c r="V28" s="147" t="s">
        <v>461</v>
      </c>
      <c r="W28" s="288">
        <f t="shared" si="5"/>
        <v>1.7157302836395463</v>
      </c>
      <c r="X28" s="288">
        <v>1</v>
      </c>
      <c r="Y28" s="42"/>
      <c r="Z28" s="42"/>
      <c r="AA28" s="42"/>
    </row>
    <row r="29" spans="2:27" ht="12.6" thickTop="1">
      <c r="B29" s="5" t="s">
        <v>1133</v>
      </c>
      <c r="C29" s="544">
        <v>-211.1058501698011</v>
      </c>
      <c r="D29" s="536">
        <v>-539.5887496879551</v>
      </c>
      <c r="E29" s="536">
        <v>-50.330288489764278</v>
      </c>
      <c r="F29" s="536">
        <v>-41.028705635617989</v>
      </c>
      <c r="G29" s="536">
        <v>292.18714050966867</v>
      </c>
      <c r="H29" s="279">
        <f t="shared" si="3"/>
        <v>-1.8150784370932393</v>
      </c>
      <c r="I29" s="252"/>
      <c r="J29" s="249"/>
      <c r="K29" s="249"/>
      <c r="L29" s="249"/>
      <c r="M29" s="249"/>
      <c r="N29" s="249"/>
      <c r="O29" s="251"/>
      <c r="Q29" s="5"/>
      <c r="S29" s="88"/>
      <c r="T29" s="42"/>
      <c r="U29" s="42"/>
      <c r="V29" s="147" t="s">
        <v>525</v>
      </c>
      <c r="W29" s="288">
        <f t="shared" si="5"/>
        <v>0.55824810001862724</v>
      </c>
      <c r="X29" s="288">
        <v>1</v>
      </c>
      <c r="Y29" s="42"/>
      <c r="Z29" s="42"/>
      <c r="AA29" s="42"/>
    </row>
    <row r="30" spans="2:27">
      <c r="B30" s="5" t="s">
        <v>1132</v>
      </c>
      <c r="C30" s="545">
        <v>-2654</v>
      </c>
      <c r="D30" s="536">
        <v>-1107</v>
      </c>
      <c r="E30" s="536">
        <v>-607.04074704533252</v>
      </c>
      <c r="F30" s="536">
        <v>-258.24994207919372</v>
      </c>
      <c r="G30" s="536">
        <v>-79.833903994726199</v>
      </c>
      <c r="H30" s="279">
        <f t="shared" si="3"/>
        <v>-0.58375734582214434</v>
      </c>
      <c r="I30" s="254"/>
      <c r="J30" s="248"/>
      <c r="K30" s="248"/>
      <c r="L30" s="248"/>
      <c r="M30" s="248"/>
      <c r="N30" s="248"/>
      <c r="O30" s="5"/>
      <c r="Q30" s="5"/>
      <c r="S30" s="88"/>
      <c r="T30" s="42"/>
      <c r="U30" s="42"/>
      <c r="V30" s="147" t="s">
        <v>588</v>
      </c>
      <c r="W30" s="288">
        <f t="shared" si="5"/>
        <v>0.65197257856761714</v>
      </c>
      <c r="X30" s="288">
        <v>1</v>
      </c>
      <c r="Y30" s="42"/>
      <c r="Z30" s="42"/>
      <c r="AA30" s="42"/>
    </row>
    <row r="31" spans="2:27">
      <c r="B31" s="5" t="s">
        <v>30</v>
      </c>
      <c r="C31" s="545">
        <v>0</v>
      </c>
      <c r="D31" s="536">
        <v>0</v>
      </c>
      <c r="E31" s="536">
        <v>0</v>
      </c>
      <c r="F31" s="536">
        <v>0</v>
      </c>
      <c r="G31" s="536">
        <v>0</v>
      </c>
      <c r="H31" s="279" t="str">
        <f t="shared" si="3"/>
        <v>nm</v>
      </c>
      <c r="I31" s="254"/>
      <c r="J31" s="252"/>
      <c r="K31" s="252"/>
      <c r="L31" s="252"/>
      <c r="M31" s="252"/>
      <c r="N31" s="252"/>
      <c r="O31" s="5"/>
      <c r="Q31" s="5"/>
      <c r="S31" s="88"/>
      <c r="T31" s="42"/>
      <c r="U31" s="42"/>
      <c r="V31" s="147" t="s">
        <v>470</v>
      </c>
      <c r="W31" s="288">
        <f t="shared" si="5"/>
        <v>-0.5503129387250717</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-0.52242680227020577</v>
      </c>
      <c r="X32" s="288">
        <v>1</v>
      </c>
      <c r="Y32" s="42"/>
      <c r="Z32" s="42"/>
      <c r="AA32" s="42"/>
    </row>
    <row r="33" spans="2:27">
      <c r="B33" s="5" t="s">
        <v>5</v>
      </c>
      <c r="C33" s="545">
        <v>1423</v>
      </c>
      <c r="D33" s="536">
        <v>1740</v>
      </c>
      <c r="E33" s="536">
        <v>1867.4730882403064</v>
      </c>
      <c r="F33" s="536">
        <v>1868.0952074393322</v>
      </c>
      <c r="G33" s="536">
        <v>1892.9002541177249</v>
      </c>
      <c r="H33" s="279">
        <f>IF(D33=0,"nm",IF(G33=0,"nm",(G33/D33)^(1/3)-1))</f>
        <v>2.8472839497093672E-2</v>
      </c>
      <c r="I33" s="5"/>
      <c r="J33" s="254"/>
      <c r="K33" s="254"/>
      <c r="L33" s="254"/>
      <c r="M33" s="254"/>
      <c r="N33" s="254"/>
      <c r="O33" s="251"/>
      <c r="Q33" s="5"/>
      <c r="S33" s="88"/>
      <c r="T33" s="42"/>
      <c r="U33" s="42"/>
      <c r="V33" s="147" t="s">
        <v>575</v>
      </c>
      <c r="W33" s="288">
        <f t="shared" si="5"/>
        <v>0</v>
      </c>
      <c r="X33" s="288">
        <v>1</v>
      </c>
      <c r="Y33" s="42"/>
      <c r="Z33" s="42"/>
      <c r="AA33" s="42"/>
    </row>
    <row r="34" spans="2:27">
      <c r="H34" s="277"/>
      <c r="I34" s="49"/>
      <c r="J34" s="254"/>
      <c r="K34" s="254"/>
      <c r="L34" s="254"/>
      <c r="M34" s="254"/>
      <c r="N34" s="254"/>
      <c r="O34" s="251"/>
      <c r="Q34" s="5"/>
      <c r="S34" s="88"/>
      <c r="T34" s="42"/>
      <c r="U34" s="42"/>
      <c r="V34" s="147" t="s">
        <v>576</v>
      </c>
      <c r="W34" s="288">
        <f>D47/L19</f>
        <v>-1.8171478982789921</v>
      </c>
      <c r="X34" s="288">
        <v>1</v>
      </c>
      <c r="Y34" s="288"/>
      <c r="Z34" s="288"/>
      <c r="AA34" s="42"/>
    </row>
    <row r="35" spans="2:27" ht="12.6" thickBot="1">
      <c r="B35" s="306" t="s">
        <v>435</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1.9819517934601629</v>
      </c>
      <c r="E37" s="525">
        <f t="shared" ref="E37:G41" si="7">E$18/E23</f>
        <v>2.0020064823963311</v>
      </c>
      <c r="F37" s="525">
        <f t="shared" si="7"/>
        <v>1.9915793807690847</v>
      </c>
      <c r="G37" s="525">
        <f t="shared" si="7"/>
        <v>1.9532066106713921</v>
      </c>
      <c r="H37" s="17">
        <f t="shared" ref="H37:H46" si="8">H23</f>
        <v>2.82930017453209E-3</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5.9629745193402872</v>
      </c>
      <c r="E38" s="525">
        <f t="shared" si="7"/>
        <v>5.8576747077704532</v>
      </c>
      <c r="F38" s="525">
        <f t="shared" si="7"/>
        <v>5.677498163470279</v>
      </c>
      <c r="G38" s="525">
        <f t="shared" si="7"/>
        <v>5.4416527819819924</v>
      </c>
      <c r="H38" s="17">
        <f t="shared" si="8"/>
        <v>2.8859541316178516E-2</v>
      </c>
      <c r="I38" s="259"/>
      <c r="J38" s="17"/>
      <c r="K38" s="17"/>
      <c r="L38" s="17"/>
      <c r="M38" s="17"/>
      <c r="N38" s="17"/>
      <c r="O38" s="5"/>
      <c r="Q38" s="5"/>
      <c r="R38" s="5"/>
      <c r="S38" s="42"/>
      <c r="T38" s="42"/>
      <c r="U38" s="42"/>
      <c r="V38" s="42"/>
      <c r="W38" s="42"/>
      <c r="X38" s="42"/>
      <c r="Y38" s="42"/>
      <c r="Z38" s="42"/>
      <c r="AA38" s="42"/>
    </row>
    <row r="39" spans="2:27">
      <c r="B39" s="5" t="s">
        <v>181</v>
      </c>
      <c r="C39" s="247"/>
      <c r="D39" s="525">
        <f>D$18/D25</f>
        <v>23.92406720921398</v>
      </c>
      <c r="E39" s="525">
        <f t="shared" si="7"/>
        <v>20.444909424010607</v>
      </c>
      <c r="F39" s="525">
        <f t="shared" si="7"/>
        <v>17.725610300173059</v>
      </c>
      <c r="G39" s="525">
        <f t="shared" si="7"/>
        <v>13.885517301163516</v>
      </c>
      <c r="H39" s="17">
        <f t="shared" si="8"/>
        <v>0.19638152332503056</v>
      </c>
      <c r="I39" s="17"/>
      <c r="J39" s="5"/>
      <c r="K39" s="5"/>
      <c r="L39" s="5"/>
      <c r="M39" s="5"/>
      <c r="N39" s="5"/>
      <c r="O39" s="5"/>
      <c r="Q39" s="5"/>
      <c r="R39" s="5"/>
      <c r="S39" s="42"/>
      <c r="T39" s="42"/>
      <c r="U39" s="42"/>
      <c r="V39" s="42"/>
      <c r="W39" s="42"/>
      <c r="X39" s="42"/>
      <c r="Y39" s="42"/>
      <c r="Z39" s="42"/>
      <c r="AA39" s="42"/>
    </row>
    <row r="40" spans="2:27">
      <c r="B40" s="5" t="s">
        <v>461</v>
      </c>
      <c r="C40" s="247"/>
      <c r="D40" s="525">
        <f>D$18/D26</f>
        <v>33.181785310976387</v>
      </c>
      <c r="E40" s="525">
        <f t="shared" si="7"/>
        <v>28.356323750361451</v>
      </c>
      <c r="F40" s="525">
        <f t="shared" si="7"/>
        <v>24.584757697882186</v>
      </c>
      <c r="G40" s="525">
        <f t="shared" si="7"/>
        <v>19.258692512015969</v>
      </c>
      <c r="H40" s="17">
        <f t="shared" si="8"/>
        <v>0.19638152332503056</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0.83533930723630245</v>
      </c>
      <c r="E41" s="525">
        <f t="shared" si="7"/>
        <v>0.84900034663395374</v>
      </c>
      <c r="F41" s="525">
        <f t="shared" si="7"/>
        <v>0.85461066619902171</v>
      </c>
      <c r="G41" s="525">
        <f t="shared" si="7"/>
        <v>0.85510064935748997</v>
      </c>
      <c r="H41" s="17">
        <f t="shared" si="8"/>
        <v>-9.7900761998320762E-3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2.152710104177844</v>
      </c>
      <c r="E42" s="525">
        <f>E18/E28</f>
        <v>2.1803613210785153</v>
      </c>
      <c r="F42" s="525">
        <f>F18/F28</f>
        <v>2.1847412665781687</v>
      </c>
      <c r="G42" s="525">
        <f>G18/G28</f>
        <v>2.1951358132157681</v>
      </c>
      <c r="H42" s="17">
        <f t="shared" si="8"/>
        <v>-8.5135912277238823E-3</v>
      </c>
      <c r="I42" s="248"/>
      <c r="J42" s="5"/>
      <c r="K42" s="5"/>
      <c r="L42" s="5"/>
      <c r="M42" s="5"/>
      <c r="N42" s="5"/>
      <c r="O42" s="5"/>
      <c r="Q42" s="5"/>
      <c r="R42" s="5"/>
      <c r="S42" s="42"/>
      <c r="T42" s="42"/>
      <c r="U42" s="42"/>
      <c r="V42" s="42"/>
      <c r="W42" s="288"/>
      <c r="X42" s="288"/>
      <c r="Y42" s="288"/>
      <c r="Z42" s="288"/>
      <c r="AA42" s="42"/>
    </row>
    <row r="43" spans="2:27">
      <c r="B43" s="5" t="s">
        <v>470</v>
      </c>
      <c r="C43" s="247"/>
      <c r="D43" s="525">
        <f>D11/D29</f>
        <v>-9.5939307960972808</v>
      </c>
      <c r="E43" s="525">
        <f t="shared" ref="E43:G43" si="9">E11/E29</f>
        <v>-102.85609874681538</v>
      </c>
      <c r="F43" s="525">
        <f t="shared" si="9"/>
        <v>-126.17451714988584</v>
      </c>
      <c r="G43" s="525">
        <f t="shared" si="9"/>
        <v>17.717333876600215</v>
      </c>
      <c r="H43" s="17">
        <f t="shared" si="8"/>
        <v>-1.8150784370932393</v>
      </c>
      <c r="I43" s="247"/>
      <c r="J43" s="247"/>
      <c r="K43" s="247"/>
      <c r="L43" s="247"/>
      <c r="M43" s="247"/>
      <c r="N43" s="247"/>
      <c r="O43" s="18"/>
      <c r="Q43" s="5"/>
      <c r="R43" s="5"/>
      <c r="S43" s="42"/>
      <c r="T43" s="42"/>
      <c r="U43" s="42"/>
      <c r="V43" s="42"/>
      <c r="W43" s="288"/>
      <c r="X43" s="288"/>
      <c r="Y43" s="288"/>
      <c r="Z43" s="288"/>
      <c r="AA43" s="42"/>
    </row>
    <row r="44" spans="2:27">
      <c r="B44" s="5" t="s">
        <v>528</v>
      </c>
      <c r="C44" s="69"/>
      <c r="D44" s="525">
        <f>L26/D30</f>
        <v>-8.4081094154100278</v>
      </c>
      <c r="E44" s="525">
        <f t="shared" ref="E44:G44" si="10">M26/E30</f>
        <v>-15.333035168006301</v>
      </c>
      <c r="F44" s="525">
        <f t="shared" si="10"/>
        <v>-36.041739440176222</v>
      </c>
      <c r="G44" s="525">
        <f t="shared" si="10"/>
        <v>-116.58927669970605</v>
      </c>
      <c r="H44" s="17">
        <f t="shared" si="8"/>
        <v>-0.58375734582214434</v>
      </c>
      <c r="I44" s="247"/>
      <c r="J44" s="248"/>
      <c r="K44" s="248"/>
      <c r="L44" s="248"/>
      <c r="M44" s="248"/>
      <c r="N44" s="248"/>
      <c r="O44" s="248"/>
      <c r="Q44" s="5"/>
      <c r="R44" s="5"/>
      <c r="S44" s="42"/>
      <c r="T44" s="42"/>
      <c r="U44" s="42"/>
      <c r="V44" s="42"/>
      <c r="W44" s="325"/>
      <c r="X44" s="325"/>
      <c r="Y44" s="288"/>
      <c r="Z44" s="288"/>
      <c r="AA44" s="42"/>
    </row>
    <row r="45" spans="2:27">
      <c r="B45" s="5" t="s">
        <v>424</v>
      </c>
      <c r="C45" s="247"/>
      <c r="D45" s="248">
        <f>D31/($C10*D10)</f>
        <v>0</v>
      </c>
      <c r="E45" s="248">
        <f t="shared" ref="E45:G45" si="11">E31/($C10*E10)</f>
        <v>0</v>
      </c>
      <c r="F45" s="248">
        <f t="shared" si="11"/>
        <v>0</v>
      </c>
      <c r="G45" s="248">
        <f t="shared" si="11"/>
        <v>0</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1131</v>
      </c>
      <c r="C46" s="247"/>
      <c r="D46" s="248">
        <f>(D31+D32)/($C10*D10)</f>
        <v>0</v>
      </c>
      <c r="E46" s="248">
        <f t="shared" ref="E46:G46" si="12">(E31+E32)/($C10*E10)</f>
        <v>0</v>
      </c>
      <c r="F46" s="248">
        <f t="shared" si="12"/>
        <v>0</v>
      </c>
      <c r="G46" s="248">
        <f t="shared" si="12"/>
        <v>0</v>
      </c>
      <c r="H46" s="17" t="str">
        <f t="shared" si="8"/>
        <v>nm</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-0.10423256340422951</v>
      </c>
      <c r="E47" s="248">
        <f>1/E43</f>
        <v>-9.7223209142079381E-3</v>
      </c>
      <c r="F47" s="248">
        <f>1/F43</f>
        <v>-7.9255306268545111E-3</v>
      </c>
      <c r="G47" s="248">
        <f>1/G43</f>
        <v>5.6441900737713609E-2</v>
      </c>
      <c r="H47" s="17">
        <f>H29</f>
        <v>-1.8150784370932393</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v>
      </c>
      <c r="F48" s="305">
        <f>F31/F29</f>
        <v>0</v>
      </c>
      <c r="G48" s="305">
        <f>G31/G29</f>
        <v>0</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ISOP!A1" display="Jump to TI SOP" xr:uid="{00000000-0004-0000-6300-000001000000}"/>
  </hyperlinks>
  <pageMargins left="0.75" right="0.75" top="1" bottom="1" header="0.5" footer="0.5"/>
  <pageSetup scale="7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theme="3" tint="0.79998168889431442"/>
    <pageSetUpPr fitToPage="1"/>
  </sheetPr>
  <dimension ref="B1:BK144"/>
  <sheetViews>
    <sheetView showGridLines="0" zoomScale="80" zoomScaleNormal="80" workbookViewId="0"/>
  </sheetViews>
  <sheetFormatPr defaultColWidth="9.109375" defaultRowHeight="12"/>
  <cols>
    <col min="1" max="1" width="2.33203125" style="39" customWidth="1"/>
    <col min="2" max="2" width="30.6640625" style="39" customWidth="1"/>
    <col min="3" max="3" width="12" style="39" customWidth="1"/>
    <col min="4" max="4" width="6.33203125" style="39" customWidth="1"/>
    <col min="5" max="5" width="7.44140625" style="39" customWidth="1"/>
    <col min="6" max="6" width="22.109375" style="39" customWidth="1"/>
    <col min="7" max="7" width="12.109375" style="39" customWidth="1"/>
    <col min="8" max="8" width="8" style="39" customWidth="1"/>
    <col min="9" max="9" width="7.88671875" style="39" customWidth="1"/>
    <col min="10" max="10" width="21.33203125" style="39" customWidth="1"/>
    <col min="11" max="11" width="12.109375" style="39" customWidth="1"/>
    <col min="12" max="12" width="4.6640625" style="39" customWidth="1"/>
    <col min="13" max="15" width="10.109375" style="39" customWidth="1"/>
    <col min="16" max="16" width="5.44140625" style="39" customWidth="1"/>
    <col min="17" max="20" width="9.109375" style="39"/>
    <col min="21" max="21" width="3.6640625" style="39" customWidth="1"/>
    <col min="22" max="43" width="9.109375" style="168"/>
    <col min="44" max="63" width="9.109375" style="239"/>
    <col min="64" max="16384" width="9.109375" style="39"/>
  </cols>
  <sheetData>
    <row r="1" spans="2:42" s="80" customFormat="1">
      <c r="C1" s="81"/>
      <c r="D1" s="81"/>
      <c r="E1" s="81"/>
    </row>
    <row r="2" spans="2:42" s="80" customFormat="1">
      <c r="C2" s="81"/>
      <c r="D2" s="81"/>
      <c r="E2" s="81"/>
    </row>
    <row r="3" spans="2:42" s="80" customFormat="1">
      <c r="C3" s="81"/>
      <c r="D3" s="81"/>
      <c r="E3" s="81"/>
    </row>
    <row r="4" spans="2:42" s="128" customFormat="1" ht="21">
      <c r="B4" s="129" t="s">
        <v>568</v>
      </c>
      <c r="C4" s="130"/>
      <c r="D4" s="130"/>
      <c r="E4" s="130"/>
    </row>
    <row r="5" spans="2:42" s="131" customFormat="1">
      <c r="B5" s="132"/>
      <c r="C5" s="133"/>
      <c r="D5" s="133"/>
      <c r="E5" s="133"/>
    </row>
    <row r="6" spans="2:42">
      <c r="O6" s="49"/>
    </row>
    <row r="7" spans="2:42" ht="12.6" thickBot="1">
      <c r="B7" s="240"/>
      <c r="C7" s="240"/>
      <c r="D7" s="240"/>
      <c r="E7" s="240"/>
      <c r="F7" s="240"/>
      <c r="G7" s="240"/>
      <c r="H7" s="240"/>
      <c r="I7" s="240"/>
      <c r="J7" s="240"/>
      <c r="K7" s="240"/>
      <c r="L7" s="241"/>
      <c r="M7" s="49"/>
      <c r="N7" s="49"/>
      <c r="O7" s="49"/>
      <c r="P7" s="5"/>
      <c r="Q7" s="242"/>
      <c r="R7" s="5"/>
      <c r="S7" s="5"/>
      <c r="T7" s="5"/>
      <c r="U7" s="5"/>
    </row>
    <row r="8" spans="2:42" ht="12.6" thickTop="1">
      <c r="B8" s="41"/>
      <c r="C8" s="243"/>
      <c r="D8" s="244"/>
      <c r="E8" s="244"/>
      <c r="F8" s="41"/>
      <c r="G8" s="243"/>
      <c r="H8" s="244"/>
      <c r="J8" s="41"/>
      <c r="K8" s="245"/>
      <c r="L8" s="244"/>
      <c r="M8" s="5"/>
      <c r="N8" s="5"/>
      <c r="O8" s="5"/>
      <c r="P8" s="5"/>
      <c r="Q8" s="5"/>
      <c r="R8" s="5"/>
      <c r="S8" s="5"/>
      <c r="T8" s="5"/>
      <c r="U8" s="5"/>
    </row>
    <row r="9" spans="2:42">
      <c r="B9" s="246" t="s">
        <v>1003</v>
      </c>
      <c r="C9" s="243"/>
      <c r="D9" s="247"/>
      <c r="E9" s="247"/>
      <c r="F9" s="41"/>
      <c r="G9" s="243"/>
      <c r="H9" s="244"/>
      <c r="J9" s="41"/>
      <c r="K9" s="243"/>
      <c r="L9" s="244"/>
      <c r="M9" s="248"/>
      <c r="N9" s="248"/>
      <c r="O9" s="248"/>
    </row>
    <row r="10" spans="2:42">
      <c r="B10" s="39" t="s">
        <v>1078</v>
      </c>
      <c r="C10" s="243"/>
      <c r="D10" s="247"/>
      <c r="E10" s="247"/>
      <c r="F10" s="41"/>
      <c r="G10" s="243"/>
      <c r="H10" s="244"/>
      <c r="J10" s="41"/>
      <c r="K10" s="243"/>
      <c r="L10" s="244"/>
      <c r="M10" s="249"/>
      <c r="N10" s="249"/>
      <c r="O10" s="250"/>
      <c r="Q10" s="5"/>
      <c r="R10" s="5"/>
      <c r="S10" s="5"/>
      <c r="T10" s="5"/>
      <c r="U10" s="5"/>
    </row>
    <row r="11" spans="2:42">
      <c r="C11" s="243"/>
      <c r="D11" s="249"/>
      <c r="E11" s="249"/>
      <c r="F11" s="41"/>
      <c r="G11" s="243"/>
      <c r="H11" s="244"/>
      <c r="J11" s="41"/>
      <c r="K11" s="243"/>
      <c r="L11" s="244"/>
      <c r="M11" s="249"/>
      <c r="N11" s="249"/>
      <c r="O11" s="251"/>
      <c r="Q11" s="242"/>
      <c r="R11" s="5"/>
      <c r="S11" s="5"/>
      <c r="T11" s="5"/>
      <c r="U11" s="5"/>
    </row>
    <row r="12" spans="2:42">
      <c r="B12" s="246" t="s">
        <v>1004</v>
      </c>
      <c r="C12" s="243"/>
      <c r="D12" s="247"/>
      <c r="E12" s="247"/>
      <c r="F12" s="41"/>
      <c r="G12" s="243"/>
      <c r="H12" s="244"/>
      <c r="J12" s="41"/>
      <c r="K12" s="243"/>
      <c r="L12" s="244"/>
      <c r="M12" s="248"/>
      <c r="N12" s="248"/>
      <c r="O12" s="5"/>
      <c r="Q12" s="5"/>
      <c r="R12" s="5"/>
      <c r="S12" s="5"/>
      <c r="T12" s="5"/>
      <c r="U12" s="5"/>
    </row>
    <row r="13" spans="2:42">
      <c r="C13" s="243"/>
      <c r="D13" s="247"/>
      <c r="E13" s="247"/>
      <c r="F13" s="41"/>
      <c r="G13" s="243"/>
      <c r="H13" s="244"/>
      <c r="J13" s="41"/>
      <c r="K13" s="243"/>
      <c r="L13" s="244"/>
      <c r="M13" s="252"/>
      <c r="N13" s="252"/>
      <c r="O13" s="5"/>
      <c r="Q13" s="5"/>
      <c r="R13" s="5"/>
      <c r="S13" s="5"/>
      <c r="T13" s="5"/>
      <c r="U13" s="5"/>
    </row>
    <row r="14" spans="2:42">
      <c r="B14" s="253" t="s">
        <v>1005</v>
      </c>
      <c r="C14" s="243"/>
      <c r="D14" s="249"/>
      <c r="E14" s="249"/>
      <c r="F14" s="41"/>
      <c r="G14" s="243"/>
      <c r="H14" s="244"/>
      <c r="M14" s="254"/>
      <c r="N14" s="254"/>
      <c r="O14" s="251"/>
      <c r="Q14" s="5"/>
      <c r="R14" s="5"/>
      <c r="S14" s="5"/>
      <c r="T14" s="5"/>
      <c r="U14" s="5"/>
    </row>
    <row r="15" spans="2:42">
      <c r="C15" s="243"/>
      <c r="D15" s="247"/>
      <c r="E15" s="247"/>
      <c r="F15" s="41"/>
      <c r="G15" s="243"/>
      <c r="H15" s="244"/>
      <c r="M15" s="17"/>
      <c r="N15" s="17"/>
      <c r="O15" s="5"/>
      <c r="Q15" s="5"/>
      <c r="R15" s="5"/>
      <c r="S15" s="5"/>
      <c r="T15" s="5"/>
      <c r="U15" s="5"/>
    </row>
    <row r="16" spans="2:42">
      <c r="B16" s="253" t="s">
        <v>1006</v>
      </c>
      <c r="C16" s="5"/>
      <c r="D16" s="247"/>
      <c r="E16" s="247"/>
      <c r="F16" s="41"/>
      <c r="G16" s="243"/>
      <c r="H16" s="244"/>
      <c r="M16" s="252"/>
      <c r="N16" s="252"/>
      <c r="O16" s="5"/>
      <c r="Q16" s="5"/>
      <c r="R16" s="5"/>
      <c r="S16" s="5"/>
      <c r="T16" s="5"/>
      <c r="U16" s="5"/>
      <c r="W16" s="255"/>
      <c r="X16" s="255"/>
      <c r="Y16" s="255"/>
      <c r="Z16" s="255"/>
      <c r="AC16" s="255"/>
      <c r="AD16" s="255"/>
      <c r="AE16" s="255"/>
      <c r="AF16" s="255"/>
      <c r="AH16" s="255"/>
      <c r="AI16" s="255"/>
      <c r="AJ16" s="255"/>
      <c r="AK16" s="255"/>
      <c r="AM16" s="255"/>
      <c r="AN16" s="255"/>
      <c r="AO16" s="255"/>
      <c r="AP16" s="255"/>
    </row>
    <row r="17" spans="2:42">
      <c r="B17" s="253"/>
      <c r="C17" s="243"/>
      <c r="D17" s="249"/>
      <c r="E17" s="249"/>
      <c r="F17" s="41"/>
      <c r="G17" s="243"/>
      <c r="H17" s="244"/>
      <c r="M17" s="254"/>
      <c r="N17" s="254"/>
      <c r="O17" s="251"/>
      <c r="Q17" s="5"/>
      <c r="R17" s="5"/>
      <c r="S17" s="5"/>
      <c r="T17" s="5"/>
      <c r="U17" s="5"/>
      <c r="W17" s="255"/>
      <c r="X17" s="255"/>
      <c r="Y17" s="255"/>
      <c r="Z17" s="255"/>
      <c r="AC17" s="255"/>
      <c r="AD17" s="255"/>
      <c r="AE17" s="255"/>
      <c r="AF17" s="255"/>
      <c r="AH17" s="255"/>
      <c r="AI17" s="255"/>
      <c r="AJ17" s="255"/>
      <c r="AK17" s="255"/>
      <c r="AM17" s="255"/>
      <c r="AN17" s="255"/>
      <c r="AO17" s="255"/>
      <c r="AP17" s="255"/>
    </row>
    <row r="18" spans="2:42">
      <c r="B18" s="253" t="s">
        <v>1007</v>
      </c>
      <c r="C18" s="5"/>
      <c r="D18" s="247"/>
      <c r="E18" s="247"/>
      <c r="F18" s="41"/>
      <c r="G18" s="243"/>
      <c r="H18" s="244"/>
      <c r="M18" s="17"/>
      <c r="N18" s="17"/>
      <c r="O18" s="5"/>
      <c r="Q18" s="5"/>
      <c r="R18" s="5"/>
      <c r="S18" s="5"/>
      <c r="T18" s="5"/>
      <c r="U18" s="5"/>
      <c r="W18" s="255"/>
      <c r="X18" s="255"/>
      <c r="Y18" s="255"/>
      <c r="Z18" s="255"/>
      <c r="AC18" s="255"/>
      <c r="AD18" s="255"/>
      <c r="AE18" s="255"/>
      <c r="AF18" s="255"/>
      <c r="AH18" s="255"/>
      <c r="AI18" s="255"/>
      <c r="AJ18" s="255"/>
      <c r="AK18" s="255"/>
      <c r="AM18" s="255"/>
      <c r="AN18" s="255"/>
      <c r="AO18" s="255"/>
      <c r="AP18" s="255"/>
    </row>
    <row r="19" spans="2:42">
      <c r="B19" s="253" t="s">
        <v>1008</v>
      </c>
      <c r="C19" s="249"/>
      <c r="D19" s="247"/>
      <c r="E19" s="247"/>
      <c r="F19" s="41"/>
      <c r="G19" s="243"/>
      <c r="H19" s="244"/>
      <c r="M19" s="5"/>
      <c r="N19" s="5"/>
      <c r="O19" s="5"/>
      <c r="Q19" s="5"/>
      <c r="R19" s="5"/>
      <c r="S19" s="5"/>
      <c r="T19" s="5"/>
      <c r="U19" s="5"/>
      <c r="AC19" s="255"/>
      <c r="AD19" s="255"/>
      <c r="AE19" s="255"/>
      <c r="AF19" s="255"/>
      <c r="AH19" s="255"/>
      <c r="AI19" s="255"/>
      <c r="AJ19" s="255"/>
      <c r="AK19" s="255"/>
      <c r="AM19" s="255"/>
      <c r="AN19" s="255"/>
      <c r="AO19" s="255"/>
      <c r="AP19" s="255"/>
    </row>
    <row r="20" spans="2:42">
      <c r="B20" s="253"/>
      <c r="C20" s="41"/>
      <c r="D20" s="249"/>
      <c r="E20" s="249"/>
      <c r="F20" s="41"/>
      <c r="G20" s="243"/>
      <c r="H20" s="244"/>
      <c r="M20" s="254"/>
      <c r="N20" s="254"/>
      <c r="O20" s="251"/>
      <c r="Q20" s="5"/>
      <c r="R20" s="5"/>
      <c r="S20" s="5"/>
      <c r="T20" s="5"/>
      <c r="U20" s="5"/>
      <c r="AC20" s="255"/>
      <c r="AD20" s="255"/>
      <c r="AE20" s="255"/>
      <c r="AF20" s="255"/>
      <c r="AH20" s="255"/>
      <c r="AI20" s="255"/>
      <c r="AJ20" s="255"/>
      <c r="AK20" s="255"/>
      <c r="AM20" s="255"/>
      <c r="AN20" s="255"/>
      <c r="AO20" s="255"/>
      <c r="AP20" s="255"/>
    </row>
    <row r="21" spans="2:42">
      <c r="B21" s="253" t="s">
        <v>1416</v>
      </c>
      <c r="C21" s="5"/>
      <c r="D21" s="247"/>
      <c r="E21" s="247"/>
      <c r="F21" s="41"/>
      <c r="G21" s="243"/>
      <c r="H21" s="244"/>
      <c r="M21" s="17"/>
      <c r="N21" s="17"/>
      <c r="O21" s="5"/>
      <c r="Q21" s="5"/>
      <c r="R21" s="5"/>
      <c r="S21" s="5"/>
      <c r="T21" s="5"/>
      <c r="U21" s="5"/>
    </row>
    <row r="22" spans="2:42">
      <c r="B22" s="253" t="s">
        <v>1009</v>
      </c>
      <c r="C22" s="5"/>
      <c r="D22" s="247"/>
      <c r="E22" s="247"/>
      <c r="F22" s="41"/>
      <c r="G22" s="243"/>
      <c r="H22" s="244"/>
      <c r="M22" s="5"/>
      <c r="N22" s="5"/>
      <c r="O22" s="5"/>
      <c r="Q22" s="5"/>
      <c r="R22" s="5"/>
      <c r="S22" s="5"/>
      <c r="T22" s="5"/>
      <c r="U22" s="5"/>
    </row>
    <row r="23" spans="2:42">
      <c r="B23" s="41"/>
      <c r="C23" s="41"/>
      <c r="D23" s="249"/>
      <c r="E23" s="249"/>
      <c r="F23" s="41"/>
      <c r="G23" s="243"/>
      <c r="H23" s="244"/>
      <c r="J23" s="41"/>
      <c r="K23" s="243"/>
      <c r="L23" s="241"/>
      <c r="M23" s="249"/>
      <c r="N23" s="249"/>
      <c r="O23" s="251"/>
      <c r="Q23" s="5"/>
      <c r="R23" s="5"/>
      <c r="S23" s="5"/>
      <c r="T23" s="5"/>
      <c r="U23" s="5"/>
      <c r="W23" s="255"/>
      <c r="X23" s="255"/>
      <c r="Y23" s="255"/>
      <c r="Z23" s="255"/>
    </row>
    <row r="24" spans="2:42">
      <c r="B24" s="5"/>
      <c r="C24" s="5"/>
      <c r="D24" s="247"/>
      <c r="E24" s="247"/>
      <c r="F24" s="41"/>
      <c r="G24" s="243"/>
      <c r="H24" s="244"/>
      <c r="J24" s="41"/>
      <c r="K24" s="243"/>
      <c r="L24" s="241"/>
      <c r="M24" s="248"/>
      <c r="N24" s="248"/>
      <c r="O24" s="248"/>
      <c r="Q24" s="5"/>
      <c r="R24" s="5"/>
      <c r="S24" s="5"/>
      <c r="T24" s="5"/>
      <c r="U24" s="5"/>
      <c r="W24" s="255"/>
      <c r="X24" s="255"/>
      <c r="Y24" s="255"/>
      <c r="Z24" s="255"/>
    </row>
    <row r="25" spans="2:42">
      <c r="B25" s="5"/>
      <c r="C25" s="5"/>
      <c r="D25" s="69"/>
      <c r="E25" s="69"/>
      <c r="F25" s="41"/>
      <c r="G25" s="256"/>
      <c r="H25" s="244"/>
      <c r="J25" s="41"/>
      <c r="K25" s="243"/>
      <c r="L25" s="241"/>
      <c r="M25" s="247"/>
      <c r="N25" s="247"/>
      <c r="O25" s="248"/>
      <c r="Q25" s="5"/>
      <c r="R25" s="5"/>
      <c r="S25" s="5"/>
      <c r="T25" s="5"/>
      <c r="U25" s="5"/>
      <c r="W25" s="255"/>
      <c r="X25" s="255"/>
      <c r="Y25" s="255"/>
      <c r="Z25" s="255"/>
    </row>
    <row r="26" spans="2:42">
      <c r="B26" s="41"/>
      <c r="C26" s="41"/>
      <c r="D26" s="249"/>
      <c r="E26" s="249"/>
      <c r="F26" s="5"/>
      <c r="G26" s="5"/>
      <c r="H26" s="5"/>
      <c r="I26" s="168"/>
      <c r="J26" s="41"/>
      <c r="K26" s="243"/>
      <c r="L26" s="241"/>
      <c r="M26" s="249"/>
      <c r="N26" s="249"/>
      <c r="O26" s="251"/>
      <c r="Q26" s="5"/>
      <c r="R26" s="5"/>
      <c r="S26" s="5"/>
      <c r="T26" s="5"/>
      <c r="U26" s="5"/>
      <c r="W26" s="255"/>
      <c r="X26" s="255"/>
      <c r="Y26" s="255"/>
      <c r="Z26" s="255"/>
    </row>
    <row r="27" spans="2:42">
      <c r="B27" s="5"/>
      <c r="C27" s="5"/>
      <c r="D27" s="257"/>
      <c r="E27" s="257"/>
      <c r="F27" s="257"/>
      <c r="G27" s="257"/>
      <c r="H27" s="257"/>
      <c r="I27" s="5"/>
      <c r="J27" s="41"/>
      <c r="K27" s="243"/>
      <c r="L27" s="241"/>
      <c r="M27" s="249"/>
      <c r="N27" s="249"/>
      <c r="O27" s="250"/>
      <c r="Q27" s="242"/>
      <c r="R27" s="5"/>
      <c r="S27" s="5"/>
      <c r="T27" s="5"/>
      <c r="U27" s="5"/>
      <c r="AA27" s="258"/>
      <c r="AB27" s="258"/>
    </row>
    <row r="28" spans="2:42">
      <c r="B28" s="41"/>
      <c r="C28" s="41"/>
      <c r="D28" s="249"/>
      <c r="E28" s="249"/>
      <c r="F28" s="254"/>
      <c r="G28" s="254"/>
      <c r="H28" s="254"/>
      <c r="I28" s="254"/>
      <c r="J28" s="41"/>
      <c r="K28" s="243"/>
      <c r="L28" s="241"/>
      <c r="M28" s="254"/>
      <c r="N28" s="254"/>
      <c r="O28" s="251"/>
      <c r="Q28" s="5"/>
      <c r="R28" s="5"/>
      <c r="S28" s="5"/>
      <c r="T28" s="5"/>
      <c r="U28" s="5"/>
      <c r="AA28" s="258"/>
      <c r="AB28" s="258"/>
    </row>
    <row r="29" spans="2:42">
      <c r="B29" s="5"/>
      <c r="C29" s="5"/>
      <c r="D29" s="257"/>
      <c r="E29" s="257"/>
      <c r="F29" s="17"/>
      <c r="G29" s="17"/>
      <c r="H29" s="17"/>
      <c r="I29" s="17"/>
      <c r="J29" s="41"/>
      <c r="K29" s="243"/>
      <c r="L29" s="241"/>
      <c r="M29" s="17"/>
      <c r="N29" s="17"/>
      <c r="O29" s="248"/>
      <c r="Q29" s="5"/>
      <c r="R29" s="5"/>
      <c r="S29" s="5"/>
      <c r="T29" s="5"/>
      <c r="U29" s="5"/>
      <c r="AA29" s="258"/>
      <c r="AB29" s="258"/>
    </row>
    <row r="30" spans="2:42">
      <c r="B30" s="5"/>
      <c r="C30" s="5"/>
      <c r="D30" s="257"/>
      <c r="E30" s="257"/>
      <c r="F30" s="257"/>
      <c r="G30" s="257"/>
      <c r="H30" s="257"/>
      <c r="I30" s="5"/>
      <c r="J30" s="41"/>
      <c r="K30" s="243"/>
      <c r="L30" s="241"/>
      <c r="M30" s="259"/>
      <c r="N30" s="259"/>
      <c r="O30" s="18"/>
      <c r="Q30" s="5"/>
      <c r="R30" s="5"/>
      <c r="S30" s="5"/>
      <c r="T30" s="5"/>
      <c r="U30" s="5"/>
      <c r="W30" s="255"/>
      <c r="X30" s="255"/>
      <c r="Y30" s="255"/>
      <c r="Z30" s="255"/>
    </row>
    <row r="31" spans="2:42">
      <c r="B31" s="41"/>
      <c r="C31" s="41"/>
      <c r="D31" s="249"/>
      <c r="E31" s="249"/>
      <c r="F31" s="254"/>
      <c r="G31" s="254"/>
      <c r="H31" s="254"/>
      <c r="I31" s="254"/>
      <c r="J31" s="41"/>
      <c r="K31" s="243"/>
      <c r="L31" s="241"/>
      <c r="M31" s="254"/>
      <c r="N31" s="254"/>
      <c r="O31" s="251"/>
      <c r="Q31" s="5"/>
      <c r="R31" s="5"/>
      <c r="S31" s="5"/>
      <c r="T31" s="5"/>
      <c r="U31" s="5"/>
      <c r="W31" s="255"/>
      <c r="X31" s="255"/>
      <c r="Y31" s="255"/>
      <c r="Z31" s="255"/>
    </row>
    <row r="32" spans="2:42">
      <c r="B32" s="5"/>
      <c r="C32" s="5"/>
      <c r="D32" s="257"/>
      <c r="E32" s="257"/>
      <c r="F32" s="17"/>
      <c r="G32" s="17"/>
      <c r="H32" s="17"/>
      <c r="I32" s="17"/>
      <c r="J32" s="41"/>
      <c r="K32" s="243"/>
      <c r="L32" s="241"/>
      <c r="M32" s="17"/>
      <c r="N32" s="17"/>
      <c r="O32" s="18"/>
      <c r="Q32" s="5"/>
      <c r="R32" s="5"/>
      <c r="S32" s="5"/>
      <c r="T32" s="5"/>
      <c r="U32" s="5"/>
    </row>
    <row r="33" spans="2:21">
      <c r="B33" s="5"/>
      <c r="C33" s="5"/>
      <c r="D33" s="248"/>
      <c r="E33" s="248"/>
      <c r="F33" s="248"/>
      <c r="G33" s="248"/>
      <c r="H33" s="248"/>
      <c r="I33" s="5"/>
      <c r="J33" s="41"/>
      <c r="K33" s="243"/>
      <c r="L33" s="241"/>
      <c r="M33" s="259"/>
      <c r="N33" s="259"/>
      <c r="O33" s="18"/>
      <c r="Q33" s="5"/>
      <c r="R33" s="5"/>
      <c r="S33" s="5"/>
      <c r="T33" s="5"/>
      <c r="U33" s="5"/>
    </row>
    <row r="34" spans="2:21">
      <c r="B34" s="41"/>
      <c r="C34" s="41"/>
      <c r="D34" s="249"/>
      <c r="E34" s="249"/>
      <c r="F34" s="249"/>
      <c r="G34" s="249"/>
      <c r="H34" s="249"/>
      <c r="I34" s="249"/>
      <c r="J34" s="41"/>
      <c r="K34" s="243"/>
      <c r="L34" s="241"/>
      <c r="M34" s="249"/>
      <c r="N34" s="249"/>
      <c r="O34" s="251"/>
      <c r="Q34" s="5"/>
      <c r="R34" s="5"/>
      <c r="S34" s="5"/>
      <c r="T34" s="5"/>
      <c r="U34" s="5"/>
    </row>
    <row r="35" spans="2:21">
      <c r="B35" s="5"/>
      <c r="C35" s="5"/>
      <c r="D35" s="5"/>
      <c r="E35" s="5"/>
      <c r="F35" s="248"/>
      <c r="G35" s="248"/>
      <c r="H35" s="248"/>
      <c r="I35" s="248"/>
      <c r="J35" s="41"/>
      <c r="K35" s="243"/>
      <c r="L35" s="241"/>
      <c r="M35" s="248"/>
      <c r="N35" s="248"/>
      <c r="O35" s="18"/>
      <c r="Q35" s="5"/>
      <c r="R35" s="5"/>
      <c r="S35" s="5"/>
      <c r="T35" s="5"/>
      <c r="U35" s="5"/>
    </row>
    <row r="36" spans="2:21">
      <c r="B36" s="5"/>
      <c r="C36" s="5"/>
      <c r="D36" s="5"/>
      <c r="E36" s="5"/>
      <c r="F36" s="5"/>
      <c r="G36" s="5"/>
      <c r="H36" s="5"/>
      <c r="I36" s="5"/>
      <c r="J36" s="41"/>
      <c r="K36" s="243"/>
      <c r="L36" s="241"/>
      <c r="M36" s="5"/>
      <c r="N36" s="5"/>
      <c r="O36" s="5"/>
      <c r="Q36" s="5"/>
      <c r="R36" s="5"/>
      <c r="S36" s="5"/>
      <c r="T36" s="5"/>
      <c r="U36" s="5"/>
    </row>
    <row r="37" spans="2:21">
      <c r="B37" s="41"/>
      <c r="C37" s="41"/>
      <c r="D37" s="17"/>
      <c r="E37" s="17"/>
      <c r="F37" s="17"/>
      <c r="G37" s="17"/>
      <c r="H37" s="17"/>
      <c r="I37" s="17"/>
      <c r="J37" s="41"/>
      <c r="K37" s="243"/>
      <c r="L37" s="241"/>
      <c r="M37" s="17"/>
      <c r="N37" s="17"/>
      <c r="O37" s="251"/>
      <c r="Q37" s="5"/>
      <c r="R37" s="5"/>
      <c r="S37" s="5"/>
      <c r="T37" s="5"/>
      <c r="U37" s="5"/>
    </row>
    <row r="38" spans="2:21">
      <c r="B38" s="5"/>
      <c r="C38" s="5"/>
      <c r="D38" s="5"/>
      <c r="E38" s="5"/>
      <c r="F38" s="5"/>
      <c r="G38" s="5"/>
      <c r="H38" s="5"/>
      <c r="I38" s="5"/>
      <c r="J38" s="41"/>
      <c r="K38" s="243"/>
      <c r="L38" s="241"/>
      <c r="M38" s="5"/>
      <c r="N38" s="5"/>
      <c r="O38" s="5"/>
      <c r="Q38" s="5"/>
      <c r="R38" s="5"/>
      <c r="S38" s="5"/>
      <c r="T38" s="5"/>
      <c r="U38" s="5"/>
    </row>
    <row r="39" spans="2:21">
      <c r="B39" s="41"/>
      <c r="C39" s="41"/>
      <c r="D39" s="249"/>
      <c r="E39" s="249"/>
      <c r="F39" s="249"/>
      <c r="G39" s="249"/>
      <c r="H39" s="249"/>
      <c r="I39" s="249"/>
      <c r="J39" s="41"/>
      <c r="K39" s="243"/>
      <c r="L39" s="241"/>
      <c r="M39" s="249"/>
      <c r="N39" s="249"/>
      <c r="O39" s="251"/>
      <c r="Q39" s="5"/>
      <c r="R39" s="5"/>
      <c r="S39" s="5"/>
      <c r="T39" s="5"/>
      <c r="U39" s="5"/>
    </row>
    <row r="40" spans="2:21">
      <c r="B40" s="5"/>
      <c r="C40" s="5"/>
      <c r="D40" s="5"/>
      <c r="E40" s="5"/>
      <c r="F40" s="5"/>
      <c r="G40" s="5"/>
      <c r="H40" s="5"/>
      <c r="I40" s="5"/>
      <c r="J40" s="41"/>
      <c r="K40" s="243"/>
      <c r="L40" s="241"/>
      <c r="M40" s="5"/>
      <c r="N40" s="5"/>
      <c r="O40" s="5"/>
      <c r="Q40" s="41"/>
      <c r="R40" s="5"/>
      <c r="S40" s="5"/>
      <c r="T40" s="5"/>
      <c r="U40" s="5"/>
    </row>
    <row r="41" spans="2:21">
      <c r="B41" s="5"/>
      <c r="C41" s="5"/>
      <c r="D41" s="5"/>
      <c r="E41" s="5"/>
      <c r="F41" s="5"/>
      <c r="G41" s="5"/>
      <c r="H41" s="5"/>
      <c r="I41" s="5"/>
      <c r="J41" s="41"/>
      <c r="K41" s="243"/>
      <c r="L41" s="241"/>
      <c r="M41" s="5"/>
      <c r="N41" s="5"/>
      <c r="O41" s="5"/>
      <c r="Q41" s="5"/>
      <c r="R41" s="5"/>
      <c r="S41" s="5"/>
      <c r="T41" s="5"/>
      <c r="U41" s="5"/>
    </row>
    <row r="42" spans="2:21">
      <c r="B42" s="41"/>
      <c r="C42" s="41"/>
      <c r="D42" s="249"/>
      <c r="E42" s="249"/>
      <c r="F42" s="254"/>
      <c r="G42" s="254"/>
      <c r="H42" s="254"/>
      <c r="I42" s="254"/>
      <c r="J42" s="254"/>
      <c r="K42" s="254"/>
      <c r="L42" s="254"/>
      <c r="M42" s="254"/>
      <c r="N42" s="254"/>
      <c r="O42" s="251"/>
      <c r="Q42" s="5"/>
      <c r="R42" s="5"/>
      <c r="S42" s="5"/>
      <c r="T42" s="5"/>
      <c r="U42" s="5"/>
    </row>
    <row r="43" spans="2:21">
      <c r="B43" s="5"/>
      <c r="C43" s="5"/>
      <c r="D43" s="5"/>
      <c r="E43" s="5"/>
      <c r="F43" s="17"/>
      <c r="G43" s="17"/>
      <c r="H43" s="17"/>
      <c r="I43" s="17"/>
      <c r="J43" s="17"/>
      <c r="K43" s="17"/>
      <c r="L43" s="17"/>
      <c r="M43" s="17"/>
      <c r="N43" s="17"/>
      <c r="O43" s="5"/>
      <c r="Q43" s="5"/>
      <c r="R43" s="5"/>
      <c r="S43" s="5"/>
      <c r="T43" s="5"/>
      <c r="U43" s="5"/>
    </row>
    <row r="44" spans="2:21">
      <c r="B44" s="41"/>
      <c r="C44" s="41"/>
      <c r="D44" s="249"/>
      <c r="E44" s="249"/>
      <c r="F44" s="254"/>
      <c r="G44" s="254"/>
      <c r="H44" s="254"/>
      <c r="I44" s="254"/>
      <c r="J44" s="254"/>
      <c r="K44" s="254"/>
      <c r="L44" s="254"/>
      <c r="M44" s="254"/>
      <c r="N44" s="254"/>
      <c r="O44" s="251"/>
      <c r="Q44" s="5"/>
      <c r="R44" s="5"/>
      <c r="S44" s="5"/>
      <c r="T44" s="5"/>
      <c r="U44" s="5"/>
    </row>
    <row r="45" spans="2:21">
      <c r="B45" s="5"/>
      <c r="C45" s="5"/>
      <c r="D45" s="5"/>
      <c r="E45" s="5"/>
      <c r="F45" s="248"/>
      <c r="G45" s="248"/>
      <c r="H45" s="248"/>
      <c r="I45" s="248"/>
      <c r="J45" s="248"/>
      <c r="K45" s="248"/>
      <c r="L45" s="248"/>
      <c r="M45" s="248"/>
      <c r="N45" s="248"/>
      <c r="O45" s="5"/>
      <c r="Q45" s="5"/>
      <c r="R45" s="5"/>
      <c r="S45" s="5"/>
      <c r="T45" s="5"/>
      <c r="U45" s="5"/>
    </row>
    <row r="46" spans="2:21">
      <c r="B46" s="41"/>
      <c r="C46" s="41"/>
      <c r="D46" s="5"/>
      <c r="E46" s="5"/>
      <c r="F46" s="5"/>
      <c r="G46" s="5"/>
      <c r="H46" s="5"/>
      <c r="I46" s="5"/>
      <c r="J46" s="5"/>
      <c r="K46" s="5"/>
      <c r="L46" s="5"/>
      <c r="M46" s="5"/>
      <c r="N46" s="5"/>
      <c r="O46" s="5"/>
      <c r="Q46" s="242"/>
      <c r="R46" s="5"/>
      <c r="S46" s="5"/>
      <c r="T46" s="5"/>
      <c r="U46" s="5"/>
    </row>
    <row r="47" spans="2:21">
      <c r="B47" s="41"/>
      <c r="C47" s="41"/>
      <c r="D47" s="245"/>
      <c r="E47" s="245"/>
      <c r="F47" s="245"/>
      <c r="G47" s="245"/>
      <c r="H47" s="245"/>
      <c r="I47" s="245"/>
      <c r="J47" s="245"/>
      <c r="K47" s="245"/>
      <c r="L47" s="245"/>
      <c r="M47" s="245"/>
      <c r="N47" s="245"/>
      <c r="O47" s="251"/>
      <c r="Q47" s="5"/>
      <c r="R47" s="5"/>
      <c r="S47" s="5"/>
      <c r="T47" s="5"/>
      <c r="U47" s="5"/>
    </row>
    <row r="48" spans="2:21">
      <c r="B48" s="5"/>
      <c r="C48" s="5"/>
      <c r="D48" s="5"/>
      <c r="E48" s="5"/>
      <c r="F48" s="248"/>
      <c r="G48" s="248"/>
      <c r="H48" s="248"/>
      <c r="I48" s="248"/>
      <c r="J48" s="248"/>
      <c r="K48" s="248"/>
      <c r="L48" s="248"/>
      <c r="M48" s="248"/>
      <c r="N48" s="248"/>
      <c r="O48" s="5"/>
      <c r="Q48" s="5"/>
      <c r="R48" s="5"/>
      <c r="S48" s="5"/>
      <c r="T48" s="5"/>
      <c r="U48" s="5"/>
    </row>
    <row r="49" spans="2:26">
      <c r="B49" s="41"/>
      <c r="C49" s="41"/>
      <c r="D49" s="5"/>
      <c r="E49" s="5"/>
      <c r="F49" s="5"/>
      <c r="G49" s="5"/>
      <c r="H49" s="5"/>
      <c r="I49" s="5"/>
      <c r="J49" s="5"/>
      <c r="K49" s="5"/>
      <c r="L49" s="5"/>
      <c r="M49" s="5"/>
      <c r="N49" s="5"/>
      <c r="O49" s="5"/>
      <c r="Q49" s="5"/>
      <c r="R49" s="5"/>
      <c r="S49" s="5"/>
      <c r="T49" s="5"/>
      <c r="U49" s="5"/>
    </row>
    <row r="50" spans="2:26">
      <c r="B50" s="41"/>
      <c r="C50" s="41"/>
      <c r="D50" s="245"/>
      <c r="E50" s="245"/>
      <c r="F50" s="245"/>
      <c r="G50" s="245"/>
      <c r="H50" s="245"/>
      <c r="I50" s="245"/>
      <c r="J50" s="245"/>
      <c r="K50" s="245"/>
      <c r="L50" s="245"/>
      <c r="M50" s="245"/>
      <c r="N50" s="245"/>
      <c r="O50" s="251"/>
      <c r="Q50" s="5"/>
      <c r="R50" s="5"/>
      <c r="S50" s="5"/>
      <c r="T50" s="5"/>
      <c r="U50" s="5"/>
      <c r="W50" s="260"/>
      <c r="X50" s="260"/>
      <c r="Y50" s="260"/>
      <c r="Z50" s="260"/>
    </row>
    <row r="51" spans="2:26">
      <c r="B51" s="5"/>
      <c r="C51" s="5"/>
      <c r="D51" s="5"/>
      <c r="E51" s="5"/>
      <c r="F51" s="18"/>
      <c r="G51" s="18"/>
      <c r="H51" s="18"/>
      <c r="I51" s="18"/>
      <c r="J51" s="18"/>
      <c r="K51" s="18"/>
      <c r="L51" s="18"/>
      <c r="M51" s="18"/>
      <c r="N51" s="18"/>
      <c r="O51" s="5"/>
      <c r="Q51" s="5"/>
      <c r="R51" s="5"/>
      <c r="S51" s="5"/>
      <c r="T51" s="5"/>
      <c r="U51" s="5"/>
      <c r="W51" s="260"/>
      <c r="X51" s="260"/>
      <c r="Y51" s="260"/>
      <c r="Z51" s="260"/>
    </row>
    <row r="52" spans="2:26">
      <c r="B52" s="41"/>
      <c r="C52" s="41"/>
      <c r="D52" s="5"/>
      <c r="E52" s="5"/>
      <c r="F52" s="5"/>
      <c r="G52" s="5"/>
      <c r="H52" s="5"/>
      <c r="I52" s="5"/>
      <c r="J52" s="5"/>
      <c r="K52" s="5"/>
      <c r="L52" s="5"/>
      <c r="M52" s="5"/>
      <c r="N52" s="5"/>
      <c r="O52" s="5"/>
      <c r="Q52" s="5"/>
      <c r="R52" s="5"/>
      <c r="S52" s="5"/>
      <c r="T52" s="5"/>
      <c r="U52" s="5"/>
    </row>
    <row r="53" spans="2:26">
      <c r="B53" s="41"/>
      <c r="C53" s="41"/>
      <c r="D53" s="249"/>
      <c r="E53" s="249"/>
      <c r="F53" s="249"/>
      <c r="G53" s="249"/>
      <c r="H53" s="249"/>
      <c r="I53" s="249"/>
      <c r="J53" s="249"/>
      <c r="K53" s="249"/>
      <c r="L53" s="249"/>
      <c r="M53" s="249"/>
      <c r="N53" s="249"/>
      <c r="O53" s="251"/>
      <c r="Q53" s="5"/>
      <c r="R53" s="5"/>
      <c r="S53" s="5"/>
      <c r="T53" s="5"/>
      <c r="U53" s="5"/>
    </row>
    <row r="54" spans="2:26">
      <c r="B54" s="5"/>
      <c r="C54" s="5"/>
      <c r="D54" s="5"/>
      <c r="E54" s="5"/>
      <c r="F54" s="248"/>
      <c r="G54" s="248"/>
      <c r="H54" s="248"/>
      <c r="I54" s="248"/>
      <c r="J54" s="248"/>
      <c r="K54" s="248"/>
      <c r="L54" s="248"/>
      <c r="M54" s="248"/>
      <c r="N54" s="248"/>
      <c r="O54" s="5"/>
      <c r="Q54" s="5"/>
      <c r="R54" s="5"/>
      <c r="S54" s="5"/>
      <c r="T54" s="5"/>
      <c r="U54" s="5"/>
    </row>
    <row r="55" spans="2:26">
      <c r="B55" s="41"/>
      <c r="C55" s="41"/>
      <c r="D55" s="5"/>
      <c r="E55" s="5"/>
      <c r="F55" s="5"/>
      <c r="G55" s="5"/>
      <c r="H55" s="5"/>
      <c r="I55" s="5"/>
      <c r="J55" s="5"/>
      <c r="K55" s="5"/>
      <c r="L55" s="5"/>
      <c r="M55" s="5"/>
      <c r="N55" s="5"/>
      <c r="O55" s="5"/>
      <c r="Q55" s="5"/>
      <c r="R55" s="5"/>
      <c r="S55" s="5"/>
      <c r="T55" s="5"/>
      <c r="U55" s="5"/>
    </row>
    <row r="56" spans="2:26">
      <c r="B56" s="41"/>
      <c r="C56" s="41"/>
      <c r="D56" s="245"/>
      <c r="E56" s="245"/>
      <c r="F56" s="245"/>
      <c r="G56" s="245"/>
      <c r="H56" s="245"/>
      <c r="I56" s="245"/>
      <c r="J56" s="245"/>
      <c r="K56" s="245"/>
      <c r="L56" s="245"/>
      <c r="M56" s="245"/>
      <c r="N56" s="245"/>
      <c r="O56" s="251"/>
      <c r="Q56" s="5"/>
      <c r="R56" s="5"/>
      <c r="S56" s="5"/>
      <c r="T56" s="5"/>
      <c r="U56" s="5"/>
    </row>
    <row r="57" spans="2:26">
      <c r="B57" s="5"/>
      <c r="C57" s="5"/>
      <c r="D57" s="5"/>
      <c r="E57" s="5"/>
      <c r="F57" s="248"/>
      <c r="G57" s="248"/>
      <c r="H57" s="248"/>
      <c r="I57" s="248"/>
      <c r="J57" s="248"/>
      <c r="K57" s="248"/>
      <c r="L57" s="248"/>
      <c r="M57" s="248"/>
      <c r="N57" s="248"/>
      <c r="O57" s="5"/>
      <c r="Q57" s="5"/>
      <c r="R57" s="5"/>
      <c r="S57" s="5"/>
      <c r="T57" s="5"/>
      <c r="U57" s="5"/>
    </row>
    <row r="58" spans="2:26">
      <c r="B58" s="41"/>
      <c r="C58" s="41"/>
      <c r="D58" s="5"/>
      <c r="E58" s="5"/>
      <c r="F58" s="5"/>
      <c r="G58" s="5"/>
      <c r="H58" s="5"/>
      <c r="I58" s="5"/>
      <c r="J58" s="5"/>
      <c r="K58" s="5"/>
      <c r="L58" s="5"/>
      <c r="M58" s="5"/>
      <c r="N58" s="5"/>
      <c r="O58" s="5"/>
      <c r="Q58" s="5"/>
      <c r="R58" s="5"/>
      <c r="S58" s="5"/>
      <c r="T58" s="5"/>
      <c r="U58" s="5"/>
    </row>
    <row r="59" spans="2:26">
      <c r="B59" s="41"/>
      <c r="C59" s="41"/>
      <c r="D59" s="249"/>
      <c r="E59" s="249"/>
      <c r="F59" s="249"/>
      <c r="G59" s="249"/>
      <c r="H59" s="249"/>
      <c r="I59" s="249"/>
      <c r="J59" s="249"/>
      <c r="K59" s="249"/>
      <c r="L59" s="249"/>
      <c r="M59" s="249"/>
      <c r="N59" s="249"/>
      <c r="O59" s="251"/>
      <c r="Q59" s="5"/>
      <c r="R59" s="5"/>
      <c r="S59" s="5"/>
      <c r="T59" s="5"/>
      <c r="U59" s="5"/>
    </row>
    <row r="60" spans="2:26">
      <c r="B60" s="5"/>
      <c r="C60" s="5"/>
      <c r="D60" s="5"/>
      <c r="E60" s="5"/>
      <c r="F60" s="248"/>
      <c r="G60" s="248"/>
      <c r="H60" s="248"/>
      <c r="I60" s="248"/>
      <c r="J60" s="248"/>
      <c r="K60" s="248"/>
      <c r="L60" s="248"/>
      <c r="M60" s="248"/>
      <c r="N60" s="248"/>
      <c r="O60" s="5"/>
      <c r="Q60" s="5"/>
      <c r="R60" s="5"/>
      <c r="S60" s="5"/>
      <c r="T60" s="5"/>
      <c r="U60" s="5"/>
    </row>
    <row r="61" spans="2:26">
      <c r="B61" s="5"/>
      <c r="C61" s="5"/>
      <c r="D61" s="259"/>
      <c r="E61" s="259"/>
      <c r="F61" s="259"/>
      <c r="G61" s="259"/>
      <c r="H61" s="259"/>
      <c r="I61" s="259"/>
      <c r="J61" s="259"/>
      <c r="K61" s="259"/>
      <c r="L61" s="259"/>
      <c r="M61" s="259"/>
      <c r="N61" s="259"/>
      <c r="O61" s="251"/>
      <c r="Q61" s="5"/>
      <c r="R61" s="5"/>
      <c r="S61" s="5"/>
      <c r="T61" s="5"/>
      <c r="U61" s="5"/>
    </row>
    <row r="62" spans="2:26">
      <c r="B62" s="41"/>
      <c r="C62" s="41"/>
      <c r="D62" s="5"/>
      <c r="E62" s="5"/>
      <c r="F62" s="5"/>
      <c r="G62" s="5"/>
      <c r="H62" s="5"/>
      <c r="I62" s="5"/>
      <c r="J62" s="5"/>
      <c r="K62" s="5"/>
      <c r="L62" s="5"/>
      <c r="M62" s="5"/>
      <c r="N62" s="5"/>
      <c r="O62" s="5"/>
      <c r="Q62" s="5"/>
      <c r="R62" s="5"/>
      <c r="S62" s="5"/>
      <c r="T62" s="5"/>
      <c r="U62" s="5"/>
    </row>
    <row r="63" spans="2:26">
      <c r="B63" s="41"/>
      <c r="C63" s="41"/>
      <c r="D63" s="245"/>
      <c r="E63" s="245"/>
      <c r="F63" s="245"/>
      <c r="G63" s="245"/>
      <c r="H63" s="245"/>
      <c r="I63" s="245"/>
      <c r="J63" s="245"/>
      <c r="K63" s="245"/>
      <c r="L63" s="245"/>
      <c r="M63" s="245"/>
      <c r="N63" s="245"/>
      <c r="O63" s="251"/>
      <c r="Q63" s="5"/>
      <c r="R63" s="5"/>
      <c r="S63" s="5"/>
      <c r="T63" s="5"/>
      <c r="U63" s="5"/>
    </row>
    <row r="64" spans="2:26">
      <c r="B64" s="5"/>
      <c r="C64" s="5"/>
      <c r="D64" s="5"/>
      <c r="E64" s="5"/>
      <c r="F64" s="248"/>
      <c r="G64" s="248"/>
      <c r="H64" s="248"/>
      <c r="I64" s="248"/>
      <c r="J64" s="248"/>
      <c r="K64" s="248"/>
      <c r="L64" s="248"/>
      <c r="M64" s="248"/>
      <c r="N64" s="248"/>
      <c r="O64" s="5"/>
      <c r="Q64" s="5"/>
      <c r="R64" s="5"/>
      <c r="S64" s="5"/>
      <c r="T64" s="5"/>
      <c r="U64" s="5"/>
    </row>
    <row r="65" spans="2:63">
      <c r="B65" s="41"/>
      <c r="C65" s="41"/>
      <c r="D65" s="5"/>
      <c r="E65" s="5"/>
      <c r="F65" s="5"/>
      <c r="G65" s="5"/>
      <c r="H65" s="5"/>
      <c r="I65" s="5"/>
      <c r="J65" s="5"/>
      <c r="K65" s="5"/>
      <c r="L65" s="5"/>
      <c r="M65" s="5"/>
      <c r="N65" s="5"/>
      <c r="O65" s="5"/>
      <c r="Q65" s="5"/>
      <c r="R65" s="5"/>
      <c r="S65" s="5"/>
      <c r="T65" s="5"/>
      <c r="U65" s="5"/>
    </row>
    <row r="66" spans="2:63">
      <c r="B66" s="41"/>
      <c r="C66" s="41"/>
      <c r="D66" s="5"/>
      <c r="E66" s="5"/>
      <c r="F66" s="5"/>
      <c r="G66" s="5"/>
      <c r="H66" s="5"/>
      <c r="I66" s="5"/>
      <c r="J66" s="5"/>
      <c r="K66" s="5"/>
      <c r="L66" s="5"/>
      <c r="M66" s="5"/>
      <c r="N66" s="5"/>
      <c r="O66" s="5"/>
      <c r="Q66" s="5"/>
      <c r="R66" s="5"/>
      <c r="S66" s="5"/>
      <c r="T66" s="5"/>
      <c r="U66" s="5"/>
    </row>
    <row r="67" spans="2:63">
      <c r="B67" s="41"/>
      <c r="C67" s="41"/>
      <c r="D67" s="5"/>
      <c r="E67" s="5"/>
      <c r="F67" s="5"/>
      <c r="G67" s="5"/>
      <c r="H67" s="5"/>
      <c r="I67" s="5"/>
      <c r="J67" s="5"/>
      <c r="K67" s="5"/>
      <c r="L67" s="5"/>
      <c r="M67" s="5"/>
      <c r="N67" s="5"/>
      <c r="O67" s="5"/>
      <c r="Q67" s="5"/>
      <c r="R67" s="5"/>
      <c r="S67" s="5"/>
      <c r="T67" s="5"/>
      <c r="U67" s="5"/>
    </row>
    <row r="68" spans="2:63">
      <c r="B68" s="5"/>
      <c r="C68" s="5"/>
      <c r="D68" s="5"/>
      <c r="E68" s="5"/>
      <c r="F68" s="5"/>
      <c r="G68" s="5"/>
      <c r="H68" s="5"/>
      <c r="I68" s="5"/>
      <c r="J68" s="5"/>
      <c r="K68" s="5"/>
      <c r="L68" s="5"/>
      <c r="M68" s="5"/>
      <c r="N68" s="5"/>
      <c r="O68" s="5"/>
      <c r="Q68" s="5"/>
      <c r="R68" s="5"/>
      <c r="S68" s="5"/>
      <c r="T68" s="5"/>
      <c r="U68" s="5"/>
    </row>
    <row r="69" spans="2:63">
      <c r="B69" s="242"/>
      <c r="C69" s="242"/>
      <c r="D69" s="49"/>
      <c r="E69" s="49"/>
      <c r="F69" s="49"/>
      <c r="G69" s="49"/>
      <c r="H69" s="49"/>
      <c r="I69" s="49"/>
      <c r="J69" s="49"/>
      <c r="K69" s="49"/>
      <c r="L69" s="49"/>
      <c r="M69" s="49"/>
      <c r="N69" s="49"/>
      <c r="O69" s="49"/>
      <c r="Q69" s="242"/>
      <c r="R69" s="5"/>
      <c r="S69" s="5"/>
      <c r="T69" s="5"/>
      <c r="U69" s="5"/>
    </row>
    <row r="70" spans="2:63">
      <c r="B70" s="5"/>
      <c r="C70" s="5"/>
      <c r="D70" s="5"/>
      <c r="E70" s="5"/>
      <c r="F70" s="5"/>
      <c r="G70" s="5"/>
      <c r="H70" s="5"/>
      <c r="I70" s="5"/>
      <c r="J70" s="5"/>
      <c r="K70" s="5"/>
      <c r="L70" s="5"/>
      <c r="M70" s="5"/>
      <c r="N70" s="5"/>
      <c r="O70" s="5"/>
      <c r="Q70" s="5"/>
      <c r="R70" s="5"/>
      <c r="S70" s="5"/>
      <c r="T70" s="5"/>
      <c r="U70" s="5"/>
    </row>
    <row r="71" spans="2:63">
      <c r="B71" s="5"/>
      <c r="C71" s="5"/>
      <c r="D71" s="259"/>
      <c r="E71" s="259"/>
      <c r="F71" s="247"/>
      <c r="G71" s="247"/>
      <c r="H71" s="247"/>
      <c r="I71" s="247"/>
      <c r="J71" s="247"/>
      <c r="K71" s="247"/>
      <c r="L71" s="247"/>
      <c r="M71" s="247"/>
      <c r="N71" s="247"/>
      <c r="O71" s="248"/>
      <c r="Q71" s="5"/>
      <c r="R71" s="5"/>
      <c r="S71" s="5"/>
      <c r="T71" s="5"/>
      <c r="U71" s="5"/>
    </row>
    <row r="72" spans="2:63">
      <c r="B72" s="5"/>
      <c r="C72" s="5"/>
      <c r="D72" s="259"/>
      <c r="E72" s="259"/>
      <c r="F72" s="247"/>
      <c r="G72" s="247"/>
      <c r="H72" s="247"/>
      <c r="I72" s="247"/>
      <c r="J72" s="247"/>
      <c r="K72" s="247"/>
      <c r="L72" s="247"/>
      <c r="M72" s="247"/>
      <c r="N72" s="247"/>
      <c r="O72" s="248"/>
      <c r="Q72" s="5"/>
      <c r="R72" s="5"/>
      <c r="S72" s="5"/>
      <c r="T72" s="5"/>
      <c r="U72" s="5"/>
      <c r="W72" s="261"/>
      <c r="X72" s="261"/>
      <c r="Y72" s="261"/>
      <c r="Z72" s="261"/>
    </row>
    <row r="73" spans="2:63">
      <c r="B73" s="5"/>
      <c r="C73" s="5"/>
      <c r="D73" s="259"/>
      <c r="E73" s="259"/>
      <c r="F73" s="247"/>
      <c r="G73" s="247"/>
      <c r="H73" s="247"/>
      <c r="I73" s="247"/>
      <c r="J73" s="247"/>
      <c r="K73" s="247"/>
      <c r="L73" s="247"/>
      <c r="M73" s="247"/>
      <c r="N73" s="247"/>
      <c r="O73" s="248"/>
      <c r="Q73" s="5"/>
      <c r="R73" s="5"/>
      <c r="S73" s="5"/>
      <c r="T73" s="5"/>
      <c r="U73" s="5"/>
      <c r="W73" s="261"/>
      <c r="X73" s="261"/>
      <c r="Y73" s="261"/>
      <c r="Z73" s="261"/>
    </row>
    <row r="74" spans="2:63">
      <c r="B74" s="5"/>
      <c r="C74" s="5"/>
      <c r="D74" s="259"/>
      <c r="E74" s="259"/>
      <c r="F74" s="248"/>
      <c r="G74" s="248"/>
      <c r="H74" s="248"/>
      <c r="I74" s="248"/>
      <c r="J74" s="248"/>
      <c r="K74" s="248"/>
      <c r="L74" s="248"/>
      <c r="M74" s="248"/>
      <c r="N74" s="248"/>
      <c r="O74" s="248"/>
      <c r="Q74" s="5"/>
      <c r="R74" s="5"/>
      <c r="S74" s="5"/>
      <c r="T74" s="5"/>
      <c r="U74" s="5"/>
    </row>
    <row r="75" spans="2:63">
      <c r="B75" s="5"/>
      <c r="C75" s="5"/>
      <c r="D75" s="259"/>
      <c r="E75" s="259"/>
      <c r="F75" s="247"/>
      <c r="G75" s="247"/>
      <c r="H75" s="247"/>
      <c r="I75" s="247"/>
      <c r="J75" s="247"/>
      <c r="K75" s="247"/>
      <c r="L75" s="247"/>
      <c r="M75" s="247"/>
      <c r="N75" s="247"/>
      <c r="O75" s="248"/>
      <c r="Q75" s="5"/>
      <c r="R75" s="5"/>
      <c r="S75" s="5"/>
      <c r="T75" s="5"/>
      <c r="U75" s="5"/>
    </row>
    <row r="76" spans="2:63">
      <c r="B76" s="41"/>
      <c r="C76" s="41"/>
      <c r="D76" s="249"/>
      <c r="E76" s="249"/>
      <c r="F76" s="249"/>
      <c r="G76" s="249"/>
      <c r="H76" s="249"/>
      <c r="I76" s="249"/>
      <c r="J76" s="249"/>
      <c r="K76" s="249"/>
      <c r="L76" s="249"/>
      <c r="M76" s="249"/>
      <c r="N76" s="249"/>
      <c r="O76" s="248"/>
      <c r="Q76" s="5"/>
      <c r="R76" s="5"/>
      <c r="S76" s="5"/>
      <c r="T76" s="5"/>
      <c r="U76" s="5"/>
    </row>
    <row r="77" spans="2:63">
      <c r="B77" s="41"/>
      <c r="C77" s="41"/>
      <c r="D77" s="257"/>
      <c r="E77" s="257"/>
      <c r="F77" s="248"/>
      <c r="G77" s="248"/>
      <c r="H77" s="248"/>
      <c r="I77" s="248"/>
      <c r="J77" s="248"/>
      <c r="K77" s="248"/>
      <c r="L77" s="248"/>
      <c r="M77" s="248"/>
      <c r="N77" s="248"/>
      <c r="O77" s="248"/>
      <c r="Q77" s="5"/>
      <c r="R77" s="5"/>
      <c r="S77" s="5"/>
      <c r="T77" s="5"/>
      <c r="U77" s="5"/>
    </row>
    <row r="78" spans="2:63">
      <c r="B78" s="41"/>
      <c r="C78" s="41"/>
      <c r="D78" s="5"/>
      <c r="E78" s="5"/>
      <c r="F78" s="5"/>
      <c r="G78" s="5"/>
      <c r="H78" s="5"/>
      <c r="I78" s="5"/>
      <c r="J78" s="5"/>
      <c r="K78" s="5"/>
      <c r="L78" s="5"/>
      <c r="M78" s="5"/>
      <c r="N78" s="5"/>
      <c r="O78" s="248"/>
      <c r="Q78" s="5"/>
      <c r="R78" s="5"/>
      <c r="S78" s="5"/>
      <c r="T78" s="5"/>
      <c r="U78" s="5"/>
    </row>
    <row r="79" spans="2:63">
      <c r="B79" s="5"/>
      <c r="C79" s="5"/>
      <c r="D79" s="259"/>
      <c r="E79" s="259"/>
      <c r="F79" s="259"/>
      <c r="G79" s="259"/>
      <c r="H79" s="259"/>
      <c r="I79" s="259"/>
      <c r="J79" s="259"/>
      <c r="K79" s="259"/>
      <c r="L79" s="259"/>
      <c r="M79" s="259"/>
      <c r="N79" s="259"/>
      <c r="O79" s="5"/>
      <c r="Q79" s="5"/>
      <c r="R79" s="5"/>
      <c r="S79" s="5"/>
      <c r="T79" s="5"/>
      <c r="U79" s="5"/>
    </row>
    <row r="80" spans="2:63" s="5" customFormat="1">
      <c r="D80" s="259"/>
      <c r="E80" s="259"/>
      <c r="F80" s="259"/>
      <c r="G80" s="259"/>
      <c r="H80" s="259"/>
      <c r="I80" s="259"/>
      <c r="J80" s="259"/>
      <c r="K80" s="259"/>
      <c r="L80" s="259"/>
      <c r="M80" s="259"/>
      <c r="N80" s="259"/>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239"/>
      <c r="AS80" s="239"/>
      <c r="AT80" s="239"/>
      <c r="AU80" s="239"/>
      <c r="AV80" s="239"/>
      <c r="AW80" s="239"/>
      <c r="AX80" s="239"/>
      <c r="AY80" s="239"/>
      <c r="AZ80" s="239"/>
      <c r="BA80" s="239"/>
      <c r="BB80" s="239"/>
      <c r="BC80" s="239"/>
      <c r="BD80" s="239"/>
      <c r="BE80" s="239"/>
      <c r="BF80" s="239"/>
      <c r="BG80" s="239"/>
      <c r="BH80" s="239"/>
      <c r="BI80" s="239"/>
      <c r="BJ80" s="239"/>
      <c r="BK80" s="239"/>
    </row>
    <row r="81" spans="2:63">
      <c r="B81" s="5"/>
      <c r="C81" s="5"/>
      <c r="D81" s="247"/>
      <c r="E81" s="247"/>
      <c r="F81" s="247"/>
      <c r="G81" s="247"/>
      <c r="H81" s="247"/>
      <c r="I81" s="247"/>
      <c r="J81" s="247"/>
      <c r="K81" s="247"/>
      <c r="L81" s="247"/>
      <c r="M81" s="247"/>
      <c r="N81" s="247"/>
      <c r="O81" s="5"/>
      <c r="Q81" s="5"/>
      <c r="R81" s="5"/>
      <c r="S81" s="5"/>
      <c r="T81" s="5"/>
      <c r="U81" s="5"/>
    </row>
    <row r="82" spans="2:63">
      <c r="B82" s="5"/>
      <c r="C82" s="5"/>
      <c r="D82" s="5"/>
      <c r="E82" s="5"/>
      <c r="F82" s="5"/>
      <c r="G82" s="5"/>
      <c r="H82" s="5"/>
      <c r="I82" s="5"/>
      <c r="J82" s="5"/>
      <c r="K82" s="5"/>
      <c r="L82" s="5"/>
      <c r="M82" s="5"/>
      <c r="N82" s="5"/>
      <c r="O82" s="5"/>
      <c r="Q82" s="5"/>
      <c r="R82" s="5"/>
      <c r="S82" s="5"/>
      <c r="T82" s="5"/>
      <c r="U82" s="5"/>
    </row>
    <row r="83" spans="2:63">
      <c r="B83" s="5"/>
      <c r="C83" s="5"/>
      <c r="D83" s="259"/>
      <c r="E83" s="259"/>
      <c r="F83" s="247"/>
      <c r="G83" s="247"/>
      <c r="H83" s="247"/>
      <c r="I83" s="247"/>
      <c r="J83" s="247"/>
      <c r="K83" s="247"/>
      <c r="L83" s="247"/>
      <c r="M83" s="247"/>
      <c r="N83" s="247"/>
      <c r="O83" s="5"/>
      <c r="Q83" s="5"/>
      <c r="R83" s="5"/>
      <c r="S83" s="5"/>
      <c r="T83" s="5"/>
      <c r="U83" s="5"/>
    </row>
    <row r="84" spans="2:63" s="5" customFormat="1">
      <c r="D84" s="259"/>
      <c r="E84" s="259"/>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239"/>
      <c r="AS84" s="239"/>
      <c r="AT84" s="239"/>
      <c r="AU84" s="239"/>
      <c r="AV84" s="239"/>
      <c r="AW84" s="239"/>
      <c r="AX84" s="239"/>
      <c r="AY84" s="239"/>
      <c r="AZ84" s="239"/>
      <c r="BA84" s="239"/>
      <c r="BB84" s="239"/>
      <c r="BC84" s="239"/>
      <c r="BD84" s="239"/>
      <c r="BE84" s="239"/>
      <c r="BF84" s="239"/>
      <c r="BG84" s="239"/>
      <c r="BH84" s="239"/>
      <c r="BI84" s="239"/>
      <c r="BJ84" s="239"/>
      <c r="BK84" s="239"/>
    </row>
    <row r="85" spans="2:63" s="5" customFormat="1">
      <c r="D85" s="259"/>
      <c r="E85" s="259"/>
      <c r="F85" s="259"/>
      <c r="G85" s="259"/>
      <c r="H85" s="259"/>
      <c r="I85" s="259"/>
      <c r="J85" s="259"/>
      <c r="K85" s="259"/>
      <c r="L85" s="259"/>
      <c r="M85" s="259"/>
      <c r="N85" s="259"/>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239"/>
      <c r="AS85" s="239"/>
      <c r="AT85" s="239"/>
      <c r="AU85" s="239"/>
      <c r="AV85" s="239"/>
      <c r="AW85" s="239"/>
      <c r="AX85" s="239"/>
      <c r="AY85" s="239"/>
      <c r="AZ85" s="239"/>
      <c r="BA85" s="239"/>
      <c r="BB85" s="239"/>
      <c r="BC85" s="239"/>
      <c r="BD85" s="239"/>
      <c r="BE85" s="239"/>
      <c r="BF85" s="239"/>
      <c r="BG85" s="239"/>
      <c r="BH85" s="239"/>
      <c r="BI85" s="239"/>
      <c r="BJ85" s="239"/>
      <c r="BK85" s="239"/>
    </row>
    <row r="86" spans="2:63">
      <c r="B86" s="5"/>
      <c r="C86" s="5"/>
      <c r="D86" s="247"/>
      <c r="E86" s="247"/>
      <c r="F86" s="247"/>
      <c r="G86" s="247"/>
      <c r="H86" s="247"/>
      <c r="I86" s="247"/>
      <c r="J86" s="247"/>
      <c r="K86" s="247"/>
      <c r="L86" s="247"/>
      <c r="M86" s="247"/>
      <c r="N86" s="247"/>
      <c r="O86" s="5"/>
      <c r="Q86" s="5"/>
      <c r="R86" s="5"/>
      <c r="S86" s="5"/>
      <c r="T86" s="5"/>
      <c r="U86" s="5"/>
    </row>
    <row r="87" spans="2:63">
      <c r="B87" s="41"/>
      <c r="C87" s="41"/>
      <c r="D87" s="249"/>
      <c r="E87" s="249"/>
      <c r="F87" s="249"/>
      <c r="G87" s="249"/>
      <c r="H87" s="249"/>
      <c r="I87" s="249"/>
      <c r="J87" s="249"/>
      <c r="K87" s="249"/>
      <c r="L87" s="249"/>
      <c r="M87" s="249"/>
      <c r="N87" s="249"/>
      <c r="O87" s="5"/>
      <c r="Q87" s="5"/>
      <c r="R87" s="5"/>
      <c r="S87" s="5"/>
      <c r="T87" s="5"/>
      <c r="U87" s="5"/>
    </row>
    <row r="88" spans="2:63">
      <c r="B88" s="5"/>
      <c r="C88" s="5"/>
      <c r="D88" s="249"/>
      <c r="E88" s="249"/>
      <c r="F88" s="249"/>
      <c r="G88" s="249"/>
      <c r="H88" s="249"/>
      <c r="I88" s="249"/>
      <c r="J88" s="249"/>
      <c r="K88" s="249"/>
      <c r="L88" s="249"/>
      <c r="M88" s="249"/>
      <c r="N88" s="249"/>
      <c r="O88" s="5"/>
      <c r="Q88" s="5"/>
      <c r="R88" s="5"/>
      <c r="S88" s="5"/>
      <c r="T88" s="5"/>
      <c r="U88" s="5"/>
    </row>
    <row r="89" spans="2:63">
      <c r="B89" s="5"/>
      <c r="C89" s="5"/>
      <c r="D89" s="247"/>
      <c r="E89" s="247"/>
      <c r="F89" s="247"/>
      <c r="G89" s="247"/>
      <c r="H89" s="247"/>
      <c r="I89" s="247"/>
      <c r="J89" s="247"/>
      <c r="K89" s="247"/>
      <c r="L89" s="247"/>
      <c r="M89" s="247"/>
      <c r="N89" s="247"/>
      <c r="O89" s="5"/>
      <c r="Q89" s="5"/>
      <c r="R89" s="5"/>
      <c r="S89" s="5"/>
      <c r="T89" s="5"/>
      <c r="U89" s="5"/>
    </row>
    <row r="90" spans="2:63">
      <c r="B90" s="5"/>
      <c r="C90" s="5"/>
      <c r="D90" s="5"/>
      <c r="E90" s="5"/>
      <c r="F90" s="5"/>
      <c r="G90" s="5"/>
      <c r="H90" s="5"/>
      <c r="I90" s="5"/>
      <c r="J90" s="5"/>
      <c r="K90" s="5"/>
      <c r="L90" s="5"/>
      <c r="M90" s="5"/>
      <c r="N90" s="5"/>
      <c r="O90" s="5"/>
      <c r="Q90" s="5"/>
      <c r="R90" s="5"/>
      <c r="S90" s="5"/>
      <c r="T90" s="5"/>
      <c r="U90" s="5"/>
    </row>
    <row r="91" spans="2:63">
      <c r="B91" s="5"/>
      <c r="C91" s="5"/>
      <c r="D91" s="5"/>
      <c r="E91" s="5"/>
      <c r="F91" s="5"/>
      <c r="G91" s="5"/>
      <c r="H91" s="5"/>
      <c r="I91" s="5"/>
      <c r="J91" s="5"/>
      <c r="K91" s="5"/>
      <c r="L91" s="5"/>
      <c r="M91" s="5"/>
      <c r="N91" s="5"/>
      <c r="O91" s="5"/>
      <c r="Q91" s="5"/>
      <c r="R91" s="5"/>
      <c r="S91" s="5"/>
      <c r="T91" s="5"/>
      <c r="U91" s="5"/>
    </row>
    <row r="92" spans="2:63">
      <c r="B92" s="5"/>
      <c r="C92" s="5"/>
      <c r="D92" s="5"/>
      <c r="E92" s="5"/>
      <c r="F92" s="5"/>
      <c r="G92" s="5"/>
      <c r="H92" s="5"/>
      <c r="I92" s="5"/>
      <c r="J92" s="5"/>
      <c r="K92" s="5"/>
      <c r="L92" s="5"/>
      <c r="M92" s="5"/>
      <c r="N92" s="5"/>
      <c r="O92" s="5"/>
      <c r="Q92" s="5"/>
      <c r="R92" s="5"/>
      <c r="S92" s="5"/>
      <c r="T92" s="5"/>
      <c r="U92" s="5"/>
    </row>
    <row r="93" spans="2:63">
      <c r="B93" s="5"/>
      <c r="C93" s="5"/>
      <c r="D93" s="5"/>
      <c r="E93" s="5"/>
      <c r="F93" s="5"/>
      <c r="G93" s="5"/>
      <c r="H93" s="5"/>
      <c r="I93" s="5"/>
      <c r="J93" s="5"/>
      <c r="K93" s="5"/>
      <c r="L93" s="5"/>
      <c r="M93" s="5"/>
      <c r="N93" s="5"/>
      <c r="O93" s="5"/>
      <c r="Q93" s="5"/>
      <c r="R93" s="5"/>
      <c r="S93" s="5"/>
      <c r="T93" s="5"/>
      <c r="U93" s="5"/>
    </row>
    <row r="94" spans="2:63">
      <c r="B94" s="242"/>
      <c r="C94" s="242"/>
      <c r="D94" s="49"/>
      <c r="E94" s="49"/>
      <c r="F94" s="49"/>
      <c r="G94" s="49"/>
      <c r="H94" s="49"/>
      <c r="I94" s="49"/>
      <c r="J94" s="49"/>
      <c r="K94" s="49"/>
      <c r="L94" s="49"/>
      <c r="M94" s="49"/>
      <c r="N94" s="49"/>
      <c r="O94" s="49"/>
      <c r="Q94" s="242"/>
      <c r="R94" s="5"/>
      <c r="S94" s="5"/>
      <c r="T94" s="5"/>
      <c r="U94" s="5"/>
    </row>
    <row r="95" spans="2:63">
      <c r="B95" s="5"/>
      <c r="C95" s="5"/>
      <c r="D95" s="5"/>
      <c r="E95" s="5"/>
      <c r="F95" s="5"/>
      <c r="G95" s="5"/>
      <c r="H95" s="5"/>
      <c r="I95" s="5"/>
      <c r="J95" s="5"/>
      <c r="K95" s="5"/>
      <c r="L95" s="5"/>
      <c r="M95" s="5"/>
      <c r="N95" s="5"/>
      <c r="O95" s="5"/>
      <c r="Q95" s="5"/>
      <c r="R95" s="5"/>
      <c r="S95" s="5"/>
      <c r="T95" s="5"/>
      <c r="U95" s="5"/>
    </row>
    <row r="96" spans="2:63">
      <c r="B96" s="41"/>
      <c r="C96" s="41"/>
      <c r="D96" s="254"/>
      <c r="E96" s="254"/>
      <c r="F96" s="254"/>
      <c r="G96" s="254"/>
      <c r="H96" s="254"/>
      <c r="I96" s="254"/>
      <c r="J96" s="254"/>
      <c r="K96" s="254"/>
      <c r="L96" s="254"/>
      <c r="M96" s="254"/>
      <c r="N96" s="254"/>
      <c r="O96" s="248"/>
      <c r="Q96" s="5"/>
      <c r="R96" s="5"/>
      <c r="S96" s="5"/>
      <c r="T96" s="5"/>
      <c r="U96" s="5"/>
    </row>
    <row r="97" spans="2:21">
      <c r="B97" s="41"/>
      <c r="C97" s="41"/>
      <c r="D97" s="254"/>
      <c r="E97" s="254"/>
      <c r="F97" s="249"/>
      <c r="G97" s="249"/>
      <c r="H97" s="249"/>
      <c r="I97" s="249"/>
      <c r="J97" s="249"/>
      <c r="K97" s="249"/>
      <c r="L97" s="249"/>
      <c r="M97" s="249"/>
      <c r="N97" s="249"/>
      <c r="O97" s="248"/>
      <c r="Q97" s="5"/>
      <c r="R97" s="5"/>
      <c r="S97" s="5"/>
      <c r="T97" s="5"/>
      <c r="U97" s="5"/>
    </row>
    <row r="98" spans="2:21">
      <c r="B98" s="41"/>
      <c r="C98" s="41"/>
      <c r="D98" s="254"/>
      <c r="E98" s="254"/>
      <c r="F98" s="254"/>
      <c r="G98" s="254"/>
      <c r="H98" s="254"/>
      <c r="I98" s="254"/>
      <c r="J98" s="254"/>
      <c r="K98" s="254"/>
      <c r="L98" s="254"/>
      <c r="M98" s="254"/>
      <c r="N98" s="254"/>
      <c r="O98" s="248"/>
      <c r="Q98" s="5"/>
      <c r="R98" s="5"/>
      <c r="S98" s="5"/>
      <c r="T98" s="5"/>
      <c r="U98" s="5"/>
    </row>
    <row r="99" spans="2:21">
      <c r="B99" s="41"/>
      <c r="C99" s="41"/>
      <c r="D99" s="254"/>
      <c r="E99" s="254"/>
      <c r="F99" s="254"/>
      <c r="G99" s="254"/>
      <c r="H99" s="254"/>
      <c r="I99" s="254"/>
      <c r="J99" s="254"/>
      <c r="K99" s="254"/>
      <c r="L99" s="254"/>
      <c r="M99" s="254"/>
      <c r="N99" s="254"/>
      <c r="O99" s="248"/>
      <c r="Q99" s="5"/>
      <c r="R99" s="5"/>
      <c r="S99" s="5"/>
      <c r="T99" s="5"/>
      <c r="U99" s="5"/>
    </row>
    <row r="100" spans="2:21">
      <c r="B100" s="41"/>
      <c r="C100" s="41"/>
      <c r="D100" s="254"/>
      <c r="E100" s="254"/>
      <c r="F100" s="254"/>
      <c r="G100" s="254"/>
      <c r="H100" s="254"/>
      <c r="I100" s="254"/>
      <c r="J100" s="254"/>
      <c r="K100" s="254"/>
      <c r="L100" s="254"/>
      <c r="M100" s="254"/>
      <c r="N100" s="254"/>
      <c r="O100" s="248"/>
      <c r="Q100" s="5"/>
      <c r="R100" s="5"/>
      <c r="S100" s="5"/>
      <c r="T100" s="5"/>
      <c r="U100" s="5"/>
    </row>
    <row r="101" spans="2:21">
      <c r="B101" s="41"/>
      <c r="C101" s="41"/>
      <c r="D101" s="254"/>
      <c r="E101" s="254"/>
      <c r="F101" s="254"/>
      <c r="G101" s="254"/>
      <c r="H101" s="254"/>
      <c r="I101" s="254"/>
      <c r="J101" s="254"/>
      <c r="K101" s="254"/>
      <c r="L101" s="254"/>
      <c r="M101" s="254"/>
      <c r="N101" s="254"/>
      <c r="O101" s="248"/>
      <c r="Q101" s="5"/>
      <c r="R101" s="5"/>
      <c r="S101" s="5"/>
      <c r="T101" s="5"/>
      <c r="U101" s="5"/>
    </row>
    <row r="102" spans="2:21">
      <c r="B102" s="41"/>
      <c r="C102" s="41"/>
      <c r="D102" s="254"/>
      <c r="E102" s="254"/>
      <c r="F102" s="254"/>
      <c r="G102" s="254"/>
      <c r="H102" s="254"/>
      <c r="I102" s="254"/>
      <c r="J102" s="254"/>
      <c r="K102" s="254"/>
      <c r="L102" s="254"/>
      <c r="M102" s="254"/>
      <c r="N102" s="254"/>
      <c r="O102" s="5"/>
      <c r="Q102" s="5"/>
      <c r="R102" s="5"/>
      <c r="S102" s="5"/>
      <c r="T102" s="5"/>
      <c r="U102" s="5"/>
    </row>
    <row r="103" spans="2:21">
      <c r="B103" s="41"/>
      <c r="C103" s="41"/>
      <c r="D103" s="254"/>
      <c r="E103" s="254"/>
      <c r="F103" s="254"/>
      <c r="G103" s="254"/>
      <c r="H103" s="254"/>
      <c r="I103" s="254"/>
      <c r="J103" s="254"/>
      <c r="K103" s="254"/>
      <c r="L103" s="254"/>
      <c r="M103" s="254"/>
      <c r="N103" s="254"/>
      <c r="O103" s="5"/>
      <c r="Q103" s="5"/>
      <c r="R103" s="5"/>
      <c r="S103" s="5"/>
      <c r="T103" s="5"/>
      <c r="U103" s="5"/>
    </row>
    <row r="104" spans="2:21">
      <c r="B104" s="41"/>
      <c r="C104" s="41"/>
      <c r="D104" s="254"/>
      <c r="E104" s="254"/>
      <c r="F104" s="254"/>
      <c r="G104" s="254"/>
      <c r="H104" s="254"/>
      <c r="I104" s="254"/>
      <c r="J104" s="254"/>
      <c r="K104" s="254"/>
      <c r="L104" s="254"/>
      <c r="M104" s="254"/>
      <c r="N104" s="254"/>
      <c r="O104" s="5"/>
      <c r="Q104" s="5"/>
      <c r="R104" s="5"/>
      <c r="S104" s="5"/>
      <c r="T104" s="5"/>
      <c r="U104" s="5"/>
    </row>
    <row r="105" spans="2:21">
      <c r="B105" s="41"/>
      <c r="C105" s="41"/>
      <c r="D105" s="254"/>
      <c r="E105" s="254"/>
      <c r="F105" s="254"/>
      <c r="G105" s="254"/>
      <c r="H105" s="254"/>
      <c r="I105" s="254"/>
      <c r="J105" s="254"/>
      <c r="K105" s="254"/>
      <c r="L105" s="254"/>
      <c r="M105" s="254"/>
      <c r="N105" s="254"/>
      <c r="O105" s="5"/>
      <c r="Q105" s="5"/>
      <c r="R105" s="5"/>
      <c r="S105" s="5"/>
      <c r="T105" s="5"/>
      <c r="U105" s="5"/>
    </row>
    <row r="106" spans="2:21">
      <c r="B106" s="5"/>
      <c r="C106" s="5"/>
      <c r="D106" s="5"/>
      <c r="E106" s="5"/>
      <c r="F106" s="18"/>
      <c r="G106" s="18"/>
      <c r="H106" s="18"/>
      <c r="I106" s="18"/>
      <c r="J106" s="18"/>
      <c r="K106" s="18"/>
      <c r="L106" s="18"/>
      <c r="M106" s="18"/>
      <c r="N106" s="18"/>
      <c r="O106" s="5"/>
      <c r="Q106" s="5"/>
      <c r="R106" s="5"/>
      <c r="S106" s="5"/>
      <c r="T106" s="5"/>
      <c r="U106" s="5"/>
    </row>
    <row r="107" spans="2:21">
      <c r="B107" s="5"/>
      <c r="C107" s="5"/>
      <c r="D107" s="5"/>
      <c r="E107" s="5"/>
      <c r="F107" s="5"/>
      <c r="G107" s="5"/>
      <c r="H107" s="5"/>
      <c r="I107" s="5"/>
      <c r="J107" s="5"/>
      <c r="K107" s="5"/>
      <c r="L107" s="5"/>
      <c r="M107" s="5"/>
      <c r="N107" s="5"/>
      <c r="O107" s="5"/>
      <c r="Q107" s="5"/>
      <c r="R107" s="5"/>
      <c r="S107" s="5"/>
      <c r="T107" s="5"/>
      <c r="U107" s="5"/>
    </row>
    <row r="108" spans="2:21">
      <c r="B108" s="41"/>
      <c r="C108" s="41"/>
      <c r="D108" s="254"/>
      <c r="E108" s="254"/>
      <c r="F108" s="254"/>
      <c r="G108" s="254"/>
      <c r="H108" s="254"/>
      <c r="I108" s="254"/>
      <c r="J108" s="254"/>
      <c r="K108" s="254"/>
      <c r="L108" s="254"/>
      <c r="M108" s="254"/>
      <c r="N108" s="254"/>
      <c r="O108" s="5"/>
      <c r="Q108" s="5"/>
      <c r="R108" s="5"/>
      <c r="S108" s="5"/>
      <c r="T108" s="5"/>
      <c r="U108" s="5"/>
    </row>
    <row r="109" spans="2:21">
      <c r="B109" s="5"/>
      <c r="C109" s="5"/>
      <c r="D109" s="259"/>
      <c r="E109" s="259"/>
      <c r="F109" s="18"/>
      <c r="G109" s="18"/>
      <c r="H109" s="18"/>
      <c r="I109" s="18"/>
      <c r="J109" s="18"/>
      <c r="K109" s="18"/>
      <c r="L109" s="18"/>
      <c r="M109" s="18"/>
      <c r="N109" s="18"/>
      <c r="O109" s="5"/>
      <c r="Q109" s="5"/>
      <c r="R109" s="5"/>
      <c r="S109" s="5"/>
      <c r="T109" s="5"/>
      <c r="U109" s="5"/>
    </row>
    <row r="110" spans="2:21">
      <c r="B110" s="5"/>
      <c r="C110" s="5"/>
      <c r="D110" s="5"/>
      <c r="E110" s="5"/>
      <c r="F110" s="5"/>
      <c r="G110" s="5"/>
      <c r="H110" s="5"/>
      <c r="I110" s="5"/>
      <c r="J110" s="5"/>
      <c r="K110" s="5"/>
      <c r="L110" s="5"/>
      <c r="M110" s="5"/>
      <c r="N110" s="5"/>
      <c r="O110" s="5"/>
      <c r="Q110" s="5"/>
      <c r="R110" s="5"/>
      <c r="S110" s="5"/>
      <c r="T110" s="5"/>
      <c r="U110" s="5"/>
    </row>
    <row r="111" spans="2:21">
      <c r="B111" s="41"/>
      <c r="C111" s="5"/>
      <c r="D111" s="5"/>
      <c r="E111" s="5"/>
      <c r="F111" s="5"/>
      <c r="G111" s="5"/>
      <c r="H111" s="5"/>
      <c r="I111" s="5"/>
      <c r="J111" s="5"/>
      <c r="K111" s="5"/>
      <c r="L111" s="5"/>
      <c r="M111" s="5"/>
      <c r="N111" s="5"/>
      <c r="O111" s="5"/>
      <c r="Q111" s="5"/>
      <c r="R111" s="5"/>
      <c r="S111" s="5"/>
      <c r="T111" s="5"/>
      <c r="U111" s="5"/>
    </row>
    <row r="112" spans="2:21">
      <c r="B112" s="5"/>
      <c r="C112" s="5"/>
      <c r="D112" s="17"/>
      <c r="E112" s="17"/>
      <c r="F112" s="17"/>
      <c r="G112" s="17"/>
      <c r="H112" s="17"/>
      <c r="I112" s="17"/>
      <c r="J112" s="17"/>
      <c r="K112" s="17"/>
      <c r="L112" s="17"/>
      <c r="M112" s="17"/>
      <c r="N112" s="17"/>
      <c r="O112" s="5"/>
      <c r="Q112" s="5"/>
      <c r="R112" s="5"/>
      <c r="S112" s="5"/>
      <c r="T112" s="5"/>
      <c r="U112" s="5"/>
    </row>
    <row r="113" spans="2:27">
      <c r="B113" s="5"/>
      <c r="C113" s="5"/>
      <c r="D113" s="17"/>
      <c r="E113" s="17"/>
      <c r="F113" s="17"/>
      <c r="G113" s="17"/>
      <c r="H113" s="17"/>
      <c r="I113" s="17"/>
      <c r="J113" s="17"/>
      <c r="K113" s="17"/>
      <c r="L113" s="17"/>
      <c r="M113" s="17"/>
      <c r="N113" s="17"/>
      <c r="O113" s="5"/>
      <c r="Q113" s="5"/>
      <c r="R113" s="5"/>
      <c r="S113" s="5"/>
      <c r="T113" s="5"/>
      <c r="U113" s="5"/>
    </row>
    <row r="114" spans="2:27">
      <c r="B114" s="5"/>
      <c r="C114" s="5"/>
      <c r="D114" s="5"/>
      <c r="E114" s="5"/>
      <c r="F114" s="17"/>
      <c r="G114" s="17"/>
      <c r="H114" s="17"/>
      <c r="I114" s="17"/>
      <c r="J114" s="17"/>
      <c r="K114" s="17"/>
      <c r="L114" s="17"/>
      <c r="M114" s="17"/>
      <c r="N114" s="17"/>
      <c r="O114" s="5"/>
      <c r="Q114" s="242"/>
      <c r="R114" s="5"/>
      <c r="S114" s="5"/>
      <c r="T114" s="5"/>
      <c r="U114" s="5"/>
    </row>
    <row r="115" spans="2:27">
      <c r="B115" s="5"/>
      <c r="C115" s="5"/>
      <c r="D115" s="5"/>
      <c r="E115" s="5"/>
      <c r="F115" s="17"/>
      <c r="G115" s="17"/>
      <c r="H115" s="17"/>
      <c r="I115" s="17"/>
      <c r="J115" s="17"/>
      <c r="K115" s="17"/>
      <c r="L115" s="17"/>
      <c r="M115" s="17"/>
      <c r="N115" s="17"/>
      <c r="O115" s="5"/>
      <c r="Q115" s="5"/>
      <c r="R115" s="5"/>
      <c r="S115" s="5"/>
      <c r="T115" s="5"/>
      <c r="U115" s="5"/>
    </row>
    <row r="116" spans="2:27">
      <c r="B116" s="5"/>
      <c r="C116" s="5"/>
      <c r="D116" s="5"/>
      <c r="E116" s="5"/>
      <c r="F116" s="17"/>
      <c r="G116" s="17"/>
      <c r="H116" s="17"/>
      <c r="I116" s="17"/>
      <c r="J116" s="17"/>
      <c r="K116" s="17"/>
      <c r="L116" s="17"/>
      <c r="M116" s="17"/>
      <c r="N116" s="17"/>
      <c r="O116" s="5"/>
      <c r="Q116" s="5"/>
      <c r="R116" s="5"/>
      <c r="S116" s="5"/>
      <c r="T116" s="5"/>
      <c r="U116" s="5"/>
      <c r="X116" s="262"/>
      <c r="Y116" s="262"/>
      <c r="Z116" s="262"/>
      <c r="AA116" s="262"/>
    </row>
    <row r="117" spans="2:27">
      <c r="B117" s="5"/>
      <c r="C117" s="41"/>
      <c r="D117" s="17"/>
      <c r="E117" s="17"/>
      <c r="F117" s="17"/>
      <c r="G117" s="17"/>
      <c r="H117" s="17"/>
      <c r="I117" s="17"/>
      <c r="J117" s="17"/>
      <c r="K117" s="17"/>
      <c r="L117" s="17"/>
      <c r="M117" s="17"/>
      <c r="N117" s="17"/>
      <c r="O117" s="5"/>
      <c r="Q117" s="5"/>
      <c r="R117" s="5"/>
      <c r="S117" s="5"/>
      <c r="T117" s="5"/>
      <c r="U117" s="5"/>
      <c r="X117" s="255"/>
      <c r="Y117" s="255"/>
      <c r="Z117" s="255"/>
      <c r="AA117" s="255"/>
    </row>
    <row r="118" spans="2:27">
      <c r="B118" s="5"/>
      <c r="C118" s="5"/>
      <c r="D118" s="5"/>
      <c r="E118" s="5"/>
      <c r="F118" s="5"/>
      <c r="G118" s="5"/>
      <c r="H118" s="5"/>
      <c r="I118" s="5"/>
      <c r="J118" s="5"/>
      <c r="K118" s="5"/>
      <c r="L118" s="5"/>
      <c r="M118" s="5"/>
      <c r="N118" s="5"/>
      <c r="O118" s="5"/>
      <c r="Q118" s="5"/>
      <c r="R118" s="5"/>
      <c r="S118" s="5"/>
      <c r="T118" s="5"/>
      <c r="U118" s="5"/>
    </row>
    <row r="119" spans="2:27">
      <c r="B119" s="5"/>
      <c r="C119" s="5"/>
      <c r="D119" s="5"/>
      <c r="E119" s="5"/>
      <c r="F119" s="5"/>
      <c r="G119" s="5"/>
      <c r="H119" s="5"/>
      <c r="I119" s="5"/>
      <c r="J119" s="5"/>
      <c r="K119" s="5"/>
      <c r="L119" s="5"/>
      <c r="M119" s="5"/>
      <c r="N119" s="5"/>
      <c r="O119" s="5"/>
      <c r="Q119" s="5"/>
      <c r="R119" s="5"/>
      <c r="S119" s="5"/>
      <c r="T119" s="5"/>
      <c r="U119" s="5"/>
    </row>
    <row r="120" spans="2:27">
      <c r="B120" s="5"/>
      <c r="C120" s="5"/>
      <c r="D120" s="5"/>
      <c r="E120" s="5"/>
      <c r="F120" s="5"/>
      <c r="G120" s="5"/>
      <c r="H120" s="5"/>
      <c r="I120" s="5"/>
      <c r="J120" s="5"/>
      <c r="K120" s="5"/>
      <c r="L120" s="5"/>
      <c r="M120" s="5"/>
      <c r="N120" s="5"/>
      <c r="O120" s="5"/>
      <c r="Q120" s="5"/>
      <c r="R120" s="5"/>
      <c r="S120" s="5"/>
      <c r="T120" s="5"/>
      <c r="U120" s="5"/>
    </row>
    <row r="121" spans="2:27">
      <c r="B121" s="5"/>
      <c r="C121" s="5"/>
      <c r="D121" s="5"/>
      <c r="E121" s="5"/>
      <c r="F121" s="5"/>
      <c r="G121" s="5"/>
      <c r="H121" s="5"/>
      <c r="I121" s="5"/>
      <c r="J121" s="5"/>
      <c r="K121" s="5"/>
      <c r="L121" s="5"/>
      <c r="M121" s="5"/>
      <c r="N121" s="5"/>
      <c r="O121" s="5"/>
      <c r="Q121" s="5"/>
      <c r="R121" s="5"/>
      <c r="S121" s="5"/>
      <c r="T121" s="5"/>
      <c r="U121" s="5"/>
    </row>
    <row r="122" spans="2:27">
      <c r="B122" s="5"/>
      <c r="C122" s="5"/>
      <c r="D122" s="5"/>
      <c r="E122" s="5"/>
      <c r="F122" s="5"/>
      <c r="G122" s="5"/>
      <c r="H122" s="5"/>
      <c r="I122" s="5"/>
      <c r="J122" s="5"/>
      <c r="K122" s="5"/>
      <c r="L122" s="5"/>
      <c r="M122" s="5"/>
      <c r="N122" s="5"/>
      <c r="O122" s="5"/>
      <c r="Q122" s="5"/>
      <c r="R122" s="5"/>
      <c r="S122" s="5"/>
      <c r="T122" s="5"/>
      <c r="U122" s="5"/>
    </row>
    <row r="123" spans="2:27">
      <c r="B123" s="5"/>
      <c r="C123" s="5"/>
      <c r="D123" s="5"/>
      <c r="E123" s="5"/>
      <c r="F123" s="5"/>
      <c r="G123" s="5"/>
      <c r="H123" s="5"/>
      <c r="I123" s="5"/>
      <c r="J123" s="5"/>
      <c r="K123" s="5"/>
      <c r="L123" s="5"/>
      <c r="M123" s="5"/>
      <c r="N123" s="5"/>
      <c r="O123" s="5"/>
      <c r="Q123" s="5"/>
      <c r="R123" s="5"/>
      <c r="S123" s="5"/>
      <c r="T123" s="5"/>
      <c r="U123" s="5"/>
    </row>
    <row r="124" spans="2:27">
      <c r="B124" s="5"/>
      <c r="C124" s="5"/>
      <c r="D124" s="5"/>
      <c r="E124" s="5"/>
      <c r="F124" s="5"/>
      <c r="G124" s="5"/>
      <c r="H124" s="5"/>
      <c r="I124" s="5"/>
      <c r="J124" s="5"/>
      <c r="K124" s="5"/>
      <c r="L124" s="5"/>
      <c r="M124" s="5"/>
      <c r="N124" s="5"/>
      <c r="O124" s="5"/>
      <c r="Q124" s="5"/>
      <c r="R124" s="5"/>
      <c r="S124" s="5"/>
      <c r="T124" s="5"/>
      <c r="U124" s="5"/>
    </row>
    <row r="125" spans="2:27">
      <c r="B125" s="5"/>
      <c r="C125" s="5"/>
      <c r="D125" s="5"/>
      <c r="E125" s="5"/>
      <c r="F125" s="5"/>
      <c r="G125" s="5"/>
      <c r="H125" s="5"/>
      <c r="I125" s="5"/>
      <c r="J125" s="5"/>
      <c r="K125" s="5"/>
      <c r="L125" s="5"/>
      <c r="M125" s="5"/>
      <c r="N125" s="5"/>
      <c r="O125" s="5"/>
      <c r="Q125" s="5"/>
      <c r="R125" s="5"/>
      <c r="S125" s="5"/>
      <c r="T125" s="5"/>
      <c r="U125" s="5"/>
    </row>
    <row r="126" spans="2:27">
      <c r="B126" s="5"/>
      <c r="C126" s="5"/>
      <c r="D126" s="5"/>
      <c r="E126" s="5"/>
      <c r="F126" s="5"/>
      <c r="G126" s="5"/>
      <c r="H126" s="5"/>
      <c r="I126" s="5"/>
      <c r="J126" s="5"/>
      <c r="K126" s="5"/>
      <c r="L126" s="5"/>
      <c r="M126" s="5"/>
      <c r="N126" s="5"/>
      <c r="O126" s="5"/>
      <c r="Q126" s="5"/>
      <c r="R126" s="5"/>
      <c r="S126" s="5"/>
      <c r="T126" s="5"/>
      <c r="U126" s="5"/>
    </row>
    <row r="127" spans="2:27">
      <c r="B127" s="5"/>
      <c r="C127" s="5"/>
      <c r="D127" s="5"/>
      <c r="E127" s="5"/>
      <c r="F127" s="5"/>
      <c r="G127" s="5"/>
      <c r="H127" s="5"/>
      <c r="I127" s="5"/>
      <c r="J127" s="5"/>
      <c r="K127" s="5"/>
      <c r="L127" s="5"/>
      <c r="M127" s="5"/>
      <c r="N127" s="5"/>
      <c r="O127" s="5"/>
      <c r="Q127" s="5"/>
      <c r="R127" s="5"/>
      <c r="S127" s="5"/>
      <c r="T127" s="5"/>
      <c r="U127" s="5"/>
    </row>
    <row r="128" spans="2:27">
      <c r="Q128" s="5"/>
      <c r="R128" s="5"/>
      <c r="S128" s="5"/>
      <c r="T128" s="5"/>
      <c r="U128" s="5"/>
    </row>
    <row r="129" spans="4:21">
      <c r="Q129" s="5"/>
      <c r="R129" s="5"/>
      <c r="S129" s="5"/>
      <c r="T129" s="5"/>
      <c r="U129" s="5"/>
    </row>
    <row r="130" spans="4:21">
      <c r="D130" s="263"/>
      <c r="E130" s="263"/>
      <c r="Q130" s="5"/>
      <c r="R130" s="5"/>
      <c r="S130" s="5"/>
      <c r="T130" s="5"/>
      <c r="U130" s="5"/>
    </row>
    <row r="131" spans="4:21">
      <c r="Q131" s="5"/>
      <c r="R131" s="5"/>
      <c r="S131" s="5"/>
      <c r="T131" s="5"/>
      <c r="U131" s="5"/>
    </row>
    <row r="132" spans="4:21">
      <c r="Q132" s="5"/>
      <c r="R132" s="5"/>
      <c r="S132" s="5"/>
      <c r="T132" s="5"/>
      <c r="U132" s="5"/>
    </row>
    <row r="133" spans="4:21">
      <c r="Q133" s="5"/>
      <c r="R133" s="5"/>
      <c r="S133" s="5"/>
      <c r="T133" s="5"/>
      <c r="U133" s="5"/>
    </row>
    <row r="134" spans="4:21">
      <c r="Q134" s="5"/>
      <c r="R134" s="5"/>
      <c r="S134" s="5"/>
      <c r="T134" s="5"/>
      <c r="U134" s="5"/>
    </row>
    <row r="135" spans="4:21">
      <c r="Q135" s="5"/>
      <c r="R135" s="5"/>
      <c r="S135" s="5"/>
      <c r="T135" s="5"/>
      <c r="U135" s="5"/>
    </row>
    <row r="136" spans="4:21">
      <c r="Q136" s="5"/>
      <c r="R136" s="5"/>
      <c r="S136" s="5"/>
      <c r="T136" s="5"/>
      <c r="U136" s="5"/>
    </row>
    <row r="137" spans="4:21">
      <c r="Q137" s="5"/>
      <c r="R137" s="5"/>
      <c r="S137" s="5"/>
      <c r="T137" s="5"/>
      <c r="U137" s="5"/>
    </row>
    <row r="138" spans="4:21">
      <c r="Q138" s="5"/>
      <c r="R138" s="5"/>
      <c r="S138" s="5"/>
      <c r="T138" s="5"/>
      <c r="U138" s="5"/>
    </row>
    <row r="139" spans="4:21">
      <c r="Q139" s="5"/>
      <c r="R139" s="5"/>
      <c r="S139" s="5"/>
      <c r="T139" s="5"/>
      <c r="U139" s="5"/>
    </row>
    <row r="140" spans="4:21">
      <c r="Q140" s="5"/>
      <c r="R140" s="5"/>
      <c r="S140" s="5"/>
      <c r="T140" s="5"/>
      <c r="U140" s="5"/>
    </row>
    <row r="141" spans="4:21">
      <c r="Q141" s="5"/>
      <c r="R141" s="5"/>
      <c r="S141" s="5"/>
      <c r="T141" s="5"/>
      <c r="U141" s="5"/>
    </row>
    <row r="142" spans="4:21">
      <c r="Q142" s="5"/>
      <c r="R142" s="5"/>
      <c r="S142" s="5"/>
      <c r="T142" s="5"/>
      <c r="U142" s="5"/>
    </row>
    <row r="143" spans="4:21">
      <c r="Q143" s="5"/>
      <c r="R143" s="5"/>
      <c r="S143" s="5"/>
      <c r="T143" s="5"/>
      <c r="U143" s="5"/>
    </row>
    <row r="144" spans="4:21">
      <c r="Q144" s="5"/>
      <c r="R144" s="5"/>
      <c r="S144" s="5"/>
      <c r="T144" s="5"/>
      <c r="U144" s="5"/>
    </row>
  </sheetData>
  <phoneticPr fontId="7" type="noConversion"/>
  <pageMargins left="0.75" right="0.75" top="1" bottom="1" header="0.5" footer="0.5"/>
  <pageSetup scale="57"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44">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162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440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193</v>
      </c>
      <c r="C9" s="267">
        <v>13.46</v>
      </c>
      <c r="D9" s="529">
        <v>0</v>
      </c>
      <c r="E9" s="529">
        <v>0</v>
      </c>
      <c r="F9" s="529">
        <v>0</v>
      </c>
      <c r="G9" s="529">
        <v>0</v>
      </c>
      <c r="H9" s="249"/>
      <c r="I9" s="249"/>
      <c r="J9" s="5" t="s">
        <v>268</v>
      </c>
      <c r="L9" s="525">
        <f>'LATAM CELLULAR'!D37</f>
        <v>2.2232200101777857</v>
      </c>
      <c r="M9" s="525">
        <f>'LATAM CELLULAR'!E37</f>
        <v>2.0589058136016978</v>
      </c>
      <c r="N9" s="525">
        <f>'LATAM CELLULAR'!F37</f>
        <v>1.8608487920845524</v>
      </c>
      <c r="O9" s="525">
        <f>'LATAM CELLULAR'!G37</f>
        <v>1.6475345718618815</v>
      </c>
      <c r="P9" s="286">
        <f>'LATAM CELLULAR'!H37</f>
        <v>3.4615117612012414E-2</v>
      </c>
      <c r="S9" s="42"/>
      <c r="T9" s="42"/>
      <c r="U9" s="42"/>
      <c r="V9" s="42"/>
      <c r="W9" s="42"/>
      <c r="X9" s="42"/>
      <c r="Y9" s="42"/>
      <c r="Z9" s="42"/>
      <c r="AA9" s="42"/>
    </row>
    <row r="10" spans="2:44">
      <c r="B10" s="5" t="s">
        <v>269</v>
      </c>
      <c r="C10" s="291"/>
      <c r="D10" s="527">
        <v>2415.1161999999999</v>
      </c>
      <c r="E10" s="527">
        <v>2415.1161999999999</v>
      </c>
      <c r="F10" s="527">
        <v>2415.1161999999999</v>
      </c>
      <c r="G10" s="527">
        <v>2415.1161999999999</v>
      </c>
      <c r="H10" s="249"/>
      <c r="I10" s="247"/>
      <c r="J10" s="5" t="s">
        <v>180</v>
      </c>
      <c r="L10" s="525">
        <f>'LATAM CELLULAR'!D38</f>
        <v>5.5513222442043304</v>
      </c>
      <c r="M10" s="525">
        <f>'LATAM CELLULAR'!E38</f>
        <v>5.0412781171960415</v>
      </c>
      <c r="N10" s="525">
        <f>'LATAM CELLULAR'!F38</f>
        <v>4.4661676121823097</v>
      </c>
      <c r="O10" s="525">
        <f>'LATAM CELLULAR'!G38</f>
        <v>3.9207027473271143</v>
      </c>
      <c r="P10" s="286">
        <f>'LATAM CELLULAR'!H38</f>
        <v>5.1333149380524246E-2</v>
      </c>
      <c r="S10" s="42"/>
      <c r="T10" s="42"/>
      <c r="U10" s="42"/>
      <c r="V10" s="42"/>
      <c r="W10" s="288"/>
      <c r="X10" s="288"/>
      <c r="Y10" s="288"/>
      <c r="Z10" s="288"/>
      <c r="AA10" s="42"/>
    </row>
    <row r="11" spans="2:44">
      <c r="B11" s="41" t="s">
        <v>270</v>
      </c>
      <c r="C11" s="5"/>
      <c r="D11" s="528">
        <f>$C$9*(SUM(D9:D10))</f>
        <v>32507.464052000003</v>
      </c>
      <c r="E11" s="528">
        <f>$C$9*(SUM(E9:E10))</f>
        <v>32507.464052000003</v>
      </c>
      <c r="F11" s="528">
        <f>$C$9*(SUM(F9:F10))</f>
        <v>32507.464052000003</v>
      </c>
      <c r="G11" s="528">
        <f>$C$9*(SUM(G9:G10))</f>
        <v>32507.464052000003</v>
      </c>
      <c r="H11" s="249"/>
      <c r="I11" s="249"/>
      <c r="J11" s="5" t="s">
        <v>181</v>
      </c>
      <c r="L11" s="525">
        <f>'LATAM CELLULAR'!D39</f>
        <v>9.646923587005535</v>
      </c>
      <c r="M11" s="525">
        <f>'LATAM CELLULAR'!E39</f>
        <v>8.3754437433760849</v>
      </c>
      <c r="N11" s="525">
        <f>'LATAM CELLULAR'!F39</f>
        <v>7.1399931104472305</v>
      </c>
      <c r="O11" s="525">
        <f>'LATAM CELLULAR'!G39</f>
        <v>6.2110946745245244</v>
      </c>
      <c r="P11" s="286">
        <f>'LATAM CELLULAR'!H39</f>
        <v>8.4267435127213242E-2</v>
      </c>
      <c r="S11" s="42"/>
      <c r="T11" s="42"/>
      <c r="U11" s="42"/>
      <c r="V11" s="42"/>
      <c r="W11" s="288"/>
      <c r="X11" s="288"/>
      <c r="Y11" s="288"/>
      <c r="Z11" s="288"/>
      <c r="AA11" s="42"/>
    </row>
    <row r="12" spans="2:44">
      <c r="B12" s="5" t="s">
        <v>24</v>
      </c>
      <c r="C12" s="249"/>
      <c r="D12" s="529">
        <v>14724.557242626408</v>
      </c>
      <c r="E12" s="529">
        <v>13248.024980703494</v>
      </c>
      <c r="F12" s="529">
        <v>10859.480000566597</v>
      </c>
      <c r="G12" s="529">
        <v>7387.3325618436738</v>
      </c>
      <c r="H12" s="247"/>
      <c r="I12" s="247"/>
      <c r="J12" s="5" t="s">
        <v>461</v>
      </c>
      <c r="L12" s="525">
        <f>'LATAM CELLULAR'!D40</f>
        <v>12.09641294846241</v>
      </c>
      <c r="M12" s="525">
        <f>'LATAM CELLULAR'!E40</f>
        <v>10.578357242399944</v>
      </c>
      <c r="N12" s="525">
        <f>'LATAM CELLULAR'!F40</f>
        <v>9.2854568924535332</v>
      </c>
      <c r="O12" s="525">
        <f>'LATAM CELLULAR'!G40</f>
        <v>8.2365912346931154</v>
      </c>
      <c r="P12" s="286">
        <f>'LATAM CELLULAR'!H40</f>
        <v>6.4222773587057747E-2</v>
      </c>
      <c r="S12" s="42"/>
      <c r="T12" s="42"/>
      <c r="U12" s="42"/>
      <c r="V12" s="42"/>
      <c r="W12" s="288"/>
      <c r="X12" s="288"/>
      <c r="Y12" s="288"/>
      <c r="Z12" s="288"/>
      <c r="AA12" s="42"/>
    </row>
    <row r="13" spans="2:44">
      <c r="B13" s="5" t="s">
        <v>524</v>
      </c>
      <c r="C13" s="257"/>
      <c r="D13" s="529">
        <v>2093.8000000000002</v>
      </c>
      <c r="E13" s="529">
        <v>2093.8000000000002</v>
      </c>
      <c r="F13" s="529">
        <v>2093.8000000000002</v>
      </c>
      <c r="G13" s="529">
        <v>2093.8000000000002</v>
      </c>
      <c r="H13" s="247"/>
      <c r="I13" s="247"/>
      <c r="J13" s="5" t="s">
        <v>525</v>
      </c>
      <c r="L13" s="525">
        <f>'LATAM CELLULAR'!D41</f>
        <v>1.913278313401171</v>
      </c>
      <c r="M13" s="525">
        <f>'LATAM CELLULAR'!E41</f>
        <v>1.8419298381889415</v>
      </c>
      <c r="N13" s="525">
        <f>'LATAM CELLULAR'!F41</f>
        <v>1.7245299259805054</v>
      </c>
      <c r="O13" s="525">
        <f>'LATAM CELLULAR'!G41</f>
        <v>1.5682927508454187</v>
      </c>
      <c r="P13" s="286">
        <f>'LATAM CELLULAR'!H41</f>
        <v>4.1421925732731957E-4</v>
      </c>
      <c r="S13" s="42"/>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7"/>
      <c r="I14" s="247"/>
      <c r="J14" s="5" t="s">
        <v>588</v>
      </c>
      <c r="L14" s="525">
        <f>'LATAM CELLULAR'!D42</f>
        <v>1.4348277635777664</v>
      </c>
      <c r="M14" s="525">
        <f>'LATAM CELLULAR'!E42</f>
        <v>1.368629959068183</v>
      </c>
      <c r="N14" s="525">
        <f>'LATAM CELLULAR'!F42</f>
        <v>1.2739435355271413</v>
      </c>
      <c r="O14" s="525">
        <f>'LATAM CELLULAR'!G42</f>
        <v>1.152261214295307</v>
      </c>
      <c r="P14" s="286">
        <f>'LATAM CELLULAR'!H42</f>
        <v>7.2697555235381461E-3</v>
      </c>
      <c r="S14" s="42"/>
      <c r="T14" s="42"/>
      <c r="U14" s="42"/>
      <c r="V14" s="42"/>
      <c r="W14" s="42"/>
      <c r="X14" s="42"/>
      <c r="Y14" s="42"/>
      <c r="Z14" s="42"/>
      <c r="AA14" s="42"/>
    </row>
    <row r="15" spans="2:44">
      <c r="B15" s="5" t="s">
        <v>526</v>
      </c>
      <c r="C15" s="274"/>
      <c r="D15" s="529">
        <v>0</v>
      </c>
      <c r="E15" s="529">
        <f t="shared" si="2"/>
        <v>0</v>
      </c>
      <c r="F15" s="529">
        <f t="shared" si="2"/>
        <v>0</v>
      </c>
      <c r="G15" s="529">
        <f t="shared" si="2"/>
        <v>0</v>
      </c>
      <c r="H15" s="247"/>
      <c r="I15" s="247"/>
      <c r="J15" s="5" t="s">
        <v>470</v>
      </c>
      <c r="L15" s="525">
        <f>'LATAM CELLULAR'!D43</f>
        <v>12.696565346959199</v>
      </c>
      <c r="M15" s="525">
        <f>'LATAM CELLULAR'!E43</f>
        <v>9.7389661726429697</v>
      </c>
      <c r="N15" s="525">
        <f>'LATAM CELLULAR'!F43</f>
        <v>7.933488581340792</v>
      </c>
      <c r="O15" s="525">
        <f>'LATAM CELLULAR'!G43</f>
        <v>6.4262071873496796</v>
      </c>
      <c r="P15" s="286">
        <f>'LATAM CELLULAR'!H43</f>
        <v>0.20320186438666643</v>
      </c>
      <c r="S15" s="42"/>
      <c r="T15" s="42"/>
      <c r="U15" s="42"/>
      <c r="V15" s="42"/>
      <c r="W15" s="42"/>
      <c r="X15" s="42"/>
      <c r="Y15" s="42"/>
      <c r="Z15" s="42"/>
      <c r="AA15" s="42"/>
    </row>
    <row r="16" spans="2:44">
      <c r="B16" s="5" t="s">
        <v>529</v>
      </c>
      <c r="C16" s="257"/>
      <c r="D16" s="529">
        <v>1355</v>
      </c>
      <c r="E16" s="529">
        <v>4690</v>
      </c>
      <c r="F16" s="529">
        <v>8191.75</v>
      </c>
      <c r="G16" s="529">
        <v>11868.5875</v>
      </c>
      <c r="H16" s="247"/>
      <c r="I16" s="247"/>
      <c r="J16" s="5" t="s">
        <v>528</v>
      </c>
      <c r="L16" s="525">
        <f>'LATAM CELLULAR'!D44</f>
        <v>12.032481425695035</v>
      </c>
      <c r="M16" s="525">
        <f>'LATAM CELLULAR'!E44</f>
        <v>9.1314970189163951</v>
      </c>
      <c r="N16" s="525">
        <f>'LATAM CELLULAR'!F44</f>
        <v>6.8170283475189164</v>
      </c>
      <c r="O16" s="525">
        <f>'LATAM CELLULAR'!G44</f>
        <v>5.7531932566725024</v>
      </c>
      <c r="P16" s="286">
        <f>'LATAM CELLULAR'!H44</f>
        <v>0.25833924352795901</v>
      </c>
      <c r="S16" s="42"/>
      <c r="T16" s="42"/>
      <c r="U16" s="42"/>
      <c r="V16" s="42"/>
      <c r="W16" s="42"/>
      <c r="X16" s="42"/>
      <c r="Y16" s="42"/>
      <c r="Z16" s="42"/>
      <c r="AA16" s="42"/>
    </row>
    <row r="17" spans="2:27">
      <c r="B17" s="5" t="s">
        <v>6</v>
      </c>
      <c r="C17" s="257"/>
      <c r="D17" s="529">
        <v>1166.2286623293303</v>
      </c>
      <c r="E17" s="529">
        <v>1166.2286623293303</v>
      </c>
      <c r="F17" s="529">
        <v>1166.2286623293303</v>
      </c>
      <c r="G17" s="529">
        <v>1166.2286623293303</v>
      </c>
      <c r="H17" s="247"/>
      <c r="I17" s="247"/>
      <c r="J17" s="5" t="s">
        <v>575</v>
      </c>
      <c r="L17" s="248">
        <f>'LATAM CELLULAR'!D45</f>
        <v>3.4312714157629799E-2</v>
      </c>
      <c r="M17" s="248">
        <f>'LATAM CELLULAR'!E45</f>
        <v>4.8901958681009668E-2</v>
      </c>
      <c r="N17" s="248">
        <f>'LATAM CELLULAR'!F45</f>
        <v>5.7463028133344397E-2</v>
      </c>
      <c r="O17" s="248">
        <f>'LATAM CELLULAR'!G45</f>
        <v>6.1989139812626819E-2</v>
      </c>
      <c r="P17" s="286">
        <f>'LATAM CELLULAR'!H45</f>
        <v>0.19840195224916335</v>
      </c>
      <c r="S17" s="42"/>
      <c r="T17" s="42"/>
      <c r="U17" s="42"/>
      <c r="V17" s="42"/>
      <c r="W17" s="42"/>
      <c r="X17" s="42"/>
      <c r="Y17" s="42"/>
      <c r="Z17" s="42"/>
      <c r="AA17" s="42"/>
    </row>
    <row r="18" spans="2:27" ht="12.6" thickBot="1">
      <c r="B18" s="41" t="s">
        <v>578</v>
      </c>
      <c r="C18" s="249"/>
      <c r="D18" s="530">
        <f>D11+D12+D13-D14+D15-D16-D17</f>
        <v>46804.592632297077</v>
      </c>
      <c r="E18" s="530">
        <f>E11+E12+E13-E14+E15-E16-E17</f>
        <v>41993.060370374165</v>
      </c>
      <c r="F18" s="530">
        <f>F11+F12+F13-F14+F15-F16-F17</f>
        <v>36102.765390237269</v>
      </c>
      <c r="G18" s="530">
        <f>G11+G12+G13-G14+G15-G16-G17</f>
        <v>28953.780451514347</v>
      </c>
      <c r="H18" s="276">
        <f>IF(D18=0,"nm",IF(G18=0,"nm",(G18/D18)^(1/3)-1))</f>
        <v>-0.1479358970224679</v>
      </c>
      <c r="I18" s="254"/>
      <c r="J18" s="5" t="s">
        <v>36</v>
      </c>
      <c r="L18" s="248">
        <f>'LATAM CELLULAR'!D46</f>
        <v>3.4312714157629799E-2</v>
      </c>
      <c r="M18" s="248">
        <f>'LATAM CELLULAR'!E46</f>
        <v>4.8901958681009668E-2</v>
      </c>
      <c r="N18" s="248">
        <f>'LATAM CELLULAR'!F46</f>
        <v>5.7945694776289053E-2</v>
      </c>
      <c r="O18" s="248">
        <f>'LATAM CELLULAR'!G46</f>
        <v>6.3444003937853016E-2</v>
      </c>
      <c r="P18" s="286">
        <f>'LATAM CELLULAR'!H46</f>
        <v>0.2077049110414857</v>
      </c>
      <c r="S18" s="42"/>
      <c r="T18" s="42"/>
      <c r="U18" s="42"/>
      <c r="V18" s="42"/>
      <c r="W18" s="42"/>
      <c r="X18" s="42"/>
      <c r="Y18" s="42"/>
      <c r="Z18" s="42"/>
      <c r="AA18" s="42"/>
    </row>
    <row r="19" spans="2:27" ht="12.6" thickTop="1">
      <c r="B19" s="41"/>
      <c r="C19" s="249"/>
      <c r="D19" s="229"/>
      <c r="E19" s="229"/>
      <c r="F19" s="229"/>
      <c r="G19" s="229"/>
      <c r="H19" s="276"/>
      <c r="I19" s="254"/>
      <c r="J19" s="5" t="s">
        <v>576</v>
      </c>
      <c r="L19" s="248">
        <f>'LATAM CELLULAR'!D47</f>
        <v>7.8761458132415155E-2</v>
      </c>
      <c r="M19" s="248">
        <f>'LATAM CELLULAR'!E47</f>
        <v>0.10268030325529091</v>
      </c>
      <c r="N19" s="248">
        <f>'LATAM CELLULAR'!F47</f>
        <v>0.12604795352601314</v>
      </c>
      <c r="O19" s="248">
        <f>'LATAM CELLULAR'!G47</f>
        <v>0.15561278540295925</v>
      </c>
      <c r="P19" s="286">
        <f>'LATAM CELLULAR'!H47</f>
        <v>0.20320186438666643</v>
      </c>
      <c r="S19" s="42"/>
      <c r="T19" s="42"/>
      <c r="U19" s="42"/>
      <c r="V19" s="42"/>
      <c r="W19" s="42"/>
      <c r="X19" s="42"/>
      <c r="Y19" s="42"/>
      <c r="Z19" s="42"/>
      <c r="AA19" s="42"/>
    </row>
    <row r="20" spans="2:27">
      <c r="H20" s="277"/>
      <c r="I20" s="17"/>
      <c r="J20" s="5" t="s">
        <v>599</v>
      </c>
      <c r="L20" s="305">
        <f>'LATAM CELLULAR'!D48</f>
        <v>0.3418050824667247</v>
      </c>
      <c r="M20" s="305">
        <f>'LATAM CELLULAR'!E48</f>
        <v>0.37101764015947974</v>
      </c>
      <c r="N20" s="305">
        <f>'LATAM CELLULAR'!F48</f>
        <v>0.35093660459743997</v>
      </c>
      <c r="O20" s="305">
        <f>'LATAM CELLULAR'!G48</f>
        <v>0.3377307085109536</v>
      </c>
      <c r="P20" s="286" t="str">
        <f>'LATAM CELLULAR'!H48</f>
        <v>nm</v>
      </c>
      <c r="S20" s="42"/>
      <c r="T20" s="42"/>
      <c r="U20" s="42"/>
      <c r="V20" s="42"/>
      <c r="W20" s="42"/>
      <c r="X20" s="42"/>
      <c r="Y20" s="42"/>
      <c r="Z20" s="42"/>
      <c r="AA20" s="42"/>
    </row>
    <row r="21" spans="2:27" ht="12.6" thickBot="1">
      <c r="B21" s="306" t="s">
        <v>939</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21580.368157863599</v>
      </c>
      <c r="D23" s="536">
        <v>23911.93880672985</v>
      </c>
      <c r="E23" s="536">
        <v>25701.756848633602</v>
      </c>
      <c r="F23" s="536">
        <v>27272.259899104658</v>
      </c>
      <c r="G23" s="536">
        <v>28471.18974550211</v>
      </c>
      <c r="H23" s="279">
        <f t="shared" ref="H23:H30" si="4">IF(D23=0,"nm",IF(G23=0,"nm",(G23/D23)^(1/3)-1))</f>
        <v>5.9896866881330002E-2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478</v>
      </c>
      <c r="C24" s="545">
        <v>10236.2852219795</v>
      </c>
      <c r="D24" s="536">
        <v>11733.671976843872</v>
      </c>
      <c r="E24" s="536">
        <v>12888.017010916112</v>
      </c>
      <c r="F24" s="536">
        <v>13891.145726155417</v>
      </c>
      <c r="G24" s="536">
        <v>14442.950043445786</v>
      </c>
      <c r="H24" s="279">
        <f t="shared" si="4"/>
        <v>7.1701870419550895E-2</v>
      </c>
      <c r="I24" s="249"/>
      <c r="J24" s="17"/>
      <c r="K24" s="17"/>
      <c r="L24" s="17"/>
      <c r="M24" s="17"/>
      <c r="N24" s="17"/>
      <c r="O24" s="248"/>
      <c r="S24" s="42"/>
      <c r="T24" s="42"/>
      <c r="U24" s="42"/>
      <c r="V24" s="42"/>
      <c r="W24" s="42" t="s">
        <v>174</v>
      </c>
      <c r="X24" s="42" t="s">
        <v>509</v>
      </c>
      <c r="Y24" s="42"/>
      <c r="Z24" s="42"/>
      <c r="AA24" s="42"/>
    </row>
    <row r="25" spans="2:27">
      <c r="B25" s="5" t="s">
        <v>179</v>
      </c>
      <c r="C25" s="544">
        <v>5506.2852219795004</v>
      </c>
      <c r="D25" s="536">
        <v>7192.8719768438723</v>
      </c>
      <c r="E25" s="536">
        <v>8392.6250109161119</v>
      </c>
      <c r="F25" s="536">
        <v>9440.707646155417</v>
      </c>
      <c r="G25" s="536">
        <v>9814.4944402457859</v>
      </c>
      <c r="H25" s="279">
        <f t="shared" si="4"/>
        <v>0.10914553252012116</v>
      </c>
      <c r="I25" s="248"/>
      <c r="J25" s="247" t="s">
        <v>10</v>
      </c>
      <c r="K25" s="247"/>
      <c r="L25" s="321">
        <v>0</v>
      </c>
      <c r="M25" s="321">
        <v>0</v>
      </c>
      <c r="N25" s="321">
        <v>0</v>
      </c>
      <c r="O25" s="321">
        <v>0</v>
      </c>
      <c r="P25" s="279" t="str">
        <f>IF(L25=0,"nm",IF(O25=0,"nm",(O25/L25)^(1/3)-1))</f>
        <v>nm</v>
      </c>
      <c r="S25" s="42"/>
      <c r="T25" s="42"/>
      <c r="U25" s="42"/>
      <c r="V25" s="147" t="s">
        <v>268</v>
      </c>
      <c r="W25" s="288">
        <f>D37/L9</f>
        <v>0.88042270995263217</v>
      </c>
      <c r="X25" s="288">
        <v>1</v>
      </c>
      <c r="Y25" s="42"/>
      <c r="Z25" s="42"/>
      <c r="AA25" s="42"/>
    </row>
    <row r="26" spans="2:27">
      <c r="B26" s="5" t="s">
        <v>581</v>
      </c>
      <c r="C26" s="544">
        <v>5230.9709608805251</v>
      </c>
      <c r="D26" s="536">
        <v>6329.7273396226074</v>
      </c>
      <c r="E26" s="536">
        <v>7217.6575093878564</v>
      </c>
      <c r="F26" s="536">
        <v>7646.9731933858884</v>
      </c>
      <c r="G26" s="536">
        <v>7655.3056633917131</v>
      </c>
      <c r="H26" s="279">
        <f t="shared" si="4"/>
        <v>6.5432264633138004E-2</v>
      </c>
      <c r="I26" s="249"/>
      <c r="J26" s="249" t="s">
        <v>11</v>
      </c>
      <c r="K26" s="249"/>
      <c r="L26" s="281">
        <f>D11+L25</f>
        <v>32507.464052000003</v>
      </c>
      <c r="M26" s="281">
        <f>E11+M25</f>
        <v>32507.464052000003</v>
      </c>
      <c r="N26" s="281">
        <f>F11+N25</f>
        <v>32507.464052000003</v>
      </c>
      <c r="O26" s="281">
        <f>G11+O25</f>
        <v>32507.464052000003</v>
      </c>
      <c r="P26" s="279">
        <f>IF(L26=0,"nm",IF(O26=0,"nm",(O26/L26)^(1/3)-1))</f>
        <v>0</v>
      </c>
      <c r="Q26" s="5"/>
      <c r="S26" s="42"/>
      <c r="T26" s="42"/>
      <c r="U26" s="42"/>
      <c r="V26" s="147" t="s">
        <v>180</v>
      </c>
      <c r="W26" s="288">
        <f t="shared" ref="W26:W33" si="6">D38/L10</f>
        <v>0.71855181144889912</v>
      </c>
      <c r="X26" s="288">
        <v>1</v>
      </c>
      <c r="Y26" s="42"/>
      <c r="Z26" s="42"/>
      <c r="AA26" s="42"/>
    </row>
    <row r="27" spans="2:27">
      <c r="B27" s="5" t="s">
        <v>582</v>
      </c>
      <c r="C27" s="545">
        <v>39232.017</v>
      </c>
      <c r="D27" s="536">
        <v>40147.143470313044</v>
      </c>
      <c r="E27" s="536">
        <v>39475.154261046053</v>
      </c>
      <c r="F27" s="536">
        <v>38981.712186497141</v>
      </c>
      <c r="G27" s="536">
        <v>38156.651557042467</v>
      </c>
      <c r="H27" s="279">
        <f t="shared" si="4"/>
        <v>-1.6807548965773189E-2</v>
      </c>
      <c r="I27" s="249"/>
      <c r="J27" s="248"/>
      <c r="K27" s="248"/>
      <c r="L27" s="248"/>
      <c r="M27" s="248"/>
      <c r="N27" s="248"/>
      <c r="O27" s="248"/>
      <c r="Q27" s="41"/>
      <c r="S27" s="42"/>
      <c r="T27" s="42"/>
      <c r="U27" s="42"/>
      <c r="V27" s="147" t="s">
        <v>181</v>
      </c>
      <c r="W27" s="288">
        <f t="shared" si="6"/>
        <v>0.67452383518266534</v>
      </c>
      <c r="X27" s="288">
        <v>1</v>
      </c>
      <c r="Y27" s="42"/>
      <c r="Z27" s="42"/>
      <c r="AA27" s="42"/>
    </row>
    <row r="28" spans="2:27" ht="12.6" thickBot="1">
      <c r="B28" s="5" t="s">
        <v>587</v>
      </c>
      <c r="C28" s="544">
        <v>22661.151999999998</v>
      </c>
      <c r="D28" s="536">
        <v>23238.095205697973</v>
      </c>
      <c r="E28" s="536">
        <v>24324.318166804202</v>
      </c>
      <c r="F28" s="536">
        <v>25327.597050551987</v>
      </c>
      <c r="G28" s="536">
        <v>26621.08736428844</v>
      </c>
      <c r="H28" s="279">
        <f t="shared" si="4"/>
        <v>4.6345444874369202E-2</v>
      </c>
      <c r="I28" s="248"/>
      <c r="J28" s="306" t="s">
        <v>1352</v>
      </c>
      <c r="K28" s="306"/>
      <c r="L28" s="306"/>
      <c r="M28" s="306"/>
      <c r="N28" s="266"/>
      <c r="O28" s="266"/>
      <c r="P28" s="266"/>
      <c r="Q28" s="5"/>
      <c r="S28" s="42"/>
      <c r="T28" s="42"/>
      <c r="U28" s="42"/>
      <c r="V28" s="147" t="s">
        <v>461</v>
      </c>
      <c r="W28" s="288">
        <f t="shared" si="6"/>
        <v>0.61128939660055204</v>
      </c>
      <c r="X28" s="288">
        <v>1</v>
      </c>
      <c r="Y28" s="42"/>
      <c r="Z28" s="42"/>
      <c r="AA28" s="42"/>
    </row>
    <row r="29" spans="2:27" ht="12.6" thickTop="1">
      <c r="B29" s="5" t="s">
        <v>583</v>
      </c>
      <c r="C29" s="544">
        <v>2425.1346419795004</v>
      </c>
      <c r="D29" s="536">
        <v>3532.6523843278082</v>
      </c>
      <c r="E29" s="536">
        <v>4776.0374881667576</v>
      </c>
      <c r="F29" s="536">
        <v>5813.0723856727018</v>
      </c>
      <c r="G29" s="536">
        <v>6250.5030594993832</v>
      </c>
      <c r="H29" s="279">
        <f t="shared" si="4"/>
        <v>0.20949670386105068</v>
      </c>
      <c r="I29" s="252"/>
      <c r="J29" s="249"/>
      <c r="K29" s="249"/>
      <c r="L29" s="249"/>
      <c r="M29" s="249"/>
      <c r="N29" s="249"/>
      <c r="O29" s="251"/>
      <c r="Q29" s="5"/>
      <c r="S29" s="42"/>
      <c r="T29" s="42"/>
      <c r="U29" s="42"/>
      <c r="V29" s="147" t="s">
        <v>525</v>
      </c>
      <c r="W29" s="288">
        <f t="shared" si="6"/>
        <v>0.60933436329473833</v>
      </c>
      <c r="X29" s="288">
        <v>1</v>
      </c>
      <c r="Y29" s="42"/>
      <c r="Z29" s="42"/>
      <c r="AA29" s="42"/>
    </row>
    <row r="30" spans="2:27">
      <c r="B30" s="5" t="s">
        <v>584</v>
      </c>
      <c r="C30" s="545">
        <v>1851.155221979501</v>
      </c>
      <c r="D30" s="536">
        <v>2525.2212276866335</v>
      </c>
      <c r="E30" s="536">
        <v>3789.5430526559267</v>
      </c>
      <c r="F30" s="536">
        <v>5096.8529055879881</v>
      </c>
      <c r="G30" s="536">
        <v>6073.9243092682445</v>
      </c>
      <c r="H30" s="279">
        <f t="shared" si="4"/>
        <v>0.33985144217270324</v>
      </c>
      <c r="I30" s="254"/>
      <c r="J30" s="248"/>
      <c r="K30" s="248"/>
      <c r="L30" s="248"/>
      <c r="M30" s="248"/>
      <c r="N30" s="248"/>
      <c r="O30" s="5"/>
      <c r="Q30" s="5"/>
      <c r="S30" s="42"/>
      <c r="T30" s="42"/>
      <c r="U30" s="42"/>
      <c r="V30" s="147" t="s">
        <v>588</v>
      </c>
      <c r="W30" s="288">
        <f t="shared" si="6"/>
        <v>1.403744835395512</v>
      </c>
      <c r="X30" s="288">
        <v>1</v>
      </c>
      <c r="Y30" s="42"/>
      <c r="Z30" s="42"/>
      <c r="AA30" s="42"/>
    </row>
    <row r="31" spans="2:27">
      <c r="B31" s="5" t="s">
        <v>585</v>
      </c>
      <c r="C31" s="545">
        <v>1047.5</v>
      </c>
      <c r="D31" s="536">
        <v>2000</v>
      </c>
      <c r="E31" s="536">
        <v>2900</v>
      </c>
      <c r="F31" s="536">
        <v>3334.9999999999995</v>
      </c>
      <c r="G31" s="536">
        <v>3501.7499999999995</v>
      </c>
      <c r="H31" s="279">
        <f>IF(D31=0,"nm",IF(G31=0,"nm",(G31/D31)^(1/3)-1))</f>
        <v>0.20527194381139346</v>
      </c>
      <c r="I31" s="254"/>
      <c r="J31" s="252"/>
      <c r="K31" s="252"/>
      <c r="L31" s="252"/>
      <c r="M31" s="252"/>
      <c r="N31" s="252"/>
      <c r="O31" s="5"/>
      <c r="Q31" s="5"/>
      <c r="S31" s="42"/>
      <c r="T31" s="42"/>
      <c r="U31" s="42"/>
      <c r="V31" s="147" t="s">
        <v>470</v>
      </c>
      <c r="W31" s="288">
        <f t="shared" si="6"/>
        <v>0.72476286664411471</v>
      </c>
      <c r="X31" s="288">
        <v>1</v>
      </c>
      <c r="Y31" s="42"/>
      <c r="Z31" s="42"/>
      <c r="AA31" s="42"/>
    </row>
    <row r="32" spans="2:27">
      <c r="B32" s="5" t="s">
        <v>601</v>
      </c>
      <c r="C32" s="546">
        <v>0</v>
      </c>
      <c r="D32" s="536">
        <v>0</v>
      </c>
      <c r="E32" s="536">
        <v>0</v>
      </c>
      <c r="F32" s="536">
        <v>0</v>
      </c>
      <c r="G32" s="536">
        <v>0</v>
      </c>
      <c r="H32" s="279" t="str">
        <f>IF(D32=0,"nm",IF(G32=0,"nm",(G32/D32)^(1/3)-1))</f>
        <v>nm</v>
      </c>
      <c r="I32" s="254"/>
      <c r="J32" s="254"/>
      <c r="K32" s="254"/>
      <c r="L32" s="254"/>
      <c r="M32" s="254"/>
      <c r="N32" s="254"/>
      <c r="O32" s="251"/>
      <c r="Q32" s="5"/>
      <c r="S32" s="42"/>
      <c r="T32" s="42"/>
      <c r="U32" s="42"/>
      <c r="V32" s="147" t="s">
        <v>528</v>
      </c>
      <c r="W32" s="288">
        <f t="shared" si="6"/>
        <v>1.069863717751768</v>
      </c>
      <c r="X32" s="288">
        <v>1</v>
      </c>
      <c r="Y32" s="42"/>
      <c r="Z32" s="42"/>
      <c r="AA32" s="42"/>
    </row>
    <row r="33" spans="2:27">
      <c r="B33" s="5" t="s">
        <v>5</v>
      </c>
      <c r="C33" s="545">
        <v>1439.0085722399999</v>
      </c>
      <c r="D33" s="536">
        <v>1488.9019779234691</v>
      </c>
      <c r="E33" s="536">
        <v>1359.8115930388153</v>
      </c>
      <c r="F33" s="536">
        <v>1152.405603173951</v>
      </c>
      <c r="G33" s="536">
        <v>791.66720791749094</v>
      </c>
      <c r="H33" s="279">
        <f>IF(D33=0,"nm",IF(G33=0,"nm",(G33/D33)^(1/3)-1))</f>
        <v>-0.18986228674859773</v>
      </c>
      <c r="I33" s="5"/>
      <c r="J33" s="254"/>
      <c r="K33" s="254"/>
      <c r="L33" s="254"/>
      <c r="M33" s="254"/>
      <c r="N33" s="254"/>
      <c r="O33" s="251"/>
      <c r="Q33" s="5"/>
      <c r="S33" s="42"/>
      <c r="T33" s="42"/>
      <c r="U33" s="42"/>
      <c r="V33" s="147" t="s">
        <v>575</v>
      </c>
      <c r="W33" s="288">
        <f t="shared" si="6"/>
        <v>1.7930476553012191</v>
      </c>
      <c r="X33" s="288">
        <v>1</v>
      </c>
      <c r="Y33" s="42"/>
      <c r="Z33" s="42"/>
      <c r="AA33" s="42"/>
    </row>
    <row r="34" spans="2:27">
      <c r="D34" s="5"/>
      <c r="E34" s="5"/>
      <c r="F34" s="5"/>
      <c r="G34" s="5"/>
      <c r="I34" s="49"/>
      <c r="J34" s="254"/>
      <c r="K34" s="254"/>
      <c r="L34" s="254"/>
      <c r="M34" s="254"/>
      <c r="N34" s="254"/>
      <c r="O34" s="251"/>
      <c r="Q34" s="5"/>
      <c r="S34" s="42"/>
      <c r="T34" s="42"/>
      <c r="U34" s="42"/>
      <c r="V34" s="147" t="s">
        <v>576</v>
      </c>
      <c r="W34" s="288">
        <f>D47/L19</f>
        <v>1.3797616379414164</v>
      </c>
      <c r="X34" s="288">
        <v>1</v>
      </c>
      <c r="Y34" s="288"/>
      <c r="Z34" s="288"/>
      <c r="AA34" s="42"/>
    </row>
    <row r="35" spans="2:27" ht="12.6" thickBot="1">
      <c r="B35" s="306" t="s">
        <v>175</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1.9573733861816445</v>
      </c>
      <c r="E37" s="525">
        <f t="shared" ref="E37:G41" si="8">E$18/E23</f>
        <v>1.633859530213658</v>
      </c>
      <c r="F37" s="525">
        <f t="shared" si="8"/>
        <v>1.3237907501542443</v>
      </c>
      <c r="G37" s="525">
        <f t="shared" si="8"/>
        <v>1.0169501418917162</v>
      </c>
      <c r="H37" s="17">
        <f t="shared" ref="H37:H45" si="9">H23</f>
        <v>5.9896866881330002E-2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3.9889126545095897</v>
      </c>
      <c r="E38" s="525">
        <f t="shared" si="8"/>
        <v>3.2583026802964468</v>
      </c>
      <c r="F38" s="525">
        <f t="shared" si="8"/>
        <v>2.5989767944237996</v>
      </c>
      <c r="G38" s="525">
        <f t="shared" si="8"/>
        <v>2.0046998961028448</v>
      </c>
      <c r="H38" s="17">
        <f t="shared" si="9"/>
        <v>7.1701870419550895E-2</v>
      </c>
      <c r="I38" s="259"/>
      <c r="J38" s="17"/>
      <c r="K38" s="17"/>
      <c r="L38" s="17"/>
      <c r="M38" s="17"/>
      <c r="N38" s="17"/>
      <c r="O38" s="5"/>
      <c r="Q38" s="5"/>
      <c r="R38" s="5"/>
      <c r="S38" s="42"/>
      <c r="T38" s="42"/>
      <c r="U38" s="42"/>
      <c r="V38" s="42"/>
      <c r="W38" s="42"/>
      <c r="X38" s="42"/>
      <c r="Y38" s="42"/>
      <c r="Z38" s="42"/>
      <c r="AA38" s="42"/>
    </row>
    <row r="39" spans="2:27">
      <c r="B39" s="5" t="s">
        <v>181</v>
      </c>
      <c r="C39" s="247"/>
      <c r="D39" s="525">
        <f>D$18/D25</f>
        <v>6.5070798956210885</v>
      </c>
      <c r="E39" s="525">
        <f t="shared" si="8"/>
        <v>5.0035668596839091</v>
      </c>
      <c r="F39" s="525">
        <f t="shared" si="8"/>
        <v>3.8241588176856176</v>
      </c>
      <c r="G39" s="525">
        <f t="shared" si="8"/>
        <v>2.9501041167016293</v>
      </c>
      <c r="H39" s="17">
        <f t="shared" si="9"/>
        <v>0.10914553252012116</v>
      </c>
      <c r="I39" s="17"/>
      <c r="J39" s="5"/>
      <c r="K39" s="5"/>
      <c r="L39" s="5"/>
      <c r="M39" s="5"/>
      <c r="N39" s="5"/>
      <c r="O39" s="5"/>
      <c r="Q39" s="5"/>
      <c r="R39" s="5"/>
      <c r="S39" s="42"/>
      <c r="T39" s="42"/>
      <c r="U39" s="42"/>
      <c r="V39" s="42"/>
      <c r="W39" s="42"/>
      <c r="X39" s="42"/>
      <c r="Y39" s="42"/>
      <c r="Z39" s="42"/>
      <c r="AA39" s="42"/>
    </row>
    <row r="40" spans="2:27">
      <c r="B40" s="5" t="s">
        <v>461</v>
      </c>
      <c r="C40" s="247"/>
      <c r="D40" s="525">
        <f>D$18/D26</f>
        <v>7.3944089722966915</v>
      </c>
      <c r="E40" s="525">
        <f t="shared" si="8"/>
        <v>5.8181009996324526</v>
      </c>
      <c r="F40" s="525">
        <f t="shared" si="8"/>
        <v>4.7211837255377995</v>
      </c>
      <c r="G40" s="525">
        <f t="shared" si="8"/>
        <v>3.7821847650020888</v>
      </c>
      <c r="H40" s="17">
        <f t="shared" si="9"/>
        <v>6.5432264633138004E-2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1.1658262229019334</v>
      </c>
      <c r="E41" s="525">
        <f t="shared" si="8"/>
        <v>1.0637845793502769</v>
      </c>
      <c r="F41" s="525">
        <f t="shared" si="8"/>
        <v>0.9261462199893542</v>
      </c>
      <c r="G41" s="525">
        <f t="shared" si="8"/>
        <v>0.75881345112869125</v>
      </c>
      <c r="H41" s="17">
        <f t="shared" si="9"/>
        <v>-1.6807548965773189E-2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2.0141320628043822</v>
      </c>
      <c r="E42" s="525">
        <f>E18/E28</f>
        <v>1.7263818078026454</v>
      </c>
      <c r="F42" s="525">
        <f>F18/F28</f>
        <v>1.4254319238488693</v>
      </c>
      <c r="G42" s="525">
        <f>G18/G28</f>
        <v>1.0876257628136994</v>
      </c>
      <c r="H42" s="17">
        <f t="shared" si="9"/>
        <v>4.6345444874369202E-2</v>
      </c>
      <c r="I42" s="248"/>
      <c r="J42" s="5"/>
      <c r="K42" s="5"/>
      <c r="L42" s="5"/>
      <c r="M42" s="5"/>
      <c r="N42" s="5"/>
      <c r="O42" s="5"/>
      <c r="Q42" s="5"/>
      <c r="R42" s="5"/>
      <c r="S42" s="42"/>
      <c r="T42" s="42"/>
      <c r="U42" s="42"/>
      <c r="V42" s="42"/>
      <c r="W42" s="288"/>
      <c r="X42" s="288"/>
      <c r="Y42" s="288"/>
      <c r="Z42" s="288"/>
      <c r="AA42" s="42"/>
    </row>
    <row r="43" spans="2:27">
      <c r="B43" s="5" t="s">
        <v>470</v>
      </c>
      <c r="C43" s="247"/>
      <c r="D43" s="525">
        <f>L26/D29</f>
        <v>9.2019990973964774</v>
      </c>
      <c r="E43" s="525">
        <f>M26/E29</f>
        <v>6.8063670213103213</v>
      </c>
      <c r="F43" s="525">
        <f>N26/F29</f>
        <v>5.5921313025655994</v>
      </c>
      <c r="G43" s="525">
        <f>O26/G29</f>
        <v>5.2007756403855918</v>
      </c>
      <c r="H43" s="17">
        <f t="shared" si="9"/>
        <v>0.20949670386105068</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12.873115311873185</v>
      </c>
      <c r="E44" s="525">
        <f>E11/E30</f>
        <v>8.5782015404777976</v>
      </c>
      <c r="F44" s="525">
        <f>F11/F30</f>
        <v>6.3779482465268131</v>
      </c>
      <c r="G44" s="525">
        <f>G11/G30</f>
        <v>5.3519705542587399</v>
      </c>
      <c r="H44" s="17">
        <f t="shared" si="9"/>
        <v>0.33985144217270324</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6.1524331667359058E-2</v>
      </c>
      <c r="E45" s="248">
        <f>E31/E11</f>
        <v>8.9210280917670637E-2</v>
      </c>
      <c r="F45" s="248">
        <f>F31/F11</f>
        <v>0.10259182305532122</v>
      </c>
      <c r="G45" s="248">
        <f>G31/G11</f>
        <v>0.10772141420808727</v>
      </c>
      <c r="H45" s="17">
        <f t="shared" si="9"/>
        <v>0.20527194381139346</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6.1524331667359058E-2</v>
      </c>
      <c r="E46" s="248">
        <f>(E31+E32)/E11</f>
        <v>8.9210280917670637E-2</v>
      </c>
      <c r="F46" s="248">
        <f>(F31+F32)/F11</f>
        <v>0.10259182305532122</v>
      </c>
      <c r="G46" s="248">
        <f>(G31+G32)/G11</f>
        <v>0.10772141420808727</v>
      </c>
      <c r="H46" s="279">
        <f>((G31+G32)/(D31+D32))^(1/3)-1</f>
        <v>0.20527194381139346</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0.10867203847943542</v>
      </c>
      <c r="E47" s="248">
        <f>1/E43</f>
        <v>0.14692125723885602</v>
      </c>
      <c r="F47" s="248">
        <f>1/F43</f>
        <v>0.17882269673124673</v>
      </c>
      <c r="G47" s="248">
        <f>1/G43</f>
        <v>0.19227901166024128</v>
      </c>
      <c r="H47" s="17">
        <f>H29</f>
        <v>0.20949670386105068</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0.56614684447095953</v>
      </c>
      <c r="E48" s="305">
        <f>E31/E29</f>
        <v>0.60719791399986289</v>
      </c>
      <c r="F48" s="305">
        <f>F31/F29</f>
        <v>0.57370694509493292</v>
      </c>
      <c r="G48" s="305">
        <f>G31/G29</f>
        <v>0.56023490696130662</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6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912</v>
      </c>
      <c r="C9" s="287">
        <f>Prices!C112</f>
        <v>99.65</v>
      </c>
      <c r="D9" s="529">
        <v>2200</v>
      </c>
      <c r="E9" s="529">
        <v>2200</v>
      </c>
      <c r="F9" s="529">
        <v>2200</v>
      </c>
      <c r="G9" s="529">
        <v>2200</v>
      </c>
      <c r="H9" s="249"/>
      <c r="I9" s="249"/>
      <c r="J9" s="5" t="s">
        <v>268</v>
      </c>
      <c r="L9" s="525">
        <f>'EMEA CELLULAR'!D37</f>
        <v>3.1810559293853995</v>
      </c>
      <c r="M9" s="525">
        <f>'EMEA CELLULAR'!E37</f>
        <v>3.2323872383219907</v>
      </c>
      <c r="N9" s="525">
        <f>'EMEA CELLULAR'!F37</f>
        <v>2.8967593532646405</v>
      </c>
      <c r="O9" s="525">
        <f>'EMEA CELLULAR'!G37</f>
        <v>2.5822840300404155</v>
      </c>
      <c r="P9" s="286">
        <f>'EMEA CELLULAR'!H37</f>
        <v>4.7493644526533263E-2</v>
      </c>
      <c r="S9" s="88"/>
      <c r="T9" s="42"/>
      <c r="U9" s="42"/>
      <c r="V9" s="42"/>
      <c r="W9" s="42"/>
      <c r="X9" s="42"/>
      <c r="Y9" s="42"/>
      <c r="Z9" s="42"/>
      <c r="AA9" s="42"/>
    </row>
    <row r="10" spans="2:44">
      <c r="B10" s="5" t="s">
        <v>269</v>
      </c>
      <c r="C10" s="5"/>
      <c r="D10" s="529">
        <v>2200</v>
      </c>
      <c r="E10" s="529">
        <v>2200</v>
      </c>
      <c r="F10" s="529">
        <v>2200</v>
      </c>
      <c r="G10" s="529">
        <v>2200</v>
      </c>
      <c r="H10" s="249" t="s">
        <v>286</v>
      </c>
      <c r="I10" s="247"/>
      <c r="J10" s="5" t="s">
        <v>180</v>
      </c>
      <c r="L10" s="525">
        <f>'EMEA CELLULAR'!D38</f>
        <v>7.7572766871744339</v>
      </c>
      <c r="M10" s="525">
        <f>'EMEA CELLULAR'!E38</f>
        <v>8.095415565986066</v>
      </c>
      <c r="N10" s="525">
        <f>'EMEA CELLULAR'!F38</f>
        <v>7.1463601536743644</v>
      </c>
      <c r="O10" s="525">
        <f>'EMEA CELLULAR'!G38</f>
        <v>6.3123163660270478</v>
      </c>
      <c r="P10" s="286">
        <f>'EMEA CELLULAR'!H38</f>
        <v>4.6652398847596643E-2</v>
      </c>
      <c r="S10" s="88"/>
      <c r="T10" s="42"/>
      <c r="U10" s="42"/>
      <c r="V10" s="42"/>
      <c r="W10" s="288"/>
      <c r="X10" s="288"/>
      <c r="Y10" s="288"/>
      <c r="Z10" s="288"/>
      <c r="AA10" s="42"/>
    </row>
    <row r="11" spans="2:44">
      <c r="B11" s="41" t="s">
        <v>907</v>
      </c>
      <c r="C11" s="5"/>
      <c r="D11" s="528">
        <f>($C$9*D9)</f>
        <v>219230</v>
      </c>
      <c r="E11" s="528">
        <f t="shared" ref="E11:G11" si="2">($C$9*E9)</f>
        <v>219230</v>
      </c>
      <c r="F11" s="528">
        <f t="shared" si="2"/>
        <v>219230</v>
      </c>
      <c r="G11" s="528">
        <f t="shared" si="2"/>
        <v>219230</v>
      </c>
      <c r="H11" s="249"/>
      <c r="I11" s="249"/>
      <c r="J11" s="5" t="s">
        <v>181</v>
      </c>
      <c r="L11" s="525">
        <f>'EMEA CELLULAR'!D39</f>
        <v>15.605152275252255</v>
      </c>
      <c r="M11" s="525">
        <f>'EMEA CELLULAR'!E39</f>
        <v>14.854063145861112</v>
      </c>
      <c r="N11" s="525">
        <f>'EMEA CELLULAR'!F39</f>
        <v>12.469863163008389</v>
      </c>
      <c r="O11" s="525">
        <f>'EMEA CELLULAR'!G39</f>
        <v>10.733351248281235</v>
      </c>
      <c r="P11" s="286">
        <f>'EMEA CELLULAR'!H39</f>
        <v>0.10698020388173712</v>
      </c>
      <c r="S11" s="88"/>
      <c r="T11" s="42"/>
      <c r="U11" s="42"/>
      <c r="V11" s="42"/>
      <c r="W11" s="288"/>
      <c r="X11" s="288"/>
      <c r="Y11" s="288"/>
      <c r="Z11" s="288"/>
      <c r="AA11" s="42"/>
    </row>
    <row r="12" spans="2:44">
      <c r="B12" s="5" t="s">
        <v>24</v>
      </c>
      <c r="C12" s="249"/>
      <c r="D12" s="529">
        <v>13002.862329265165</v>
      </c>
      <c r="E12" s="529">
        <v>12450.504600542261</v>
      </c>
      <c r="F12" s="529">
        <v>11589.592419988599</v>
      </c>
      <c r="G12" s="529">
        <v>10835.856933898405</v>
      </c>
      <c r="H12" s="247"/>
      <c r="I12" s="247"/>
      <c r="J12" s="5" t="s">
        <v>461</v>
      </c>
      <c r="L12" s="525">
        <f>'EMEA CELLULAR'!D40</f>
        <v>19.965576466556715</v>
      </c>
      <c r="M12" s="525">
        <f>'EMEA CELLULAR'!E40</f>
        <v>18.915055159311862</v>
      </c>
      <c r="N12" s="525">
        <f>'EMEA CELLULAR'!F40</f>
        <v>18.041615049136492</v>
      </c>
      <c r="O12" s="525">
        <f>'EMEA CELLULAR'!G40</f>
        <v>15.593250523045757</v>
      </c>
      <c r="P12" s="286">
        <f>'EMEA CELLULAR'!H40</f>
        <v>6.1069987666233061E-2</v>
      </c>
      <c r="S12" s="88"/>
      <c r="T12" s="42"/>
      <c r="U12" s="42"/>
      <c r="V12" s="42"/>
      <c r="W12" s="288"/>
      <c r="X12" s="288"/>
      <c r="Y12" s="288"/>
      <c r="Z12" s="288"/>
      <c r="AA12" s="42"/>
    </row>
    <row r="13" spans="2:44">
      <c r="B13" s="5" t="s">
        <v>524</v>
      </c>
      <c r="C13" s="257"/>
      <c r="D13" s="529">
        <v>-2114</v>
      </c>
      <c r="E13" s="529">
        <v>-2114</v>
      </c>
      <c r="F13" s="529">
        <v>-2114</v>
      </c>
      <c r="G13" s="529">
        <v>-2114</v>
      </c>
      <c r="H13" s="247"/>
      <c r="I13" s="247"/>
      <c r="J13" s="5" t="s">
        <v>525</v>
      </c>
      <c r="L13" s="525">
        <f>'EMEA CELLULAR'!D41</f>
        <v>2.9187139333758294</v>
      </c>
      <c r="M13" s="525">
        <f>'EMEA CELLULAR'!E41</f>
        <v>2.9515664246277606</v>
      </c>
      <c r="N13" s="525">
        <f>'EMEA CELLULAR'!F41</f>
        <v>2.8267562188907287</v>
      </c>
      <c r="O13" s="525">
        <f>'EMEA CELLULAR'!G41</f>
        <v>2.6673762180421927</v>
      </c>
      <c r="P13" s="286">
        <f>'EMEA CELLULAR'!H41</f>
        <v>6.9271484573356634E-3</v>
      </c>
      <c r="S13" s="88"/>
      <c r="T13" s="42"/>
      <c r="U13" s="42"/>
      <c r="V13" s="42"/>
      <c r="W13" s="42"/>
      <c r="X13" s="42"/>
      <c r="Y13" s="42"/>
      <c r="Z13" s="42"/>
      <c r="AA13" s="42"/>
    </row>
    <row r="14" spans="2:44">
      <c r="B14" s="5" t="s">
        <v>527</v>
      </c>
      <c r="C14" s="257"/>
      <c r="D14" s="534">
        <v>0</v>
      </c>
      <c r="E14" s="526">
        <f t="shared" ref="E14:G15" si="3">D14</f>
        <v>0</v>
      </c>
      <c r="F14" s="526">
        <f t="shared" si="3"/>
        <v>0</v>
      </c>
      <c r="G14" s="526">
        <f t="shared" si="3"/>
        <v>0</v>
      </c>
      <c r="H14" s="247"/>
      <c r="I14" s="247"/>
      <c r="J14" s="5" t="s">
        <v>588</v>
      </c>
      <c r="L14" s="525">
        <f>'EMEA CELLULAR'!D42</f>
        <v>4.7109464900339777</v>
      </c>
      <c r="M14" s="525">
        <f>'EMEA CELLULAR'!E42</f>
        <v>4.3550930553623157</v>
      </c>
      <c r="N14" s="525">
        <f>'EMEA CELLULAR'!F42</f>
        <v>4.15717737946275</v>
      </c>
      <c r="O14" s="525">
        <f>'EMEA CELLULAR'!G42</f>
        <v>3.8993389218542824</v>
      </c>
      <c r="P14" s="286">
        <f>'EMEA CELLULAR'!H42</f>
        <v>4.0721900193509741E-2</v>
      </c>
      <c r="S14" s="88"/>
      <c r="T14" s="42"/>
      <c r="U14" s="42"/>
      <c r="V14" s="42"/>
      <c r="W14" s="42"/>
      <c r="X14" s="42"/>
      <c r="Y14" s="42"/>
      <c r="Z14" s="42"/>
      <c r="AA14" s="42"/>
    </row>
    <row r="15" spans="2:44">
      <c r="B15" s="5" t="s">
        <v>526</v>
      </c>
      <c r="C15" s="274"/>
      <c r="D15" s="534">
        <v>85.322423980365556</v>
      </c>
      <c r="E15" s="526">
        <f t="shared" si="3"/>
        <v>85.322423980365556</v>
      </c>
      <c r="F15" s="526">
        <f t="shared" si="3"/>
        <v>85.322423980365556</v>
      </c>
      <c r="G15" s="526">
        <f t="shared" si="3"/>
        <v>85.322423980365556</v>
      </c>
      <c r="H15" s="247"/>
      <c r="I15" s="247"/>
      <c r="J15" s="5" t="s">
        <v>470</v>
      </c>
      <c r="L15" s="525">
        <f>'EMEA CELLULAR'!D43</f>
        <v>44.913387794396655</v>
      </c>
      <c r="M15" s="525">
        <f>'EMEA CELLULAR'!E43</f>
        <v>29.995057672440403</v>
      </c>
      <c r="N15" s="525">
        <f>'EMEA CELLULAR'!F43</f>
        <v>25.064246666873888</v>
      </c>
      <c r="O15" s="525">
        <f>'EMEA CELLULAR'!G43</f>
        <v>21.218892573865638</v>
      </c>
      <c r="P15" s="286">
        <f>'EMEA CELLULAR'!H43</f>
        <v>0.28395863860305148</v>
      </c>
      <c r="S15" s="88"/>
      <c r="T15" s="42"/>
      <c r="U15" s="42"/>
      <c r="V15" s="42"/>
      <c r="W15" s="42"/>
      <c r="X15" s="42"/>
      <c r="Y15" s="42"/>
      <c r="Z15" s="42"/>
      <c r="AA15" s="42"/>
    </row>
    <row r="16" spans="2:44">
      <c r="B16" s="5" t="s">
        <v>529</v>
      </c>
      <c r="C16" s="257"/>
      <c r="D16" s="529">
        <v>16032.25660095031</v>
      </c>
      <c r="E16" s="529">
        <v>20033.828185839437</v>
      </c>
      <c r="F16" s="529">
        <v>24293.871409501066</v>
      </c>
      <c r="G16" s="529">
        <v>28893.501319782212</v>
      </c>
      <c r="H16" s="247"/>
      <c r="I16" s="247"/>
      <c r="J16" s="5" t="s">
        <v>528</v>
      </c>
      <c r="L16" s="525">
        <f>'EMEA CELLULAR'!D44</f>
        <v>29.727847806043954</v>
      </c>
      <c r="M16" s="525">
        <f>'EMEA CELLULAR'!E44</f>
        <v>27.159249380804312</v>
      </c>
      <c r="N16" s="525">
        <f>'EMEA CELLULAR'!F44</f>
        <v>19.560820863413703</v>
      </c>
      <c r="O16" s="525">
        <f>'EMEA CELLULAR'!G44</f>
        <v>16.324783869234651</v>
      </c>
      <c r="P16" s="286">
        <f>'EMEA CELLULAR'!H44</f>
        <v>0.22067184815723828</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'EMEA CELLULAR'!D45</f>
        <v>1.8067342047517077E-2</v>
      </c>
      <c r="M17" s="248">
        <f>'EMEA CELLULAR'!E45</f>
        <v>2.1685197442238385E-2</v>
      </c>
      <c r="N17" s="248">
        <f>'EMEA CELLULAR'!F45</f>
        <v>2.716595241137466E-2</v>
      </c>
      <c r="O17" s="248">
        <f>'EMEA CELLULAR'!G45</f>
        <v>2.9076456344932108E-2</v>
      </c>
      <c r="P17" s="286">
        <f>'EMEA CELLULAR'!H45</f>
        <v>0.17141106606848178</v>
      </c>
      <c r="S17" s="88"/>
      <c r="T17" s="42"/>
      <c r="U17" s="42"/>
      <c r="V17" s="42"/>
      <c r="W17" s="42"/>
      <c r="X17" s="42"/>
      <c r="Y17" s="42"/>
      <c r="Z17" s="42"/>
      <c r="AA17" s="42"/>
    </row>
    <row r="18" spans="2:27" ht="12.6" thickBot="1">
      <c r="B18" s="41" t="s">
        <v>913</v>
      </c>
      <c r="C18" s="249"/>
      <c r="D18" s="530">
        <f>D11+D12+D13-D14+D15-D16-D17</f>
        <v>214171.92815229521</v>
      </c>
      <c r="E18" s="530">
        <f>E11+E12+E13-E14+E15-E16-E17</f>
        <v>209617.99883868318</v>
      </c>
      <c r="F18" s="530">
        <f>F11+F12+F13-F14+F15-F16-F17</f>
        <v>204497.04343446789</v>
      </c>
      <c r="G18" s="530">
        <f>G11+G12+G13-G14+G15-G16-G17</f>
        <v>199143.67803809658</v>
      </c>
      <c r="H18" s="276">
        <f>IF(D18=0,"nm",IF(G18=0,"nm",(G18/D18)^(1/3)-1))</f>
        <v>-2.3959154502220747E-2</v>
      </c>
      <c r="I18" s="254"/>
      <c r="J18" s="5" t="s">
        <v>36</v>
      </c>
      <c r="L18" s="248">
        <f>'EMEA CELLULAR'!D46</f>
        <v>1.9060999328690584E-2</v>
      </c>
      <c r="M18" s="248">
        <f>'EMEA CELLULAR'!E46</f>
        <v>1.6448875575029897E-2</v>
      </c>
      <c r="N18" s="248">
        <f>'EMEA CELLULAR'!F46</f>
        <v>3.2525613186693281E-2</v>
      </c>
      <c r="O18" s="248">
        <f>'EMEA CELLULAR'!G46</f>
        <v>2.8728545035796364E-2</v>
      </c>
      <c r="P18" s="286">
        <f>'EMEA CELLULAR'!H46</f>
        <v>0.14608344960699671</v>
      </c>
      <c r="S18" s="88"/>
      <c r="T18" s="42"/>
      <c r="U18" s="42"/>
      <c r="V18" s="42"/>
      <c r="W18" s="42"/>
      <c r="X18" s="42"/>
      <c r="Y18" s="42"/>
      <c r="Z18" s="42"/>
      <c r="AA18" s="42"/>
    </row>
    <row r="19" spans="2:27" ht="12.6" thickTop="1">
      <c r="B19" s="41"/>
      <c r="C19" s="249"/>
      <c r="D19" s="229"/>
      <c r="E19" s="229"/>
      <c r="F19" s="229"/>
      <c r="G19" s="229"/>
      <c r="H19" s="276"/>
      <c r="I19" s="254"/>
      <c r="J19" s="5" t="s">
        <v>576</v>
      </c>
      <c r="L19" s="248">
        <f>'EMEA CELLULAR'!D47</f>
        <v>2.226507616343203E-2</v>
      </c>
      <c r="M19" s="248">
        <f>'EMEA CELLULAR'!E47</f>
        <v>3.3338825713237569E-2</v>
      </c>
      <c r="N19" s="248">
        <f>'EMEA CELLULAR'!F47</f>
        <v>3.9897468824452963E-2</v>
      </c>
      <c r="O19" s="248">
        <f>'EMEA CELLULAR'!G47</f>
        <v>4.712781293928861E-2</v>
      </c>
      <c r="P19" s="286">
        <f>'EMEA CELLULAR'!H47</f>
        <v>0.28395863860305148</v>
      </c>
      <c r="S19" s="88"/>
      <c r="T19" s="42"/>
      <c r="U19" s="42"/>
      <c r="V19" s="42"/>
      <c r="W19" s="42"/>
      <c r="X19" s="42"/>
      <c r="Y19" s="42"/>
      <c r="Z19" s="42"/>
      <c r="AA19" s="42"/>
    </row>
    <row r="20" spans="2:27">
      <c r="H20" s="277"/>
      <c r="I20" s="17"/>
      <c r="J20" s="5" t="s">
        <v>599</v>
      </c>
      <c r="L20" s="305">
        <f>'EMEA CELLULAR'!D48</f>
        <v>0.86093645070473657</v>
      </c>
      <c r="M20" s="305">
        <f>'EMEA CELLULAR'!E48</f>
        <v>0.6892786925982729</v>
      </c>
      <c r="N20" s="305">
        <f>'EMEA CELLULAR'!F48</f>
        <v>0.72154157991457057</v>
      </c>
      <c r="O20" s="305">
        <f>'EMEA CELLULAR'!G48</f>
        <v>0.65380157418816365</v>
      </c>
      <c r="P20" s="286" t="str">
        <f>'EMEA CELLULAR'!H48</f>
        <v>nm</v>
      </c>
      <c r="S20" s="88"/>
      <c r="T20" s="42"/>
      <c r="U20" s="42"/>
      <c r="V20" s="42"/>
      <c r="W20" s="42"/>
      <c r="X20" s="42"/>
      <c r="Y20" s="42"/>
      <c r="Z20" s="42"/>
      <c r="AA20" s="42"/>
    </row>
    <row r="21" spans="2:27" ht="12.6" thickBot="1">
      <c r="B21" s="306" t="s">
        <v>946</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32180.564602011054</v>
      </c>
      <c r="D23" s="536">
        <v>34398.314884168554</v>
      </c>
      <c r="E23" s="536">
        <v>36763.95813721764</v>
      </c>
      <c r="F23" s="536">
        <v>39290.391237032745</v>
      </c>
      <c r="G23" s="536">
        <v>41988.372091224286</v>
      </c>
      <c r="H23" s="279">
        <f t="shared" ref="H23:H32" si="5">IF(D23=0,"nm",IF(G23=0,"nm",(G23/D23)^(1/3)-1))</f>
        <v>6.8720048316360804E-2</v>
      </c>
      <c r="I23" s="247"/>
      <c r="J23" s="306" t="s">
        <v>9</v>
      </c>
      <c r="K23" s="306"/>
      <c r="L23" s="265" t="str">
        <f>D21</f>
        <v>2023E</v>
      </c>
      <c r="M23" s="265" t="str">
        <f t="shared" ref="M23:P23" si="6">E21</f>
        <v>2024E</v>
      </c>
      <c r="N23" s="265" t="str">
        <f t="shared" si="6"/>
        <v>2025E</v>
      </c>
      <c r="O23" s="265" t="str">
        <f t="shared" si="6"/>
        <v>2026E</v>
      </c>
      <c r="P23" s="265" t="str">
        <f t="shared" si="6"/>
        <v>23E-26E</v>
      </c>
      <c r="S23" s="88"/>
      <c r="T23" s="42"/>
      <c r="U23" s="42"/>
      <c r="V23" s="42"/>
      <c r="W23" s="42"/>
      <c r="X23" s="42"/>
      <c r="Y23" s="42"/>
      <c r="Z23" s="42"/>
      <c r="AA23" s="42"/>
    </row>
    <row r="24" spans="2:27" ht="12.6" thickTop="1">
      <c r="B24" s="5" t="s">
        <v>478</v>
      </c>
      <c r="C24" s="545">
        <v>12566.410277951565</v>
      </c>
      <c r="D24" s="536">
        <v>13314.889160920624</v>
      </c>
      <c r="E24" s="536">
        <v>14101.565378421788</v>
      </c>
      <c r="F24" s="536">
        <v>14927.219707172995</v>
      </c>
      <c r="G24" s="536">
        <v>15793.065072464195</v>
      </c>
      <c r="H24" s="279">
        <f t="shared" si="5"/>
        <v>5.8545726276221677E-2</v>
      </c>
      <c r="I24" s="249"/>
      <c r="J24" s="17"/>
      <c r="K24" s="17"/>
      <c r="L24" s="17"/>
      <c r="M24" s="17"/>
      <c r="N24" s="17"/>
      <c r="O24" s="248"/>
      <c r="S24" s="88"/>
      <c r="T24" s="42"/>
      <c r="U24" s="42"/>
      <c r="V24" s="42"/>
      <c r="W24" s="42" t="s">
        <v>87</v>
      </c>
      <c r="X24" s="42" t="s">
        <v>508</v>
      </c>
      <c r="Y24" s="42"/>
      <c r="Z24" s="42"/>
      <c r="AA24" s="42"/>
    </row>
    <row r="25" spans="2:27">
      <c r="B25" s="5" t="s">
        <v>179</v>
      </c>
      <c r="C25" s="544">
        <v>7520.6006905874101</v>
      </c>
      <c r="D25" s="536">
        <v>7913.7535080923726</v>
      </c>
      <c r="E25" s="536">
        <v>8662.4392204592605</v>
      </c>
      <c r="F25" s="536">
        <v>9449.3975331627116</v>
      </c>
      <c r="G25" s="536">
        <v>9932.0258368283176</v>
      </c>
      <c r="H25" s="279">
        <f t="shared" si="5"/>
        <v>7.8661324138610045E-2</v>
      </c>
      <c r="I25" s="248"/>
      <c r="J25" s="247" t="s">
        <v>10</v>
      </c>
      <c r="K25" s="247"/>
      <c r="L25" s="321">
        <v>0</v>
      </c>
      <c r="M25" s="321">
        <v>0</v>
      </c>
      <c r="N25" s="321">
        <v>0</v>
      </c>
      <c r="O25" s="321">
        <v>0</v>
      </c>
      <c r="P25" s="279" t="str">
        <f>IF(L25=0,"nm",IF(O25=0,"nm",(O25/L25)^(1/3)-1))</f>
        <v>nm</v>
      </c>
      <c r="S25" s="88"/>
      <c r="T25" s="42"/>
      <c r="U25" s="42"/>
      <c r="V25" s="147" t="s">
        <v>268</v>
      </c>
      <c r="W25" s="288">
        <f>D37/L9</f>
        <v>1.9572850273515325</v>
      </c>
      <c r="X25" s="288">
        <v>1</v>
      </c>
      <c r="Y25" s="42"/>
      <c r="Z25" s="42"/>
      <c r="AA25" s="42"/>
    </row>
    <row r="26" spans="2:27">
      <c r="B26" s="5" t="s">
        <v>581</v>
      </c>
      <c r="C26" s="544">
        <v>5866.0685386581799</v>
      </c>
      <c r="D26" s="536">
        <v>6172.7277363120511</v>
      </c>
      <c r="E26" s="536">
        <v>6756.7025919582238</v>
      </c>
      <c r="F26" s="536">
        <v>7370.5300758669155</v>
      </c>
      <c r="G26" s="536">
        <v>7746.9801527260879</v>
      </c>
      <c r="H26" s="279">
        <f t="shared" si="5"/>
        <v>7.8661324138609823E-2</v>
      </c>
      <c r="I26" s="249"/>
      <c r="J26" s="249" t="s">
        <v>11</v>
      </c>
      <c r="K26" s="249"/>
      <c r="L26" s="281">
        <f>D11+L25</f>
        <v>219230</v>
      </c>
      <c r="M26" s="281">
        <f>E11+M25</f>
        <v>219230</v>
      </c>
      <c r="N26" s="281">
        <f>F11+N25</f>
        <v>219230</v>
      </c>
      <c r="O26" s="281">
        <f>G11+O25</f>
        <v>219230</v>
      </c>
      <c r="P26" s="279">
        <f>IF(L26=0,"nm",IF(O26=0,"nm",(O26/L26)^(1/3)-1))</f>
        <v>0</v>
      </c>
      <c r="Q26" s="5"/>
      <c r="S26" s="88"/>
      <c r="T26" s="42"/>
      <c r="U26" s="42"/>
      <c r="V26" s="147" t="s">
        <v>180</v>
      </c>
      <c r="W26" s="288">
        <f t="shared" ref="W26:W33" si="7">D38/L10</f>
        <v>2.0735557141652818</v>
      </c>
      <c r="X26" s="288">
        <v>1</v>
      </c>
      <c r="Y26" s="42"/>
      <c r="Z26" s="42"/>
      <c r="AA26" s="42"/>
    </row>
    <row r="27" spans="2:27">
      <c r="B27" s="5" t="s">
        <v>582</v>
      </c>
      <c r="C27" s="545">
        <v>32350.379131738246</v>
      </c>
      <c r="D27" s="536">
        <v>32668.192481630824</v>
      </c>
      <c r="E27" s="536">
        <v>32724.466454301895</v>
      </c>
      <c r="F27" s="536">
        <v>32599.849946527051</v>
      </c>
      <c r="G27" s="536">
        <v>32715.107687827327</v>
      </c>
      <c r="H27" s="279">
        <f t="shared" si="5"/>
        <v>4.7847525913957689E-4</v>
      </c>
      <c r="I27" s="249"/>
      <c r="J27" s="248"/>
      <c r="K27" s="248"/>
      <c r="L27" s="248"/>
      <c r="M27" s="248"/>
      <c r="N27" s="248"/>
      <c r="O27" s="248"/>
      <c r="Q27" s="41"/>
      <c r="S27" s="88"/>
      <c r="T27" s="42"/>
      <c r="U27" s="42"/>
      <c r="V27" s="147" t="s">
        <v>181</v>
      </c>
      <c r="W27" s="288">
        <f t="shared" si="7"/>
        <v>1.7342512518094386</v>
      </c>
      <c r="X27" s="288">
        <v>1</v>
      </c>
      <c r="Y27" s="42"/>
      <c r="Z27" s="42"/>
      <c r="AA27" s="42"/>
    </row>
    <row r="28" spans="2:27" ht="12.6" thickBot="1">
      <c r="B28" s="5" t="s">
        <v>587</v>
      </c>
      <c r="C28" s="544">
        <v>15824.012533294779</v>
      </c>
      <c r="D28" s="536">
        <v>16188.917922233686</v>
      </c>
      <c r="E28" s="536">
        <v>16169.211009600614</v>
      </c>
      <c r="F28" s="536">
        <v>15862.397556024662</v>
      </c>
      <c r="G28" s="536">
        <v>15633.885702165717</v>
      </c>
      <c r="H28" s="279">
        <f t="shared" si="5"/>
        <v>-1.1561384352462012E-2</v>
      </c>
      <c r="I28" s="248"/>
      <c r="J28" s="306" t="s">
        <v>1352</v>
      </c>
      <c r="K28" s="306"/>
      <c r="L28" s="306"/>
      <c r="M28" s="306"/>
      <c r="N28" s="266"/>
      <c r="O28" s="266"/>
      <c r="P28" s="266"/>
      <c r="Q28" s="5"/>
      <c r="S28" s="88"/>
      <c r="T28" s="42"/>
      <c r="U28" s="42"/>
      <c r="V28" s="147" t="s">
        <v>461</v>
      </c>
      <c r="W28" s="288">
        <f t="shared" si="7"/>
        <v>1.7378151168417661</v>
      </c>
      <c r="X28" s="288">
        <v>1</v>
      </c>
      <c r="Y28" s="42"/>
      <c r="Z28" s="42"/>
      <c r="AA28" s="42"/>
    </row>
    <row r="29" spans="2:27" ht="12.6" thickTop="1">
      <c r="B29" s="5" t="s">
        <v>583</v>
      </c>
      <c r="C29" s="544">
        <v>5755.3902607353639</v>
      </c>
      <c r="D29" s="536">
        <v>6054.2388065833993</v>
      </c>
      <c r="E29" s="536">
        <v>6714.007862711971</v>
      </c>
      <c r="F29" s="536">
        <v>7399.2654871193217</v>
      </c>
      <c r="G29" s="536">
        <v>7756.4431670850272</v>
      </c>
      <c r="H29" s="279">
        <f t="shared" si="5"/>
        <v>8.6094686647357976E-2</v>
      </c>
      <c r="I29" s="252"/>
      <c r="J29" s="249"/>
      <c r="K29" s="249"/>
      <c r="L29" s="249"/>
      <c r="M29" s="249"/>
      <c r="N29" s="249"/>
      <c r="O29" s="251"/>
      <c r="Q29" s="5"/>
      <c r="S29" s="88"/>
      <c r="T29" s="42"/>
      <c r="U29" s="42"/>
      <c r="V29" s="147" t="s">
        <v>525</v>
      </c>
      <c r="W29" s="288">
        <f t="shared" si="7"/>
        <v>2.2461870001156332</v>
      </c>
      <c r="X29" s="288">
        <v>1</v>
      </c>
      <c r="Y29" s="42"/>
      <c r="Z29" s="42"/>
      <c r="AA29" s="42"/>
    </row>
    <row r="30" spans="2:27">
      <c r="B30" s="5" t="s">
        <v>584</v>
      </c>
      <c r="C30" s="545">
        <v>5652.0994735604527</v>
      </c>
      <c r="D30" s="536">
        <v>5974.3694811114101</v>
      </c>
      <c r="E30" s="536">
        <v>6346.0792795770376</v>
      </c>
      <c r="F30" s="536">
        <v>6821.6139003514327</v>
      </c>
      <c r="G30" s="536">
        <v>7387.9042189976526</v>
      </c>
      <c r="H30" s="279">
        <f t="shared" si="5"/>
        <v>7.3354198818009531E-2</v>
      </c>
      <c r="I30" s="254"/>
      <c r="J30" s="248"/>
      <c r="K30" s="248"/>
      <c r="L30" s="248"/>
      <c r="M30" s="248"/>
      <c r="N30" s="248"/>
      <c r="O30" s="5"/>
      <c r="Q30" s="5"/>
      <c r="S30" s="88"/>
      <c r="T30" s="42"/>
      <c r="U30" s="42"/>
      <c r="V30" s="147" t="s">
        <v>588</v>
      </c>
      <c r="W30" s="288">
        <f t="shared" si="7"/>
        <v>2.8082550860117599</v>
      </c>
      <c r="X30" s="288">
        <v>1</v>
      </c>
      <c r="Y30" s="42"/>
      <c r="Z30" s="42"/>
      <c r="AA30" s="42"/>
    </row>
    <row r="31" spans="2:27">
      <c r="B31" s="5" t="s">
        <v>585</v>
      </c>
      <c r="C31" s="545">
        <v>3780.7995788483613</v>
      </c>
      <c r="D31" s="536">
        <v>4001.5715848891268</v>
      </c>
      <c r="E31" s="536">
        <v>4260.0432236616289</v>
      </c>
      <c r="F31" s="536">
        <v>4599.6299102811463</v>
      </c>
      <c r="G31" s="536">
        <v>5009.779104698122</v>
      </c>
      <c r="H31" s="279">
        <f t="shared" si="5"/>
        <v>7.7778035922869693E-2</v>
      </c>
      <c r="I31" s="254"/>
      <c r="J31" s="252"/>
      <c r="K31" s="252"/>
      <c r="L31" s="252"/>
      <c r="M31" s="252"/>
      <c r="N31" s="252"/>
      <c r="O31" s="5"/>
      <c r="Q31" s="5"/>
      <c r="S31" s="88"/>
      <c r="T31" s="42"/>
      <c r="U31" s="42"/>
      <c r="V31" s="147" t="s">
        <v>470</v>
      </c>
      <c r="W31" s="288">
        <f t="shared" si="7"/>
        <v>0.80624052060870155</v>
      </c>
      <c r="X31" s="288">
        <v>1</v>
      </c>
      <c r="Y31" s="42"/>
      <c r="Z31" s="42"/>
      <c r="AA31" s="42"/>
    </row>
    <row r="32" spans="2:27">
      <c r="B32" s="5" t="s">
        <v>601</v>
      </c>
      <c r="C32" s="546">
        <v>-1</v>
      </c>
      <c r="D32" s="536">
        <v>-2</v>
      </c>
      <c r="E32" s="536">
        <v>-3</v>
      </c>
      <c r="F32" s="536">
        <v>-4</v>
      </c>
      <c r="G32" s="536">
        <v>-5</v>
      </c>
      <c r="H32" s="279">
        <f t="shared" si="5"/>
        <v>0.35720880829745338</v>
      </c>
      <c r="I32" s="254"/>
      <c r="J32" s="254"/>
      <c r="K32" s="254"/>
      <c r="L32" s="254"/>
      <c r="M32" s="254"/>
      <c r="N32" s="254"/>
      <c r="O32" s="251"/>
      <c r="Q32" s="5"/>
      <c r="S32" s="88"/>
      <c r="T32" s="42"/>
      <c r="U32" s="42"/>
      <c r="V32" s="147" t="s">
        <v>528</v>
      </c>
      <c r="W32" s="288">
        <f t="shared" si="7"/>
        <v>1.234367382412759</v>
      </c>
      <c r="X32" s="288">
        <v>1</v>
      </c>
      <c r="Y32" s="42"/>
      <c r="Z32" s="42"/>
      <c r="AA32" s="42"/>
    </row>
    <row r="33" spans="2:27">
      <c r="B33" s="5" t="s">
        <v>5</v>
      </c>
      <c r="C33" s="545">
        <v>-112.29968979333012</v>
      </c>
      <c r="D33" s="536">
        <v>-112.77085079085282</v>
      </c>
      <c r="E33" s="536">
        <v>-93.763017864783933</v>
      </c>
      <c r="F33" s="536">
        <v>-58.101129557759805</v>
      </c>
      <c r="G33" s="536">
        <v>-20.429544358630096</v>
      </c>
      <c r="H33" s="279">
        <f>IF(D33=0,"nm",IF(G33=0,"nm",(G33/D33)^(1/3)-1))</f>
        <v>-0.43416830004119344</v>
      </c>
      <c r="I33" s="5"/>
      <c r="J33" s="254"/>
      <c r="K33" s="254"/>
      <c r="L33" s="254"/>
      <c r="M33" s="254"/>
      <c r="N33" s="254"/>
      <c r="O33" s="251"/>
      <c r="Q33" s="5"/>
      <c r="S33" s="88"/>
      <c r="T33" s="42"/>
      <c r="U33" s="42"/>
      <c r="V33" s="147" t="s">
        <v>575</v>
      </c>
      <c r="W33" s="288">
        <f t="shared" si="7"/>
        <v>1.0102674020886164</v>
      </c>
      <c r="X33" s="288">
        <v>1</v>
      </c>
      <c r="Y33" s="42"/>
      <c r="Z33" s="42"/>
      <c r="AA33" s="42"/>
    </row>
    <row r="34" spans="2:27">
      <c r="H34" s="277"/>
      <c r="I34" s="49"/>
      <c r="J34" s="254"/>
      <c r="K34" s="254"/>
      <c r="L34" s="254"/>
      <c r="M34" s="254"/>
      <c r="N34" s="254"/>
      <c r="O34" s="251"/>
      <c r="Q34" s="5"/>
      <c r="S34" s="88"/>
      <c r="T34" s="42"/>
      <c r="U34" s="42"/>
      <c r="V34" s="147" t="s">
        <v>576</v>
      </c>
      <c r="W34" s="288">
        <f>D47/L19</f>
        <v>1.2403246604933877</v>
      </c>
      <c r="X34" s="288">
        <v>1</v>
      </c>
      <c r="Y34" s="288"/>
      <c r="Z34" s="288"/>
      <c r="AA34" s="42"/>
    </row>
    <row r="35" spans="2:27" ht="12.6" thickBot="1">
      <c r="B35" s="306" t="s">
        <v>351</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6.2262331417538563</v>
      </c>
      <c r="E37" s="525">
        <f t="shared" ref="E37:G41" si="9">E$18/E23</f>
        <v>5.7017255339130202</v>
      </c>
      <c r="F37" s="525">
        <f t="shared" si="9"/>
        <v>5.204759662502962</v>
      </c>
      <c r="G37" s="525">
        <f t="shared" si="9"/>
        <v>4.742829219609547</v>
      </c>
      <c r="H37" s="17">
        <f t="shared" ref="H37:H45" si="10">H23</f>
        <v>6.8720048316360804E-2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16.085145401051676</v>
      </c>
      <c r="E38" s="525">
        <f t="shared" si="9"/>
        <v>14.86487444574349</v>
      </c>
      <c r="F38" s="525">
        <f t="shared" si="9"/>
        <v>13.699606989518664</v>
      </c>
      <c r="G38" s="525">
        <f t="shared" si="9"/>
        <v>12.609564839019825</v>
      </c>
      <c r="H38" s="17">
        <f>H24</f>
        <v>5.8545726276221677E-2</v>
      </c>
      <c r="I38" s="259"/>
      <c r="J38" s="17"/>
      <c r="K38" s="17"/>
      <c r="L38" s="17"/>
      <c r="M38" s="17"/>
      <c r="N38" s="17"/>
      <c r="O38" s="5"/>
      <c r="Q38" s="5"/>
      <c r="R38" s="5"/>
      <c r="S38" s="42"/>
      <c r="T38" s="42"/>
      <c r="U38" s="42"/>
      <c r="V38" s="42"/>
      <c r="W38" s="42"/>
      <c r="X38" s="42"/>
      <c r="Y38" s="42"/>
      <c r="Z38" s="42"/>
      <c r="AA38" s="42"/>
    </row>
    <row r="39" spans="2:27">
      <c r="B39" s="5" t="s">
        <v>181</v>
      </c>
      <c r="C39" s="247"/>
      <c r="D39" s="525">
        <f>D$18/D25</f>
        <v>27.063254868033134</v>
      </c>
      <c r="E39" s="525">
        <f t="shared" si="9"/>
        <v>24.198495770521525</v>
      </c>
      <c r="F39" s="525">
        <f t="shared" si="9"/>
        <v>21.641278474821746</v>
      </c>
      <c r="G39" s="525">
        <f t="shared" si="9"/>
        <v>20.050660490598453</v>
      </c>
      <c r="H39" s="17">
        <f t="shared" si="10"/>
        <v>7.8661324138610045E-2</v>
      </c>
      <c r="I39" s="17"/>
      <c r="J39" s="5"/>
      <c r="K39" s="5"/>
      <c r="L39" s="5"/>
      <c r="M39" s="5"/>
      <c r="N39" s="5"/>
      <c r="O39" s="5"/>
      <c r="Q39" s="5"/>
      <c r="R39" s="5"/>
      <c r="S39" s="42"/>
      <c r="T39" s="42"/>
      <c r="U39" s="42"/>
      <c r="V39" s="42"/>
      <c r="W39" s="42"/>
      <c r="X39" s="42"/>
      <c r="Y39" s="42"/>
      <c r="Z39" s="42"/>
      <c r="AA39" s="42"/>
    </row>
    <row r="40" spans="2:27">
      <c r="B40" s="5" t="s">
        <v>461</v>
      </c>
      <c r="C40" s="247"/>
      <c r="D40" s="525">
        <f>D$18/D26</f>
        <v>34.696480600042477</v>
      </c>
      <c r="E40" s="525">
        <f t="shared" si="9"/>
        <v>31.023712526309644</v>
      </c>
      <c r="F40" s="525">
        <f t="shared" si="9"/>
        <v>27.745228813874032</v>
      </c>
      <c r="G40" s="525">
        <f t="shared" si="9"/>
        <v>25.705974987946732</v>
      </c>
      <c r="H40" s="17">
        <f t="shared" si="10"/>
        <v>7.8661324138609823E-2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6.555977294205154</v>
      </c>
      <c r="E41" s="525">
        <f t="shared" si="9"/>
        <v>6.4055436665836671</v>
      </c>
      <c r="F41" s="525">
        <f t="shared" si="9"/>
        <v>6.2729443163051588</v>
      </c>
      <c r="G41" s="525">
        <f t="shared" si="9"/>
        <v>6.0872083912532613</v>
      </c>
      <c r="H41" s="17">
        <f t="shared" si="10"/>
        <v>4.7847525913957689E-4</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13.229539440567166</v>
      </c>
      <c r="E42" s="525">
        <f>E18/E28</f>
        <v>12.96402147972592</v>
      </c>
      <c r="F42" s="525">
        <f>F18/F28</f>
        <v>12.891937849382568</v>
      </c>
      <c r="G42" s="525">
        <f>G18/G28</f>
        <v>12.737951513263896</v>
      </c>
      <c r="H42" s="17">
        <f t="shared" si="10"/>
        <v>-1.1561384352462012E-2</v>
      </c>
      <c r="I42" s="248"/>
      <c r="J42" s="5"/>
      <c r="K42" s="5"/>
      <c r="L42" s="5"/>
      <c r="M42" s="5"/>
      <c r="N42" s="5"/>
      <c r="O42" s="5"/>
      <c r="Q42" s="5"/>
      <c r="R42" s="5"/>
      <c r="S42" s="42"/>
      <c r="T42" s="42"/>
      <c r="U42" s="42"/>
      <c r="V42" s="42"/>
      <c r="W42" s="288"/>
      <c r="X42" s="288"/>
      <c r="Y42" s="288"/>
      <c r="Z42" s="288"/>
      <c r="AA42" s="42"/>
    </row>
    <row r="43" spans="2:27">
      <c r="B43" s="5" t="s">
        <v>470</v>
      </c>
      <c r="C43" s="247"/>
      <c r="D43" s="525">
        <f>L26/D29</f>
        <v>36.210993157654862</v>
      </c>
      <c r="E43" s="525">
        <f>M26/E29</f>
        <v>32.652627831664027</v>
      </c>
      <c r="F43" s="525">
        <f>N26/F29</f>
        <v>29.628616567635891</v>
      </c>
      <c r="G43" s="525">
        <f>O26/G29</f>
        <v>28.264243710353838</v>
      </c>
      <c r="H43" s="17">
        <f t="shared" si="10"/>
        <v>8.6094686647357976E-2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36.695085681111358</v>
      </c>
      <c r="E44" s="525">
        <f>E11/E30</f>
        <v>34.545739241790805</v>
      </c>
      <c r="F44" s="525">
        <f>F11/F30</f>
        <v>32.137556185744522</v>
      </c>
      <c r="G44" s="525">
        <f>G11/G30</f>
        <v>29.674180051801461</v>
      </c>
      <c r="H44" s="17">
        <f t="shared" si="10"/>
        <v>7.3354198818009531E-2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1.8252846712991502E-2</v>
      </c>
      <c r="E45" s="248">
        <f>E31/E11</f>
        <v>1.9431844289840027E-2</v>
      </c>
      <c r="F45" s="248">
        <f>F31/F11</f>
        <v>2.0980841628796907E-2</v>
      </c>
      <c r="G45" s="248">
        <f>G31/G11</f>
        <v>2.2851704167760445E-2</v>
      </c>
      <c r="H45" s="17">
        <f t="shared" si="10"/>
        <v>7.7778035922869693E-2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1.8243723873963995E-2</v>
      </c>
      <c r="E46" s="248">
        <f>(E31+E32)/E11</f>
        <v>1.9418160031298769E-2</v>
      </c>
      <c r="F46" s="248">
        <f>(F31+F32)/F11</f>
        <v>2.0962595950741899E-2</v>
      </c>
      <c r="G46" s="248">
        <f>(G31+G32)/G11</f>
        <v>2.282889707019168E-2</v>
      </c>
      <c r="H46" s="279">
        <f>((G31+G32)/(D31+D32))^(1/3)-1</f>
        <v>7.7598917702047521E-2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2.7615923033268253E-2</v>
      </c>
      <c r="E47" s="248">
        <f>1/E43</f>
        <v>3.0625406480463305E-2</v>
      </c>
      <c r="F47" s="248">
        <f>1/F43</f>
        <v>3.3751153980382802E-2</v>
      </c>
      <c r="G47" s="248">
        <f>1/G43</f>
        <v>3.5380391219655284E-2</v>
      </c>
      <c r="H47" s="17">
        <f>H29</f>
        <v>8.6094686647357976E-2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0.66095370743185822</v>
      </c>
      <c r="E48" s="305">
        <f>E31/E29</f>
        <v>0.6345007796789921</v>
      </c>
      <c r="F48" s="305">
        <f>F31/F29</f>
        <v>0.62163331188591697</v>
      </c>
      <c r="G48" s="305">
        <f>G31/G29</f>
        <v>0.64588613579448972</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KCSOP!A1" display="Jump to TKC SOP" xr:uid="{00000000-0004-0000-6500-000001000000}"/>
  </hyperlinks>
  <pageMargins left="0.75" right="0.75" top="1" bottom="1" header="0.5" footer="0.5"/>
  <pageSetup scale="70"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5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879</v>
      </c>
      <c r="C9" s="287">
        <f>Prices!C59</f>
        <v>3.93</v>
      </c>
      <c r="D9" s="533"/>
      <c r="E9" s="526"/>
      <c r="F9" s="526"/>
      <c r="G9" s="526"/>
      <c r="H9" s="249"/>
      <c r="I9" s="249"/>
      <c r="J9" s="5" t="s">
        <v>268</v>
      </c>
      <c r="L9" s="525">
        <f>'AGG ASIA INCUMB'!D37</f>
        <v>1.2719441813172812</v>
      </c>
      <c r="M9" s="525">
        <f>'AGG ASIA INCUMB'!E37</f>
        <v>1.2095974060822232</v>
      </c>
      <c r="N9" s="525">
        <f>'AGG ASIA INCUMB'!F37</f>
        <v>1.0996822317000925</v>
      </c>
      <c r="O9" s="525">
        <f>'AGG ASIA INCUMB'!G37</f>
        <v>0.99635076165065495</v>
      </c>
      <c r="P9" s="286">
        <f>'AGG ASIA CELLULAR'!H37</f>
        <v>4.8440860425680521E-2</v>
      </c>
      <c r="S9" s="88"/>
      <c r="T9" s="42"/>
      <c r="U9" s="42"/>
      <c r="V9" s="42"/>
      <c r="W9" s="42"/>
      <c r="X9" s="42"/>
      <c r="Y9" s="42"/>
      <c r="Z9" s="42"/>
      <c r="AA9" s="42"/>
    </row>
    <row r="10" spans="2:44">
      <c r="B10" s="5" t="s">
        <v>269</v>
      </c>
      <c r="C10" s="5"/>
      <c r="D10" s="527">
        <v>11893.297855000001</v>
      </c>
      <c r="E10" s="527">
        <v>11893.297855000001</v>
      </c>
      <c r="F10" s="527">
        <v>11893.297855000001</v>
      </c>
      <c r="G10" s="527">
        <v>11893.297855000001</v>
      </c>
      <c r="H10" s="247"/>
      <c r="I10" s="247"/>
      <c r="J10" s="5" t="s">
        <v>180</v>
      </c>
      <c r="L10" s="525">
        <f>'AGG ASIA INCUMB'!D38</f>
        <v>4.6234760036627636</v>
      </c>
      <c r="M10" s="525">
        <f>'AGG ASIA INCUMB'!E38</f>
        <v>4.4228353660546906</v>
      </c>
      <c r="N10" s="525">
        <f>'AGG ASIA INCUMB'!F38</f>
        <v>3.9347110260162674</v>
      </c>
      <c r="O10" s="525">
        <f>'AGG ASIA INCUMB'!G38</f>
        <v>3.5504425976257274</v>
      </c>
      <c r="P10" s="286">
        <f>'AGG ASIA CELLULAR'!H38</f>
        <v>5.7134314823267696E-2</v>
      </c>
      <c r="S10" s="88"/>
      <c r="T10" s="42"/>
      <c r="U10" s="42"/>
      <c r="V10" s="42"/>
      <c r="W10" s="288"/>
      <c r="X10" s="288"/>
      <c r="Y10" s="288"/>
      <c r="Z10" s="288"/>
      <c r="AA10" s="42"/>
    </row>
    <row r="11" spans="2:44">
      <c r="B11" s="41" t="s">
        <v>880</v>
      </c>
      <c r="C11" s="5"/>
      <c r="D11" s="528">
        <f>D10*C9</f>
        <v>46740.660570150001</v>
      </c>
      <c r="E11" s="528">
        <f>E10*$C$9</f>
        <v>46740.660570150001</v>
      </c>
      <c r="F11" s="528">
        <f t="shared" ref="F11:G11" si="2">F10*$C$9</f>
        <v>46740.660570150001</v>
      </c>
      <c r="G11" s="528">
        <f t="shared" si="2"/>
        <v>46740.660570150001</v>
      </c>
      <c r="H11" s="249"/>
      <c r="I11" s="249"/>
      <c r="J11" s="5" t="s">
        <v>181</v>
      </c>
      <c r="L11" s="525">
        <f>'AGG ASIA INCUMB'!D39</f>
        <v>11.794671519746432</v>
      </c>
      <c r="M11" s="525">
        <f>'AGG ASIA INCUMB'!E39</f>
        <v>10.669369371390847</v>
      </c>
      <c r="N11" s="525">
        <f>'AGG ASIA INCUMB'!F39</f>
        <v>8.6767991012662229</v>
      </c>
      <c r="O11" s="525">
        <f>'AGG ASIA INCUMB'!G39</f>
        <v>7.5891310442771198</v>
      </c>
      <c r="P11" s="286">
        <f>'AGG ASIA CELLULAR'!H39</f>
        <v>0.11168057272527809</v>
      </c>
      <c r="S11" s="88"/>
      <c r="T11" s="42"/>
      <c r="U11" s="42"/>
      <c r="V11" s="42"/>
      <c r="W11" s="288"/>
      <c r="X11" s="288"/>
      <c r="Y11" s="288"/>
      <c r="Z11" s="288"/>
      <c r="AA11" s="42"/>
    </row>
    <row r="12" spans="2:44">
      <c r="B12" s="5" t="s">
        <v>24</v>
      </c>
      <c r="C12" s="249"/>
      <c r="D12" s="529">
        <v>15891.732415120125</v>
      </c>
      <c r="E12" s="529">
        <v>13969.849522793438</v>
      </c>
      <c r="F12" s="529">
        <v>13023.273958516875</v>
      </c>
      <c r="G12" s="529">
        <v>12055.91902963093</v>
      </c>
      <c r="H12" s="247"/>
      <c r="I12" s="247"/>
      <c r="J12" s="5" t="s">
        <v>461</v>
      </c>
      <c r="L12" s="525">
        <f>'AGG ASIA INCUMB'!D40</f>
        <v>15.854102984572272</v>
      </c>
      <c r="M12" s="525">
        <f>'AGG ASIA INCUMB'!E40</f>
        <v>14.308248533194654</v>
      </c>
      <c r="N12" s="525">
        <f>'AGG ASIA INCUMB'!F40</f>
        <v>11.663579867439855</v>
      </c>
      <c r="O12" s="525">
        <f>'AGG ASIA INCUMB'!G40</f>
        <v>10.196208292202796</v>
      </c>
      <c r="P12" s="286">
        <f>'AGG ASIA CELLULAR'!H40</f>
        <v>0.10463983008037903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INCUMB'!D41</f>
        <v>1.1460518303805354</v>
      </c>
      <c r="M13" s="525">
        <f>'AGG ASIA INCUMB'!E41</f>
        <v>1.0866662606716921</v>
      </c>
      <c r="N13" s="525">
        <f>'AGG ASIA INCUMB'!F41</f>
        <v>0.99834975778923052</v>
      </c>
      <c r="O13" s="525">
        <f>'AGG ASIA INCUMB'!G41</f>
        <v>0.90898439887584492</v>
      </c>
      <c r="P13" s="286">
        <f>'AGG ASIA CELLULAR'!H41</f>
        <v>-1.8528761652592207E-2</v>
      </c>
      <c r="S13" s="88"/>
      <c r="T13" s="42"/>
      <c r="U13" s="42"/>
      <c r="V13" s="42"/>
      <c r="W13" s="42"/>
      <c r="X13" s="42"/>
      <c r="Y13" s="42"/>
      <c r="Z13" s="42"/>
      <c r="AA13" s="42"/>
    </row>
    <row r="14" spans="2:44">
      <c r="B14" s="5" t="s">
        <v>527</v>
      </c>
      <c r="C14" s="257"/>
      <c r="D14" s="529">
        <v>3038.765625</v>
      </c>
      <c r="E14" s="529">
        <v>3190.7039062500003</v>
      </c>
      <c r="F14" s="529">
        <v>3350.2391015625003</v>
      </c>
      <c r="G14" s="529">
        <v>3517.7510566406254</v>
      </c>
      <c r="H14" s="247"/>
      <c r="I14" s="247"/>
      <c r="J14" s="5" t="s">
        <v>588</v>
      </c>
      <c r="L14" s="525">
        <f>'AGG ASIA INCUMB'!D42</f>
        <v>1.5276634915643974</v>
      </c>
      <c r="M14" s="525">
        <f>'AGG ASIA INCUMB'!E42</f>
        <v>1.4907282921032592</v>
      </c>
      <c r="N14" s="525">
        <f>'AGG ASIA INCUMB'!F42</f>
        <v>1.4247632256720226</v>
      </c>
      <c r="O14" s="525">
        <f>'AGG ASIA INCUMB'!G42</f>
        <v>1.3972444432688993</v>
      </c>
      <c r="P14" s="286">
        <f>'AGG ASIA CELLULAR'!H42</f>
        <v>6.4071344718414913E-3</v>
      </c>
      <c r="S14" s="88"/>
      <c r="T14" s="42"/>
      <c r="U14" s="42"/>
      <c r="V14" s="42"/>
      <c r="W14" s="42"/>
      <c r="X14" s="42"/>
      <c r="Y14" s="42"/>
      <c r="Z14" s="42"/>
      <c r="AA14" s="42"/>
    </row>
    <row r="15" spans="2:44">
      <c r="B15" s="5" t="s">
        <v>526</v>
      </c>
      <c r="C15" s="274"/>
      <c r="D15" s="529">
        <v>-19</v>
      </c>
      <c r="E15" s="529">
        <v>-19</v>
      </c>
      <c r="F15" s="529">
        <v>-19</v>
      </c>
      <c r="G15" s="529">
        <v>-19</v>
      </c>
      <c r="H15" s="247"/>
      <c r="I15" s="247"/>
      <c r="J15" s="5" t="s">
        <v>470</v>
      </c>
      <c r="L15" s="525">
        <f>'AGG ASIA INCUMB'!D43</f>
        <v>15.273312397129398</v>
      </c>
      <c r="M15" s="525">
        <f>'AGG ASIA INCUMB'!E43</f>
        <v>13.757505713732883</v>
      </c>
      <c r="N15" s="525">
        <f>'AGG ASIA INCUMB'!F43</f>
        <v>11.624732006664775</v>
      </c>
      <c r="O15" s="525">
        <f>'AGG ASIA INCUMB'!G43</f>
        <v>10.50556297379473</v>
      </c>
      <c r="P15" s="286">
        <f>'AGG ASIA CELLULAR'!H43</f>
        <v>0.18726558349580835</v>
      </c>
      <c r="S15" s="88"/>
      <c r="T15" s="42"/>
      <c r="U15" s="42"/>
      <c r="V15" s="42"/>
      <c r="W15" s="42"/>
      <c r="X15" s="42"/>
      <c r="Y15" s="42"/>
      <c r="Z15" s="42"/>
      <c r="AA15" s="42"/>
    </row>
    <row r="16" spans="2:44">
      <c r="B16" s="5" t="s">
        <v>529</v>
      </c>
      <c r="C16" s="257"/>
      <c r="D16" s="529">
        <v>6422.3808417</v>
      </c>
      <c r="E16" s="529">
        <v>8325.3084985000005</v>
      </c>
      <c r="F16" s="529">
        <v>10228.236155300001</v>
      </c>
      <c r="G16" s="529">
        <v>12250.096790650001</v>
      </c>
      <c r="H16" s="247"/>
      <c r="I16" s="247"/>
      <c r="J16" s="5" t="s">
        <v>528</v>
      </c>
      <c r="L16" s="525">
        <f>'AGG ASIA INCUMB'!D44</f>
        <v>13.678025117962957</v>
      </c>
      <c r="M16" s="525">
        <f>'AGG ASIA INCUMB'!E44</f>
        <v>12.517033973894927</v>
      </c>
      <c r="N16" s="525">
        <f>'AGG ASIA INCUMB'!F44</f>
        <v>11.122029574192924</v>
      </c>
      <c r="O16" s="525">
        <f>'AGG ASIA INCUMB'!G44</f>
        <v>10.11878172223563</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INCUMB'!D45</f>
        <v>4.5509267152536094E-2</v>
      </c>
      <c r="M17" s="248">
        <f>'AGG ASIA INCUMB'!E45</f>
        <v>5.1800129870851246E-2</v>
      </c>
      <c r="N17" s="248">
        <f>'AGG ASIA INCUMB'!F45</f>
        <v>5.7884939069478336E-2</v>
      </c>
      <c r="O17" s="248">
        <f>'AGG ASIA INCUMB'!G45</f>
        <v>6.5680371296715834E-2</v>
      </c>
      <c r="P17" s="286">
        <f>'AGG ASIA CELLULAR'!H45</f>
        <v>0.11688605650684725</v>
      </c>
      <c r="S17" s="88"/>
      <c r="T17" s="42"/>
      <c r="U17" s="42"/>
      <c r="V17" s="42"/>
      <c r="W17" s="42"/>
      <c r="X17" s="42"/>
      <c r="Y17" s="42"/>
      <c r="Z17" s="42"/>
      <c r="AA17" s="42"/>
    </row>
    <row r="18" spans="2:27" ht="12.6" thickBot="1">
      <c r="B18" s="41" t="s">
        <v>578</v>
      </c>
      <c r="C18" s="249"/>
      <c r="D18" s="530">
        <f>D11+D12+D13-D14+D15-D16-D17</f>
        <v>53152.246518570129</v>
      </c>
      <c r="E18" s="530">
        <f>E11+E12+E13-E14+E15-E16-E17</f>
        <v>49175.497688193442</v>
      </c>
      <c r="F18" s="530">
        <f>F11+F12+F13-F14+F15-F16-F17</f>
        <v>46166.459271804371</v>
      </c>
      <c r="G18" s="530">
        <f>G11+G12+G13-G14+G15-G16-G17</f>
        <v>43009.731752490305</v>
      </c>
      <c r="H18" s="276">
        <f>IF(D18=0,"nm",IF(G18=0,"nm",(G18/D18)^(1/3)-1))</f>
        <v>-6.814493604423888E-2</v>
      </c>
      <c r="I18" s="254"/>
      <c r="J18" s="5" t="s">
        <v>36</v>
      </c>
      <c r="L18" s="248">
        <f>'AGG ASIA INCUMB'!D46</f>
        <v>4.5540516507029512E-2</v>
      </c>
      <c r="M18" s="248">
        <f>'AGG ASIA INCUMB'!E46</f>
        <v>5.1831531492466568E-2</v>
      </c>
      <c r="N18" s="248">
        <f>'AGG ASIA INCUMB'!F46</f>
        <v>5.8199730113416448E-2</v>
      </c>
      <c r="O18" s="248">
        <f>'AGG ASIA INCUMB'!G46</f>
        <v>6.6192895380097247E-2</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INCUMB'!D47</f>
        <v>6.5473682067024891E-2</v>
      </c>
      <c r="M19" s="248">
        <f>'AGG ASIA INCUMB'!E47</f>
        <v>7.2687594743412673E-2</v>
      </c>
      <c r="N19" s="248">
        <f>'AGG ASIA INCUMB'!F47</f>
        <v>8.6023488492179667E-2</v>
      </c>
      <c r="O19" s="248">
        <f>'AGG ASIA INCUMB'!G47</f>
        <v>9.5187664144645884E-2</v>
      </c>
      <c r="P19" s="286">
        <f>'AGG ASIA CELLULAR'!H47</f>
        <v>0.18726558349580835</v>
      </c>
      <c r="S19" s="88"/>
      <c r="T19" s="42"/>
      <c r="U19" s="42"/>
      <c r="V19" s="42"/>
      <c r="W19" s="42"/>
      <c r="X19" s="42"/>
      <c r="Y19" s="42"/>
      <c r="Z19" s="42"/>
      <c r="AA19" s="42"/>
    </row>
    <row r="20" spans="2:27">
      <c r="H20" s="277"/>
      <c r="I20" s="17"/>
      <c r="J20" s="5" t="s">
        <v>599</v>
      </c>
      <c r="L20" s="305">
        <f>'AGG ASIA INCUMB'!D48</f>
        <v>0.59351892336330403</v>
      </c>
      <c r="M20" s="305">
        <f>'AGG ASIA INCUMB'!E48</f>
        <v>0.60592876311616806</v>
      </c>
      <c r="N20" s="305">
        <f>'AGG ASIA INCUMB'!F48</f>
        <v>0.57735687268970703</v>
      </c>
      <c r="O20" s="305">
        <f>'AGG ASIA INCUMB'!G48</f>
        <v>0.59846585949408893</v>
      </c>
      <c r="P20" s="286" t="str">
        <f>'AGG ASIA CELLULAR'!H48</f>
        <v>nm</v>
      </c>
      <c r="S20" s="88"/>
      <c r="T20" s="42"/>
      <c r="U20" s="42"/>
      <c r="V20" s="42"/>
      <c r="W20" s="42"/>
      <c r="X20" s="42"/>
      <c r="Y20" s="42"/>
      <c r="Z20" s="42"/>
      <c r="AA20" s="42"/>
    </row>
    <row r="21" spans="2:27" ht="12.6" thickBot="1">
      <c r="B21" s="306" t="s">
        <v>947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27807</v>
      </c>
      <c r="D23" s="536">
        <v>27629.382874534786</v>
      </c>
      <c r="E23" s="536">
        <v>26888.04567285996</v>
      </c>
      <c r="F23" s="536">
        <v>26351.816815351052</v>
      </c>
      <c r="G23" s="536">
        <v>27037.998003139779</v>
      </c>
      <c r="H23" s="279">
        <f>IF(D23=0,"nm",IF(G23=0,"nm",(G23/D23)^(1/3)-1))</f>
        <v>-7.1862522661734207E-3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7972</v>
      </c>
      <c r="D24" s="536">
        <v>9344.9647648405735</v>
      </c>
      <c r="E24" s="536">
        <v>9621.1680067205671</v>
      </c>
      <c r="F24" s="536">
        <v>8994.4229768871555</v>
      </c>
      <c r="G24" s="536">
        <v>9112.6870118036204</v>
      </c>
      <c r="H24" s="279">
        <f>IF(D24=0,"nm",IF(G24=0,"nm",(G24/D24)^(1/3)-1))</f>
        <v>-8.354918946323564E-3</v>
      </c>
      <c r="I24" s="249"/>
      <c r="J24" s="17"/>
      <c r="K24" s="17"/>
      <c r="L24" s="17"/>
      <c r="M24" s="17"/>
      <c r="N24" s="17"/>
      <c r="O24" s="248"/>
      <c r="S24" s="88"/>
      <c r="T24" s="42"/>
      <c r="U24" s="42"/>
      <c r="V24" s="42"/>
      <c r="W24" s="42" t="s">
        <v>301</v>
      </c>
      <c r="X24" s="42" t="s">
        <v>254</v>
      </c>
      <c r="Y24" s="42"/>
      <c r="Z24" s="42"/>
      <c r="AA24" s="42"/>
    </row>
    <row r="25" spans="2:27">
      <c r="B25" s="5" t="s">
        <v>179</v>
      </c>
      <c r="C25" s="544">
        <v>3832</v>
      </c>
      <c r="D25" s="536">
        <v>6111.0129096110513</v>
      </c>
      <c r="E25" s="536">
        <v>6514.8260476130727</v>
      </c>
      <c r="F25" s="536">
        <v>5926.4162390450292</v>
      </c>
      <c r="G25" s="536">
        <v>5949.4721314268472</v>
      </c>
      <c r="H25" s="279">
        <f>IF(D25=0,"nm",IF(G25=0,"nm",(G25/D25)^(1/3)-1))</f>
        <v>-8.8902592586865836E-3</v>
      </c>
      <c r="I25" s="248"/>
      <c r="J25" s="247" t="s">
        <v>10</v>
      </c>
      <c r="K25" s="247"/>
      <c r="L25" s="321">
        <v>0</v>
      </c>
      <c r="M25" s="321">
        <v>0</v>
      </c>
      <c r="N25" s="321">
        <v>0</v>
      </c>
      <c r="O25" s="321">
        <v>0</v>
      </c>
      <c r="P25" s="279" t="str">
        <f>IF(L25=0,"nm",IF(O25=0,"nm",(O25/L25)^(1/3)-1))</f>
        <v>nm</v>
      </c>
      <c r="S25" s="88"/>
      <c r="T25" s="42"/>
      <c r="U25" s="42"/>
      <c r="V25" s="147" t="s">
        <v>268</v>
      </c>
      <c r="W25" s="288">
        <f>D37/L9</f>
        <v>1.5124547403271731</v>
      </c>
      <c r="X25" s="288">
        <v>1</v>
      </c>
      <c r="Y25" s="42"/>
      <c r="Z25" s="42"/>
      <c r="AA25" s="42"/>
    </row>
    <row r="26" spans="2:27">
      <c r="B26" s="5" t="s">
        <v>581</v>
      </c>
      <c r="C26" s="544">
        <v>2682.3999999999996</v>
      </c>
      <c r="D26" s="536">
        <v>4277.709036727736</v>
      </c>
      <c r="E26" s="536">
        <v>4560.3782333291501</v>
      </c>
      <c r="F26" s="536">
        <v>4148.4913673315205</v>
      </c>
      <c r="G26" s="536">
        <v>4164.6304919987924</v>
      </c>
      <c r="H26" s="279">
        <f>IF(D26=0,"nm",IF(G26=0,"nm",(G26/D26)^(1/3)-1))</f>
        <v>-8.8902592586865836E-3</v>
      </c>
      <c r="I26" s="249"/>
      <c r="J26" s="249" t="s">
        <v>11</v>
      </c>
      <c r="K26" s="249"/>
      <c r="L26" s="281">
        <f>D11+L25</f>
        <v>46740.660570150001</v>
      </c>
      <c r="M26" s="281">
        <f>E11+M25</f>
        <v>46740.660570150001</v>
      </c>
      <c r="N26" s="281">
        <f>F11+N25</f>
        <v>46740.660570150001</v>
      </c>
      <c r="O26" s="281">
        <f>G11+O25</f>
        <v>46740.660570150001</v>
      </c>
      <c r="P26" s="279">
        <f>IF(L26=0,"nm",IF(O26=0,"nm",(O26/L26)^(1/3)-1))</f>
        <v>0</v>
      </c>
      <c r="Q26" s="5"/>
      <c r="S26" s="88"/>
      <c r="T26" s="42"/>
      <c r="U26" s="42"/>
      <c r="V26" s="147" t="s">
        <v>180</v>
      </c>
      <c r="W26" s="288">
        <f t="shared" ref="W26:W33" si="5">D38/L10</f>
        <v>1.2301989411192342</v>
      </c>
      <c r="X26" s="288">
        <v>1</v>
      </c>
      <c r="Y26" s="42"/>
      <c r="Z26" s="42"/>
      <c r="AA26" s="42"/>
    </row>
    <row r="27" spans="2:27">
      <c r="B27" s="5" t="s">
        <v>582</v>
      </c>
      <c r="C27" s="545">
        <v>31359</v>
      </c>
      <c r="D27" s="536">
        <v>32184.577682004317</v>
      </c>
      <c r="E27" s="536">
        <v>32037.8783921301</v>
      </c>
      <c r="F27" s="536">
        <v>32471.882649167866</v>
      </c>
      <c r="G27" s="536">
        <v>32825.798694649078</v>
      </c>
      <c r="H27" s="279">
        <f>IF(ISERROR((G27/D27)^(1/3)-1),"na",(G27/D27)^(1/3)-1)</f>
        <v>6.5974572890621364E-3</v>
      </c>
      <c r="I27" s="249"/>
      <c r="J27" s="248"/>
      <c r="K27" s="248"/>
      <c r="L27" s="248"/>
      <c r="M27" s="248"/>
      <c r="N27" s="248"/>
      <c r="O27" s="248"/>
      <c r="Q27" s="41"/>
      <c r="S27" s="88"/>
      <c r="T27" s="42"/>
      <c r="U27" s="42"/>
      <c r="V27" s="147" t="s">
        <v>181</v>
      </c>
      <c r="W27" s="288">
        <f t="shared" si="5"/>
        <v>0.7374330088290254</v>
      </c>
      <c r="X27" s="288">
        <v>1</v>
      </c>
      <c r="Y27" s="42"/>
      <c r="Z27" s="42"/>
      <c r="AA27" s="42"/>
    </row>
    <row r="28" spans="2:27" ht="12.6" thickBot="1">
      <c r="B28" s="5" t="s">
        <v>587</v>
      </c>
      <c r="C28" s="544">
        <v>22332</v>
      </c>
      <c r="D28" s="536">
        <v>21481.527224494832</v>
      </c>
      <c r="E28" s="536">
        <v>20839.427813484112</v>
      </c>
      <c r="F28" s="536">
        <v>21043.635359978376</v>
      </c>
      <c r="G28" s="536">
        <v>21310.819161933803</v>
      </c>
      <c r="H28" s="279">
        <f>IF(ISERROR((G28/D28)^(1/3)-1),"na",(G28/D28)^(1/3)-1)</f>
        <v>-2.6559604522810032E-3</v>
      </c>
      <c r="I28" s="248"/>
      <c r="J28" s="306" t="s">
        <v>1352</v>
      </c>
      <c r="K28" s="306"/>
      <c r="L28" s="306"/>
      <c r="M28" s="306"/>
      <c r="N28" s="266"/>
      <c r="O28" s="266"/>
      <c r="P28" s="266"/>
      <c r="Q28" s="5"/>
      <c r="S28" s="88"/>
      <c r="T28" s="42"/>
      <c r="U28" s="42"/>
      <c r="V28" s="147" t="s">
        <v>461</v>
      </c>
      <c r="W28" s="288">
        <f t="shared" si="5"/>
        <v>0.78373403811533293</v>
      </c>
      <c r="X28" s="288">
        <v>1</v>
      </c>
      <c r="Y28" s="42"/>
      <c r="Z28" s="42"/>
      <c r="AA28" s="42"/>
    </row>
    <row r="29" spans="2:27" ht="12.6" thickTop="1">
      <c r="B29" s="5" t="s">
        <v>583</v>
      </c>
      <c r="C29" s="544">
        <v>3083</v>
      </c>
      <c r="D29" s="536">
        <v>4761.8852416798745</v>
      </c>
      <c r="E29" s="536">
        <v>5537.2315491266872</v>
      </c>
      <c r="F29" s="536">
        <v>4390.6821210765638</v>
      </c>
      <c r="G29" s="536">
        <v>4257.3435956859457</v>
      </c>
      <c r="H29" s="279">
        <f>IF(D29=0,"nm",IF(G29=0,"nm",(G29/D29)^(1/3)-1))</f>
        <v>-3.6644475284147382E-2</v>
      </c>
      <c r="I29" s="252"/>
      <c r="J29" s="249"/>
      <c r="K29" s="249"/>
      <c r="L29" s="249"/>
      <c r="M29" s="249"/>
      <c r="N29" s="249"/>
      <c r="O29" s="251"/>
      <c r="Q29" s="5"/>
      <c r="S29" s="88"/>
      <c r="T29" s="42"/>
      <c r="U29" s="42"/>
      <c r="V29" s="147" t="s">
        <v>525</v>
      </c>
      <c r="W29" s="288">
        <f t="shared" si="5"/>
        <v>1.4410184824953181</v>
      </c>
      <c r="X29" s="288">
        <v>1</v>
      </c>
      <c r="Y29" s="42"/>
      <c r="Z29" s="42"/>
      <c r="AA29" s="42"/>
    </row>
    <row r="30" spans="2:27">
      <c r="B30" s="5" t="s">
        <v>584</v>
      </c>
      <c r="C30" s="545">
        <v>2650</v>
      </c>
      <c r="D30" s="536">
        <v>3017.9760180342009</v>
      </c>
      <c r="E30" s="536">
        <v>3218.1111592524603</v>
      </c>
      <c r="F30" s="536">
        <v>2813.5074781143385</v>
      </c>
      <c r="G30" s="536">
        <v>2863.1316097171484</v>
      </c>
      <c r="H30" s="279">
        <f>IF(D30=0,"nm",IF(G30=0,"nm",(G30/D30)^(1/3)-1))</f>
        <v>-1.7403583875296058E-2</v>
      </c>
      <c r="I30" s="254"/>
      <c r="J30" s="248"/>
      <c r="K30" s="248"/>
      <c r="L30" s="248"/>
      <c r="M30" s="248"/>
      <c r="N30" s="248"/>
      <c r="O30" s="5"/>
      <c r="Q30" s="5"/>
      <c r="S30" s="88"/>
      <c r="T30" s="42"/>
      <c r="U30" s="42"/>
      <c r="V30" s="147" t="s">
        <v>588</v>
      </c>
      <c r="W30" s="288">
        <f t="shared" si="5"/>
        <v>1.6196783270939321</v>
      </c>
      <c r="X30" s="288">
        <v>1</v>
      </c>
      <c r="Y30" s="42"/>
      <c r="Z30" s="42"/>
      <c r="AA30" s="42"/>
    </row>
    <row r="31" spans="2:27">
      <c r="B31" s="5" t="s">
        <v>585</v>
      </c>
      <c r="C31" s="545">
        <v>1902.9276568</v>
      </c>
      <c r="D31" s="536">
        <v>1902.9276568</v>
      </c>
      <c r="E31" s="536">
        <v>1902.9276568</v>
      </c>
      <c r="F31" s="536">
        <v>1902.9276568</v>
      </c>
      <c r="G31" s="536">
        <v>2021.8606353500002</v>
      </c>
      <c r="H31" s="279">
        <f>IF(D31=0,"nm",IF(G31=0,"nm",(G31/D31)^(1/3)-1))</f>
        <v>2.0413775479336982E-2</v>
      </c>
      <c r="I31" s="254"/>
      <c r="J31" s="252"/>
      <c r="K31" s="252"/>
      <c r="L31" s="252"/>
      <c r="M31" s="252"/>
      <c r="N31" s="252"/>
      <c r="O31" s="5"/>
      <c r="Q31" s="5"/>
      <c r="S31" s="88"/>
      <c r="T31" s="42"/>
      <c r="U31" s="42"/>
      <c r="V31" s="147" t="s">
        <v>470</v>
      </c>
      <c r="W31" s="288">
        <f t="shared" si="5"/>
        <v>0.64266209588308676</v>
      </c>
      <c r="X31" s="288">
        <v>1</v>
      </c>
      <c r="Y31" s="42"/>
      <c r="Z31" s="42"/>
      <c r="AA31" s="42"/>
    </row>
    <row r="32" spans="2:27">
      <c r="B32" s="5" t="s">
        <v>601</v>
      </c>
      <c r="C32" s="546">
        <v>0</v>
      </c>
      <c r="D32" s="536">
        <v>0</v>
      </c>
      <c r="E32" s="536">
        <v>0</v>
      </c>
      <c r="F32" s="536">
        <v>0</v>
      </c>
      <c r="G32" s="536">
        <v>0</v>
      </c>
      <c r="H32" s="279" t="str">
        <f>IF(D32=0,"nm",IF(G32=0,"nm",(G32/D32)^(1/3)-1))</f>
        <v>nm</v>
      </c>
      <c r="I32" s="254"/>
      <c r="J32" s="254"/>
      <c r="K32" s="254"/>
      <c r="L32" s="254"/>
      <c r="M32" s="254"/>
      <c r="N32" s="254"/>
      <c r="O32" s="251"/>
      <c r="Q32" s="5"/>
      <c r="S32" s="88"/>
      <c r="T32" s="42"/>
      <c r="U32" s="42"/>
      <c r="V32" s="147" t="s">
        <v>528</v>
      </c>
      <c r="W32" s="288">
        <f t="shared" si="5"/>
        <v>1.1322847666867497</v>
      </c>
      <c r="X32" s="288">
        <v>1</v>
      </c>
      <c r="Y32" s="42"/>
      <c r="Z32" s="42"/>
      <c r="AA32" s="42"/>
    </row>
    <row r="33" spans="2:27">
      <c r="B33" s="5" t="s">
        <v>5</v>
      </c>
      <c r="C33" s="545">
        <v>630</v>
      </c>
      <c r="D33" s="536">
        <v>327.28850262845395</v>
      </c>
      <c r="E33" s="536">
        <v>313.44735532740611</v>
      </c>
      <c r="F33" s="536">
        <v>296.83463756109478</v>
      </c>
      <c r="G33" s="536">
        <v>288.32736022271354</v>
      </c>
      <c r="H33" s="279">
        <f>IF(ISERROR((G33/D33)^(1/3)-1),"na",(G33/D33)^(1/3)-1)</f>
        <v>-4.1368485229472451E-2</v>
      </c>
      <c r="I33" s="5"/>
      <c r="J33" s="254"/>
      <c r="K33" s="254"/>
      <c r="L33" s="254"/>
      <c r="M33" s="254"/>
      <c r="N33" s="254"/>
      <c r="O33" s="251"/>
      <c r="Q33" s="5"/>
      <c r="S33" s="88"/>
      <c r="T33" s="42"/>
      <c r="U33" s="42"/>
      <c r="V33" s="147" t="s">
        <v>575</v>
      </c>
      <c r="W33" s="288">
        <f t="shared" si="5"/>
        <v>0.89459731480460536</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1.5560276643138451</v>
      </c>
      <c r="X34" s="288">
        <v>1</v>
      </c>
      <c r="Y34" s="288"/>
      <c r="Z34" s="288"/>
      <c r="AA34" s="42"/>
    </row>
    <row r="35" spans="2:27" ht="12.6" thickBot="1">
      <c r="B35" s="306" t="s">
        <v>644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1.9237580064648871</v>
      </c>
      <c r="E37" s="525">
        <f t="shared" ref="E37:G40" si="7">E$18/E23</f>
        <v>1.8288981760332923</v>
      </c>
      <c r="F37" s="525">
        <f t="shared" si="7"/>
        <v>1.7519269959751105</v>
      </c>
      <c r="G37" s="525">
        <f t="shared" si="7"/>
        <v>1.5907143623390982</v>
      </c>
      <c r="H37" s="17">
        <f t="shared" ref="H37:H45" si="8">H23</f>
        <v>-7.1862522661734207E-3</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5.6877952839961203</v>
      </c>
      <c r="E38" s="525">
        <f t="shared" si="7"/>
        <v>5.1111775258309002</v>
      </c>
      <c r="F38" s="525">
        <f t="shared" si="7"/>
        <v>5.1327872160824199</v>
      </c>
      <c r="G38" s="525">
        <f t="shared" si="7"/>
        <v>4.7197639616920899</v>
      </c>
      <c r="H38" s="17">
        <f t="shared" si="8"/>
        <v>-8.354918946323564E-3</v>
      </c>
      <c r="I38" s="259"/>
      <c r="J38" s="17"/>
      <c r="K38" s="17"/>
      <c r="L38" s="17"/>
      <c r="M38" s="17"/>
      <c r="N38" s="17"/>
      <c r="O38" s="5"/>
      <c r="Q38" s="5"/>
      <c r="R38" s="5"/>
      <c r="S38" s="42"/>
      <c r="T38" s="42"/>
      <c r="U38" s="42"/>
      <c r="V38" s="42"/>
      <c r="W38" s="42"/>
      <c r="X38" s="42"/>
      <c r="Y38" s="42"/>
      <c r="Z38" s="42"/>
      <c r="AA38" s="42"/>
    </row>
    <row r="39" spans="2:27">
      <c r="B39" s="5" t="s">
        <v>181</v>
      </c>
      <c r="C39" s="247"/>
      <c r="D39" s="525">
        <f>D$18/D25</f>
        <v>8.6977801069566247</v>
      </c>
      <c r="E39" s="525">
        <f t="shared" si="7"/>
        <v>7.5482441632053323</v>
      </c>
      <c r="F39" s="525">
        <f t="shared" si="7"/>
        <v>7.789945459390065</v>
      </c>
      <c r="G39" s="525">
        <f t="shared" si="7"/>
        <v>7.2291676979711115</v>
      </c>
      <c r="H39" s="17">
        <f t="shared" si="8"/>
        <v>-8.8902592586865836E-3</v>
      </c>
      <c r="I39" s="17"/>
      <c r="J39" s="5"/>
      <c r="K39" s="5"/>
      <c r="L39" s="5"/>
      <c r="M39" s="5"/>
      <c r="N39" s="5"/>
      <c r="O39" s="5"/>
      <c r="Q39" s="5"/>
      <c r="R39" s="5"/>
      <c r="S39" s="42"/>
      <c r="T39" s="42"/>
      <c r="U39" s="42"/>
      <c r="V39" s="42"/>
      <c r="W39" s="42"/>
      <c r="X39" s="42"/>
      <c r="Y39" s="42"/>
      <c r="Z39" s="42"/>
      <c r="AA39" s="42"/>
    </row>
    <row r="40" spans="2:27">
      <c r="B40" s="5" t="s">
        <v>461</v>
      </c>
      <c r="C40" s="247"/>
      <c r="D40" s="525">
        <f>D$18/D26</f>
        <v>12.425400152795179</v>
      </c>
      <c r="E40" s="525">
        <f t="shared" si="7"/>
        <v>10.783205947436191</v>
      </c>
      <c r="F40" s="525">
        <f t="shared" si="7"/>
        <v>11.128493513414378</v>
      </c>
      <c r="G40" s="525">
        <f t="shared" si="7"/>
        <v>10.327382425673019</v>
      </c>
      <c r="H40" s="17">
        <f t="shared" si="8"/>
        <v>-8.8902592586865836E-3</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1.6514818694759408</v>
      </c>
      <c r="E41" s="525">
        <f t="shared" ref="E41:G41" si="9">E18/E27</f>
        <v>1.5349174213818444</v>
      </c>
      <c r="F41" s="525">
        <f t="shared" si="9"/>
        <v>1.4217364533678323</v>
      </c>
      <c r="G41" s="525">
        <f t="shared" si="9"/>
        <v>1.3102417446891035</v>
      </c>
      <c r="H41" s="17">
        <f t="shared" si="8"/>
        <v>6.5974572890621364E-3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2.4743234483794985</v>
      </c>
      <c r="E42" s="525">
        <f t="shared" ref="E42:G42" si="10">E18/E28</f>
        <v>2.3597335842577469</v>
      </c>
      <c r="F42" s="525">
        <f t="shared" si="10"/>
        <v>2.19384428983243</v>
      </c>
      <c r="G42" s="525">
        <f t="shared" si="10"/>
        <v>2.0182110985820727</v>
      </c>
      <c r="H42" s="17">
        <f t="shared" si="8"/>
        <v>-2.6559604522810032E-3</v>
      </c>
      <c r="I42" s="248"/>
      <c r="J42" s="5"/>
      <c r="K42" s="5"/>
      <c r="L42" s="5"/>
      <c r="M42" s="5"/>
      <c r="N42" s="5"/>
      <c r="O42" s="5"/>
      <c r="Q42" s="5"/>
      <c r="R42" s="5"/>
      <c r="S42" s="42"/>
      <c r="T42" s="42"/>
      <c r="U42" s="42"/>
      <c r="V42" s="42"/>
      <c r="W42" s="288"/>
      <c r="X42" s="288"/>
      <c r="Y42" s="288"/>
      <c r="Z42" s="288"/>
      <c r="AA42" s="42"/>
    </row>
    <row r="43" spans="2:27">
      <c r="B43" s="5" t="s">
        <v>470</v>
      </c>
      <c r="C43" s="247"/>
      <c r="D43" s="525">
        <f>L26/D29</f>
        <v>9.8155789562163118</v>
      </c>
      <c r="E43" s="525">
        <f>M26/E29</f>
        <v>8.4411605610969573</v>
      </c>
      <c r="F43" s="525">
        <f>N26/F29</f>
        <v>10.645421208194758</v>
      </c>
      <c r="G43" s="525">
        <f>O26/G29</f>
        <v>10.97883210965478</v>
      </c>
      <c r="H43" s="17">
        <f t="shared" si="8"/>
        <v>-3.6644475284147382E-2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15.487419479428189</v>
      </c>
      <c r="E44" s="525">
        <f>E11/E30</f>
        <v>14.52425297235769</v>
      </c>
      <c r="F44" s="525">
        <f>F11/F30</f>
        <v>16.612950537269018</v>
      </c>
      <c r="G44" s="525">
        <f>G11/G30</f>
        <v>16.325012937413504</v>
      </c>
      <c r="H44" s="17">
        <f t="shared" si="8"/>
        <v>-1.7403583875296058E-2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4.071246819338422E-2</v>
      </c>
      <c r="E45" s="248">
        <f>E31/E11</f>
        <v>4.071246819338422E-2</v>
      </c>
      <c r="F45" s="248">
        <f>F31/F11</f>
        <v>4.071246819338422E-2</v>
      </c>
      <c r="G45" s="248">
        <f>G31/G11</f>
        <v>4.3256997455470743E-2</v>
      </c>
      <c r="H45" s="17">
        <f t="shared" si="8"/>
        <v>2.0413775479336982E-2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4.071246819338422E-2</v>
      </c>
      <c r="E46" s="248">
        <f>(E31+E32)/E11</f>
        <v>4.071246819338422E-2</v>
      </c>
      <c r="F46" s="248">
        <f>(F31+F32)/F11</f>
        <v>4.071246819338422E-2</v>
      </c>
      <c r="G46" s="248">
        <f>(G31+G32)/G11</f>
        <v>4.3256997455470743E-2</v>
      </c>
      <c r="H46" s="279">
        <f>((G31+G32)/(D31+D32))^(1/3)-1</f>
        <v>2.0413775479336982E-2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0.10187886058078002</v>
      </c>
      <c r="E47" s="248">
        <f>1/E43</f>
        <v>0.11846712223538686</v>
      </c>
      <c r="F47" s="248">
        <f>1/F43</f>
        <v>9.3937100321611344E-2</v>
      </c>
      <c r="G47" s="248">
        <f>1/G43</f>
        <v>9.1084369449515534E-2</v>
      </c>
      <c r="H47" s="17">
        <f>H29</f>
        <v>-3.6644475284147382E-2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0.39961644605460811</v>
      </c>
      <c r="E48" s="305">
        <f>E31/E29</f>
        <v>0.34366048085890921</v>
      </c>
      <c r="F48" s="305">
        <f>F31/F29</f>
        <v>0.43340137234380699</v>
      </c>
      <c r="G48" s="305">
        <f>G31/G29</f>
        <v>0.47491131263137731</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3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326</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328</v>
      </c>
      <c r="C9" s="287">
        <f>Prices!C104/100</f>
        <v>27.55</v>
      </c>
      <c r="D9" s="529">
        <v>13</v>
      </c>
      <c r="E9" s="529">
        <v>13</v>
      </c>
      <c r="F9" s="529">
        <v>13</v>
      </c>
      <c r="G9" s="529">
        <v>13</v>
      </c>
      <c r="H9" s="249" t="s">
        <v>22</v>
      </c>
      <c r="I9" s="249"/>
      <c r="J9" s="5" t="s">
        <v>268</v>
      </c>
      <c r="L9" s="525">
        <f>'EMEA INCUMB'!D37</f>
        <v>0.4303507109108346</v>
      </c>
      <c r="M9" s="525">
        <f>'EMEA INCUMB'!E37</f>
        <v>0.36397413058550154</v>
      </c>
      <c r="N9" s="525">
        <f>'EMEA INCUMB'!F37</f>
        <v>0.29876431261905234</v>
      </c>
      <c r="O9" s="525">
        <f>'EMEA INCUMB'!G37</f>
        <v>0.23578722677146316</v>
      </c>
      <c r="P9" s="286">
        <f>'EMEA INCUMB'!H37</f>
        <v>1.947512825024833E-2</v>
      </c>
      <c r="S9" s="88"/>
      <c r="T9" s="42"/>
      <c r="U9" s="42"/>
      <c r="V9" s="42"/>
      <c r="W9" s="42"/>
      <c r="X9" s="42"/>
      <c r="Y9" s="42"/>
      <c r="Z9" s="42"/>
      <c r="AA9" s="42"/>
    </row>
    <row r="10" spans="2:44">
      <c r="B10" s="5" t="s">
        <v>269</v>
      </c>
      <c r="C10" s="5"/>
      <c r="D10" s="527">
        <v>507.78390000000002</v>
      </c>
      <c r="E10" s="527">
        <v>507.78390000000002</v>
      </c>
      <c r="F10" s="527">
        <v>507.78390000000002</v>
      </c>
      <c r="G10" s="527">
        <v>507.78390000000002</v>
      </c>
      <c r="H10" s="247"/>
      <c r="I10" s="247"/>
      <c r="J10" s="5" t="s">
        <v>180</v>
      </c>
      <c r="L10" s="525">
        <f>'EMEA INCUMB'!D38</f>
        <v>1.5988183551359907</v>
      </c>
      <c r="M10" s="525">
        <f>'EMEA INCUMB'!E38</f>
        <v>1.3858387424657825</v>
      </c>
      <c r="N10" s="525">
        <f>'EMEA INCUMB'!F38</f>
        <v>1.152691488671955</v>
      </c>
      <c r="O10" s="525">
        <f>'EMEA INCUMB'!G38</f>
        <v>0.90971350311033605</v>
      </c>
      <c r="P10" s="286">
        <f>'EMEA INCUMB'!H38</f>
        <v>6.71694721895566E-3</v>
      </c>
      <c r="S10" s="88"/>
      <c r="T10" s="42"/>
      <c r="U10" s="42"/>
      <c r="V10" s="42"/>
      <c r="W10" s="288"/>
      <c r="X10" s="288"/>
      <c r="Y10" s="288"/>
      <c r="Z10" s="288"/>
      <c r="AA10" s="42"/>
    </row>
    <row r="11" spans="2:44">
      <c r="B11" s="41" t="s">
        <v>270</v>
      </c>
      <c r="C11" s="5"/>
      <c r="D11" s="528">
        <f>(($C$9)*D10)-(D9*$C$9)</f>
        <v>13631.296445000002</v>
      </c>
      <c r="E11" s="528">
        <f>(($C$9)*E10)-(E9*$C$9)</f>
        <v>13631.296445000002</v>
      </c>
      <c r="F11" s="528">
        <f>(($C$9)*F10)-(F9*$C$9)</f>
        <v>13631.296445000002</v>
      </c>
      <c r="G11" s="528">
        <f>(($C$9)*G10)-(G9*$C$9)</f>
        <v>13631.296445000002</v>
      </c>
      <c r="H11" s="249"/>
      <c r="I11" s="249"/>
      <c r="J11" s="5" t="s">
        <v>181</v>
      </c>
      <c r="L11" s="525">
        <f>'EMEA INCUMB'!D39</f>
        <v>3.534026270652816</v>
      </c>
      <c r="M11" s="525">
        <f>'EMEA INCUMB'!E39</f>
        <v>3.0102198667929545</v>
      </c>
      <c r="N11" s="525">
        <f>'EMEA INCUMB'!F39</f>
        <v>2.5517996503580389</v>
      </c>
      <c r="O11" s="525">
        <f>'EMEA INCUMB'!G39</f>
        <v>2.0139010498268655</v>
      </c>
      <c r="P11" s="286">
        <f>'EMEA INCUMB'!H39</f>
        <v>6.2049124089686991E-3</v>
      </c>
      <c r="S11" s="88"/>
      <c r="T11" s="42"/>
      <c r="U11" s="42"/>
      <c r="V11" s="42"/>
      <c r="W11" s="288"/>
      <c r="X11" s="288"/>
      <c r="Y11" s="288"/>
      <c r="Z11" s="288"/>
      <c r="AA11" s="42"/>
    </row>
    <row r="12" spans="2:44">
      <c r="B12" s="5" t="s">
        <v>24</v>
      </c>
      <c r="C12" s="249"/>
      <c r="D12" s="529">
        <v>12306.058225694971</v>
      </c>
      <c r="E12" s="529">
        <v>11554.477486062349</v>
      </c>
      <c r="F12" s="529">
        <v>10833.729631240325</v>
      </c>
      <c r="G12" s="529">
        <v>10097.884950957905</v>
      </c>
      <c r="H12" s="247"/>
      <c r="I12" s="247"/>
      <c r="J12" s="5" t="s">
        <v>461</v>
      </c>
      <c r="L12" s="525">
        <f>'EMEA INCUMB'!D40</f>
        <v>4.9083698203511332</v>
      </c>
      <c r="M12" s="525">
        <f>'EMEA INCUMB'!E40</f>
        <v>4.1808609261013263</v>
      </c>
      <c r="N12" s="525">
        <f>'EMEA INCUMB'!F40</f>
        <v>3.5441661810528324</v>
      </c>
      <c r="O12" s="525">
        <f>'EMEA INCUMB'!G40</f>
        <v>2.7970847914262018</v>
      </c>
      <c r="P12" s="286">
        <f>'EMEA INCUMB'!H40</f>
        <v>6.2049124089684771E-3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'EMEA INCUMB'!D41</f>
        <v>0.4632399336456538</v>
      </c>
      <c r="M13" s="525">
        <f>'EMEA INCUMB'!E41</f>
        <v>0.40074038339765861</v>
      </c>
      <c r="N13" s="525">
        <f>'EMEA INCUMB'!F41</f>
        <v>0.33774230402273275</v>
      </c>
      <c r="O13" s="525">
        <f>'EMEA INCUMB'!G41</f>
        <v>0.27223659631668001</v>
      </c>
      <c r="P13" s="286">
        <f>'EMEA INCUMB'!H41</f>
        <v>-4.0694686979286798E-3</v>
      </c>
      <c r="S13" s="88"/>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7"/>
      <c r="I14" s="247"/>
      <c r="J14" s="5" t="s">
        <v>588</v>
      </c>
      <c r="L14" s="525">
        <f>'EMEA INCUMB'!D42</f>
        <v>0.49023227499392263</v>
      </c>
      <c r="M14" s="525">
        <f>'EMEA INCUMB'!E42</f>
        <v>0.41678685294191758</v>
      </c>
      <c r="N14" s="525">
        <f>'EMEA INCUMB'!F42</f>
        <v>0.34576512532129561</v>
      </c>
      <c r="O14" s="525">
        <f>'EMEA INCUMB'!G42</f>
        <v>0.27288065063429767</v>
      </c>
      <c r="P14" s="286">
        <f>'EMEA INCUMB'!H42</f>
        <v>1.4111258607638399E-2</v>
      </c>
      <c r="S14" s="88"/>
      <c r="T14" s="42"/>
      <c r="U14" s="42"/>
      <c r="V14" s="42"/>
      <c r="W14" s="42"/>
      <c r="X14" s="42"/>
      <c r="Y14" s="42"/>
      <c r="Z14" s="42"/>
      <c r="AA14" s="42"/>
    </row>
    <row r="15" spans="2:44">
      <c r="B15" s="5" t="s">
        <v>526</v>
      </c>
      <c r="C15" s="274"/>
      <c r="D15" s="529">
        <v>0</v>
      </c>
      <c r="E15" s="529">
        <f t="shared" si="2"/>
        <v>0</v>
      </c>
      <c r="F15" s="529">
        <f t="shared" si="2"/>
        <v>0</v>
      </c>
      <c r="G15" s="529">
        <f t="shared" si="2"/>
        <v>0</v>
      </c>
      <c r="H15" s="247"/>
      <c r="I15" s="247"/>
      <c r="J15" s="5" t="s">
        <v>470</v>
      </c>
      <c r="L15" s="525">
        <f>'EMEA INCUMB'!D43</f>
        <v>4.6136697896291503</v>
      </c>
      <c r="M15" s="525">
        <f>'EMEA INCUMB'!E43</f>
        <v>4.5935446174357697</v>
      </c>
      <c r="N15" s="525">
        <f>'EMEA INCUMB'!F43</f>
        <v>4.6264789882136794</v>
      </c>
      <c r="O15" s="525">
        <f>'EMEA INCUMB'!G43</f>
        <v>4.5315606614895616</v>
      </c>
      <c r="P15" s="286">
        <f>'EMEA INCUMB'!H43</f>
        <v>6.0036813160782021E-3</v>
      </c>
      <c r="S15" s="88"/>
      <c r="T15" s="42"/>
      <c r="U15" s="42"/>
      <c r="V15" s="42"/>
      <c r="W15" s="42"/>
      <c r="X15" s="42"/>
      <c r="Y15" s="42"/>
      <c r="Z15" s="42"/>
      <c r="AA15" s="42"/>
    </row>
    <row r="16" spans="2:44">
      <c r="B16" s="5" t="s">
        <v>529</v>
      </c>
      <c r="C16" s="257"/>
      <c r="D16" s="529">
        <v>4778.7466134274309</v>
      </c>
      <c r="E16" s="529">
        <v>6994.6555969292103</v>
      </c>
      <c r="F16" s="529">
        <v>9220.2728892800151</v>
      </c>
      <c r="G16" s="529">
        <v>11445.890181630821</v>
      </c>
      <c r="H16" s="247"/>
      <c r="I16" s="247"/>
      <c r="J16" s="5" t="s">
        <v>528</v>
      </c>
      <c r="L16" s="525">
        <f>'EMEA INCUMB'!D44</f>
        <v>3.6437103160838267</v>
      </c>
      <c r="M16" s="525">
        <f>'EMEA INCUMB'!E44</f>
        <v>3.7862765840865626</v>
      </c>
      <c r="N16" s="525">
        <f>'EMEA INCUMB'!F44</f>
        <v>3.7540690578449594</v>
      </c>
      <c r="O16" s="525">
        <f>'EMEA INCUMB'!G44</f>
        <v>3.6770493730511467</v>
      </c>
      <c r="P16" s="286">
        <f>'EMEA INCUMB'!H44</f>
        <v>-3.031445748740591E-3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'EMEA INCUMB'!D45</f>
        <v>0.15839861800205629</v>
      </c>
      <c r="M17" s="248">
        <f>'EMEA INCUMB'!E45</f>
        <v>0.15909259176915208</v>
      </c>
      <c r="N17" s="248">
        <f>'EMEA INCUMB'!F45</f>
        <v>0.15796006432902249</v>
      </c>
      <c r="O17" s="248">
        <f>'EMEA INCUMB'!G45</f>
        <v>0.15909259176915241</v>
      </c>
      <c r="P17" s="286">
        <f>'EMEA INCUMB'!H45</f>
        <v>1.4582676697889596E-3</v>
      </c>
      <c r="S17" s="88"/>
      <c r="T17" s="42"/>
      <c r="U17" s="42"/>
      <c r="V17" s="42"/>
      <c r="W17" s="42"/>
      <c r="X17" s="42"/>
      <c r="Y17" s="42"/>
      <c r="Z17" s="42"/>
      <c r="AA17" s="42"/>
    </row>
    <row r="18" spans="2:27" ht="12.6" thickBot="1">
      <c r="B18" s="41" t="s">
        <v>578</v>
      </c>
      <c r="C18" s="249"/>
      <c r="D18" s="530">
        <f>D11+D12+D13-D14+D15-D16-D17</f>
        <v>21158.608057267542</v>
      </c>
      <c r="E18" s="530">
        <f>E11+E12+E13-E14+E15-E16-E17</f>
        <v>18191.118334133142</v>
      </c>
      <c r="F18" s="530">
        <f>F11+F12+F13-F14+F15-F16-F17</f>
        <v>15244.753186960312</v>
      </c>
      <c r="G18" s="530">
        <f>G11+G12+G13-G14+G15-G16-G17</f>
        <v>12283.291214327088</v>
      </c>
      <c r="H18" s="276">
        <f>IF(D18=0,"nm",IF(G18=0,"nm",(G18/D18)^(1/3)-1))</f>
        <v>-0.1657890525464496</v>
      </c>
      <c r="I18" s="254"/>
      <c r="J18" s="5" t="s">
        <v>36</v>
      </c>
      <c r="L18" s="248">
        <f>'EMEA INCUMB'!D46</f>
        <v>0.15839861800205629</v>
      </c>
      <c r="M18" s="248">
        <f>'EMEA INCUMB'!E46</f>
        <v>0.15909259176915208</v>
      </c>
      <c r="N18" s="248">
        <f>'EMEA INCUMB'!F46</f>
        <v>0.15796006432902249</v>
      </c>
      <c r="O18" s="248">
        <f>'EMEA INCUMB'!G46</f>
        <v>0.15909259176915241</v>
      </c>
      <c r="P18" s="286">
        <f>'EMEA INCUMB'!H46</f>
        <v>1.4582676697889596E-3</v>
      </c>
      <c r="S18" s="88"/>
      <c r="T18" s="42"/>
      <c r="U18" s="42"/>
      <c r="V18" s="42"/>
      <c r="W18" s="42"/>
      <c r="X18" s="42"/>
      <c r="Y18" s="42"/>
      <c r="Z18" s="42"/>
      <c r="AA18" s="42"/>
    </row>
    <row r="19" spans="2:27" ht="12.6" thickTop="1">
      <c r="B19" s="41"/>
      <c r="C19" s="249"/>
      <c r="D19" s="229"/>
      <c r="E19" s="229"/>
      <c r="F19" s="229"/>
      <c r="G19" s="229"/>
      <c r="H19" s="276"/>
      <c r="I19" s="254"/>
      <c r="J19" s="5" t="s">
        <v>576</v>
      </c>
      <c r="L19" s="248">
        <f>'EMEA INCUMB'!D47</f>
        <v>0.21674719813018534</v>
      </c>
      <c r="M19" s="248">
        <f>'EMEA INCUMB'!E47</f>
        <v>0.21769680786473447</v>
      </c>
      <c r="N19" s="248">
        <f>'EMEA INCUMB'!F47</f>
        <v>0.2161470964306936</v>
      </c>
      <c r="O19" s="248">
        <f>'EMEA INCUMB'!G47</f>
        <v>0.22067452577613553</v>
      </c>
      <c r="P19" s="286">
        <f>'EMEA INCUMB'!H47</f>
        <v>6.0036813160782021E-3</v>
      </c>
      <c r="S19" s="88"/>
      <c r="T19" s="42"/>
      <c r="U19" s="42"/>
      <c r="V19" s="42"/>
      <c r="W19" s="42"/>
      <c r="X19" s="42"/>
      <c r="Y19" s="42"/>
      <c r="Z19" s="42"/>
      <c r="AA19" s="42"/>
    </row>
    <row r="20" spans="2:27">
      <c r="H20" s="277"/>
      <c r="I20" s="17"/>
      <c r="J20" s="5" t="s">
        <v>599</v>
      </c>
      <c r="L20" s="305">
        <f>'EMEA INCUMB'!D48</f>
        <v>0.73079891859509527</v>
      </c>
      <c r="M20" s="305">
        <f>'EMEA INCUMB'!E48</f>
        <v>0.73079891859509472</v>
      </c>
      <c r="N20" s="305">
        <f>'EMEA INCUMB'!F48</f>
        <v>0.73079891859510371</v>
      </c>
      <c r="O20" s="305">
        <f>'EMEA INCUMB'!G48</f>
        <v>0.72093773039550912</v>
      </c>
      <c r="P20" s="286">
        <f>'EMEA INCUMB'!H48</f>
        <v>-3.031445748740591E-3</v>
      </c>
      <c r="S20" s="88"/>
      <c r="T20" s="42"/>
      <c r="U20" s="42"/>
      <c r="V20" s="42"/>
      <c r="W20" s="42"/>
      <c r="X20" s="42"/>
      <c r="Y20" s="42"/>
      <c r="Z20" s="42"/>
      <c r="AA20" s="42"/>
    </row>
    <row r="21" spans="2:27" ht="12.6" thickBot="1">
      <c r="B21" s="306" t="s">
        <v>937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48208.955424451531</v>
      </c>
      <c r="D23" s="536">
        <v>49165.965155455371</v>
      </c>
      <c r="E23" s="536">
        <v>49979.151828373826</v>
      </c>
      <c r="F23" s="536">
        <v>51026.017978253498</v>
      </c>
      <c r="G23" s="536">
        <v>52094.811845904922</v>
      </c>
      <c r="H23" s="279">
        <f t="shared" ref="H23:H32" si="4">IF(D23=0,"nm",IF(G23=0,"nm",(G23/D23)^(1/3)-1))</f>
        <v>1.947512825024833E-2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13387.629500754774</v>
      </c>
      <c r="D24" s="536">
        <v>13233.903644712569</v>
      </c>
      <c r="E24" s="536">
        <v>13126.432229601414</v>
      </c>
      <c r="F24" s="536">
        <v>13225.354170459068</v>
      </c>
      <c r="G24" s="536">
        <v>13502.373189284506</v>
      </c>
      <c r="H24" s="279">
        <f t="shared" si="4"/>
        <v>6.71694721895566E-3</v>
      </c>
      <c r="I24" s="249"/>
      <c r="J24" s="17"/>
      <c r="K24" s="17"/>
      <c r="L24" s="17"/>
      <c r="M24" s="17"/>
      <c r="N24" s="17"/>
      <c r="O24" s="248"/>
      <c r="S24" s="88"/>
      <c r="T24" s="42"/>
      <c r="U24" s="42"/>
      <c r="V24" s="42"/>
      <c r="W24" s="42" t="s">
        <v>327</v>
      </c>
      <c r="X24" s="42" t="s">
        <v>94</v>
      </c>
      <c r="Y24" s="42"/>
      <c r="Z24" s="42"/>
      <c r="AA24" s="42"/>
    </row>
    <row r="25" spans="2:27">
      <c r="B25" s="5" t="s">
        <v>179</v>
      </c>
      <c r="C25" s="544">
        <v>5966.3513768955891</v>
      </c>
      <c r="D25" s="536">
        <v>5987.111140902487</v>
      </c>
      <c r="E25" s="536">
        <v>6043.1194859908028</v>
      </c>
      <c r="F25" s="536">
        <v>5974.1183775228365</v>
      </c>
      <c r="G25" s="536">
        <v>6099.2526000138296</v>
      </c>
      <c r="H25" s="279">
        <f t="shared" si="4"/>
        <v>6.2049124089686991E-3</v>
      </c>
      <c r="I25" s="248"/>
      <c r="J25" s="247" t="s">
        <v>10</v>
      </c>
      <c r="K25" s="247"/>
      <c r="L25" s="321">
        <v>0</v>
      </c>
      <c r="M25" s="321">
        <v>0</v>
      </c>
      <c r="N25" s="321">
        <v>0</v>
      </c>
      <c r="O25" s="321">
        <v>0</v>
      </c>
      <c r="P25" s="279" t="str">
        <f>IF(L25=0,"nm",IF(O25=0,"nm",(O25/L25)^(1/3)-1))</f>
        <v>nm</v>
      </c>
      <c r="S25" s="88"/>
      <c r="T25" s="42"/>
      <c r="U25" s="42"/>
      <c r="V25" s="147" t="s">
        <v>268</v>
      </c>
      <c r="W25" s="288">
        <f>D37/L9</f>
        <v>1</v>
      </c>
      <c r="X25" s="288">
        <v>1</v>
      </c>
      <c r="Y25" s="42"/>
      <c r="Z25" s="42"/>
      <c r="AA25" s="42"/>
    </row>
    <row r="26" spans="2:27">
      <c r="B26" s="5" t="s">
        <v>581</v>
      </c>
      <c r="C26" s="544">
        <v>4295.7729913648236</v>
      </c>
      <c r="D26" s="536">
        <v>4310.7200214497907</v>
      </c>
      <c r="E26" s="536">
        <v>4351.0460299133774</v>
      </c>
      <c r="F26" s="536">
        <v>4301.3652318164422</v>
      </c>
      <c r="G26" s="536">
        <v>4391.461872009957</v>
      </c>
      <c r="H26" s="279">
        <f t="shared" si="4"/>
        <v>6.2049124089686991E-3</v>
      </c>
      <c r="I26" s="249"/>
      <c r="J26" s="249" t="s">
        <v>11</v>
      </c>
      <c r="K26" s="249"/>
      <c r="L26" s="281">
        <f>D11+L25</f>
        <v>13631.296445000002</v>
      </c>
      <c r="M26" s="281">
        <f>E11+M25</f>
        <v>13631.296445000002</v>
      </c>
      <c r="N26" s="281">
        <f>F11+N25</f>
        <v>13631.296445000002</v>
      </c>
      <c r="O26" s="281">
        <f>G11+O25</f>
        <v>13631.296445000002</v>
      </c>
      <c r="P26" s="279">
        <f>IF(L26=0,"nm",IF(O26=0,"nm",(O26/L26)^(1/3)-1))</f>
        <v>0</v>
      </c>
      <c r="Q26" s="5"/>
      <c r="S26" s="88"/>
      <c r="T26" s="42"/>
      <c r="U26" s="42"/>
      <c r="V26" s="147" t="s">
        <v>180</v>
      </c>
      <c r="W26" s="288">
        <f t="shared" ref="W26:W33" si="6">D38/L10</f>
        <v>1</v>
      </c>
      <c r="X26" s="288">
        <v>1</v>
      </c>
      <c r="Y26" s="42"/>
      <c r="Z26" s="42"/>
      <c r="AA26" s="42"/>
    </row>
    <row r="27" spans="2:27">
      <c r="B27" s="5" t="s">
        <v>582</v>
      </c>
      <c r="C27" s="545">
        <v>45776.657554491634</v>
      </c>
      <c r="D27" s="536">
        <v>45675.267869830066</v>
      </c>
      <c r="E27" s="536">
        <v>45393.773844054842</v>
      </c>
      <c r="F27" s="536">
        <v>45137.233344432381</v>
      </c>
      <c r="G27" s="536">
        <v>45119.911799214955</v>
      </c>
      <c r="H27" s="279">
        <f t="shared" si="4"/>
        <v>-4.0694686979286798E-3</v>
      </c>
      <c r="I27" s="249"/>
      <c r="J27" s="248"/>
      <c r="K27" s="248"/>
      <c r="L27" s="248"/>
      <c r="M27" s="248"/>
      <c r="N27" s="248"/>
      <c r="O27" s="248"/>
      <c r="Q27" s="41"/>
      <c r="S27" s="88"/>
      <c r="T27" s="42"/>
      <c r="U27" s="42"/>
      <c r="V27" s="147" t="s">
        <v>181</v>
      </c>
      <c r="W27" s="288">
        <f t="shared" si="6"/>
        <v>1</v>
      </c>
      <c r="X27" s="288">
        <v>1</v>
      </c>
      <c r="Y27" s="42"/>
      <c r="Z27" s="42"/>
      <c r="AA27" s="42"/>
    </row>
    <row r="28" spans="2:27" ht="12.6" thickBot="1">
      <c r="B28" s="5" t="s">
        <v>587</v>
      </c>
      <c r="C28" s="544">
        <v>42246.898353411889</v>
      </c>
      <c r="D28" s="536">
        <v>43160.373432226275</v>
      </c>
      <c r="E28" s="536">
        <v>43646.094414278981</v>
      </c>
      <c r="F28" s="536">
        <v>44089.909798723675</v>
      </c>
      <c r="G28" s="536">
        <v>45013.419550910556</v>
      </c>
      <c r="H28" s="279">
        <f t="shared" si="4"/>
        <v>1.4111258607638399E-2</v>
      </c>
      <c r="I28" s="248"/>
      <c r="J28" s="306" t="s">
        <v>1352</v>
      </c>
      <c r="K28" s="306"/>
      <c r="L28" s="306"/>
      <c r="M28" s="306"/>
      <c r="N28" s="266"/>
      <c r="O28" s="266"/>
      <c r="P28" s="266"/>
      <c r="Q28" s="5"/>
      <c r="S28" s="88"/>
      <c r="T28" s="42"/>
      <c r="U28" s="42"/>
      <c r="V28" s="147" t="s">
        <v>461</v>
      </c>
      <c r="W28" s="288">
        <f t="shared" si="6"/>
        <v>1</v>
      </c>
      <c r="X28" s="288">
        <v>1</v>
      </c>
      <c r="Y28" s="42"/>
      <c r="Z28" s="42"/>
      <c r="AA28" s="42"/>
    </row>
    <row r="29" spans="2:27" ht="12.6" thickTop="1">
      <c r="B29" s="5" t="s">
        <v>583</v>
      </c>
      <c r="C29" s="544">
        <v>2941.8913466209483</v>
      </c>
      <c r="D29" s="536">
        <v>2954.5453113357062</v>
      </c>
      <c r="E29" s="536">
        <v>2967.4897231344039</v>
      </c>
      <c r="F29" s="536">
        <v>2946.3651471727867</v>
      </c>
      <c r="G29" s="536">
        <v>3008.0798787142971</v>
      </c>
      <c r="H29" s="279">
        <f t="shared" si="4"/>
        <v>6.0036813160782021E-3</v>
      </c>
      <c r="I29" s="252"/>
      <c r="J29" s="249"/>
      <c r="K29" s="249"/>
      <c r="L29" s="249"/>
      <c r="M29" s="249"/>
      <c r="N29" s="249"/>
      <c r="O29" s="251"/>
      <c r="Q29" s="5"/>
      <c r="S29" s="88"/>
      <c r="T29" s="42"/>
      <c r="U29" s="42"/>
      <c r="V29" s="147" t="s">
        <v>525</v>
      </c>
      <c r="W29" s="288">
        <f t="shared" si="6"/>
        <v>1</v>
      </c>
      <c r="X29" s="288">
        <v>1</v>
      </c>
      <c r="Y29" s="42"/>
      <c r="Z29" s="42"/>
      <c r="AA29" s="42"/>
    </row>
    <row r="30" spans="2:27">
      <c r="B30" s="5" t="s">
        <v>584</v>
      </c>
      <c r="C30" s="545">
        <v>3930.1769122837659</v>
      </c>
      <c r="D30" s="536">
        <v>3741.0483442741393</v>
      </c>
      <c r="E30" s="536">
        <v>3600.1850742471693</v>
      </c>
      <c r="F30" s="536">
        <v>3631.0723737258872</v>
      </c>
      <c r="G30" s="536">
        <v>3707.1290216832217</v>
      </c>
      <c r="H30" s="279">
        <f t="shared" si="4"/>
        <v>-3.031445748740591E-3</v>
      </c>
      <c r="I30" s="254"/>
      <c r="J30" s="248"/>
      <c r="K30" s="248"/>
      <c r="L30" s="248"/>
      <c r="M30" s="248"/>
      <c r="N30" s="248"/>
      <c r="O30" s="5"/>
      <c r="Q30" s="5"/>
      <c r="S30" s="88"/>
      <c r="T30" s="42"/>
      <c r="U30" s="42"/>
      <c r="V30" s="147" t="s">
        <v>588</v>
      </c>
      <c r="W30" s="288">
        <f t="shared" si="6"/>
        <v>0.99999999999999989</v>
      </c>
      <c r="X30" s="288">
        <v>1</v>
      </c>
      <c r="Y30" s="42"/>
      <c r="Z30" s="42"/>
      <c r="AA30" s="42"/>
    </row>
    <row r="31" spans="2:27">
      <c r="B31" s="5" t="s">
        <v>585</v>
      </c>
      <c r="C31" s="545">
        <v>2149.9310147348574</v>
      </c>
      <c r="D31" s="536">
        <v>2159.1785184643431</v>
      </c>
      <c r="E31" s="536">
        <v>2168.6382806086795</v>
      </c>
      <c r="F31" s="536">
        <v>2153.2004633401757</v>
      </c>
      <c r="G31" s="536">
        <v>2168.638280608684</v>
      </c>
      <c r="H31" s="279">
        <f t="shared" si="4"/>
        <v>1.4582676697889596E-3</v>
      </c>
      <c r="I31" s="254"/>
      <c r="J31" s="252"/>
      <c r="K31" s="252"/>
      <c r="L31" s="252"/>
      <c r="M31" s="252"/>
      <c r="N31" s="252"/>
      <c r="O31" s="5"/>
      <c r="Q31" s="5"/>
      <c r="S31" s="88"/>
      <c r="T31" s="42"/>
      <c r="U31" s="42"/>
      <c r="V31" s="147" t="s">
        <v>470</v>
      </c>
      <c r="W31" s="288">
        <f t="shared" si="6"/>
        <v>1.0000000000000002</v>
      </c>
      <c r="X31" s="288">
        <v>1</v>
      </c>
      <c r="Y31" s="42"/>
      <c r="Z31" s="42"/>
      <c r="AA31" s="42"/>
    </row>
    <row r="32" spans="2:27">
      <c r="B32" s="5" t="s">
        <v>601</v>
      </c>
      <c r="C32" s="546">
        <v>759</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1.0000000000000002</v>
      </c>
      <c r="X32" s="288">
        <v>1</v>
      </c>
      <c r="Y32" s="42"/>
      <c r="Z32" s="42"/>
      <c r="AA32" s="42"/>
    </row>
    <row r="33" spans="2:27">
      <c r="B33" s="5" t="s">
        <v>5</v>
      </c>
      <c r="C33" s="545">
        <v>998.82424232650544</v>
      </c>
      <c r="D33" s="536">
        <v>936.6116740089368</v>
      </c>
      <c r="E33" s="536">
        <v>886.96691982743607</v>
      </c>
      <c r="F33" s="536">
        <v>838.22848973510816</v>
      </c>
      <c r="G33" s="536">
        <v>855.78607123992811</v>
      </c>
      <c r="H33" s="279">
        <f>IF(D33=0,"nm",IF(G33=0,"nm",(G33/D33)^(1/3)-1))</f>
        <v>-2.9634794273174836E-2</v>
      </c>
      <c r="I33" s="5"/>
      <c r="J33" s="254"/>
      <c r="K33" s="254"/>
      <c r="L33" s="254"/>
      <c r="M33" s="254"/>
      <c r="N33" s="254"/>
      <c r="O33" s="251"/>
      <c r="Q33" s="5"/>
      <c r="S33" s="88"/>
      <c r="T33" s="42"/>
      <c r="U33" s="42"/>
      <c r="V33" s="147" t="s">
        <v>575</v>
      </c>
      <c r="W33" s="288">
        <f t="shared" si="6"/>
        <v>1</v>
      </c>
      <c r="X33" s="288">
        <v>1</v>
      </c>
      <c r="Y33" s="42"/>
      <c r="Z33" s="42"/>
      <c r="AA33" s="42"/>
    </row>
    <row r="34" spans="2:27">
      <c r="H34" s="277"/>
      <c r="I34" s="49"/>
      <c r="J34" s="254"/>
      <c r="K34" s="254"/>
      <c r="L34" s="254"/>
      <c r="M34" s="254"/>
      <c r="N34" s="254"/>
      <c r="O34" s="251"/>
      <c r="Q34" s="5"/>
      <c r="S34" s="88"/>
      <c r="T34" s="42"/>
      <c r="U34" s="42"/>
      <c r="V34" s="147" t="s">
        <v>576</v>
      </c>
      <c r="W34" s="288">
        <f>D47/L19</f>
        <v>0.99999999999999989</v>
      </c>
      <c r="X34" s="288">
        <v>1</v>
      </c>
      <c r="Y34" s="288"/>
      <c r="Z34" s="288"/>
      <c r="AA34" s="42"/>
    </row>
    <row r="35" spans="2:27" ht="12.6" thickBot="1">
      <c r="B35" s="306" t="s">
        <v>421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0.4303507109108346</v>
      </c>
      <c r="E37" s="525">
        <f t="shared" ref="E37:G41" si="8">E$18/E23</f>
        <v>0.36397413058550149</v>
      </c>
      <c r="F37" s="525">
        <f t="shared" si="8"/>
        <v>0.29876431261905229</v>
      </c>
      <c r="G37" s="525">
        <f t="shared" si="8"/>
        <v>0.23578722677146313</v>
      </c>
      <c r="H37" s="17">
        <f t="shared" ref="H37:H45" si="9">H23</f>
        <v>1.947512825024833E-2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1.5988183551359907</v>
      </c>
      <c r="E38" s="525">
        <f t="shared" si="8"/>
        <v>1.3858387424657825</v>
      </c>
      <c r="F38" s="525">
        <f t="shared" si="8"/>
        <v>1.152691488671955</v>
      </c>
      <c r="G38" s="525">
        <f t="shared" si="8"/>
        <v>0.90971350311033594</v>
      </c>
      <c r="H38" s="17">
        <f t="shared" si="9"/>
        <v>6.71694721895566E-3</v>
      </c>
      <c r="I38" s="259"/>
      <c r="J38" s="17"/>
      <c r="K38" s="17"/>
      <c r="L38" s="17"/>
      <c r="M38" s="17"/>
      <c r="N38" s="17"/>
      <c r="O38" s="5"/>
      <c r="Q38" s="5"/>
      <c r="R38" s="5"/>
      <c r="S38" s="42"/>
      <c r="T38" s="42"/>
      <c r="U38" s="42"/>
      <c r="V38" s="42"/>
      <c r="W38" s="42"/>
      <c r="X38" s="42"/>
      <c r="Y38" s="42"/>
      <c r="Z38" s="42"/>
      <c r="AA38" s="42"/>
    </row>
    <row r="39" spans="2:27">
      <c r="B39" s="5" t="s">
        <v>181</v>
      </c>
      <c r="C39" s="247"/>
      <c r="D39" s="525">
        <f>D$18/D25</f>
        <v>3.534026270652816</v>
      </c>
      <c r="E39" s="525">
        <f t="shared" si="8"/>
        <v>3.0102198667929545</v>
      </c>
      <c r="F39" s="525">
        <f t="shared" si="8"/>
        <v>2.5517996503580394</v>
      </c>
      <c r="G39" s="525">
        <f t="shared" si="8"/>
        <v>2.013901049826865</v>
      </c>
      <c r="H39" s="17">
        <f t="shared" si="9"/>
        <v>6.2049124089686991E-3</v>
      </c>
      <c r="I39" s="17"/>
      <c r="J39" s="5"/>
      <c r="K39" s="5"/>
      <c r="L39" s="5"/>
      <c r="M39" s="5"/>
      <c r="N39" s="5"/>
      <c r="O39" s="5"/>
      <c r="Q39" s="5"/>
      <c r="R39" s="5"/>
      <c r="S39" s="42"/>
      <c r="T39" s="42"/>
      <c r="U39" s="42"/>
      <c r="V39" s="42"/>
      <c r="W39" s="42"/>
      <c r="X39" s="42"/>
      <c r="Y39" s="42"/>
      <c r="Z39" s="42"/>
      <c r="AA39" s="42"/>
    </row>
    <row r="40" spans="2:27">
      <c r="B40" s="5" t="s">
        <v>461</v>
      </c>
      <c r="C40" s="247"/>
      <c r="D40" s="525">
        <f>D$18/D26</f>
        <v>4.9083698203511332</v>
      </c>
      <c r="E40" s="525">
        <f t="shared" si="8"/>
        <v>4.1808609261013263</v>
      </c>
      <c r="F40" s="525">
        <f t="shared" si="8"/>
        <v>3.5441661810528324</v>
      </c>
      <c r="G40" s="525">
        <f t="shared" si="8"/>
        <v>2.7970847914262018</v>
      </c>
      <c r="H40" s="17">
        <f t="shared" si="9"/>
        <v>6.2049124089686991E-3</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0.4632399336456538</v>
      </c>
      <c r="E41" s="525">
        <f t="shared" si="8"/>
        <v>0.40074038339765855</v>
      </c>
      <c r="F41" s="525">
        <f t="shared" si="8"/>
        <v>0.33774230402273275</v>
      </c>
      <c r="G41" s="525">
        <f t="shared" si="8"/>
        <v>0.27223659631667996</v>
      </c>
      <c r="H41" s="17">
        <f t="shared" si="9"/>
        <v>-4.0694686979286798E-3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0.49023227499392258</v>
      </c>
      <c r="E42" s="525">
        <f>E18/E28</f>
        <v>0.41678685294191753</v>
      </c>
      <c r="F42" s="525">
        <f>F18/F28</f>
        <v>0.34576512532129561</v>
      </c>
      <c r="G42" s="525">
        <f>G18/G28</f>
        <v>0.27288065063429767</v>
      </c>
      <c r="H42" s="17">
        <f t="shared" si="9"/>
        <v>1.4111258607638399E-2</v>
      </c>
      <c r="I42" s="248"/>
      <c r="J42" s="5"/>
      <c r="K42" s="5"/>
      <c r="L42" s="5"/>
      <c r="M42" s="5"/>
      <c r="N42" s="5"/>
      <c r="O42" s="5"/>
      <c r="Q42" s="5"/>
      <c r="R42" s="5"/>
      <c r="S42" s="42"/>
      <c r="T42" s="42"/>
      <c r="U42" s="42"/>
      <c r="V42" s="42"/>
      <c r="W42" s="288"/>
      <c r="X42" s="288"/>
      <c r="Y42" s="288"/>
      <c r="Z42" s="288"/>
      <c r="AA42" s="42"/>
    </row>
    <row r="43" spans="2:27">
      <c r="B43" s="5" t="s">
        <v>470</v>
      </c>
      <c r="C43" s="247"/>
      <c r="D43" s="525">
        <f>L26/D29</f>
        <v>4.6136697896291512</v>
      </c>
      <c r="E43" s="525">
        <f>M26/E29</f>
        <v>4.5935446174357688</v>
      </c>
      <c r="F43" s="525">
        <f>N26/F29</f>
        <v>4.6264789882136794</v>
      </c>
      <c r="G43" s="525">
        <f>O26/G29</f>
        <v>4.5315606614895616</v>
      </c>
      <c r="H43" s="17">
        <f t="shared" si="9"/>
        <v>6.0036813160782021E-3</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3.6437103160838271</v>
      </c>
      <c r="E44" s="525">
        <f>E11/E30</f>
        <v>3.7862765840865631</v>
      </c>
      <c r="F44" s="525">
        <f>F11/F30</f>
        <v>3.7540690578449594</v>
      </c>
      <c r="G44" s="525">
        <f>G11/G30</f>
        <v>3.6770493730511467</v>
      </c>
      <c r="H44" s="17">
        <f t="shared" si="9"/>
        <v>-3.031445748740591E-3</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0.15839861800205629</v>
      </c>
      <c r="E45" s="248">
        <f>E31/E11</f>
        <v>0.15909259176915208</v>
      </c>
      <c r="F45" s="248">
        <f>F31/F11</f>
        <v>0.15796006432902249</v>
      </c>
      <c r="G45" s="248">
        <f>G31/G11</f>
        <v>0.15909259176915241</v>
      </c>
      <c r="H45" s="17">
        <f t="shared" si="9"/>
        <v>1.4582676697889596E-3</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0.15839861800205629</v>
      </c>
      <c r="E46" s="248">
        <f>(E31+E32)/E11</f>
        <v>0.15909259176915208</v>
      </c>
      <c r="F46" s="248">
        <f>(F31+F32)/F11</f>
        <v>0.15796006432902249</v>
      </c>
      <c r="G46" s="248">
        <f>(G31+G32)/G11</f>
        <v>0.15909259176915241</v>
      </c>
      <c r="H46" s="279">
        <f>((G31+G32)/(D31+D32))^(1/3)-1</f>
        <v>1.4582676697889596E-3</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0.21674719813018531</v>
      </c>
      <c r="E47" s="248">
        <f>1/E43</f>
        <v>0.21769680786473453</v>
      </c>
      <c r="F47" s="248">
        <f>1/F43</f>
        <v>0.2161470964306936</v>
      </c>
      <c r="G47" s="248">
        <f>1/G43</f>
        <v>0.22067452577613553</v>
      </c>
      <c r="H47" s="17">
        <f>H29</f>
        <v>6.0036813160782021E-3</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0.73079891859509527</v>
      </c>
      <c r="E48" s="305">
        <f>E31/E29</f>
        <v>0.73079891859509472</v>
      </c>
      <c r="F48" s="305">
        <f>F31/F29</f>
        <v>0.7307989185951036</v>
      </c>
      <c r="G48" s="305">
        <f>G31/G29</f>
        <v>0.72093773039550924</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KGSOP!A1" display="Jump to TKG SOP" xr:uid="{00000000-0004-0000-6800-000001000000}"/>
  </hyperlinks>
  <pageMargins left="0.75" right="0.75" top="1" bottom="1" header="0.5" footer="0.5"/>
  <pageSetup scale="71" orientation="landscape" r:id="rId1"/>
  <headerFooter alignWithMargins="0"/>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9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693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177</v>
      </c>
      <c r="K7" s="306"/>
      <c r="L7" s="265" t="str">
        <f>L5</f>
        <v>2023E</v>
      </c>
      <c r="M7" s="265" t="str">
        <f t="shared" ref="M7:P7" si="1">M5</f>
        <v>2024E</v>
      </c>
      <c r="N7" s="265" t="str">
        <f t="shared" si="1"/>
        <v>2025E</v>
      </c>
      <c r="O7" s="265" t="str">
        <f t="shared" si="1"/>
        <v>2026E</v>
      </c>
      <c r="P7" s="265" t="str">
        <f t="shared" si="1"/>
        <v>23E-26E</v>
      </c>
    </row>
    <row r="8" spans="2:44" ht="12.6" thickTop="1">
      <c r="I8" s="5"/>
      <c r="J8" s="5"/>
      <c r="K8" s="5"/>
      <c r="L8" s="5"/>
      <c r="M8" s="5"/>
      <c r="N8" s="5"/>
      <c r="S8" s="88"/>
      <c r="T8" s="42"/>
      <c r="U8" s="42"/>
      <c r="V8" s="42"/>
      <c r="W8" s="42"/>
      <c r="X8" s="42"/>
      <c r="Y8" s="42"/>
      <c r="Z8" s="42"/>
      <c r="AA8" s="42"/>
    </row>
    <row r="9" spans="2:44">
      <c r="B9" s="41" t="s">
        <v>15</v>
      </c>
      <c r="C9" s="287">
        <f>Prices!C41</f>
        <v>197.18</v>
      </c>
      <c r="D9" s="531">
        <v>0</v>
      </c>
      <c r="E9" s="532">
        <v>0</v>
      </c>
      <c r="F9" s="532">
        <v>0</v>
      </c>
      <c r="G9" s="532">
        <v>0</v>
      </c>
      <c r="H9" s="249"/>
      <c r="I9" s="249"/>
      <c r="J9" s="5" t="s">
        <v>268</v>
      </c>
      <c r="L9" s="525">
        <f>'US TELCO'!D37</f>
        <v>2.6968886837537913</v>
      </c>
      <c r="M9" s="525">
        <f>'US TELCO'!E37</f>
        <v>2.5146711450844865</v>
      </c>
      <c r="N9" s="525">
        <f>'US TELCO'!F37</f>
        <v>2.2999891851781435</v>
      </c>
      <c r="O9" s="525">
        <f>'US TELCO'!G37</f>
        <v>2.0949250903192609</v>
      </c>
      <c r="P9" s="279">
        <f>'US TELCO'!H37</f>
        <v>1.8592642260168768E-2</v>
      </c>
      <c r="S9" s="88"/>
      <c r="T9" s="42"/>
      <c r="U9" s="42"/>
      <c r="V9" s="42"/>
      <c r="W9" s="42"/>
      <c r="X9" s="42"/>
      <c r="Y9" s="42"/>
      <c r="Z9" s="42"/>
      <c r="AA9" s="42"/>
    </row>
    <row r="10" spans="2:44">
      <c r="B10" s="5" t="s">
        <v>269</v>
      </c>
      <c r="C10" s="5"/>
      <c r="D10" s="527">
        <v>1241.0080814999999</v>
      </c>
      <c r="E10" s="527">
        <v>1159.4631324717129</v>
      </c>
      <c r="F10" s="527">
        <v>1048.6515025629951</v>
      </c>
      <c r="G10" s="527">
        <v>946.25819719795754</v>
      </c>
      <c r="H10" s="247"/>
      <c r="I10" s="247"/>
      <c r="J10" s="5" t="s">
        <v>180</v>
      </c>
      <c r="L10" s="525">
        <f>'US TELCO'!D38</f>
        <v>7.5103910335065676</v>
      </c>
      <c r="M10" s="525">
        <f>'US TELCO'!E38</f>
        <v>6.8358730386328723</v>
      </c>
      <c r="N10" s="525">
        <f>'US TELCO'!F38</f>
        <v>6.2046381864839537</v>
      </c>
      <c r="O10" s="525">
        <f>'US TELCO'!G38</f>
        <v>5.6229208951465788</v>
      </c>
      <c r="P10" s="279">
        <f>'US TELCO'!H38</f>
        <v>3.1183334923203576E-2</v>
      </c>
      <c r="S10" s="88"/>
      <c r="T10" s="42"/>
      <c r="U10" s="42"/>
      <c r="V10" s="42"/>
      <c r="W10" s="288"/>
      <c r="X10" s="288"/>
      <c r="Y10" s="288"/>
      <c r="Z10" s="288"/>
      <c r="AA10" s="42"/>
    </row>
    <row r="11" spans="2:44">
      <c r="B11" s="41" t="s">
        <v>437</v>
      </c>
      <c r="C11" s="5"/>
      <c r="D11" s="528">
        <f>$C$9*D10</f>
        <v>244701.97351016998</v>
      </c>
      <c r="E11" s="528">
        <f>$C$9*E10</f>
        <v>228622.94046077237</v>
      </c>
      <c r="F11" s="528">
        <f>$C$9*F10</f>
        <v>206773.1032753714</v>
      </c>
      <c r="G11" s="528">
        <f>$C$9*G10</f>
        <v>186583.19132349329</v>
      </c>
      <c r="H11" s="249"/>
      <c r="I11" s="249"/>
      <c r="J11" s="5" t="s">
        <v>181</v>
      </c>
      <c r="L11" s="525">
        <f>'US TELCO'!D39</f>
        <v>13.261738384106318</v>
      </c>
      <c r="M11" s="525">
        <f>'US TELCO'!E39</f>
        <v>11.062571352627396</v>
      </c>
      <c r="N11" s="525">
        <f>'US TELCO'!F39</f>
        <v>9.820261878240153</v>
      </c>
      <c r="O11" s="525">
        <f>'US TELCO'!G39</f>
        <v>8.7783728274098998</v>
      </c>
      <c r="P11" s="279">
        <f>'US TELCO'!H39</f>
        <v>7.4396303115465079E-2</v>
      </c>
      <c r="S11" s="88"/>
      <c r="T11" s="42"/>
      <c r="U11" s="42"/>
      <c r="V11" s="42"/>
      <c r="W11" s="288"/>
      <c r="X11" s="288"/>
      <c r="Y11" s="288"/>
      <c r="Z11" s="288"/>
      <c r="AA11" s="42"/>
    </row>
    <row r="12" spans="2:44">
      <c r="B12" s="5" t="s">
        <v>24</v>
      </c>
      <c r="C12" s="249"/>
      <c r="D12" s="529">
        <v>66741</v>
      </c>
      <c r="E12" s="529">
        <v>73519.440882862866</v>
      </c>
      <c r="F12" s="529">
        <v>78378.854461961193</v>
      </c>
      <c r="G12" s="529">
        <v>83108.981461362157</v>
      </c>
      <c r="H12" s="247"/>
      <c r="I12" s="247"/>
      <c r="J12" s="5" t="s">
        <v>461</v>
      </c>
      <c r="L12" s="525">
        <f>'US TELCO'!D40</f>
        <v>19.214894465576968</v>
      </c>
      <c r="M12" s="525">
        <f>'US TELCO'!E40</f>
        <v>16.71537636399913</v>
      </c>
      <c r="N12" s="525">
        <f>'US TELCO'!F40</f>
        <v>14.808303046381596</v>
      </c>
      <c r="O12" s="525">
        <f>'US TELCO'!G40</f>
        <v>13.077466088113542</v>
      </c>
      <c r="P12" s="279">
        <f>'US TELCO'!H40</f>
        <v>6.4487323949837583E-2</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'US TELCO'!D41</f>
        <v>1.3850697361796853</v>
      </c>
      <c r="M13" s="525">
        <f>'US TELCO'!E41</f>
        <v>1.725261392221999</v>
      </c>
      <c r="N13" s="525">
        <f>'US TELCO'!F41</f>
        <v>1.6455244527361086</v>
      </c>
      <c r="O13" s="525">
        <f>'US TELCO'!G41</f>
        <v>1.56576442945581</v>
      </c>
      <c r="P13" s="279">
        <f>'US TELCO'!H41</f>
        <v>-0.10115646387707644</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'US TELCO'!D42</f>
        <v>3.4632866380030749</v>
      </c>
      <c r="M14" s="525">
        <f>'US TELCO'!E42</f>
        <v>3.3126311431167741</v>
      </c>
      <c r="N14" s="525">
        <f>'US TELCO'!F42</f>
        <v>3.1324767196320553</v>
      </c>
      <c r="O14" s="525">
        <f>'US TELCO'!G42</f>
        <v>2.9507296796827212</v>
      </c>
      <c r="P14" s="279">
        <f>'US TELCO'!H42</f>
        <v>-1.2306873951881125E-2</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'US TELCO'!D43</f>
        <v>13.364053634891468</v>
      </c>
      <c r="M15" s="525">
        <f>'US TELCO'!E43</f>
        <v>15.472348569319676</v>
      </c>
      <c r="N15" s="525">
        <f>'US TELCO'!F43</f>
        <v>14.099378857291484</v>
      </c>
      <c r="O15" s="525">
        <f>'US TELCO'!G43</f>
        <v>12.972992171971411</v>
      </c>
      <c r="P15" s="279">
        <f>'US TELCO'!H43</f>
        <v>-2.422411565871474E-2</v>
      </c>
      <c r="S15" s="88"/>
      <c r="T15" s="42"/>
      <c r="U15" s="42"/>
      <c r="V15" s="42"/>
      <c r="W15" s="42"/>
      <c r="X15" s="42"/>
      <c r="Y15" s="42"/>
      <c r="Z15" s="42"/>
      <c r="AA15" s="42"/>
    </row>
    <row r="16" spans="2:44">
      <c r="B16" s="5" t="s">
        <v>529</v>
      </c>
      <c r="C16" s="257"/>
      <c r="D16" s="529">
        <v>747</v>
      </c>
      <c r="E16" s="529">
        <v>3797.5</v>
      </c>
      <c r="F16" s="529">
        <v>6854.5</v>
      </c>
      <c r="G16" s="529">
        <v>10058.1918326216</v>
      </c>
      <c r="H16" s="247"/>
      <c r="I16" s="247"/>
      <c r="J16" s="5" t="s">
        <v>528</v>
      </c>
      <c r="L16" s="525">
        <f>'US TELCO'!D44</f>
        <v>12.896141683059501</v>
      </c>
      <c r="M16" s="525">
        <f>'US TELCO'!E44</f>
        <v>12.533526105398932</v>
      </c>
      <c r="N16" s="525">
        <f>'US TELCO'!F44</f>
        <v>11.378316950649831</v>
      </c>
      <c r="O16" s="525">
        <f>'US TELCO'!G44</f>
        <v>10.34083266993402</v>
      </c>
      <c r="P16" s="279">
        <f>'US TELCO'!H44</f>
        <v>3.9965241834319487E-2</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'US TELCO'!D45</f>
        <v>3.3675032319345051E-2</v>
      </c>
      <c r="M17" s="248">
        <f>'US TELCO'!E45</f>
        <v>3.9091509797068692E-2</v>
      </c>
      <c r="N17" s="248">
        <f>'US TELCO'!F45</f>
        <v>4.1026830051589948E-2</v>
      </c>
      <c r="O17" s="248">
        <f>'US TELCO'!G45</f>
        <v>4.3249954546806017E-2</v>
      </c>
      <c r="P17" s="279">
        <f>'US TELCO'!H45</f>
        <v>5.0211107719274395E-2</v>
      </c>
      <c r="S17" s="88"/>
      <c r="T17" s="42"/>
      <c r="U17" s="42"/>
      <c r="V17" s="42"/>
      <c r="W17" s="42"/>
      <c r="X17" s="42"/>
      <c r="Y17" s="42"/>
      <c r="Z17" s="42"/>
      <c r="AA17" s="42"/>
    </row>
    <row r="18" spans="2:27" ht="12.6" thickBot="1">
      <c r="B18" s="41" t="s">
        <v>513</v>
      </c>
      <c r="C18" s="249"/>
      <c r="D18" s="530">
        <f>D11+D12+D13-D14+D15-D16-D17</f>
        <v>310695.97351017001</v>
      </c>
      <c r="E18" s="530">
        <f>E11+E12+E13-E14+E15-E16-E17</f>
        <v>298344.88134363526</v>
      </c>
      <c r="F18" s="530">
        <f>F11+F12+F13-F14+F15-F16-F17</f>
        <v>278297.45773733256</v>
      </c>
      <c r="G18" s="530">
        <f>G11+G12+G13-G14+G15-G16-G17</f>
        <v>259633.98095223386</v>
      </c>
      <c r="H18" s="276">
        <f>IF(D18=0,"nm",IF(G18=0,"nm",(G18/D18)^(1/3)-1))</f>
        <v>-5.8091674140806293E-2</v>
      </c>
      <c r="I18" s="254"/>
      <c r="J18" s="5" t="s">
        <v>36</v>
      </c>
      <c r="L18" s="248">
        <f>'US TELCO'!D46</f>
        <v>5.5790130397661161E-2</v>
      </c>
      <c r="M18" s="248">
        <f>'US TELCO'!E46</f>
        <v>6.9421862290742001E-2</v>
      </c>
      <c r="N18" s="248">
        <f>'US TELCO'!F46</f>
        <v>7.517472335732614E-2</v>
      </c>
      <c r="O18" s="248">
        <f>'US TELCO'!G46</f>
        <v>8.2720474238291056E-2</v>
      </c>
      <c r="P18" s="279">
        <f>'US TELCO'!H46</f>
        <v>0.10171503351667854</v>
      </c>
      <c r="S18" s="88"/>
      <c r="T18" s="42"/>
      <c r="U18" s="42"/>
      <c r="V18" s="42"/>
      <c r="W18" s="42"/>
      <c r="X18" s="42"/>
      <c r="Y18" s="42"/>
      <c r="Z18" s="42"/>
      <c r="AA18" s="42"/>
    </row>
    <row r="19" spans="2:27" ht="12.6" thickTop="1">
      <c r="B19" s="41"/>
      <c r="C19" s="249"/>
      <c r="D19" s="229"/>
      <c r="E19" s="229"/>
      <c r="F19" s="229"/>
      <c r="G19" s="229"/>
      <c r="H19" s="276"/>
      <c r="I19" s="254"/>
      <c r="J19" s="5" t="s">
        <v>576</v>
      </c>
      <c r="L19" s="248">
        <f>'US TELCO'!D47</f>
        <v>7.4827595527539287E-2</v>
      </c>
      <c r="M19" s="248">
        <f>'US TELCO'!E47</f>
        <v>6.4631429127890327E-2</v>
      </c>
      <c r="N19" s="248">
        <f>'US TELCO'!F47</f>
        <v>7.0925110256389118E-2</v>
      </c>
      <c r="O19" s="248">
        <f>'US TELCO'!G47</f>
        <v>7.7083219256119953E-2</v>
      </c>
      <c r="P19" s="279">
        <f>'US TELCO'!H47</f>
        <v>-2.422411565871474E-2</v>
      </c>
      <c r="S19" s="88"/>
      <c r="T19" s="42"/>
      <c r="U19" s="42"/>
      <c r="V19" s="42"/>
      <c r="W19" s="42"/>
      <c r="X19" s="42"/>
      <c r="Y19" s="42"/>
      <c r="Z19" s="42"/>
      <c r="AA19" s="42"/>
    </row>
    <row r="20" spans="2:27">
      <c r="H20" s="277"/>
      <c r="I20" s="17"/>
      <c r="J20" s="5" t="s">
        <v>599</v>
      </c>
      <c r="L20" s="305">
        <f>'US TELCO'!D48</f>
        <v>0.45003493807243083</v>
      </c>
      <c r="M20" s="305">
        <f>'US TELCO'!E48</f>
        <v>0.60483746568122188</v>
      </c>
      <c r="N20" s="305">
        <f>'US TELCO'!F48</f>
        <v>0.57845282021107813</v>
      </c>
      <c r="O20" s="305">
        <f>'US TELCO'!G48</f>
        <v>0.56108132177383385</v>
      </c>
      <c r="P20" s="279" t="str">
        <f>'US TELCO'!H48</f>
        <v>nm</v>
      </c>
      <c r="S20" s="88"/>
      <c r="T20" s="42"/>
      <c r="U20" s="42"/>
      <c r="V20" s="42"/>
      <c r="W20" s="42"/>
      <c r="X20" s="42"/>
      <c r="Y20" s="42"/>
      <c r="Z20" s="42"/>
      <c r="AA20" s="42"/>
    </row>
    <row r="21" spans="2:27" ht="12.6" thickBot="1">
      <c r="B21" s="306" t="s">
        <v>916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79571</v>
      </c>
      <c r="D23" s="529">
        <v>78558</v>
      </c>
      <c r="E23" s="529">
        <v>81741.349773599635</v>
      </c>
      <c r="F23" s="529">
        <v>85416.573572544192</v>
      </c>
      <c r="G23" s="529">
        <v>88848.4986153434</v>
      </c>
      <c r="H23" s="279">
        <f t="shared" ref="H23:H32" si="3">IF(D23=0,"nm",IF(G23=0,"nm",(G23/D23)^(1/3)-1))</f>
        <v>4.188525468612303E-2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26391</v>
      </c>
      <c r="D24" s="529">
        <v>29091</v>
      </c>
      <c r="E24" s="529">
        <v>31622.614520812152</v>
      </c>
      <c r="F24" s="529">
        <v>33974.352150378421</v>
      </c>
      <c r="G24" s="529">
        <v>36255.504512347303</v>
      </c>
      <c r="H24" s="279">
        <f t="shared" si="3"/>
        <v>7.6147416782025745E-2</v>
      </c>
      <c r="I24" s="249"/>
      <c r="J24" s="17"/>
      <c r="K24" s="17"/>
      <c r="L24" s="17"/>
      <c r="M24" s="17"/>
      <c r="N24" s="17"/>
      <c r="O24" s="248"/>
      <c r="S24" s="88"/>
      <c r="T24" s="42"/>
      <c r="U24" s="42"/>
      <c r="V24" s="42"/>
      <c r="W24" s="42" t="s">
        <v>687</v>
      </c>
      <c r="X24" s="42" t="s">
        <v>694</v>
      </c>
      <c r="Y24" s="42"/>
      <c r="Z24" s="42"/>
      <c r="AA24" s="42"/>
    </row>
    <row r="25" spans="2:27">
      <c r="B25" s="5" t="s">
        <v>179</v>
      </c>
      <c r="C25" s="544">
        <v>12421</v>
      </c>
      <c r="D25" s="529">
        <v>19290</v>
      </c>
      <c r="E25" s="529">
        <v>22562.647149854598</v>
      </c>
      <c r="F25" s="529">
        <v>24846.44900757607</v>
      </c>
      <c r="G25" s="529">
        <v>27097.833149212936</v>
      </c>
      <c r="H25" s="279">
        <f t="shared" si="3"/>
        <v>0.11995553100529999</v>
      </c>
      <c r="I25" s="248"/>
      <c r="J25" s="247" t="s">
        <v>10</v>
      </c>
      <c r="K25" s="247"/>
      <c r="L25" s="321">
        <v>0</v>
      </c>
      <c r="M25" s="321">
        <v>0</v>
      </c>
      <c r="N25" s="321">
        <v>0</v>
      </c>
      <c r="O25" s="321">
        <v>0</v>
      </c>
      <c r="P25" s="279" t="str">
        <f>IF(L25=0,"nm",IF(O25=0,"nm",(O25/L25)^(1/3)-1))</f>
        <v>nm</v>
      </c>
      <c r="S25" s="88"/>
      <c r="T25" s="42"/>
      <c r="U25" s="42"/>
      <c r="V25" s="147" t="s">
        <v>268</v>
      </c>
      <c r="W25" s="288">
        <f>D37/L9</f>
        <v>1.4665004000406683</v>
      </c>
      <c r="X25" s="288">
        <v>1</v>
      </c>
      <c r="Y25" s="42"/>
      <c r="Z25" s="42"/>
      <c r="AA25" s="42"/>
    </row>
    <row r="26" spans="2:27">
      <c r="B26" s="5" t="s">
        <v>581</v>
      </c>
      <c r="C26" s="544">
        <v>7656</v>
      </c>
      <c r="D26" s="529">
        <v>13586</v>
      </c>
      <c r="E26" s="529">
        <v>16645.565575066557</v>
      </c>
      <c r="F26" s="529">
        <v>18193.917125342421</v>
      </c>
      <c r="G26" s="529">
        <v>19518.357108855973</v>
      </c>
      <c r="H26" s="279">
        <f>IF(D26=0,"nm",IF(G26=0,"nm",(G26/D26)^(1/3)-1))</f>
        <v>0.12836745054202159</v>
      </c>
      <c r="I26" s="249"/>
      <c r="J26" s="249" t="s">
        <v>11</v>
      </c>
      <c r="K26" s="249"/>
      <c r="L26" s="281">
        <f>D11+L25</f>
        <v>244701.97351016998</v>
      </c>
      <c r="M26" s="281">
        <f>E11+M25</f>
        <v>228622.94046077237</v>
      </c>
      <c r="N26" s="281">
        <f>F11+N25</f>
        <v>206773.1032753714</v>
      </c>
      <c r="O26" s="281">
        <f>G11+O25</f>
        <v>186583.19132349329</v>
      </c>
      <c r="P26" s="279">
        <f>IF(L26=0,"nm",IF(O26=0,"nm",(O26/L26)^(1/3)-1))</f>
        <v>-8.6423299393016295E-2</v>
      </c>
      <c r="Q26" s="5"/>
      <c r="S26" s="88"/>
      <c r="T26" s="42"/>
      <c r="U26" s="42"/>
      <c r="V26" s="147" t="s">
        <v>180</v>
      </c>
      <c r="W26" s="288">
        <f t="shared" ref="W26:W33" si="5">D38/L10</f>
        <v>1.4220485546390857</v>
      </c>
      <c r="X26" s="288">
        <v>1</v>
      </c>
      <c r="Y26" s="42"/>
      <c r="Z26" s="42"/>
      <c r="AA26" s="42"/>
    </row>
    <row r="27" spans="2:27">
      <c r="B27" s="5" t="s">
        <v>582</v>
      </c>
      <c r="C27" s="545">
        <v>145435</v>
      </c>
      <c r="D27" s="529">
        <v>142732</v>
      </c>
      <c r="E27" s="529">
        <v>141243.09665807983</v>
      </c>
      <c r="F27" s="529">
        <v>138382.93874934208</v>
      </c>
      <c r="G27" s="529">
        <v>134730.80581315534</v>
      </c>
      <c r="H27" s="279">
        <f t="shared" si="3"/>
        <v>-1.9046279566965474E-2</v>
      </c>
      <c r="I27" s="249"/>
      <c r="J27" s="248"/>
      <c r="K27" s="248"/>
      <c r="L27" s="248"/>
      <c r="M27" s="248"/>
      <c r="N27" s="248"/>
      <c r="O27" s="248"/>
      <c r="Q27" s="41"/>
      <c r="S27" s="88"/>
      <c r="T27" s="42"/>
      <c r="U27" s="42"/>
      <c r="V27" s="147" t="s">
        <v>181</v>
      </c>
      <c r="W27" s="288">
        <f t="shared" si="5"/>
        <v>1.2145151625217825</v>
      </c>
      <c r="X27" s="288">
        <v>1</v>
      </c>
      <c r="Y27" s="42"/>
      <c r="Z27" s="42"/>
      <c r="AA27" s="42"/>
    </row>
    <row r="28" spans="2:27" ht="12.6" thickBot="1">
      <c r="B28" s="5" t="s">
        <v>587</v>
      </c>
      <c r="C28" s="544">
        <v>42086</v>
      </c>
      <c r="D28" s="529">
        <v>40432</v>
      </c>
      <c r="E28" s="529">
        <v>35914.888607451088</v>
      </c>
      <c r="F28" s="529">
        <v>31764.872886976736</v>
      </c>
      <c r="G28" s="529">
        <v>27579.256746985477</v>
      </c>
      <c r="H28" s="279">
        <f t="shared" si="3"/>
        <v>-0.11972349374419411</v>
      </c>
      <c r="I28" s="248"/>
      <c r="J28" s="306" t="s">
        <v>1352</v>
      </c>
      <c r="K28" s="306"/>
      <c r="L28" s="306"/>
      <c r="M28" s="306"/>
      <c r="N28" s="266"/>
      <c r="O28" s="266"/>
      <c r="P28" s="266"/>
      <c r="Q28" s="5"/>
      <c r="S28" s="88"/>
      <c r="T28" s="42"/>
      <c r="U28" s="42"/>
      <c r="V28" s="147" t="s">
        <v>461</v>
      </c>
      <c r="W28" s="288">
        <f t="shared" si="5"/>
        <v>1.1901618120882254</v>
      </c>
      <c r="X28" s="288">
        <v>1</v>
      </c>
      <c r="Y28" s="42"/>
      <c r="Z28" s="42"/>
      <c r="AA28" s="42"/>
    </row>
    <row r="29" spans="2:27" ht="12.6" thickTop="1">
      <c r="B29" s="5" t="s">
        <v>583</v>
      </c>
      <c r="C29" s="544">
        <v>9322</v>
      </c>
      <c r="D29" s="529">
        <v>13034</v>
      </c>
      <c r="E29" s="529">
        <v>3167.8311836664884</v>
      </c>
      <c r="F29" s="529">
        <v>3851.4861800448498</v>
      </c>
      <c r="G29" s="529">
        <v>4224.4535504756341</v>
      </c>
      <c r="H29" s="279">
        <f t="shared" si="3"/>
        <v>-0.31309352922142308</v>
      </c>
      <c r="I29" s="252"/>
      <c r="J29" s="249"/>
      <c r="K29" s="249"/>
      <c r="L29" s="249"/>
      <c r="M29" s="249"/>
      <c r="N29" s="249"/>
      <c r="O29" s="251"/>
      <c r="Q29" s="5"/>
      <c r="S29" s="88"/>
      <c r="T29" s="42"/>
      <c r="U29" s="42"/>
      <c r="V29" s="147" t="s">
        <v>525</v>
      </c>
      <c r="W29" s="288">
        <f t="shared" si="5"/>
        <v>1.5716022203275339</v>
      </c>
      <c r="X29" s="288">
        <v>1</v>
      </c>
      <c r="Y29" s="42"/>
      <c r="Z29" s="42"/>
      <c r="AA29" s="42"/>
    </row>
    <row r="30" spans="2:27">
      <c r="B30" s="5" t="s">
        <v>584</v>
      </c>
      <c r="C30" s="545">
        <v>2692.8836513534407</v>
      </c>
      <c r="D30" s="529">
        <v>8602.0395690595815</v>
      </c>
      <c r="E30" s="529">
        <v>10357.762233146386</v>
      </c>
      <c r="F30" s="529">
        <v>12340.519216604671</v>
      </c>
      <c r="G30" s="529">
        <v>13945.060172669242</v>
      </c>
      <c r="H30" s="279">
        <f t="shared" si="3"/>
        <v>0.17473430729807138</v>
      </c>
      <c r="I30" s="254"/>
      <c r="J30" s="248"/>
      <c r="K30" s="248"/>
      <c r="L30" s="248"/>
      <c r="M30" s="248"/>
      <c r="N30" s="248"/>
      <c r="O30" s="5"/>
      <c r="Q30" s="5"/>
      <c r="S30" s="88"/>
      <c r="T30" s="42"/>
      <c r="U30" s="42"/>
      <c r="V30" s="147" t="s">
        <v>588</v>
      </c>
      <c r="W30" s="288">
        <f t="shared" si="5"/>
        <v>2.2188194444845144</v>
      </c>
      <c r="X30" s="288">
        <v>1</v>
      </c>
      <c r="Y30" s="42"/>
      <c r="Z30" s="42"/>
      <c r="AA30" s="42"/>
    </row>
    <row r="31" spans="2:27">
      <c r="B31" s="5" t="s">
        <v>585</v>
      </c>
      <c r="C31" s="545">
        <v>0</v>
      </c>
      <c r="D31" s="529">
        <v>747</v>
      </c>
      <c r="E31" s="529">
        <v>3050.5</v>
      </c>
      <c r="F31" s="529">
        <v>3057</v>
      </c>
      <c r="G31" s="529">
        <v>3203.6918326216005</v>
      </c>
      <c r="H31" s="279">
        <f t="shared" si="3"/>
        <v>0.62471320685589027</v>
      </c>
      <c r="I31" s="254"/>
      <c r="J31" s="252"/>
      <c r="K31" s="252"/>
      <c r="L31" s="252"/>
      <c r="M31" s="252"/>
      <c r="N31" s="252"/>
      <c r="O31" s="5"/>
      <c r="Q31" s="5"/>
      <c r="S31" s="88"/>
      <c r="T31" s="42"/>
      <c r="U31" s="42"/>
      <c r="V31" s="147" t="s">
        <v>470</v>
      </c>
      <c r="W31" s="288">
        <f t="shared" si="5"/>
        <v>1.4048227941238018</v>
      </c>
      <c r="X31" s="288">
        <v>1</v>
      </c>
      <c r="Y31" s="42"/>
      <c r="Z31" s="42"/>
      <c r="AA31" s="42"/>
    </row>
    <row r="32" spans="2:27">
      <c r="B32" s="5" t="s">
        <v>601</v>
      </c>
      <c r="C32" s="546">
        <v>3000</v>
      </c>
      <c r="D32" s="529">
        <v>13074</v>
      </c>
      <c r="E32" s="529">
        <v>17447.006457929419</v>
      </c>
      <c r="F32" s="529">
        <v>18896.330704440748</v>
      </c>
      <c r="G32" s="529">
        <v>21044.792275635336</v>
      </c>
      <c r="H32" s="279">
        <f t="shared" si="3"/>
        <v>0.17195801699036917</v>
      </c>
      <c r="I32" s="254"/>
      <c r="J32" s="254"/>
      <c r="K32" s="254"/>
      <c r="L32" s="254"/>
      <c r="M32" s="254"/>
      <c r="N32" s="254"/>
      <c r="O32" s="251"/>
      <c r="Q32" s="5"/>
      <c r="S32" s="88"/>
      <c r="T32" s="42"/>
      <c r="U32" s="42"/>
      <c r="V32" s="147" t="s">
        <v>528</v>
      </c>
      <c r="W32" s="288">
        <f t="shared" si="5"/>
        <v>2.2058513382037934</v>
      </c>
      <c r="X32" s="288">
        <v>1</v>
      </c>
      <c r="Y32" s="42"/>
      <c r="Z32" s="42"/>
      <c r="AA32" s="42"/>
    </row>
    <row r="33" spans="2:27">
      <c r="B33" s="5" t="s">
        <v>5</v>
      </c>
      <c r="C33" s="545">
        <v>3397</v>
      </c>
      <c r="D33" s="529">
        <v>3267</v>
      </c>
      <c r="E33" s="529">
        <v>3508.5012400078067</v>
      </c>
      <c r="F33" s="529">
        <v>3679.668002095575</v>
      </c>
      <c r="G33" s="529">
        <v>3706.2896241305698</v>
      </c>
      <c r="H33" s="279">
        <f>IF(D33=0,"nm",IF(G33=0,"nm",(G33/D33)^(1/3)-1))</f>
        <v>4.2949803077116044E-2</v>
      </c>
      <c r="I33" s="5"/>
      <c r="J33" s="254"/>
      <c r="K33" s="254"/>
      <c r="L33" s="254"/>
      <c r="M33" s="254"/>
      <c r="N33" s="254"/>
      <c r="O33" s="251"/>
      <c r="Q33" s="5"/>
      <c r="S33" s="88"/>
      <c r="T33" s="42"/>
      <c r="U33" s="42"/>
      <c r="V33" s="147" t="s">
        <v>575</v>
      </c>
      <c r="W33" s="288">
        <f t="shared" si="5"/>
        <v>9.0651523788538704E-2</v>
      </c>
      <c r="X33" s="288">
        <v>1</v>
      </c>
      <c r="Y33" s="42"/>
      <c r="Z33" s="42"/>
      <c r="AA33" s="42"/>
    </row>
    <row r="34" spans="2:27">
      <c r="H34" s="277"/>
      <c r="I34" s="49"/>
      <c r="J34" s="254"/>
      <c r="K34" s="254"/>
      <c r="L34" s="254"/>
      <c r="M34" s="254"/>
      <c r="N34" s="254"/>
      <c r="O34" s="251"/>
      <c r="Q34" s="5"/>
      <c r="S34" s="88"/>
      <c r="T34" s="42"/>
      <c r="U34" s="42"/>
      <c r="V34" s="147" t="s">
        <v>576</v>
      </c>
      <c r="W34" s="288">
        <f>D47/L19</f>
        <v>0.71183355237605428</v>
      </c>
      <c r="X34" s="288">
        <v>1</v>
      </c>
      <c r="Y34" s="288"/>
      <c r="Z34" s="288"/>
      <c r="AA34" s="42"/>
    </row>
    <row r="35" spans="2:27" ht="12.6" thickBot="1">
      <c r="B35" s="306" t="s">
        <v>695</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3.9549883335900864</v>
      </c>
      <c r="E37" s="525">
        <f t="shared" ref="E37:G41" si="7">E$18/E23</f>
        <v>3.6498648746315787</v>
      </c>
      <c r="F37" s="525">
        <f t="shared" si="7"/>
        <v>3.2581201293561004</v>
      </c>
      <c r="G37" s="525">
        <f t="shared" si="7"/>
        <v>2.9222101104519647</v>
      </c>
      <c r="H37" s="17">
        <f t="shared" ref="H37:H44" si="8">H23</f>
        <v>4.188525468612303E-2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10.680140713972364</v>
      </c>
      <c r="E38" s="525">
        <f t="shared" si="7"/>
        <v>9.4345418892319017</v>
      </c>
      <c r="F38" s="525">
        <f t="shared" si="7"/>
        <v>8.1913985145477675</v>
      </c>
      <c r="G38" s="525">
        <f t="shared" si="7"/>
        <v>7.1612292931632489</v>
      </c>
      <c r="H38" s="17">
        <f t="shared" si="8"/>
        <v>7.6147416782025745E-2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16.106582348894246</v>
      </c>
      <c r="E39" s="525">
        <f t="shared" si="7"/>
        <v>13.222955593912122</v>
      </c>
      <c r="F39" s="525">
        <f t="shared" si="7"/>
        <v>11.200693413069825</v>
      </c>
      <c r="G39" s="525">
        <f t="shared" si="7"/>
        <v>9.5813558051882453</v>
      </c>
      <c r="H39" s="17">
        <f t="shared" si="8"/>
        <v>0.11995553100529999</v>
      </c>
      <c r="I39" s="17"/>
      <c r="J39" s="5"/>
      <c r="K39" s="5"/>
      <c r="L39" s="5"/>
      <c r="M39" s="5"/>
      <c r="N39" s="5"/>
      <c r="O39" s="5"/>
      <c r="Q39" s="5"/>
      <c r="R39" s="5"/>
      <c r="S39" s="42"/>
      <c r="T39" s="42"/>
      <c r="U39" s="42"/>
      <c r="V39" s="42"/>
      <c r="W39" s="42"/>
      <c r="X39" s="42"/>
      <c r="Y39" s="42"/>
      <c r="Z39" s="42"/>
      <c r="AA39" s="42"/>
    </row>
    <row r="40" spans="2:27">
      <c r="B40" s="5" t="s">
        <v>461</v>
      </c>
      <c r="C40" s="247"/>
      <c r="D40" s="525">
        <f>D$18/D26</f>
        <v>22.868833616235097</v>
      </c>
      <c r="E40" s="525">
        <f>E$18/E26</f>
        <v>17.92338506001424</v>
      </c>
      <c r="F40" s="525">
        <f t="shared" si="7"/>
        <v>15.296181455597063</v>
      </c>
      <c r="G40" s="525">
        <f t="shared" si="7"/>
        <v>13.302040715016499</v>
      </c>
      <c r="H40" s="17">
        <f t="shared" si="8"/>
        <v>0.12836745054202159</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2.176778672688465</v>
      </c>
      <c r="E41" s="525">
        <f t="shared" si="7"/>
        <v>2.1122793849944128</v>
      </c>
      <c r="F41" s="525">
        <f t="shared" si="7"/>
        <v>2.0110676955735318</v>
      </c>
      <c r="G41" s="525">
        <f t="shared" si="7"/>
        <v>1.9270572857130701</v>
      </c>
      <c r="H41" s="17">
        <f t="shared" si="8"/>
        <v>-1.9046279566965474E-2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7.6844077342246244</v>
      </c>
      <c r="E42" s="525">
        <f>E18/E28</f>
        <v>8.3069972624595323</v>
      </c>
      <c r="F42" s="525">
        <f>F18/F28</f>
        <v>8.7611701997847948</v>
      </c>
      <c r="G42" s="525">
        <f>G18/G28</f>
        <v>9.4141036262919915</v>
      </c>
      <c r="H42" s="17">
        <f t="shared" si="8"/>
        <v>-0.11972349374419411</v>
      </c>
      <c r="I42" s="248"/>
      <c r="J42" s="5"/>
      <c r="K42" s="5"/>
      <c r="L42" s="5"/>
      <c r="M42" s="5"/>
      <c r="N42" s="5"/>
      <c r="O42" s="5"/>
      <c r="Q42" s="5"/>
      <c r="R42" s="5"/>
      <c r="S42" s="42"/>
      <c r="T42" s="42"/>
      <c r="U42" s="42"/>
      <c r="V42" s="42"/>
      <c r="W42" s="288"/>
      <c r="X42" s="288"/>
      <c r="Y42" s="288"/>
      <c r="Z42" s="288"/>
      <c r="AA42" s="42"/>
    </row>
    <row r="43" spans="2:27">
      <c r="B43" s="5" t="s">
        <v>470</v>
      </c>
      <c r="C43" s="247"/>
      <c r="D43" s="525">
        <f>L26/D29</f>
        <v>18.774127168188581</v>
      </c>
      <c r="E43" s="525">
        <f>M26/E29</f>
        <v>72.170178019449025</v>
      </c>
      <c r="F43" s="525">
        <f>N26/F29</f>
        <v>53.686575417742652</v>
      </c>
      <c r="G43" s="525">
        <f>O26/G29</f>
        <v>44.167414576610923</v>
      </c>
      <c r="H43" s="17">
        <f t="shared" si="8"/>
        <v>-0.31309352922142308</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28.44697138924252</v>
      </c>
      <c r="E44" s="525">
        <f>E11/E30</f>
        <v>22.072619096154266</v>
      </c>
      <c r="F44" s="525">
        <f>F11/F30</f>
        <v>16.755624268803032</v>
      </c>
      <c r="G44" s="525">
        <f>G11/G30</f>
        <v>13.379877104379618</v>
      </c>
      <c r="H44" s="17">
        <f t="shared" si="8"/>
        <v>0.17473430729807138</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3.0526929933769177E-3</v>
      </c>
      <c r="E45" s="248">
        <f>E31/E11</f>
        <v>1.3342930476932658E-2</v>
      </c>
      <c r="F45" s="248">
        <f>F31/F11</f>
        <v>1.4784321324078697E-2</v>
      </c>
      <c r="G45" s="248">
        <f>G31/G11</f>
        <v>1.717031319861562E-2</v>
      </c>
      <c r="H45" s="17">
        <f>H31</f>
        <v>0.62471320685589027</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5.6480950283082171E-2</v>
      </c>
      <c r="E46" s="248">
        <f>(E31+E32)/E11</f>
        <v>8.9656385385553317E-2</v>
      </c>
      <c r="F46" s="248">
        <f>(F31+F32)/F11</f>
        <v>0.10617111392483315</v>
      </c>
      <c r="G46" s="248">
        <f>(G31+G32)/G11</f>
        <v>0.12996071048123256</v>
      </c>
      <c r="H46" s="17">
        <f>H32</f>
        <v>0.17195801699036917</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5.3264793140126838E-2</v>
      </c>
      <c r="E47" s="248">
        <f>1/E43</f>
        <v>1.3856138746540318E-2</v>
      </c>
      <c r="F47" s="248">
        <f>1/F43</f>
        <v>1.8626630441946835E-2</v>
      </c>
      <c r="G47" s="248">
        <f>1/G43</f>
        <v>2.2641126033434499E-2</v>
      </c>
      <c r="H47" s="17">
        <f>H29</f>
        <v>-0.31309352922142308</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5.7311646463096513E-2</v>
      </c>
      <c r="E48" s="305">
        <f>E31/E29</f>
        <v>0.96296166782136172</v>
      </c>
      <c r="F48" s="305">
        <f>F31/F29</f>
        <v>0.79371958176529189</v>
      </c>
      <c r="G48" s="305">
        <f>G31/G29</f>
        <v>0.75836834145351051</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
    <pageSetUpPr fitToPage="1"/>
  </sheetPr>
  <dimension ref="A1:AR165"/>
  <sheetViews>
    <sheetView showGridLines="0" zoomScale="80" zoomScaleNormal="80" zoomScaleSheetLayoutView="80" workbookViewId="0">
      <selection activeCell="E12" sqref="E12"/>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25</v>
      </c>
      <c r="C9" s="287">
        <f>Prices!C18</f>
        <v>134.80000000000001</v>
      </c>
      <c r="D9" s="531">
        <v>0</v>
      </c>
      <c r="E9" s="532">
        <v>0</v>
      </c>
      <c r="F9" s="532">
        <v>0</v>
      </c>
      <c r="G9" s="532">
        <v>0</v>
      </c>
      <c r="H9" s="249"/>
      <c r="I9" s="249"/>
      <c r="J9" s="5" t="s">
        <v>268</v>
      </c>
      <c r="L9" s="525">
        <f>'W.EUR INCUMB'!D37</f>
        <v>2.3218994404228583</v>
      </c>
      <c r="M9" s="525">
        <f>'W.EUR INCUMB'!E37</f>
        <v>2.2112132980417805</v>
      </c>
      <c r="N9" s="525">
        <f>'W.EUR INCUMB'!F37</f>
        <v>2.1231409626976925</v>
      </c>
      <c r="O9" s="525">
        <f>'W.EUR INCUMB'!G37</f>
        <v>2.0433931848973041</v>
      </c>
      <c r="P9" s="279">
        <f>'W.EUR INCUMB'!H37</f>
        <v>1.9736985261286089E-2</v>
      </c>
      <c r="S9" s="88"/>
      <c r="T9" s="42"/>
      <c r="U9" s="42"/>
      <c r="V9" s="42"/>
      <c r="W9" s="42"/>
      <c r="X9" s="42"/>
      <c r="Y9" s="42"/>
      <c r="Z9" s="42"/>
      <c r="AA9" s="42"/>
    </row>
    <row r="10" spans="2:44">
      <c r="B10" s="5" t="s">
        <v>269</v>
      </c>
      <c r="C10" s="5"/>
      <c r="D10" s="527">
        <v>1385.1375089999997</v>
      </c>
      <c r="E10" s="527">
        <v>1384.7858365541974</v>
      </c>
      <c r="F10" s="527">
        <v>1384.7858365541974</v>
      </c>
      <c r="G10" s="527">
        <v>1384.7858365541974</v>
      </c>
      <c r="H10" s="247"/>
      <c r="I10" s="247"/>
      <c r="J10" s="5" t="s">
        <v>180</v>
      </c>
      <c r="L10" s="525">
        <f>'W.EUR INCUMB'!D38</f>
        <v>6.993498061847184</v>
      </c>
      <c r="M10" s="525">
        <f>'W.EUR INCUMB'!E38</f>
        <v>6.7241368378449948</v>
      </c>
      <c r="N10" s="525">
        <f>'W.EUR INCUMB'!F38</f>
        <v>6.3011120906845495</v>
      </c>
      <c r="O10" s="525">
        <f>'W.EUR INCUMB'!G38</f>
        <v>5.9601756313143843</v>
      </c>
      <c r="P10" s="279">
        <f>'W.EUR INCUMB'!H38</f>
        <v>3.0709192948586983E-2</v>
      </c>
      <c r="S10" s="88"/>
      <c r="T10" s="42"/>
      <c r="U10" s="42"/>
      <c r="V10" s="42"/>
      <c r="W10" s="288"/>
      <c r="X10" s="288"/>
      <c r="Y10" s="288"/>
      <c r="Z10" s="288"/>
      <c r="AA10" s="42"/>
    </row>
    <row r="11" spans="2:44">
      <c r="B11" s="41" t="s">
        <v>270</v>
      </c>
      <c r="C11" s="5"/>
      <c r="D11" s="528">
        <f>$C$9*D10</f>
        <v>186716.53621319999</v>
      </c>
      <c r="E11" s="528">
        <f>$C$9*E10</f>
        <v>186669.13076750582</v>
      </c>
      <c r="F11" s="528">
        <f>$C$9*F10</f>
        <v>186669.13076750582</v>
      </c>
      <c r="G11" s="528">
        <f>$C$9*G10</f>
        <v>186669.13076750582</v>
      </c>
      <c r="H11" s="249"/>
      <c r="I11" s="249"/>
      <c r="J11" s="5" t="s">
        <v>181</v>
      </c>
      <c r="L11" s="525">
        <f>'W.EUR INCUMB'!D39</f>
        <v>14.419377438599202</v>
      </c>
      <c r="M11" s="525">
        <f>'W.EUR INCUMB'!E39</f>
        <v>12.900741147703812</v>
      </c>
      <c r="N11" s="525">
        <f>'W.EUR INCUMB'!F39</f>
        <v>11.638638419695086</v>
      </c>
      <c r="O11" s="525">
        <f>'W.EUR INCUMB'!G39</f>
        <v>10.492306389778886</v>
      </c>
      <c r="P11" s="279">
        <f>'W.EUR INCUMB'!H39</f>
        <v>8.6466144407962187E-2</v>
      </c>
      <c r="S11" s="88"/>
      <c r="T11" s="42"/>
      <c r="U11" s="42"/>
      <c r="V11" s="42"/>
      <c r="W11" s="288"/>
      <c r="X11" s="288"/>
      <c r="Y11" s="288"/>
      <c r="Z11" s="288"/>
      <c r="AA11" s="42"/>
    </row>
    <row r="12" spans="2:44">
      <c r="B12" s="5" t="s">
        <v>24</v>
      </c>
      <c r="C12" s="249"/>
      <c r="D12" s="529">
        <v>79781.201164799015</v>
      </c>
      <c r="E12" s="529">
        <v>77929.526139362482</v>
      </c>
      <c r="F12" s="529">
        <v>76166.722884389281</v>
      </c>
      <c r="G12" s="529">
        <v>77769.919785722304</v>
      </c>
      <c r="H12" s="247"/>
      <c r="I12" s="247"/>
      <c r="J12" s="5" t="s">
        <v>461</v>
      </c>
      <c r="L12" s="525">
        <f>'W.EUR INCUMB'!D40</f>
        <v>19.339744496779815</v>
      </c>
      <c r="M12" s="525">
        <f>'W.EUR INCUMB'!E40</f>
        <v>17.276353493974074</v>
      </c>
      <c r="N12" s="525">
        <f>'W.EUR INCUMB'!F40</f>
        <v>15.66107051831025</v>
      </c>
      <c r="O12" s="525">
        <f>'W.EUR INCUMB'!G40</f>
        <v>14.141834234325257</v>
      </c>
      <c r="P12" s="279">
        <f>'W.EUR INCUMB'!H40</f>
        <v>8.469093930722682E-2</v>
      </c>
      <c r="S12" s="88"/>
      <c r="T12" s="42"/>
      <c r="U12" s="42"/>
      <c r="V12" s="42"/>
      <c r="W12" s="288"/>
      <c r="X12" s="288"/>
      <c r="Y12" s="288"/>
      <c r="Z12" s="288"/>
      <c r="AA12" s="42"/>
    </row>
    <row r="13" spans="2:44">
      <c r="B13" s="5" t="s">
        <v>524</v>
      </c>
      <c r="C13" s="257"/>
      <c r="D13" s="529">
        <v>24455.90668310054</v>
      </c>
      <c r="E13" s="529">
        <v>24455.90668310054</v>
      </c>
      <c r="F13" s="529">
        <v>24455.90668310054</v>
      </c>
      <c r="G13" s="529">
        <v>24455.90668310054</v>
      </c>
      <c r="H13" s="247"/>
      <c r="I13" s="247"/>
      <c r="J13" s="5" t="s">
        <v>525</v>
      </c>
      <c r="L13" s="525">
        <f>'W.EUR INCUMB'!D41</f>
        <v>1.4963585316428831</v>
      </c>
      <c r="M13" s="525">
        <f>'W.EUR INCUMB'!E41</f>
        <v>1.4595584324228235</v>
      </c>
      <c r="N13" s="525">
        <f>'W.EUR INCUMB'!F41</f>
        <v>1.3772749698197708</v>
      </c>
      <c r="O13" s="525">
        <f>'W.EUR INCUMB'!G41</f>
        <v>1.2932307425394174</v>
      </c>
      <c r="P13" s="279">
        <f>'W.EUR INCUMB'!H41</f>
        <v>2.5913859999424194E-2</v>
      </c>
      <c r="S13" s="88"/>
      <c r="T13" s="42"/>
      <c r="U13" s="42"/>
      <c r="V13" s="42"/>
      <c r="W13" s="42"/>
      <c r="X13" s="42"/>
      <c r="Y13" s="42"/>
      <c r="Z13" s="42"/>
      <c r="AA13" s="42"/>
    </row>
    <row r="14" spans="2:44">
      <c r="B14" s="5" t="s">
        <v>527</v>
      </c>
      <c r="C14" s="257"/>
      <c r="D14" s="529">
        <f>E14</f>
        <v>68860.569269716871</v>
      </c>
      <c r="E14" s="606">
        <f>TNORSOP!R42</f>
        <v>68860.569269716871</v>
      </c>
      <c r="F14" s="529">
        <f>E14</f>
        <v>68860.569269716871</v>
      </c>
      <c r="G14" s="529">
        <f>F14</f>
        <v>68860.569269716871</v>
      </c>
      <c r="H14" s="247"/>
      <c r="I14" s="247"/>
      <c r="J14" s="5" t="s">
        <v>588</v>
      </c>
      <c r="L14" s="525">
        <f>'W.EUR INCUMB'!D42</f>
        <v>3.3018414806759897</v>
      </c>
      <c r="M14" s="525">
        <f>'W.EUR INCUMB'!E42</f>
        <v>3.4986841397092472</v>
      </c>
      <c r="N14" s="525">
        <f>'W.EUR INCUMB'!F42</f>
        <v>3.443626478370386</v>
      </c>
      <c r="O14" s="525">
        <f>'W.EUR INCUMB'!G42</f>
        <v>3.3920965847495546</v>
      </c>
      <c r="P14" s="279">
        <f>'W.EUR INCUMB'!H42</f>
        <v>-3.1528111845970708E-2</v>
      </c>
      <c r="S14" s="88"/>
      <c r="T14" s="42"/>
      <c r="U14" s="42"/>
      <c r="V14" s="42"/>
      <c r="W14" s="42"/>
      <c r="X14" s="42"/>
      <c r="Y14" s="42"/>
      <c r="Z14" s="42"/>
      <c r="AA14" s="42"/>
    </row>
    <row r="15" spans="2:44">
      <c r="B15" s="5" t="s">
        <v>526</v>
      </c>
      <c r="C15" s="274"/>
      <c r="D15" s="529">
        <f>E15</f>
        <v>22642.392005982569</v>
      </c>
      <c r="E15" s="606">
        <f>TNORSOP!T36</f>
        <v>22642.392005982569</v>
      </c>
      <c r="F15" s="529">
        <f>E15</f>
        <v>22642.392005982569</v>
      </c>
      <c r="G15" s="529">
        <f>F15</f>
        <v>22642.392005982569</v>
      </c>
      <c r="H15" s="247"/>
      <c r="I15" s="247"/>
      <c r="J15" s="5" t="s">
        <v>470</v>
      </c>
      <c r="L15" s="525">
        <f>'W.EUR INCUMB'!D43</f>
        <v>17.433591182362274</v>
      </c>
      <c r="M15" s="525">
        <f>'W.EUR INCUMB'!E43</f>
        <v>15.024280868517382</v>
      </c>
      <c r="N15" s="525">
        <f>'W.EUR INCUMB'!F43</f>
        <v>13.736294069164101</v>
      </c>
      <c r="O15" s="525">
        <f>'W.EUR INCUMB'!G43</f>
        <v>12.147878967600983</v>
      </c>
      <c r="P15" s="279">
        <f>'W.EUR INCUMB'!H43</f>
        <v>0.11974444099464954</v>
      </c>
      <c r="S15" s="88"/>
      <c r="T15" s="42"/>
      <c r="U15" s="42"/>
      <c r="V15" s="42"/>
      <c r="W15" s="42"/>
      <c r="X15" s="42"/>
      <c r="Y15" s="42"/>
      <c r="Z15" s="42"/>
      <c r="AA15" s="42"/>
    </row>
    <row r="16" spans="2:44">
      <c r="B16" s="5" t="s">
        <v>529</v>
      </c>
      <c r="C16" s="257"/>
      <c r="D16" s="529">
        <v>0</v>
      </c>
      <c r="E16" s="529">
        <v>7257.6625693805472</v>
      </c>
      <c r="F16" s="529">
        <v>20668.087860942596</v>
      </c>
      <c r="G16" s="529">
        <v>34346.72165833589</v>
      </c>
      <c r="H16" s="247"/>
      <c r="I16" s="247"/>
      <c r="J16" s="5" t="s">
        <v>528</v>
      </c>
      <c r="L16" s="525">
        <f>'W.EUR INCUMB'!D44</f>
        <v>16.094330112606372</v>
      </c>
      <c r="M16" s="525">
        <f>'W.EUR INCUMB'!E44</f>
        <v>14.698546474183305</v>
      </c>
      <c r="N16" s="525">
        <f>'W.EUR INCUMB'!F44</f>
        <v>12.497074000192443</v>
      </c>
      <c r="O16" s="525">
        <f>'W.EUR INCUMB'!G44</f>
        <v>11.463885927650526</v>
      </c>
      <c r="P16" s="279">
        <f>'W.EUR INCUMB'!H44</f>
        <v>0.11441168592236295</v>
      </c>
      <c r="S16" s="88"/>
      <c r="T16" s="42"/>
      <c r="U16" s="42"/>
      <c r="V16" s="42"/>
      <c r="W16" s="42"/>
      <c r="X16" s="42"/>
      <c r="Y16" s="42"/>
      <c r="Z16" s="42"/>
      <c r="AA16" s="42"/>
    </row>
    <row r="17" spans="2:27">
      <c r="B17" s="5" t="s">
        <v>6</v>
      </c>
      <c r="C17" s="257"/>
      <c r="D17" s="529">
        <v>4837.2560975609758</v>
      </c>
      <c r="E17" s="529">
        <v>4837.2560975609758</v>
      </c>
      <c r="F17" s="529">
        <v>4837.2560975609758</v>
      </c>
      <c r="G17" s="529">
        <v>4837.2560975609758</v>
      </c>
      <c r="H17" s="247"/>
      <c r="I17" s="247"/>
      <c r="J17" s="5" t="s">
        <v>575</v>
      </c>
      <c r="L17" s="248">
        <f>'W.EUR INCUMB'!D45</f>
        <v>4.4323091834910081E-2</v>
      </c>
      <c r="M17" s="248">
        <f>'W.EUR INCUMB'!E45</f>
        <v>4.6725700027437436E-2</v>
      </c>
      <c r="N17" s="248">
        <f>'W.EUR INCUMB'!F45</f>
        <v>4.9616518166935478E-2</v>
      </c>
      <c r="O17" s="248">
        <f>'W.EUR INCUMB'!G45</f>
        <v>5.291804089679604E-2</v>
      </c>
      <c r="P17" s="279">
        <f>'W.EUR INCUMB'!H45</f>
        <v>5.581998392399945E-2</v>
      </c>
      <c r="S17" s="88"/>
      <c r="T17" s="42"/>
      <c r="U17" s="42"/>
      <c r="V17" s="42"/>
      <c r="W17" s="42"/>
      <c r="X17" s="42"/>
      <c r="Y17" s="42"/>
      <c r="Z17" s="42"/>
      <c r="AA17" s="42"/>
    </row>
    <row r="18" spans="2:27" ht="12.6" thickBot="1">
      <c r="B18" s="41" t="s">
        <v>578</v>
      </c>
      <c r="C18" s="249"/>
      <c r="D18" s="530">
        <f>D11+D12+D13-D14+D15-D16-D17</f>
        <v>239898.2106998043</v>
      </c>
      <c r="E18" s="530">
        <f>E11+E12+E13-E14+E15-E16-E17</f>
        <v>230741.46765929309</v>
      </c>
      <c r="F18" s="530">
        <f>F11+F12+F13-F14+F15-F16-F17</f>
        <v>215568.23911275779</v>
      </c>
      <c r="G18" s="530">
        <f>G11+G12+G13-G14+G15-G16-G17</f>
        <v>203492.80221669754</v>
      </c>
      <c r="H18" s="276">
        <f>IF(D18=0,"nm",IF(G18=0,"nm",(G18/D18)^(1/3)-1))</f>
        <v>-5.3383621295416628E-2</v>
      </c>
      <c r="I18" s="254"/>
      <c r="J18" s="5" t="s">
        <v>36</v>
      </c>
      <c r="L18" s="248">
        <f>'W.EUR INCUMB'!D46</f>
        <v>4.4323091834910081E-2</v>
      </c>
      <c r="M18" s="248">
        <f>'W.EUR INCUMB'!E46</f>
        <v>4.6725700027437436E-2</v>
      </c>
      <c r="N18" s="248">
        <f>'W.EUR INCUMB'!F46</f>
        <v>4.9616518166935478E-2</v>
      </c>
      <c r="O18" s="248">
        <f>'W.EUR INCUMB'!G46</f>
        <v>5.291804089679604E-2</v>
      </c>
      <c r="P18" s="279">
        <f>'W.EUR INCUMB'!H46</f>
        <v>5.581998392399945E-2</v>
      </c>
      <c r="S18" s="88"/>
      <c r="T18" s="42"/>
      <c r="U18" s="42"/>
      <c r="V18" s="42"/>
      <c r="W18" s="42"/>
      <c r="X18" s="42"/>
      <c r="Y18" s="42"/>
      <c r="Z18" s="42"/>
      <c r="AA18" s="42"/>
    </row>
    <row r="19" spans="2:27" ht="12.6" thickTop="1">
      <c r="B19" s="41"/>
      <c r="C19" s="249"/>
      <c r="D19" s="229"/>
      <c r="E19" s="229"/>
      <c r="F19" s="229"/>
      <c r="G19" s="229"/>
      <c r="H19" s="276"/>
      <c r="I19" s="254"/>
      <c r="J19" s="5" t="s">
        <v>576</v>
      </c>
      <c r="L19" s="248">
        <f>'W.EUR INCUMB'!D47</f>
        <v>5.7360528277828914E-2</v>
      </c>
      <c r="M19" s="248">
        <f>'W.EUR INCUMB'!E47</f>
        <v>6.6558926097784105E-2</v>
      </c>
      <c r="N19" s="248">
        <f>'W.EUR INCUMB'!F47</f>
        <v>7.2799839240836328E-2</v>
      </c>
      <c r="O19" s="248">
        <f>'W.EUR INCUMB'!G47</f>
        <v>8.2318897205598721E-2</v>
      </c>
      <c r="P19" s="279">
        <f>'W.EUR INCUMB'!H47</f>
        <v>0.11974444099464954</v>
      </c>
      <c r="S19" s="88"/>
      <c r="T19" s="42"/>
      <c r="U19" s="42"/>
      <c r="V19" s="42"/>
      <c r="W19" s="42"/>
      <c r="X19" s="42"/>
      <c r="Y19" s="42"/>
      <c r="Z19" s="42"/>
      <c r="AA19" s="42"/>
    </row>
    <row r="20" spans="2:27">
      <c r="H20" s="277"/>
      <c r="I20" s="17"/>
      <c r="J20" s="5" t="s">
        <v>599</v>
      </c>
      <c r="L20" s="305">
        <f>'W.EUR INCUMB'!D48</f>
        <v>0.71000971422171699</v>
      </c>
      <c r="M20" s="305">
        <f>'W.EUR INCUMB'!E48</f>
        <v>0.64412496054880308</v>
      </c>
      <c r="N20" s="305">
        <f>'W.EUR INCUMB'!F48</f>
        <v>0.62538479271211145</v>
      </c>
      <c r="O20" s="305">
        <f>'W.EUR INCUMB'!G48</f>
        <v>0.59521953872153821</v>
      </c>
      <c r="P20" s="279" t="str">
        <f>'W.EUR INCUMB'!H48</f>
        <v>nm</v>
      </c>
      <c r="S20" s="88"/>
      <c r="T20" s="42"/>
      <c r="U20" s="42"/>
      <c r="V20" s="42"/>
      <c r="W20" s="42"/>
      <c r="X20" s="42"/>
      <c r="Y20" s="42"/>
      <c r="Z20" s="42"/>
      <c r="AA20" s="42"/>
    </row>
    <row r="21" spans="2:27" ht="12.6" thickBot="1">
      <c r="B21" s="306" t="s">
        <v>948</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80451.870964954462</v>
      </c>
      <c r="D23" s="536">
        <v>80907.738893855407</v>
      </c>
      <c r="E23" s="536">
        <v>77219.501475526587</v>
      </c>
      <c r="F23" s="536">
        <v>78003.088400859837</v>
      </c>
      <c r="G23" s="536">
        <v>78800.066781700647</v>
      </c>
      <c r="H23" s="279">
        <f t="shared" ref="H23:H32" si="3">IF(D23=0,"nm",IF(G23=0,"nm",(G23/D23)^(1/3)-1))</f>
        <v>-8.7599511224496496E-3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32970.882038838557</v>
      </c>
      <c r="D24" s="536">
        <v>34686.659870630836</v>
      </c>
      <c r="E24" s="536">
        <v>35358.477778308275</v>
      </c>
      <c r="F24" s="536">
        <v>34146.499868942112</v>
      </c>
      <c r="G24" s="536">
        <v>34686.349849009435</v>
      </c>
      <c r="H24" s="279">
        <f t="shared" si="3"/>
        <v>-2.979267785696571E-6</v>
      </c>
      <c r="I24" s="249"/>
      <c r="J24" s="17"/>
      <c r="K24" s="17"/>
      <c r="L24" s="17"/>
      <c r="M24" s="17"/>
      <c r="N24" s="17"/>
      <c r="O24" s="248"/>
      <c r="S24" s="88"/>
      <c r="T24" s="42"/>
      <c r="U24" s="42"/>
      <c r="V24" s="42"/>
      <c r="W24" s="42" t="s">
        <v>457</v>
      </c>
      <c r="X24" s="42" t="s">
        <v>246</v>
      </c>
      <c r="Y24" s="42"/>
      <c r="Z24" s="42"/>
      <c r="AA24" s="42"/>
    </row>
    <row r="25" spans="2:27">
      <c r="B25" s="5" t="s">
        <v>179</v>
      </c>
      <c r="C25" s="544">
        <v>20270.012670343251</v>
      </c>
      <c r="D25" s="536">
        <v>21833.083704279532</v>
      </c>
      <c r="E25" s="536">
        <v>23801.828403010804</v>
      </c>
      <c r="F25" s="536">
        <v>23143.824739485859</v>
      </c>
      <c r="G25" s="536">
        <v>23711.4056494627</v>
      </c>
      <c r="H25" s="279">
        <f t="shared" si="3"/>
        <v>2.789181273473873E-2</v>
      </c>
      <c r="I25" s="248"/>
      <c r="J25" s="247" t="s">
        <v>10</v>
      </c>
      <c r="K25" s="247"/>
      <c r="L25" s="321">
        <v>42036</v>
      </c>
      <c r="M25" s="321">
        <v>42036</v>
      </c>
      <c r="N25" s="321">
        <v>42036</v>
      </c>
      <c r="O25" s="321">
        <v>42036</v>
      </c>
      <c r="P25" s="279">
        <f>IF(L25=0,"nm",IF(O25=0,"nm",(O25/L25)^(1/3)-1))</f>
        <v>0</v>
      </c>
      <c r="S25" s="88"/>
      <c r="T25" s="42"/>
      <c r="U25" s="42"/>
      <c r="V25" s="147" t="s">
        <v>268</v>
      </c>
      <c r="W25" s="288">
        <f>D37/L9</f>
        <v>1.2770077638365347</v>
      </c>
      <c r="X25" s="288">
        <v>1</v>
      </c>
      <c r="Y25" s="42"/>
      <c r="Z25" s="42"/>
      <c r="AA25" s="42"/>
    </row>
    <row r="26" spans="2:27">
      <c r="B26" s="5" t="s">
        <v>581</v>
      </c>
      <c r="C26" s="544">
        <v>15810.609882867737</v>
      </c>
      <c r="D26" s="536">
        <v>17029.805289338037</v>
      </c>
      <c r="E26" s="536">
        <v>18565.426154348428</v>
      </c>
      <c r="F26" s="536">
        <v>18052.183296798972</v>
      </c>
      <c r="G26" s="536">
        <v>18494.896406580905</v>
      </c>
      <c r="H26" s="279">
        <f t="shared" si="3"/>
        <v>2.7891812734738508E-2</v>
      </c>
      <c r="I26" s="249"/>
      <c r="J26" s="249" t="s">
        <v>11</v>
      </c>
      <c r="K26" s="249"/>
      <c r="L26" s="281">
        <f>D11+L25</f>
        <v>228752.53621319999</v>
      </c>
      <c r="M26" s="281">
        <f>E11+M25</f>
        <v>228705.13076750582</v>
      </c>
      <c r="N26" s="281">
        <f>F11+N25</f>
        <v>228705.13076750582</v>
      </c>
      <c r="O26" s="281">
        <f>G11+O25</f>
        <v>228705.13076750582</v>
      </c>
      <c r="P26" s="279">
        <f>IF(L26=0,"nm",IF(O26=0,"nm",(O26/L26)^(1/3)-1))</f>
        <v>-6.9082980148627016E-5</v>
      </c>
      <c r="Q26" s="5"/>
      <c r="S26" s="88"/>
      <c r="T26" s="42"/>
      <c r="U26" s="42"/>
      <c r="V26" s="147" t="s">
        <v>180</v>
      </c>
      <c r="W26" s="288">
        <f t="shared" ref="W26:W33" si="5">D38/L10</f>
        <v>0.98894028428538838</v>
      </c>
      <c r="X26" s="288">
        <v>1</v>
      </c>
      <c r="Y26" s="42"/>
      <c r="Z26" s="42"/>
      <c r="AA26" s="42"/>
    </row>
    <row r="27" spans="2:27">
      <c r="B27" s="5" t="s">
        <v>582</v>
      </c>
      <c r="C27" s="545">
        <v>162250.65032040287</v>
      </c>
      <c r="D27" s="536">
        <v>150215.18746892674</v>
      </c>
      <c r="E27" s="536">
        <v>37695.679285488593</v>
      </c>
      <c r="F27" s="536">
        <v>33693.58468267478</v>
      </c>
      <c r="G27" s="536">
        <v>33936.762806241401</v>
      </c>
      <c r="H27" s="279">
        <f t="shared" si="3"/>
        <v>-0.39095106285712211</v>
      </c>
      <c r="I27" s="249"/>
      <c r="J27" s="248"/>
      <c r="K27" s="248"/>
      <c r="L27" s="248"/>
      <c r="M27" s="248"/>
      <c r="N27" s="248"/>
      <c r="O27" s="248"/>
      <c r="Q27" s="41"/>
      <c r="S27" s="88"/>
      <c r="T27" s="42"/>
      <c r="U27" s="42"/>
      <c r="V27" s="147" t="s">
        <v>181</v>
      </c>
      <c r="W27" s="288">
        <f t="shared" si="5"/>
        <v>0.76201833136099162</v>
      </c>
      <c r="X27" s="288">
        <v>1</v>
      </c>
      <c r="Y27" s="42"/>
      <c r="Z27" s="42"/>
      <c r="AA27" s="42"/>
    </row>
    <row r="28" spans="2:27" ht="12.6" thickBot="1">
      <c r="B28" s="5" t="s">
        <v>587</v>
      </c>
      <c r="C28" s="544">
        <v>65659.013834158948</v>
      </c>
      <c r="D28" s="536">
        <v>51630.78271896144</v>
      </c>
      <c r="E28" s="536">
        <v>-67279.033147274837</v>
      </c>
      <c r="F28" s="536">
        <v>-78433.669668213464</v>
      </c>
      <c r="G28" s="536">
        <v>-84587.265234268503</v>
      </c>
      <c r="H28" s="279">
        <f t="shared" si="3"/>
        <v>-2.1788686677116793</v>
      </c>
      <c r="I28" s="248"/>
      <c r="J28" s="306" t="s">
        <v>1352</v>
      </c>
      <c r="K28" s="306"/>
      <c r="L28" s="306"/>
      <c r="M28" s="306"/>
      <c r="N28" s="266"/>
      <c r="O28" s="266"/>
      <c r="P28" s="266"/>
      <c r="Q28" s="5"/>
      <c r="S28" s="88"/>
      <c r="T28" s="42"/>
      <c r="U28" s="42"/>
      <c r="V28" s="147" t="s">
        <v>461</v>
      </c>
      <c r="W28" s="288">
        <f t="shared" si="5"/>
        <v>0.72839439308552956</v>
      </c>
      <c r="X28" s="288">
        <v>1</v>
      </c>
      <c r="Y28" s="42"/>
      <c r="Z28" s="42"/>
      <c r="AA28" s="42"/>
    </row>
    <row r="29" spans="2:27" ht="12.6" thickTop="1">
      <c r="B29" s="5" t="s">
        <v>583</v>
      </c>
      <c r="C29" s="544">
        <v>32400.247229121254</v>
      </c>
      <c r="D29" s="536">
        <v>855.64719025923841</v>
      </c>
      <c r="E29" s="536">
        <v>11700.016756597772</v>
      </c>
      <c r="F29" s="536">
        <v>13309.454318620443</v>
      </c>
      <c r="G29" s="536">
        <v>15367.330120032608</v>
      </c>
      <c r="H29" s="279">
        <f t="shared" si="3"/>
        <v>1.6187933580347384</v>
      </c>
      <c r="I29" s="252"/>
      <c r="J29" s="249"/>
      <c r="K29" s="249"/>
      <c r="L29" s="249"/>
      <c r="M29" s="249"/>
      <c r="N29" s="249"/>
      <c r="O29" s="251"/>
      <c r="Q29" s="5"/>
      <c r="S29" s="88"/>
      <c r="T29" s="42"/>
      <c r="U29" s="42"/>
      <c r="V29" s="147" t="s">
        <v>525</v>
      </c>
      <c r="W29" s="288">
        <f t="shared" si="5"/>
        <v>1.0672778603038482</v>
      </c>
      <c r="X29" s="288">
        <v>1</v>
      </c>
      <c r="Y29" s="42"/>
      <c r="Z29" s="42"/>
      <c r="AA29" s="42"/>
    </row>
    <row r="30" spans="2:27">
      <c r="B30" s="5" t="s">
        <v>584</v>
      </c>
      <c r="C30" s="545">
        <v>15224.110939575276</v>
      </c>
      <c r="D30" s="536">
        <v>-2990.3598144288635</v>
      </c>
      <c r="E30" s="536">
        <v>7052.2095683091247</v>
      </c>
      <c r="F30" s="536">
        <v>7271.7307350447481</v>
      </c>
      <c r="G30" s="536">
        <v>8755.1012048339071</v>
      </c>
      <c r="H30" s="279">
        <f t="shared" si="3"/>
        <v>-2.4305814003273714</v>
      </c>
      <c r="I30" s="254"/>
      <c r="J30" s="248"/>
      <c r="K30" s="248"/>
      <c r="L30" s="248"/>
      <c r="M30" s="248"/>
      <c r="N30" s="248"/>
      <c r="O30" s="5"/>
      <c r="Q30" s="5"/>
      <c r="S30" s="88"/>
      <c r="T30" s="42"/>
      <c r="U30" s="42"/>
      <c r="V30" s="147" t="s">
        <v>588</v>
      </c>
      <c r="W30" s="288">
        <f t="shared" si="5"/>
        <v>1.4072202647191225</v>
      </c>
      <c r="X30" s="288">
        <v>1</v>
      </c>
      <c r="Y30" s="42"/>
      <c r="Z30" s="42"/>
      <c r="AA30" s="42"/>
    </row>
    <row r="31" spans="2:27">
      <c r="B31" s="5" t="s">
        <v>585</v>
      </c>
      <c r="C31" s="545">
        <v>13154.9055102</v>
      </c>
      <c r="D31" s="536">
        <v>13215.596973368994</v>
      </c>
      <c r="E31" s="536">
        <v>13410.425291562049</v>
      </c>
      <c r="F31" s="536">
        <v>13678.633797393291</v>
      </c>
      <c r="G31" s="536">
        <v>14157.385980302055</v>
      </c>
      <c r="H31" s="279">
        <f t="shared" si="3"/>
        <v>2.321153852374902E-2</v>
      </c>
      <c r="I31" s="254"/>
      <c r="J31" s="252"/>
      <c r="K31" s="252"/>
      <c r="L31" s="252"/>
      <c r="M31" s="252"/>
      <c r="N31" s="252"/>
      <c r="O31" s="5"/>
      <c r="Q31" s="5"/>
      <c r="S31" s="88"/>
      <c r="T31" s="42"/>
      <c r="U31" s="42"/>
      <c r="V31" s="147" t="s">
        <v>470</v>
      </c>
      <c r="W31" s="288">
        <f t="shared" si="5"/>
        <v>15.335019470007158</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-3.8795953431090879</v>
      </c>
      <c r="X32" s="288">
        <v>1</v>
      </c>
      <c r="Y32" s="42"/>
      <c r="Z32" s="42"/>
      <c r="AA32" s="42"/>
    </row>
    <row r="33" spans="1:27">
      <c r="B33" s="5" t="s">
        <v>5</v>
      </c>
      <c r="C33" s="545">
        <v>5503.1192352199487</v>
      </c>
      <c r="D33" s="536">
        <v>7400.3764357359987</v>
      </c>
      <c r="E33" s="536">
        <v>3526.8450397700453</v>
      </c>
      <c r="F33" s="536">
        <v>3387.5281921934966</v>
      </c>
      <c r="G33" s="536">
        <v>3331.5882725572319</v>
      </c>
      <c r="H33" s="279">
        <f>IF(D33=0,"nm",IF(G33=0,"nm",(G33/D33)^(1/3)-1))</f>
        <v>-0.23358174991446834</v>
      </c>
      <c r="I33" s="5"/>
      <c r="J33" s="254"/>
      <c r="K33" s="254"/>
      <c r="L33" s="254"/>
      <c r="M33" s="254"/>
      <c r="N33" s="254"/>
      <c r="O33" s="251"/>
      <c r="Q33" s="5"/>
      <c r="S33" s="88"/>
      <c r="T33" s="42"/>
      <c r="U33" s="42"/>
      <c r="V33" s="147" t="s">
        <v>575</v>
      </c>
      <c r="W33" s="288">
        <f t="shared" si="5"/>
        <v>1.5968861561908096</v>
      </c>
      <c r="X33" s="288">
        <v>1</v>
      </c>
      <c r="Y33" s="42"/>
      <c r="Z33" s="42"/>
      <c r="AA33" s="42"/>
    </row>
    <row r="34" spans="1:27">
      <c r="H34" s="277"/>
      <c r="I34" s="49"/>
      <c r="J34" s="254"/>
      <c r="K34" s="254"/>
      <c r="L34" s="254"/>
      <c r="M34" s="254"/>
      <c r="N34" s="254"/>
      <c r="O34" s="251"/>
      <c r="Q34" s="5"/>
      <c r="S34" s="88"/>
      <c r="T34" s="42"/>
      <c r="U34" s="42"/>
      <c r="V34" s="147" t="s">
        <v>576</v>
      </c>
      <c r="W34" s="288">
        <f>D47/L19</f>
        <v>6.5210220434075081E-2</v>
      </c>
      <c r="X34" s="288">
        <v>1</v>
      </c>
      <c r="Y34" s="288"/>
      <c r="Z34" s="288"/>
      <c r="AA34" s="42"/>
    </row>
    <row r="35" spans="1:27" ht="12.6" thickBot="1">
      <c r="B35" s="306" t="s">
        <v>277</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1: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1:27">
      <c r="B37" s="5" t="s">
        <v>268</v>
      </c>
      <c r="C37" s="247"/>
      <c r="D37" s="525">
        <f>D$18/D23</f>
        <v>2.9650836122676956</v>
      </c>
      <c r="E37" s="525">
        <f>E$18/E23</f>
        <v>2.9881242853195924</v>
      </c>
      <c r="F37" s="525">
        <f>F$18/F23</f>
        <v>2.7635859493786601</v>
      </c>
      <c r="G37" s="525">
        <f>G$18/G23</f>
        <v>2.582393778680828</v>
      </c>
      <c r="H37" s="17">
        <f t="shared" ref="H37:H45" si="7">H23</f>
        <v>-8.7599511224496496E-3</v>
      </c>
      <c r="I37" s="5"/>
      <c r="J37" s="259"/>
      <c r="K37" s="259"/>
      <c r="L37" s="259"/>
      <c r="M37" s="259"/>
      <c r="N37" s="259"/>
      <c r="O37" s="18"/>
      <c r="Q37" s="5"/>
      <c r="R37" s="5"/>
      <c r="S37" s="42"/>
      <c r="T37" s="42"/>
      <c r="U37" s="42"/>
      <c r="V37" s="42"/>
      <c r="W37" s="42"/>
      <c r="X37" s="42"/>
      <c r="Y37" s="42"/>
      <c r="Z37" s="42"/>
      <c r="AA37" s="42"/>
    </row>
    <row r="38" spans="1:27">
      <c r="A38" s="5"/>
      <c r="B38" s="5" t="s">
        <v>180</v>
      </c>
      <c r="C38" s="247"/>
      <c r="D38" s="525">
        <f>D18/D24</f>
        <v>6.9161519614324671</v>
      </c>
      <c r="E38" s="525">
        <f t="shared" ref="E38:G38" si="8">E18/E24</f>
        <v>6.5257749246447592</v>
      </c>
      <c r="F38" s="525">
        <f t="shared" si="8"/>
        <v>6.313040573415476</v>
      </c>
      <c r="G38" s="525">
        <f t="shared" si="8"/>
        <v>5.8666536866089078</v>
      </c>
      <c r="H38" s="17">
        <f t="shared" si="7"/>
        <v>-2.979267785696571E-6</v>
      </c>
      <c r="I38" s="259"/>
      <c r="J38" s="17"/>
      <c r="K38" s="17"/>
      <c r="L38" s="17"/>
      <c r="M38" s="17"/>
      <c r="N38" s="17"/>
      <c r="O38" s="5"/>
      <c r="Q38" s="5"/>
      <c r="R38" s="5"/>
      <c r="S38" s="42"/>
      <c r="T38" s="42"/>
      <c r="U38" s="42"/>
      <c r="V38" s="42"/>
      <c r="W38" s="42"/>
      <c r="X38" s="42"/>
      <c r="Y38" s="42"/>
      <c r="Z38" s="42"/>
      <c r="AA38" s="42"/>
    </row>
    <row r="39" spans="1:27">
      <c r="A39" s="5"/>
      <c r="B39" s="5" t="s">
        <v>181</v>
      </c>
      <c r="C39" s="247"/>
      <c r="D39" s="525">
        <f>D18/D25</f>
        <v>10.987829935025694</v>
      </c>
      <c r="E39" s="525">
        <f t="shared" ref="E39:G39" si="9">E18/E25</f>
        <v>9.6942748999108623</v>
      </c>
      <c r="F39" s="525">
        <f t="shared" si="9"/>
        <v>9.3142875708428239</v>
      </c>
      <c r="G39" s="525">
        <f t="shared" si="9"/>
        <v>8.582064059171822</v>
      </c>
      <c r="H39" s="17">
        <f t="shared" si="7"/>
        <v>2.789181273473873E-2</v>
      </c>
      <c r="I39" s="17"/>
      <c r="J39" s="5"/>
      <c r="K39" s="5"/>
      <c r="L39" s="5"/>
      <c r="M39" s="5"/>
      <c r="N39" s="5"/>
      <c r="O39" s="5"/>
      <c r="Q39" s="5"/>
      <c r="R39" s="5"/>
      <c r="S39" s="42"/>
      <c r="T39" s="42"/>
      <c r="U39" s="42"/>
      <c r="V39" s="42"/>
      <c r="W39" s="42"/>
      <c r="X39" s="42"/>
      <c r="Y39" s="42"/>
      <c r="Z39" s="42"/>
      <c r="AA39" s="42"/>
    </row>
    <row r="40" spans="1:27">
      <c r="A40" s="5"/>
      <c r="B40" s="5" t="s">
        <v>461</v>
      </c>
      <c r="C40" s="247"/>
      <c r="D40" s="525">
        <f>D18/D26</f>
        <v>14.086961455161143</v>
      </c>
      <c r="E40" s="525">
        <f t="shared" ref="E40:G40" si="10">E18/E26</f>
        <v>12.428557563988285</v>
      </c>
      <c r="F40" s="525">
        <f t="shared" si="10"/>
        <v>11.941394321593362</v>
      </c>
      <c r="G40" s="525">
        <f t="shared" si="10"/>
        <v>11.002646229707466</v>
      </c>
      <c r="H40" s="17">
        <f t="shared" si="7"/>
        <v>2.7891812734738508E-2</v>
      </c>
      <c r="I40" s="5"/>
      <c r="J40" s="259"/>
      <c r="K40" s="259"/>
      <c r="L40" s="259"/>
      <c r="M40" s="259"/>
      <c r="N40" s="259"/>
      <c r="O40" s="18"/>
      <c r="Q40" s="5"/>
      <c r="R40" s="5"/>
      <c r="S40" s="42"/>
      <c r="T40" s="42"/>
      <c r="U40" s="42"/>
      <c r="V40" s="42"/>
      <c r="W40" s="288"/>
      <c r="X40" s="288"/>
      <c r="Y40" s="42"/>
      <c r="Z40" s="42"/>
      <c r="AA40" s="42"/>
    </row>
    <row r="41" spans="1:27">
      <c r="B41" s="5" t="s">
        <v>525</v>
      </c>
      <c r="C41" s="247"/>
      <c r="D41" s="525">
        <f>D$18/D27</f>
        <v>1.5970303318992245</v>
      </c>
      <c r="E41" s="525">
        <f>E$18/E27</f>
        <v>6.1211648664498215</v>
      </c>
      <c r="F41" s="525">
        <f>F$18/F27</f>
        <v>6.3979015929285445</v>
      </c>
      <c r="G41" s="525">
        <f>G$18/G27</f>
        <v>5.9962349201813865</v>
      </c>
      <c r="H41" s="17">
        <f t="shared" si="7"/>
        <v>-0.39095106285712211</v>
      </c>
      <c r="I41" s="247"/>
      <c r="J41" s="17"/>
      <c r="K41" s="17"/>
      <c r="L41" s="17"/>
      <c r="M41" s="17"/>
      <c r="N41" s="17"/>
      <c r="O41" s="5"/>
      <c r="Q41" s="5"/>
      <c r="R41" s="5"/>
      <c r="S41" s="42"/>
      <c r="T41" s="42"/>
      <c r="U41" s="42"/>
      <c r="V41" s="42"/>
      <c r="W41" s="288"/>
      <c r="X41" s="288"/>
      <c r="Y41" s="288"/>
      <c r="Z41" s="288"/>
      <c r="AA41" s="42"/>
    </row>
    <row r="42" spans="1:27">
      <c r="B42" s="5" t="s">
        <v>588</v>
      </c>
      <c r="C42" s="247"/>
      <c r="D42" s="525">
        <f>D18/D28</f>
        <v>4.6464182424974458</v>
      </c>
      <c r="E42" s="525">
        <f>E18/E28</f>
        <v>-3.4296192567779098</v>
      </c>
      <c r="F42" s="525">
        <f>F18/F28</f>
        <v>-2.7484145523809449</v>
      </c>
      <c r="G42" s="525">
        <f>G18/G28</f>
        <v>-2.4057144021988939</v>
      </c>
      <c r="H42" s="17">
        <f t="shared" si="7"/>
        <v>-2.1788686677116793</v>
      </c>
      <c r="I42" s="248"/>
      <c r="J42" s="5"/>
      <c r="K42" s="5"/>
      <c r="L42" s="5"/>
      <c r="M42" s="5"/>
      <c r="N42" s="5"/>
      <c r="O42" s="5"/>
      <c r="Q42" s="5"/>
      <c r="R42" s="5"/>
      <c r="S42" s="42"/>
      <c r="T42" s="42"/>
      <c r="U42" s="42"/>
      <c r="V42" s="42"/>
      <c r="W42" s="288"/>
      <c r="X42" s="288"/>
      <c r="Y42" s="288"/>
      <c r="Z42" s="288"/>
      <c r="AA42" s="42"/>
    </row>
    <row r="43" spans="1:27">
      <c r="B43" s="5" t="s">
        <v>470</v>
      </c>
      <c r="C43" s="247"/>
      <c r="D43" s="525">
        <f>L26/D29</f>
        <v>267.34446021367057</v>
      </c>
      <c r="E43" s="525">
        <f>M26/E29</f>
        <v>19.547419078569817</v>
      </c>
      <c r="F43" s="525">
        <f>N26/F29</f>
        <v>17.183659471864182</v>
      </c>
      <c r="G43" s="525">
        <f>O26/G29</f>
        <v>14.882554678080966</v>
      </c>
      <c r="H43" s="17">
        <f t="shared" si="7"/>
        <v>1.6187933580347384</v>
      </c>
      <c r="I43" s="247"/>
      <c r="J43" s="247"/>
      <c r="K43" s="247"/>
      <c r="L43" s="247"/>
      <c r="M43" s="247"/>
      <c r="N43" s="247"/>
      <c r="O43" s="18"/>
      <c r="Q43" s="5"/>
      <c r="R43" s="5"/>
      <c r="S43" s="42"/>
      <c r="T43" s="42"/>
      <c r="U43" s="42"/>
      <c r="V43" s="42"/>
      <c r="W43" s="288"/>
      <c r="X43" s="288"/>
      <c r="Y43" s="288"/>
      <c r="Z43" s="288"/>
      <c r="AA43" s="42"/>
    </row>
    <row r="44" spans="1:27">
      <c r="B44" s="5" t="s">
        <v>528</v>
      </c>
      <c r="C44" s="69"/>
      <c r="D44" s="525">
        <f>D11/D30</f>
        <v>-62.439488155328043</v>
      </c>
      <c r="E44" s="525">
        <f>E11/E30</f>
        <v>26.469594948844183</v>
      </c>
      <c r="F44" s="525">
        <f>F11/F30</f>
        <v>25.670522956507288</v>
      </c>
      <c r="G44" s="525">
        <f>G11/G30</f>
        <v>21.321184804173502</v>
      </c>
      <c r="H44" s="17">
        <f t="shared" si="7"/>
        <v>-2.4305814003273714</v>
      </c>
      <c r="I44" s="247"/>
      <c r="J44" s="248"/>
      <c r="K44" s="248"/>
      <c r="L44" s="248"/>
      <c r="M44" s="248"/>
      <c r="N44" s="248"/>
      <c r="O44" s="248"/>
      <c r="Q44" s="5"/>
      <c r="R44" s="5"/>
      <c r="S44" s="42"/>
      <c r="T44" s="42"/>
      <c r="U44" s="42"/>
      <c r="V44" s="42"/>
      <c r="W44" s="325"/>
      <c r="X44" s="325"/>
      <c r="Y44" s="288"/>
      <c r="Z44" s="288"/>
      <c r="AA44" s="42"/>
    </row>
    <row r="45" spans="1:27">
      <c r="B45" s="5" t="s">
        <v>575</v>
      </c>
      <c r="C45" s="247"/>
      <c r="D45" s="248">
        <f>D31/D11</f>
        <v>7.0778931750741819E-2</v>
      </c>
      <c r="E45" s="248">
        <f>E31/E11</f>
        <v>7.1840615727002954E-2</v>
      </c>
      <c r="F45" s="248">
        <f>F31/F11</f>
        <v>7.3277428041543011E-2</v>
      </c>
      <c r="G45" s="248">
        <f>G31/G11</f>
        <v>7.584213802299701E-2</v>
      </c>
      <c r="H45" s="17">
        <f t="shared" si="7"/>
        <v>2.321153852374902E-2</v>
      </c>
      <c r="I45" s="248"/>
      <c r="J45" s="247"/>
      <c r="K45" s="247"/>
      <c r="L45" s="247"/>
      <c r="M45" s="247"/>
      <c r="N45" s="247"/>
      <c r="O45" s="248"/>
      <c r="Q45" s="5"/>
      <c r="R45" s="5"/>
      <c r="S45" s="42"/>
      <c r="T45" s="42"/>
      <c r="U45" s="42"/>
      <c r="V45" s="42"/>
      <c r="W45" s="42"/>
      <c r="X45" s="42"/>
      <c r="Y45" s="325"/>
      <c r="Z45" s="325"/>
      <c r="AA45" s="42"/>
    </row>
    <row r="46" spans="1:27">
      <c r="B46" s="5" t="s">
        <v>600</v>
      </c>
      <c r="C46" s="247"/>
      <c r="D46" s="248">
        <f>(D31+D32)/D11</f>
        <v>7.0778931750741819E-2</v>
      </c>
      <c r="E46" s="248">
        <f>(E31+E32)/E11</f>
        <v>7.1840615727002954E-2</v>
      </c>
      <c r="F46" s="248">
        <f>(F31+F32)/F11</f>
        <v>7.3277428041543011E-2</v>
      </c>
      <c r="G46" s="248">
        <f>(G31+G32)/G11</f>
        <v>7.584213802299701E-2</v>
      </c>
      <c r="H46" s="279">
        <f>((G31+G32)/(D31+D32))^(1/3)-1</f>
        <v>2.321153852374902E-2</v>
      </c>
      <c r="I46" s="247"/>
      <c r="J46" s="247"/>
      <c r="K46" s="247"/>
      <c r="L46" s="247"/>
      <c r="M46" s="247"/>
      <c r="N46" s="247"/>
      <c r="O46" s="18"/>
      <c r="Q46" s="5"/>
      <c r="R46" s="5"/>
      <c r="S46" s="42"/>
      <c r="T46" s="42"/>
      <c r="U46" s="42"/>
      <c r="V46" s="42"/>
      <c r="W46" s="42"/>
      <c r="X46" s="42"/>
      <c r="Y46" s="42"/>
      <c r="Z46" s="42"/>
      <c r="AA46" s="326"/>
    </row>
    <row r="47" spans="1:27">
      <c r="B47" s="5" t="s">
        <v>576</v>
      </c>
      <c r="C47" s="5"/>
      <c r="D47" s="248">
        <f>1/D43</f>
        <v>3.7404926932122205E-3</v>
      </c>
      <c r="E47" s="248">
        <f>1/E43</f>
        <v>5.1157648791410923E-2</v>
      </c>
      <c r="F47" s="248">
        <f>1/F43</f>
        <v>5.8194821751289878E-2</v>
      </c>
      <c r="G47" s="248">
        <f>1/G43</f>
        <v>6.7192765061552265E-2</v>
      </c>
      <c r="H47" s="17">
        <f>H29</f>
        <v>1.6187933580347384</v>
      </c>
      <c r="I47" s="17"/>
      <c r="J47" s="248"/>
      <c r="K47" s="248"/>
      <c r="L47" s="248"/>
      <c r="M47" s="248"/>
      <c r="N47" s="248"/>
      <c r="O47" s="248"/>
      <c r="Q47" s="5"/>
      <c r="R47" s="5"/>
      <c r="S47" s="42"/>
      <c r="T47" s="42"/>
      <c r="U47" s="42"/>
      <c r="V47" s="42"/>
      <c r="W47" s="42"/>
      <c r="X47" s="42"/>
      <c r="Y47" s="42"/>
      <c r="Z47" s="42"/>
      <c r="AA47" s="326"/>
    </row>
    <row r="48" spans="1:27">
      <c r="B48" s="5" t="s">
        <v>613</v>
      </c>
      <c r="C48" s="5"/>
      <c r="D48" s="305">
        <f>D31/D29</f>
        <v>15.445147396983819</v>
      </c>
      <c r="E48" s="305">
        <f>E31/E29</f>
        <v>1.1461885543026902</v>
      </c>
      <c r="F48" s="305">
        <f>F31/F29</f>
        <v>1.0277381378631243</v>
      </c>
      <c r="G48" s="305">
        <f>G31/G29</f>
        <v>0.92126516901245659</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NORSOP!A1" display="Jump to Telenor SOP" xr:uid="{00000000-0004-0000-6B00-000001000000}"/>
  </hyperlinks>
  <pageMargins left="0.75" right="0.75" top="1" bottom="1" header="0.5" footer="0.5"/>
  <pageSetup scale="71"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770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771</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146</v>
      </c>
      <c r="C9" s="290">
        <f>Prices!$C$99</f>
        <v>840</v>
      </c>
      <c r="D9" s="531">
        <v>0</v>
      </c>
      <c r="E9" s="532">
        <v>0</v>
      </c>
      <c r="F9" s="532">
        <v>0</v>
      </c>
      <c r="G9" s="532">
        <v>0</v>
      </c>
      <c r="H9" s="249"/>
      <c r="I9" s="249"/>
      <c r="J9" s="5" t="s">
        <v>268</v>
      </c>
      <c r="L9" s="525">
        <f>'EM TOWERS'!D37</f>
        <v>3.1620526700243352</v>
      </c>
      <c r="M9" s="525">
        <f>'EM TOWERS'!E37</f>
        <v>2.9424000564542334</v>
      </c>
      <c r="N9" s="525">
        <f>'EM TOWERS'!F37</f>
        <v>2.5659911609656558</v>
      </c>
      <c r="O9" s="525">
        <f>'EM TOWERS'!G37</f>
        <v>2.2128014874226967</v>
      </c>
      <c r="P9" s="18">
        <f>'EM TOWERS'!H37</f>
        <v>5.2839276228291432E-2</v>
      </c>
      <c r="S9" s="88"/>
      <c r="T9" s="42"/>
      <c r="U9" s="42"/>
      <c r="V9" s="42"/>
      <c r="W9" s="42"/>
      <c r="X9" s="42"/>
      <c r="Y9" s="42"/>
      <c r="Z9" s="42"/>
      <c r="AA9" s="42"/>
    </row>
    <row r="10" spans="2:44">
      <c r="B10" s="5" t="s">
        <v>269</v>
      </c>
      <c r="C10" s="5"/>
      <c r="D10" s="527">
        <v>49799.041599999997</v>
      </c>
      <c r="E10" s="527">
        <v>49799.041599999997</v>
      </c>
      <c r="F10" s="527">
        <v>49799.041599999997</v>
      </c>
      <c r="G10" s="527">
        <v>49799.041599999997</v>
      </c>
      <c r="H10" s="247"/>
      <c r="I10" s="247"/>
      <c r="J10" s="5" t="s">
        <v>180</v>
      </c>
      <c r="L10" s="525">
        <f>'EM TOWERS'!D38</f>
        <v>4.925565476585744</v>
      </c>
      <c r="M10" s="525">
        <f>'EM TOWERS'!E38</f>
        <v>4.5370192974808798</v>
      </c>
      <c r="N10" s="525">
        <f>'EM TOWERS'!F38</f>
        <v>3.9348737497172284</v>
      </c>
      <c r="O10" s="525">
        <f>'EM TOWERS'!G38</f>
        <v>3.3927175182471632</v>
      </c>
      <c r="P10" s="18">
        <f>'EM TOWERS'!H38</f>
        <v>5.841502106121288E-2</v>
      </c>
      <c r="S10" s="88"/>
      <c r="T10" s="42"/>
      <c r="U10" s="42"/>
      <c r="V10" s="42"/>
      <c r="W10" s="288"/>
      <c r="X10" s="288"/>
      <c r="Y10" s="288"/>
      <c r="Z10" s="288"/>
      <c r="AA10" s="42"/>
    </row>
    <row r="11" spans="2:44">
      <c r="B11" s="41" t="s">
        <v>867</v>
      </c>
      <c r="C11" s="5"/>
      <c r="D11" s="528">
        <f>$C$9*D10/1000</f>
        <v>41831.194943999995</v>
      </c>
      <c r="E11" s="528">
        <f>$C$9*E10/1000</f>
        <v>41831.194943999995</v>
      </c>
      <c r="F11" s="528">
        <f>$C$9*F10/1000</f>
        <v>41831.194943999995</v>
      </c>
      <c r="G11" s="528">
        <f>$C$9*G10/1000</f>
        <v>41831.194943999995</v>
      </c>
      <c r="H11" s="249"/>
      <c r="I11" s="249"/>
      <c r="J11" s="5" t="s">
        <v>181</v>
      </c>
      <c r="L11" s="525">
        <f>'EM TOWERS'!D39</f>
        <v>9.3696948912200728</v>
      </c>
      <c r="M11" s="525">
        <f>'EM TOWERS'!E39</f>
        <v>6.8594503743264976</v>
      </c>
      <c r="N11" s="525">
        <f>'EM TOWERS'!F39</f>
        <v>5.8273489357381703</v>
      </c>
      <c r="O11" s="525">
        <f>'EM TOWERS'!G39</f>
        <v>4.9434351005636117</v>
      </c>
      <c r="P11" s="18">
        <f>'EM TOWERS'!H39</f>
        <v>0.15678345110080794</v>
      </c>
      <c r="S11" s="88"/>
      <c r="T11" s="42"/>
      <c r="U11" s="42"/>
      <c r="V11" s="42"/>
      <c r="W11" s="288"/>
      <c r="X11" s="288"/>
      <c r="Y11" s="288"/>
      <c r="Z11" s="288"/>
      <c r="AA11" s="42"/>
    </row>
    <row r="12" spans="2:44">
      <c r="B12" s="5" t="s">
        <v>24</v>
      </c>
      <c r="C12" s="249"/>
      <c r="D12" s="529">
        <v>44484.303</v>
      </c>
      <c r="E12" s="529">
        <v>43479.113020892306</v>
      </c>
      <c r="F12" s="529">
        <v>41664.458367393941</v>
      </c>
      <c r="G12" s="529">
        <v>39159.072098661098</v>
      </c>
      <c r="H12" s="247"/>
      <c r="I12" s="247"/>
      <c r="J12" s="5" t="s">
        <v>461</v>
      </c>
      <c r="L12" s="525">
        <f>'EM TOWERS'!D40</f>
        <v>12.097154573967106</v>
      </c>
      <c r="M12" s="525">
        <f>'EM TOWERS'!E40</f>
        <v>8.2078607710351097</v>
      </c>
      <c r="N12" s="525">
        <f>'EM TOWERS'!F40</f>
        <v>6.4966647693535213</v>
      </c>
      <c r="O12" s="525">
        <f>'EM TOWERS'!G40</f>
        <v>5.4854068423881115</v>
      </c>
      <c r="P12" s="18">
        <f>'EM TOWERS'!H40</f>
        <v>0.21668454558802974</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'EM TOWERS'!D41</f>
        <v>1.2624385351891199</v>
      </c>
      <c r="M13" s="525">
        <f>'EM TOWERS'!E41</f>
        <v>1.2659168158606797</v>
      </c>
      <c r="N13" s="525">
        <f>'EM TOWERS'!F41</f>
        <v>1.2021862019111522</v>
      </c>
      <c r="O13" s="525">
        <f>'EM TOWERS'!G41</f>
        <v>1.0983319967969536</v>
      </c>
      <c r="P13" s="18">
        <f>'EM TOWERS'!H41</f>
        <v>-2.0858634191997183E-2</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'EM TOWERS'!D42</f>
        <v>1.7465887360675805</v>
      </c>
      <c r="M14" s="525">
        <f>'EM TOWERS'!E42</f>
        <v>1.85806888290891</v>
      </c>
      <c r="N14" s="525">
        <f>'EM TOWERS'!F42</f>
        <v>1.9385154484894787</v>
      </c>
      <c r="O14" s="525">
        <f>'EM TOWERS'!G42</f>
        <v>1.9579432137545243</v>
      </c>
      <c r="P14" s="18">
        <f>'EM TOWERS'!H42</f>
        <v>-0.10019158430344766</v>
      </c>
      <c r="S14" s="88"/>
      <c r="T14" s="42"/>
      <c r="U14" s="42"/>
      <c r="V14" s="42"/>
      <c r="W14" s="42"/>
      <c r="X14" s="42"/>
      <c r="Y14" s="42"/>
      <c r="Z14" s="42"/>
      <c r="AA14" s="42"/>
    </row>
    <row r="15" spans="2:44">
      <c r="B15" s="5" t="s">
        <v>526</v>
      </c>
      <c r="C15" s="274"/>
      <c r="D15" s="529">
        <v>0</v>
      </c>
      <c r="E15" s="529">
        <v>0</v>
      </c>
      <c r="F15" s="529">
        <v>0</v>
      </c>
      <c r="G15" s="529">
        <v>0</v>
      </c>
      <c r="H15" s="247"/>
      <c r="I15" s="247"/>
      <c r="J15" s="5" t="s">
        <v>470</v>
      </c>
      <c r="L15" s="525">
        <f>'EM TOWERS'!D43</f>
        <v>9.7516598460327248</v>
      </c>
      <c r="M15" s="525">
        <f>'EM TOWERS'!E43</f>
        <v>6.513674430115775</v>
      </c>
      <c r="N15" s="525">
        <f>'EM TOWERS'!F43</f>
        <v>5.5078171276714709</v>
      </c>
      <c r="O15" s="525">
        <f>'EM TOWERS'!G43</f>
        <v>5.2100521422471591</v>
      </c>
      <c r="P15" s="18">
        <f>'EM TOWERS'!H43</f>
        <v>0.23024510578702229</v>
      </c>
      <c r="S15" s="88"/>
      <c r="T15" s="42"/>
      <c r="U15" s="42"/>
      <c r="V15" s="42"/>
      <c r="W15" s="42"/>
      <c r="X15" s="42"/>
      <c r="Y15" s="42"/>
      <c r="Z15" s="42"/>
      <c r="AA15" s="42"/>
    </row>
    <row r="16" spans="2:44">
      <c r="B16" s="5" t="s">
        <v>529</v>
      </c>
      <c r="C16" s="257"/>
      <c r="D16" s="529">
        <v>0</v>
      </c>
      <c r="E16" s="529">
        <v>0</v>
      </c>
      <c r="F16" s="529">
        <v>1623.2302213651024</v>
      </c>
      <c r="G16" s="529">
        <v>3370.4937666454593</v>
      </c>
      <c r="H16" s="247"/>
      <c r="I16" s="247"/>
      <c r="J16" s="5" t="s">
        <v>528</v>
      </c>
      <c r="L16" s="525">
        <f>'EM TOWERS'!D44</f>
        <v>16.675071508591021</v>
      </c>
      <c r="M16" s="525">
        <f>'EM TOWERS'!E44</f>
        <v>12.851369251759737</v>
      </c>
      <c r="N16" s="525">
        <f>'EM TOWERS'!F44</f>
        <v>10.194942053136637</v>
      </c>
      <c r="O16" s="525">
        <f>'EM TOWERS'!G44</f>
        <v>7.7971320939080435</v>
      </c>
      <c r="P16" s="18">
        <f>'EM TOWERS'!H44</f>
        <v>0.28614645680803363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18">
        <f>'EM TOWERS'!D45</f>
        <v>2.3318770967946687E-2</v>
      </c>
      <c r="M17" s="18">
        <f>'EM TOWERS'!E45</f>
        <v>3.253951189440675E-2</v>
      </c>
      <c r="N17" s="18">
        <f>'EM TOWERS'!F45</f>
        <v>4.1886670508327097E-2</v>
      </c>
      <c r="O17" s="18">
        <f>'EM TOWERS'!G45</f>
        <v>5.866090554375173E-2</v>
      </c>
      <c r="P17" s="18">
        <f>'EM TOWERS'!H45</f>
        <v>0.35766885870880061</v>
      </c>
      <c r="S17" s="88"/>
      <c r="T17" s="42"/>
      <c r="U17" s="42"/>
      <c r="V17" s="42"/>
      <c r="W17" s="42"/>
      <c r="X17" s="42"/>
      <c r="Y17" s="42"/>
      <c r="Z17" s="42"/>
      <c r="AA17" s="42"/>
    </row>
    <row r="18" spans="2:27" ht="12.6" thickBot="1">
      <c r="B18" s="41" t="s">
        <v>578</v>
      </c>
      <c r="C18" s="249"/>
      <c r="D18" s="530">
        <f>D11+D12+D13-D14+D15-D16-D17</f>
        <v>86315.497944000002</v>
      </c>
      <c r="E18" s="530">
        <f>E11+E12+E13-E14+E15-E16-E17</f>
        <v>85310.307964892301</v>
      </c>
      <c r="F18" s="530">
        <f>F11+F12+F13-F14+F15-F16-F17</f>
        <v>81872.423090028838</v>
      </c>
      <c r="G18" s="530">
        <f>G11+G12+G13-G14+G15-G16-G17</f>
        <v>77619.773276015621</v>
      </c>
      <c r="H18" s="276">
        <f>IF(D18=0,"nm",IF(G18=0,"nm",(G18/D18)^(1/3)-1))</f>
        <v>-3.4776552911370273E-2</v>
      </c>
      <c r="I18" s="254"/>
      <c r="J18" s="5" t="s">
        <v>36</v>
      </c>
      <c r="L18" s="18">
        <f>'EM TOWERS'!D46</f>
        <v>1.9474450052594346E-2</v>
      </c>
      <c r="M18" s="18">
        <f>'EM TOWERS'!E46</f>
        <v>2.8141352347676236E-2</v>
      </c>
      <c r="N18" s="18">
        <f>'EM TOWERS'!F46</f>
        <v>3.7027360214756909E-2</v>
      </c>
      <c r="O18" s="18">
        <f>'EM TOWERS'!G46</f>
        <v>5.3633582434496278E-2</v>
      </c>
      <c r="P18" s="18">
        <f>'EM TOWERS'!H46</f>
        <v>0.3992759054986339</v>
      </c>
      <c r="S18" s="88"/>
      <c r="T18" s="42"/>
      <c r="U18" s="42"/>
      <c r="V18" s="42"/>
      <c r="W18" s="42"/>
      <c r="X18" s="42"/>
      <c r="Y18" s="42"/>
      <c r="Z18" s="42"/>
      <c r="AA18" s="42"/>
    </row>
    <row r="19" spans="2:27" ht="12.6" thickTop="1">
      <c r="B19" s="41"/>
      <c r="C19" s="249"/>
      <c r="D19" s="229"/>
      <c r="E19" s="229"/>
      <c r="F19" s="229"/>
      <c r="G19" s="229"/>
      <c r="H19" s="276"/>
      <c r="I19" s="254"/>
      <c r="J19" s="5" t="s">
        <v>576</v>
      </c>
      <c r="L19" s="18">
        <f>'EM TOWERS'!D47</f>
        <v>0.10254664495981479</v>
      </c>
      <c r="M19" s="18">
        <f>'EM TOWERS'!E47</f>
        <v>0.1535231781583265</v>
      </c>
      <c r="N19" s="18">
        <f>'EM TOWERS'!F47</f>
        <v>0.18156013114087688</v>
      </c>
      <c r="O19" s="18">
        <f>'EM TOWERS'!G47</f>
        <v>0.19193665873153581</v>
      </c>
      <c r="P19" s="18">
        <f>'EM TOWERS'!H47</f>
        <v>0.23024510578702229</v>
      </c>
      <c r="S19" s="88"/>
      <c r="T19" s="42"/>
      <c r="U19" s="42"/>
      <c r="V19" s="42"/>
      <c r="W19" s="42"/>
      <c r="X19" s="42"/>
      <c r="Y19" s="42"/>
      <c r="Z19" s="42"/>
      <c r="AA19" s="42"/>
    </row>
    <row r="20" spans="2:27">
      <c r="H20" s="277"/>
      <c r="I20" s="17"/>
      <c r="J20" s="5" t="s">
        <v>599</v>
      </c>
      <c r="L20" s="548">
        <f>'EM TOWERS'!D48</f>
        <v>0.22739672250695939</v>
      </c>
      <c r="M20" s="548">
        <f>'EM TOWERS'!E48</f>
        <v>0.21195178659504538</v>
      </c>
      <c r="N20" s="548">
        <f>'EM TOWERS'!F48</f>
        <v>0.23070412124689543</v>
      </c>
      <c r="O20" s="548">
        <f>'EM TOWERS'!G48</f>
        <v>0.30562637659438197</v>
      </c>
      <c r="P20" s="18" t="str">
        <f>'EM TOWERS'!H48</f>
        <v>nm</v>
      </c>
      <c r="S20" s="88"/>
      <c r="T20" s="42"/>
      <c r="U20" s="42"/>
      <c r="V20" s="42"/>
      <c r="W20" s="42"/>
      <c r="X20" s="42"/>
      <c r="Y20" s="42"/>
      <c r="Z20" s="42"/>
      <c r="AA20" s="42"/>
    </row>
    <row r="21" spans="2:27" ht="12.6" thickBot="1">
      <c r="B21" s="306" t="s">
        <v>940</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11035.7</v>
      </c>
      <c r="D23" s="536">
        <v>11740.344999999998</v>
      </c>
      <c r="E23" s="536">
        <v>12451.511759788889</v>
      </c>
      <c r="F23" s="536">
        <v>13171.457633544618</v>
      </c>
      <c r="G23" s="536">
        <v>13947.796828811177</v>
      </c>
      <c r="H23" s="279">
        <f>IF(D23=0,"nm",IF(G23=0,"nm",(G23/D23)^(1/3)-1))</f>
        <v>5.9111257972739528E-2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478</v>
      </c>
      <c r="C24" s="545">
        <v>9516.6</v>
      </c>
      <c r="D24" s="536">
        <v>9979.6</v>
      </c>
      <c r="E24" s="536">
        <v>10409.46383118351</v>
      </c>
      <c r="F24" s="536">
        <v>10991.581395192983</v>
      </c>
      <c r="G24" s="536">
        <v>11618.514758399711</v>
      </c>
      <c r="H24" s="279">
        <f>IF(D24=0,"nm",IF(G24=0,"nm",(G24/D24)^(1/3)-1))</f>
        <v>5.1992135717255916E-2</v>
      </c>
      <c r="I24" s="249"/>
      <c r="J24" s="17"/>
      <c r="K24" s="17"/>
      <c r="L24" s="17"/>
      <c r="M24" s="17"/>
      <c r="N24" s="17"/>
      <c r="O24" s="248"/>
      <c r="S24" s="88"/>
      <c r="T24" s="42"/>
      <c r="U24" s="42"/>
      <c r="V24" s="42"/>
      <c r="W24" s="42" t="s">
        <v>772</v>
      </c>
      <c r="X24" s="42" t="s">
        <v>773</v>
      </c>
      <c r="Y24" s="42"/>
      <c r="Z24" s="42"/>
      <c r="AA24" s="42"/>
    </row>
    <row r="25" spans="2:27">
      <c r="B25" s="5" t="s">
        <v>179</v>
      </c>
      <c r="C25" s="544">
        <v>2487.2000000000007</v>
      </c>
      <c r="D25" s="536">
        <v>3425.6000000000004</v>
      </c>
      <c r="E25" s="536">
        <v>6677.1578372393533</v>
      </c>
      <c r="F25" s="536">
        <v>7582.1627117502539</v>
      </c>
      <c r="G25" s="536">
        <v>8361.4583425904566</v>
      </c>
      <c r="H25" s="279">
        <f>IF(D25=0,"nm",IF(G25=0,"nm",(G25/D25)^(1/3)-1))</f>
        <v>0.34642384237008184</v>
      </c>
      <c r="I25" s="248"/>
      <c r="J25" s="247" t="s">
        <v>10</v>
      </c>
      <c r="K25" s="247"/>
      <c r="L25" s="321">
        <v>0</v>
      </c>
      <c r="M25" s="321">
        <v>0</v>
      </c>
      <c r="N25" s="321">
        <v>0</v>
      </c>
      <c r="O25" s="321">
        <v>0</v>
      </c>
      <c r="P25" s="279" t="str">
        <f>IF(L25=0,"nm",IF(O25=0,"nm",(O25/L25)^(1/3)-1))</f>
        <v>nm</v>
      </c>
      <c r="S25" s="88"/>
      <c r="T25" s="42"/>
      <c r="U25" s="42"/>
      <c r="V25" s="147" t="s">
        <v>268</v>
      </c>
      <c r="W25" s="288">
        <f t="shared" ref="W25:W30" si="4">E37/M9</f>
        <v>2.3285078501828664</v>
      </c>
      <c r="X25" s="288">
        <v>1</v>
      </c>
      <c r="Y25" s="42"/>
      <c r="Z25" s="42"/>
      <c r="AA25" s="42"/>
    </row>
    <row r="26" spans="2:27">
      <c r="B26" s="5" t="s">
        <v>581</v>
      </c>
      <c r="C26" s="544">
        <v>1741.0400000000004</v>
      </c>
      <c r="D26" s="536">
        <v>2397.92</v>
      </c>
      <c r="E26" s="536">
        <v>4674.0104860675474</v>
      </c>
      <c r="F26" s="536">
        <v>5307.5138982251774</v>
      </c>
      <c r="G26" s="536">
        <v>5853.0208398133191</v>
      </c>
      <c r="H26" s="279">
        <f>IF(D26=0,"nm",IF(G26=0,"nm",(G26/D26)^(1/3)-1))</f>
        <v>0.34642384237008184</v>
      </c>
      <c r="I26" s="249"/>
      <c r="J26" s="249" t="s">
        <v>11</v>
      </c>
      <c r="K26" s="249"/>
      <c r="L26" s="281">
        <f>D11+L25</f>
        <v>41831.194943999995</v>
      </c>
      <c r="M26" s="281">
        <f>E11+M25</f>
        <v>41831.194943999995</v>
      </c>
      <c r="N26" s="281">
        <f>F11+N25</f>
        <v>41831.194943999995</v>
      </c>
      <c r="O26" s="281">
        <f>G11+O25</f>
        <v>41831.194943999995</v>
      </c>
      <c r="P26" s="279">
        <f>IF(L26=0,"nm",IF(O26=0,"nm",(O26/L26)^(1/3)-1))</f>
        <v>0</v>
      </c>
      <c r="Q26" s="5"/>
      <c r="S26" s="88"/>
      <c r="T26" s="42"/>
      <c r="U26" s="42"/>
      <c r="V26" s="147" t="s">
        <v>180</v>
      </c>
      <c r="W26" s="288">
        <f t="shared" si="4"/>
        <v>1.8063525759224794</v>
      </c>
      <c r="X26" s="288">
        <v>1</v>
      </c>
      <c r="Y26" s="42"/>
      <c r="Z26" s="42"/>
      <c r="AA26" s="42"/>
    </row>
    <row r="27" spans="2:27">
      <c r="B27" s="5" t="s">
        <v>582</v>
      </c>
      <c r="C27" s="545">
        <v>59079.866000000002</v>
      </c>
      <c r="D27" s="536">
        <v>60995.966999999997</v>
      </c>
      <c r="E27" s="536">
        <v>61869.612941535117</v>
      </c>
      <c r="F27" s="536">
        <v>62057.632109713675</v>
      </c>
      <c r="G27" s="536">
        <v>61707.946810348338</v>
      </c>
      <c r="H27" s="279">
        <f>IF(ISERROR((G27/D27)^(1/3)-1),"na",(G27/D27)^(1/3)-1)</f>
        <v>3.8758159429614913E-3</v>
      </c>
      <c r="I27" s="249"/>
      <c r="J27" s="248"/>
      <c r="K27" s="248"/>
      <c r="L27" s="248"/>
      <c r="M27" s="248"/>
      <c r="N27" s="248"/>
      <c r="O27" s="248"/>
      <c r="Q27" s="41"/>
      <c r="S27" s="88"/>
      <c r="T27" s="42"/>
      <c r="U27" s="42"/>
      <c r="V27" s="147" t="s">
        <v>181</v>
      </c>
      <c r="W27" s="288">
        <f t="shared" si="4"/>
        <v>1.8626040754664885</v>
      </c>
      <c r="X27" s="288">
        <v>1</v>
      </c>
      <c r="Y27" s="42"/>
      <c r="Z27" s="42"/>
      <c r="AA27" s="42"/>
    </row>
    <row r="28" spans="2:27">
      <c r="B28" s="5" t="s">
        <v>587</v>
      </c>
      <c r="C28" s="544">
        <v>37152.091999999997</v>
      </c>
      <c r="D28" s="536">
        <v>40385.074000000001</v>
      </c>
      <c r="E28" s="536">
        <v>41350.448930114369</v>
      </c>
      <c r="F28" s="536">
        <v>41627.810872324284</v>
      </c>
      <c r="G28" s="536">
        <v>41363.437009717651</v>
      </c>
      <c r="H28" s="279">
        <f>IF(ISERROR((G28/D28)^(1/3)-1),"na",(G28/D28)^(1/3)-1)</f>
        <v>8.0109390070897124E-3</v>
      </c>
      <c r="I28" s="248"/>
      <c r="Q28" s="5"/>
      <c r="S28" s="88"/>
      <c r="T28" s="42"/>
      <c r="U28" s="42"/>
      <c r="V28" s="147" t="s">
        <v>461</v>
      </c>
      <c r="W28" s="288">
        <f t="shared" si="4"/>
        <v>2.223728931341336</v>
      </c>
      <c r="X28" s="288">
        <v>1</v>
      </c>
      <c r="Y28" s="42"/>
      <c r="Z28" s="42"/>
      <c r="AA28" s="42"/>
    </row>
    <row r="29" spans="2:27" ht="12.6" thickBot="1">
      <c r="B29" s="5" t="s">
        <v>583</v>
      </c>
      <c r="C29" s="544">
        <v>-898.41499999999996</v>
      </c>
      <c r="D29" s="536">
        <v>-262.60500000000047</v>
      </c>
      <c r="E29" s="536">
        <v>3001.3307863652453</v>
      </c>
      <c r="F29" s="536">
        <v>3938.0931492739542</v>
      </c>
      <c r="G29" s="536">
        <v>4783.2443090322995</v>
      </c>
      <c r="H29" s="279">
        <f>IF(D29=0,"nm",IF(G29=0,"nm",(G29/D29)^(1/3)-1))</f>
        <v>-3.6311151638169292</v>
      </c>
      <c r="I29" s="252"/>
      <c r="J29" s="306" t="s">
        <v>1353</v>
      </c>
      <c r="K29" s="306"/>
      <c r="L29" s="265" t="str">
        <f>L$5</f>
        <v>2023E</v>
      </c>
      <c r="M29" s="265" t="str">
        <f t="shared" ref="M29:P29" si="5">M$5</f>
        <v>2024E</v>
      </c>
      <c r="N29" s="265" t="str">
        <f t="shared" si="5"/>
        <v>2025E</v>
      </c>
      <c r="O29" s="265" t="str">
        <f t="shared" si="5"/>
        <v>2026E</v>
      </c>
      <c r="P29" s="265" t="str">
        <f t="shared" si="5"/>
        <v>23E-26E</v>
      </c>
      <c r="Q29" s="5"/>
      <c r="S29" s="88"/>
      <c r="T29" s="42"/>
      <c r="U29" s="42"/>
      <c r="V29" s="147" t="s">
        <v>525</v>
      </c>
      <c r="W29" s="288">
        <f t="shared" si="4"/>
        <v>1.0892283633854101</v>
      </c>
      <c r="X29" s="288">
        <v>1</v>
      </c>
      <c r="Y29" s="42"/>
      <c r="Z29" s="42"/>
      <c r="AA29" s="42"/>
    </row>
    <row r="30" spans="2:27" ht="12.6" thickTop="1">
      <c r="B30" s="5" t="s">
        <v>584</v>
      </c>
      <c r="C30" s="545">
        <v>3824.3049999999998</v>
      </c>
      <c r="D30" s="536">
        <v>3448.0949999999993</v>
      </c>
      <c r="E30" s="536">
        <v>3827.463716479615</v>
      </c>
      <c r="F30" s="536">
        <v>4076.2130914838654</v>
      </c>
      <c r="G30" s="536">
        <v>4379.6284464256687</v>
      </c>
      <c r="H30" s="279">
        <f>IF(D30=0,"nm",IF(G30=0,"nm",(G30/D30)^(1/3)-1))</f>
        <v>8.2977287029451618E-2</v>
      </c>
      <c r="I30" s="254"/>
      <c r="J30" s="248"/>
      <c r="K30" s="248"/>
      <c r="L30" s="248"/>
      <c r="M30" s="248"/>
      <c r="N30" s="248"/>
      <c r="O30" s="5"/>
      <c r="Q30" s="5"/>
      <c r="S30" s="88"/>
      <c r="T30" s="42"/>
      <c r="U30" s="42"/>
      <c r="V30" s="147" t="s">
        <v>588</v>
      </c>
      <c r="W30" s="288">
        <f t="shared" si="4"/>
        <v>1.1103489099594714</v>
      </c>
      <c r="X30" s="288">
        <v>1</v>
      </c>
      <c r="Y30" s="42"/>
      <c r="Z30" s="42"/>
      <c r="AA30" s="42"/>
    </row>
    <row r="31" spans="2:27">
      <c r="B31" s="5" t="s">
        <v>585</v>
      </c>
      <c r="C31" s="545">
        <v>1200.15444918</v>
      </c>
      <c r="D31" s="536">
        <v>1460.6435388709619</v>
      </c>
      <c r="E31" s="536">
        <v>1522.8588144466923</v>
      </c>
      <c r="F31" s="536">
        <v>1623.2335396051531</v>
      </c>
      <c r="G31" s="536">
        <v>1747.2671170718372</v>
      </c>
      <c r="H31" s="279">
        <f>IF(D31=0,"nm",IF(G31=0,"nm",(G31/D31)^(1/3)-1))</f>
        <v>6.1544865163608797E-2</v>
      </c>
      <c r="I31" s="254"/>
      <c r="J31" s="5" t="s">
        <v>731</v>
      </c>
      <c r="K31" s="247"/>
      <c r="L31" s="322">
        <v>30558</v>
      </c>
      <c r="M31" s="322">
        <v>31258</v>
      </c>
      <c r="N31" s="322">
        <v>31958</v>
      </c>
      <c r="O31" s="322">
        <v>32658</v>
      </c>
      <c r="Q31" s="5"/>
      <c r="S31" s="88"/>
      <c r="T31" s="42"/>
      <c r="U31" s="42"/>
      <c r="V31" s="147" t="s">
        <v>143</v>
      </c>
      <c r="W31" s="288">
        <f>F43/N15</f>
        <v>1.9285671902434438</v>
      </c>
      <c r="X31" s="288">
        <v>1</v>
      </c>
      <c r="Y31" s="42"/>
      <c r="Z31" s="42"/>
      <c r="AA31" s="42"/>
    </row>
    <row r="32" spans="2:27">
      <c r="B32" s="5" t="s">
        <v>601</v>
      </c>
      <c r="C32" s="546">
        <v>0</v>
      </c>
      <c r="D32" s="536">
        <v>0</v>
      </c>
      <c r="E32" s="536">
        <v>0</v>
      </c>
      <c r="F32" s="536">
        <v>0</v>
      </c>
      <c r="G32" s="536">
        <v>0</v>
      </c>
      <c r="H32" s="279" t="str">
        <f>IF(D32=0,"nm",IF(G32=0,"nm",(G32/D32)^(1/3)-1))</f>
        <v>nm</v>
      </c>
      <c r="I32" s="254"/>
      <c r="J32" s="5" t="s">
        <v>1351</v>
      </c>
      <c r="K32" s="254"/>
      <c r="L32" s="322">
        <v>54284</v>
      </c>
      <c r="M32" s="322">
        <v>53861.672682767203</v>
      </c>
      <c r="N32" s="322">
        <v>54517.186711879054</v>
      </c>
      <c r="O32" s="322">
        <v>55154.204293140385</v>
      </c>
      <c r="Q32" s="5"/>
      <c r="S32" s="88"/>
      <c r="T32" s="42"/>
      <c r="U32" s="42"/>
      <c r="V32" s="147" t="s">
        <v>528</v>
      </c>
      <c r="W32" s="288">
        <f>E44/M16</f>
        <v>0.85043237758982537</v>
      </c>
      <c r="X32" s="288">
        <v>1</v>
      </c>
      <c r="Y32" s="42"/>
      <c r="Z32" s="42"/>
      <c r="AA32" s="42"/>
    </row>
    <row r="33" spans="2:27">
      <c r="B33" s="5" t="s">
        <v>5</v>
      </c>
      <c r="C33" s="545">
        <v>-2368.3890000000001</v>
      </c>
      <c r="D33" s="536">
        <v>-2837.5080000000003</v>
      </c>
      <c r="E33" s="536">
        <v>-2800.9502412943566</v>
      </c>
      <c r="F33" s="536">
        <v>-2711.5278410373444</v>
      </c>
      <c r="G33" s="536">
        <v>-2574.415476288204</v>
      </c>
      <c r="H33" s="279">
        <f>IF(ISERROR((G33/D33)^(1/3)-1),"na",(G33/D33)^(1/3)-1)</f>
        <v>-3.1914205011276064E-2</v>
      </c>
      <c r="I33" s="5"/>
      <c r="Q33" s="5"/>
      <c r="S33" s="88"/>
      <c r="T33" s="42"/>
      <c r="U33" s="42"/>
      <c r="V33" s="147" t="s">
        <v>575</v>
      </c>
      <c r="W33" s="42">
        <f>E45/M17</f>
        <v>1.1187893834861014</v>
      </c>
      <c r="X33" s="288">
        <v>1</v>
      </c>
      <c r="Y33" s="42"/>
      <c r="Z33" s="42"/>
      <c r="AA33" s="42"/>
    </row>
    <row r="34" spans="2:27">
      <c r="D34" s="303"/>
      <c r="E34" s="5"/>
      <c r="F34" s="5"/>
      <c r="G34" s="5"/>
      <c r="I34" s="49"/>
      <c r="Q34" s="5"/>
      <c r="S34" s="88"/>
      <c r="T34" s="42"/>
      <c r="U34" s="42"/>
      <c r="V34" s="147" t="s">
        <v>144</v>
      </c>
      <c r="W34" s="288">
        <f>E47/M19</f>
        <v>0.46734719449535245</v>
      </c>
      <c r="X34" s="288">
        <v>1</v>
      </c>
      <c r="Y34" s="288"/>
      <c r="Z34" s="288"/>
      <c r="AA34" s="42"/>
    </row>
    <row r="35" spans="2:27" ht="12.6" thickBot="1">
      <c r="B35" s="306" t="s">
        <v>768</v>
      </c>
      <c r="C35" s="265"/>
      <c r="D35" s="265" t="str">
        <f>D5</f>
        <v>2023E</v>
      </c>
      <c r="E35" s="265" t="str">
        <f t="shared" ref="E35:H35" si="6">E5</f>
        <v>2024E</v>
      </c>
      <c r="F35" s="265" t="str">
        <f t="shared" si="6"/>
        <v>2025E</v>
      </c>
      <c r="G35" s="265" t="str">
        <f t="shared" si="6"/>
        <v>2026E</v>
      </c>
      <c r="H35" s="265" t="str">
        <f t="shared" si="6"/>
        <v>23E-26E</v>
      </c>
      <c r="I35" s="254"/>
      <c r="J35" s="306" t="s">
        <v>1352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268</v>
      </c>
      <c r="C37" s="247"/>
      <c r="D37" s="525">
        <f>D$18/D23</f>
        <v>7.3520410127641069</v>
      </c>
      <c r="E37" s="525">
        <f t="shared" ref="E37:G41" si="7">E$18/E23</f>
        <v>6.8514016298321918</v>
      </c>
      <c r="F37" s="525">
        <f t="shared" si="7"/>
        <v>6.2158969316743615</v>
      </c>
      <c r="G37" s="525">
        <f t="shared" si="7"/>
        <v>5.5650203561669924</v>
      </c>
      <c r="H37" s="17">
        <f t="shared" ref="H37:H45" si="8">H23</f>
        <v>5.9111257972739528E-2</v>
      </c>
      <c r="I37" s="5"/>
      <c r="J37" s="248"/>
      <c r="K37" s="248"/>
      <c r="L37" s="248"/>
      <c r="M37" s="248"/>
      <c r="N37" s="248"/>
      <c r="O37" s="5"/>
      <c r="Q37" s="5"/>
      <c r="R37" s="5"/>
      <c r="S37" s="42"/>
      <c r="T37" s="42"/>
      <c r="U37" s="42"/>
      <c r="V37" s="42"/>
      <c r="W37" s="42"/>
      <c r="X37" s="42"/>
      <c r="Y37" s="42"/>
      <c r="Z37" s="42"/>
      <c r="AA37" s="42"/>
    </row>
    <row r="38" spans="2:27">
      <c r="B38" s="5" t="s">
        <v>180</v>
      </c>
      <c r="C38" s="247"/>
      <c r="D38" s="525">
        <f>D$18/D24</f>
        <v>8.6491941504669523</v>
      </c>
      <c r="E38" s="525">
        <f t="shared" si="7"/>
        <v>8.1954564950145858</v>
      </c>
      <c r="F38" s="525">
        <f t="shared" si="7"/>
        <v>7.4486482105145138</v>
      </c>
      <c r="G38" s="525">
        <f t="shared" si="7"/>
        <v>6.6806967060828235</v>
      </c>
      <c r="H38" s="17">
        <f t="shared" si="8"/>
        <v>5.1992135717255916E-2</v>
      </c>
      <c r="I38" s="259"/>
      <c r="J38" s="252"/>
      <c r="K38" s="252"/>
      <c r="L38" s="252"/>
      <c r="M38" s="252"/>
      <c r="N38" s="252"/>
      <c r="O38" s="5"/>
      <c r="Q38" s="5"/>
      <c r="R38" s="5"/>
      <c r="S38" s="42"/>
      <c r="T38" s="42"/>
      <c r="U38" s="42"/>
      <c r="V38" s="42"/>
      <c r="W38" s="42"/>
      <c r="X38" s="42"/>
      <c r="Y38" s="42"/>
      <c r="Z38" s="42"/>
      <c r="AA38" s="42"/>
    </row>
    <row r="39" spans="2:27">
      <c r="B39" s="5" t="s">
        <v>181</v>
      </c>
      <c r="C39" s="247"/>
      <c r="D39" s="525">
        <f>D$18/D25</f>
        <v>25.197191132648292</v>
      </c>
      <c r="E39" s="525">
        <f t="shared" si="7"/>
        <v>12.776440222680664</v>
      </c>
      <c r="F39" s="525">
        <f t="shared" si="7"/>
        <v>10.798030351307185</v>
      </c>
      <c r="G39" s="525">
        <f t="shared" si="7"/>
        <v>9.2830425143239186</v>
      </c>
      <c r="H39" s="17">
        <f t="shared" si="8"/>
        <v>0.34642384237008184</v>
      </c>
      <c r="I39" s="17"/>
      <c r="J39" s="259"/>
      <c r="K39" s="259"/>
      <c r="L39" s="259"/>
      <c r="M39" s="259"/>
      <c r="N39" s="259"/>
      <c r="O39" s="18"/>
      <c r="Q39" s="5"/>
      <c r="R39" s="5"/>
      <c r="S39" s="42"/>
      <c r="T39" s="42"/>
      <c r="U39" s="42"/>
      <c r="V39" s="42"/>
      <c r="W39" s="42"/>
      <c r="X39" s="42"/>
      <c r="Y39" s="42"/>
      <c r="Z39" s="42"/>
      <c r="AA39" s="42"/>
    </row>
    <row r="40" spans="2:27">
      <c r="B40" s="5" t="s">
        <v>461</v>
      </c>
      <c r="C40" s="247"/>
      <c r="D40" s="525">
        <f>D$18/D26</f>
        <v>35.995987332354709</v>
      </c>
      <c r="E40" s="525">
        <f t="shared" si="7"/>
        <v>18.252057460972377</v>
      </c>
      <c r="F40" s="525">
        <f t="shared" si="7"/>
        <v>15.425757644724552</v>
      </c>
      <c r="G40" s="525">
        <f t="shared" si="7"/>
        <v>13.261489306177028</v>
      </c>
      <c r="H40" s="17">
        <f t="shared" si="8"/>
        <v>0.34642384237008184</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1.4151017221187756</v>
      </c>
      <c r="E41" s="525">
        <f t="shared" si="7"/>
        <v>1.3788725015219978</v>
      </c>
      <c r="F41" s="525">
        <f t="shared" si="7"/>
        <v>1.3192966007031006</v>
      </c>
      <c r="G41" s="525">
        <f t="shared" si="7"/>
        <v>1.2578570068871404</v>
      </c>
      <c r="H41" s="17">
        <f t="shared" si="8"/>
        <v>3.8758159429614913E-3</v>
      </c>
      <c r="I41" s="247"/>
      <c r="J41" s="259"/>
      <c r="K41" s="259"/>
      <c r="L41" s="259"/>
      <c r="M41" s="259"/>
      <c r="N41" s="259"/>
      <c r="O41" s="18"/>
      <c r="Q41" s="5"/>
      <c r="R41" s="5"/>
      <c r="S41" s="42"/>
      <c r="T41" s="42"/>
      <c r="U41" s="42"/>
      <c r="V41" s="42"/>
      <c r="W41" s="288"/>
      <c r="X41" s="288"/>
      <c r="Y41" s="288"/>
      <c r="Z41" s="288"/>
      <c r="AA41" s="42"/>
    </row>
    <row r="42" spans="2:27">
      <c r="B42" s="5" t="s">
        <v>588</v>
      </c>
      <c r="C42" s="247"/>
      <c r="D42" s="525">
        <f>D18/D28</f>
        <v>2.1373118678450362</v>
      </c>
      <c r="E42" s="525">
        <f>E18/E28</f>
        <v>2.0631047587675209</v>
      </c>
      <c r="F42" s="525">
        <f>F18/F28</f>
        <v>1.9667722461106085</v>
      </c>
      <c r="G42" s="525">
        <f>G18/G28</f>
        <v>1.8765310353145979</v>
      </c>
      <c r="H42" s="17">
        <f t="shared" si="8"/>
        <v>8.0109390070897124E-3</v>
      </c>
      <c r="I42" s="248"/>
      <c r="J42" s="5"/>
      <c r="K42" s="5"/>
      <c r="L42" s="5"/>
      <c r="M42" s="5"/>
      <c r="N42" s="5"/>
      <c r="O42" s="5"/>
      <c r="Q42" s="5"/>
      <c r="R42" s="5"/>
      <c r="S42" s="42"/>
      <c r="T42" s="42"/>
      <c r="U42" s="42"/>
      <c r="V42" s="42"/>
      <c r="W42" s="288"/>
      <c r="X42" s="288"/>
      <c r="Y42" s="288"/>
      <c r="Z42" s="288"/>
      <c r="AA42" s="42"/>
    </row>
    <row r="43" spans="2:27">
      <c r="B43" s="5" t="s">
        <v>470</v>
      </c>
      <c r="C43" s="247"/>
      <c r="D43" s="525">
        <f>L26/D29</f>
        <v>-159.29321583366624</v>
      </c>
      <c r="E43" s="525">
        <f>M26/E29</f>
        <v>13.937549014602141</v>
      </c>
      <c r="F43" s="525">
        <f>N26/F29</f>
        <v>10.622195402288083</v>
      </c>
      <c r="G43" s="525">
        <f>O26/G29</f>
        <v>8.7453603122485895</v>
      </c>
      <c r="H43" s="17">
        <f t="shared" si="8"/>
        <v>-3.6311151638169292</v>
      </c>
      <c r="I43" s="247"/>
      <c r="J43" s="69"/>
      <c r="K43" s="69"/>
      <c r="L43" s="69"/>
      <c r="M43" s="69"/>
      <c r="N43" s="69"/>
      <c r="O43" s="69"/>
      <c r="Q43" s="5"/>
      <c r="R43" s="5"/>
      <c r="S43" s="42"/>
      <c r="T43" s="42"/>
      <c r="U43" s="42"/>
      <c r="V43" s="42"/>
      <c r="W43" s="288"/>
      <c r="X43" s="288"/>
      <c r="Y43" s="288"/>
      <c r="Z43" s="288"/>
      <c r="AA43" s="42"/>
    </row>
    <row r="44" spans="2:27">
      <c r="B44" s="5" t="s">
        <v>528</v>
      </c>
      <c r="C44" s="69"/>
      <c r="D44" s="525">
        <f>D11/D30</f>
        <v>12.131682840524986</v>
      </c>
      <c r="E44" s="525">
        <f>E11/E30</f>
        <v>10.929220508058808</v>
      </c>
      <c r="F44" s="525">
        <f>F11/F30</f>
        <v>10.262268925879969</v>
      </c>
      <c r="G44" s="525">
        <f>G11/G30</f>
        <v>9.5513113625288337</v>
      </c>
      <c r="H44" s="17">
        <f t="shared" si="8"/>
        <v>8.2977287029451618E-2</v>
      </c>
      <c r="I44" s="247"/>
      <c r="J44" s="259"/>
      <c r="K44" s="259"/>
      <c r="L44" s="259"/>
      <c r="M44" s="259"/>
      <c r="N44" s="259"/>
      <c r="O44" s="18"/>
      <c r="Q44" s="5"/>
      <c r="R44" s="5"/>
      <c r="S44" s="42"/>
      <c r="T44" s="42"/>
      <c r="U44" s="42"/>
      <c r="V44" s="42"/>
      <c r="W44" s="325"/>
      <c r="X44" s="325"/>
      <c r="Y44" s="288"/>
      <c r="Z44" s="288"/>
      <c r="AA44" s="42"/>
    </row>
    <row r="45" spans="2:27">
      <c r="B45" s="5" t="s">
        <v>575</v>
      </c>
      <c r="C45" s="247"/>
      <c r="D45" s="248">
        <f>D31/D11</f>
        <v>3.4917566682623954E-2</v>
      </c>
      <c r="E45" s="248">
        <f>E31/E11</f>
        <v>3.6404860451281988E-2</v>
      </c>
      <c r="F45" s="248">
        <f>F31/F11</f>
        <v>3.8804378927692562E-2</v>
      </c>
      <c r="G45" s="248">
        <f>G31/G11</f>
        <v>4.1769476569123311E-2</v>
      </c>
      <c r="H45" s="17">
        <f t="shared" si="8"/>
        <v>6.1544865163608797E-2</v>
      </c>
      <c r="I45" s="248"/>
      <c r="J45" s="17"/>
      <c r="K45" s="17"/>
      <c r="L45" s="17"/>
      <c r="M45" s="17"/>
      <c r="N45" s="17"/>
      <c r="O45" s="5"/>
      <c r="Q45" s="5"/>
      <c r="R45" s="5"/>
      <c r="S45" s="42"/>
      <c r="T45" s="42"/>
      <c r="U45" s="42"/>
      <c r="V45" s="42"/>
      <c r="W45" s="42"/>
      <c r="X45" s="42"/>
      <c r="Y45" s="325"/>
      <c r="Z45" s="325"/>
      <c r="AA45" s="42"/>
    </row>
    <row r="46" spans="2:27">
      <c r="B46" s="5" t="s">
        <v>600</v>
      </c>
      <c r="C46" s="247"/>
      <c r="D46" s="248">
        <f>(D31+D32)/D11</f>
        <v>3.4917566682623954E-2</v>
      </c>
      <c r="E46" s="248">
        <f>(E31+E32)/E11</f>
        <v>3.6404860451281988E-2</v>
      </c>
      <c r="F46" s="248">
        <f>(F31+F32)/F11</f>
        <v>3.8804378927692562E-2</v>
      </c>
      <c r="G46" s="248">
        <f>(G31+G32)/G11</f>
        <v>4.1769476569123311E-2</v>
      </c>
      <c r="H46" s="279">
        <f>((G31+G32)/(D31+D32))^(1/3)-1</f>
        <v>6.1544865163608797E-2</v>
      </c>
      <c r="I46" s="247"/>
      <c r="J46" s="5"/>
      <c r="K46" s="5"/>
      <c r="L46" s="5"/>
      <c r="M46" s="5"/>
      <c r="N46" s="5"/>
      <c r="O46" s="5"/>
      <c r="Q46" s="5"/>
      <c r="R46" s="5"/>
      <c r="S46" s="42"/>
      <c r="T46" s="42"/>
      <c r="U46" s="42"/>
      <c r="V46" s="42"/>
      <c r="W46" s="42"/>
      <c r="X46" s="42"/>
      <c r="Y46" s="42"/>
      <c r="Z46" s="42"/>
      <c r="AA46" s="326"/>
    </row>
    <row r="47" spans="2:27">
      <c r="B47" s="5" t="s">
        <v>576</v>
      </c>
      <c r="C47" s="5"/>
      <c r="D47" s="248">
        <f>1/D43</f>
        <v>-6.2777312565790539E-3</v>
      </c>
      <c r="E47" s="248">
        <f>1/E43</f>
        <v>7.1748626602304064E-2</v>
      </c>
      <c r="F47" s="248">
        <f>1/F43</f>
        <v>9.4142497113599899E-2</v>
      </c>
      <c r="G47" s="248">
        <f>1/G43</f>
        <v>0.11434634643919914</v>
      </c>
      <c r="H47" s="17">
        <f>H29</f>
        <v>-3.6311151638169292</v>
      </c>
      <c r="I47" s="17"/>
      <c r="J47" s="259"/>
      <c r="K47" s="259"/>
      <c r="L47" s="259"/>
      <c r="M47" s="259"/>
      <c r="N47" s="259"/>
      <c r="O47" s="18"/>
      <c r="Q47" s="5"/>
      <c r="R47" s="5"/>
      <c r="S47" s="42"/>
      <c r="T47" s="42"/>
      <c r="U47" s="42"/>
      <c r="V47" s="42"/>
      <c r="W47" s="42"/>
      <c r="X47" s="42"/>
      <c r="Y47" s="42"/>
      <c r="Z47" s="42"/>
      <c r="AA47" s="326"/>
    </row>
    <row r="48" spans="2:27">
      <c r="B48" s="5" t="s">
        <v>613</v>
      </c>
      <c r="C48" s="5"/>
      <c r="D48" s="305">
        <f>D31/D29</f>
        <v>-5.5621314859616504</v>
      </c>
      <c r="E48" s="305">
        <f>E31/E29</f>
        <v>0.50739452690949371</v>
      </c>
      <c r="F48" s="305">
        <f>F31/F29</f>
        <v>0.4121876954343805</v>
      </c>
      <c r="G48" s="305">
        <f>G31/G29</f>
        <v>0.36528912265100832</v>
      </c>
      <c r="H48" s="279" t="s">
        <v>602</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7"/>
      <c r="D54" s="17"/>
      <c r="E54" s="17"/>
      <c r="F54" s="17"/>
      <c r="G54" s="17"/>
      <c r="H54" s="254"/>
      <c r="I54" s="259"/>
      <c r="J54" s="248"/>
      <c r="K54" s="248"/>
      <c r="L54" s="248"/>
      <c r="M54" s="248"/>
      <c r="N54" s="248"/>
      <c r="O54" s="248"/>
      <c r="Q54" s="5"/>
      <c r="R54" s="5"/>
      <c r="S54" s="5"/>
    </row>
    <row r="55" spans="2:27">
      <c r="B55" s="5"/>
      <c r="C55" s="249"/>
      <c r="D55" s="17"/>
      <c r="E55" s="17"/>
      <c r="F55" s="17"/>
      <c r="G55" s="17"/>
      <c r="H55" s="17"/>
      <c r="I55" s="249"/>
      <c r="J55" s="247"/>
      <c r="K55" s="247"/>
      <c r="L55" s="247"/>
      <c r="M55" s="247"/>
      <c r="N55" s="247"/>
      <c r="O55" s="248"/>
      <c r="Q55" s="5"/>
      <c r="R55" s="5"/>
      <c r="S55" s="5"/>
    </row>
    <row r="56" spans="2:27">
      <c r="B56" s="5"/>
      <c r="C56" s="247"/>
      <c r="D56" s="17"/>
      <c r="E56" s="17"/>
      <c r="F56" s="17"/>
      <c r="G56" s="17"/>
      <c r="H56" s="259"/>
      <c r="I56" s="248"/>
      <c r="J56" s="17"/>
      <c r="K56" s="17"/>
      <c r="L56" s="17"/>
      <c r="M56" s="17"/>
      <c r="N56" s="17"/>
      <c r="O56" s="248"/>
      <c r="Q56" s="5"/>
      <c r="R56" s="5"/>
      <c r="S56" s="5"/>
    </row>
    <row r="57" spans="2:27">
      <c r="B57" s="41"/>
      <c r="C57" s="247"/>
      <c r="D57" s="17"/>
      <c r="E57" s="17"/>
      <c r="F57" s="17"/>
      <c r="G57" s="17"/>
      <c r="H57" s="249"/>
      <c r="I57" s="5"/>
      <c r="J57" s="249"/>
      <c r="K57" s="249"/>
      <c r="L57" s="249"/>
      <c r="M57" s="249"/>
      <c r="N57" s="249"/>
      <c r="O57" s="251"/>
      <c r="Q57" s="5"/>
      <c r="R57" s="5"/>
      <c r="S57" s="5"/>
    </row>
    <row r="58" spans="2:27">
      <c r="B58" s="5"/>
      <c r="C58" s="249"/>
      <c r="D58" s="17"/>
      <c r="E58" s="17"/>
      <c r="F58" s="17"/>
      <c r="G58" s="17"/>
      <c r="H58" s="248"/>
      <c r="I58" s="17"/>
      <c r="J58" s="248"/>
      <c r="K58" s="248"/>
      <c r="L58" s="248"/>
      <c r="M58" s="248"/>
      <c r="N58" s="248"/>
      <c r="O58" s="18"/>
      <c r="Q58" s="5"/>
      <c r="R58" s="5"/>
      <c r="S58" s="5"/>
    </row>
    <row r="59" spans="2:27">
      <c r="B59" s="5"/>
      <c r="C59" s="247"/>
      <c r="D59" s="17"/>
      <c r="E59" s="17"/>
      <c r="F59" s="17"/>
      <c r="G59" s="17"/>
      <c r="H59" s="5"/>
      <c r="I59" s="5"/>
      <c r="J59" s="5"/>
      <c r="K59" s="5"/>
      <c r="L59" s="5"/>
      <c r="M59" s="5"/>
      <c r="N59" s="5"/>
      <c r="O59" s="5"/>
      <c r="Q59" s="5"/>
      <c r="R59" s="5"/>
      <c r="S59" s="5"/>
    </row>
    <row r="60" spans="2:27">
      <c r="B60" s="41"/>
      <c r="C60" s="247"/>
      <c r="D60" s="17"/>
      <c r="E60" s="17"/>
      <c r="F60" s="17"/>
      <c r="G60" s="17"/>
      <c r="H60" s="17"/>
      <c r="I60" s="249"/>
      <c r="J60" s="17"/>
      <c r="K60" s="17"/>
      <c r="L60" s="17"/>
      <c r="M60" s="17"/>
      <c r="N60" s="17"/>
      <c r="O60" s="251"/>
      <c r="Q60" s="5"/>
      <c r="R60" s="5"/>
      <c r="S60" s="5"/>
    </row>
    <row r="61" spans="2:27">
      <c r="B61" s="5"/>
      <c r="C61" s="249"/>
      <c r="D61" s="17"/>
      <c r="E61" s="17"/>
      <c r="F61" s="17"/>
      <c r="G61" s="17"/>
      <c r="H61" s="5"/>
      <c r="I61" s="5"/>
      <c r="J61" s="5"/>
      <c r="K61" s="5"/>
      <c r="L61" s="5"/>
      <c r="M61" s="5"/>
      <c r="N61" s="5"/>
      <c r="O61" s="5"/>
      <c r="Q61" s="41"/>
      <c r="R61" s="5"/>
      <c r="S61" s="5"/>
    </row>
    <row r="62" spans="2:27">
      <c r="B62" s="41"/>
      <c r="C62" s="249"/>
      <c r="D62" s="17"/>
      <c r="E62" s="17"/>
      <c r="F62" s="17"/>
      <c r="G62" s="17"/>
      <c r="H62" s="249"/>
      <c r="I62" s="5"/>
      <c r="J62" s="249"/>
      <c r="K62" s="249"/>
      <c r="L62" s="249"/>
      <c r="M62" s="249"/>
      <c r="N62" s="249"/>
      <c r="O62" s="251"/>
      <c r="Q62" s="5"/>
      <c r="R62" s="5"/>
      <c r="S62" s="5"/>
    </row>
    <row r="63" spans="2:27">
      <c r="B63" s="5"/>
      <c r="C63" s="270"/>
      <c r="D63" s="17"/>
      <c r="E63" s="17"/>
      <c r="F63" s="17"/>
      <c r="G63" s="17"/>
      <c r="H63" s="5"/>
      <c r="I63" s="254"/>
      <c r="J63" s="5"/>
      <c r="K63" s="5"/>
      <c r="L63" s="5"/>
      <c r="M63" s="5"/>
      <c r="N63" s="5"/>
      <c r="O63" s="5"/>
      <c r="Q63" s="5"/>
      <c r="R63" s="5"/>
      <c r="S63" s="5"/>
    </row>
    <row r="64" spans="2:27">
      <c r="B64" s="5"/>
      <c r="C64" s="249"/>
      <c r="D64" s="17"/>
      <c r="E64" s="17"/>
      <c r="F64" s="17"/>
      <c r="G64" s="17"/>
      <c r="H64" s="5"/>
      <c r="I64" s="17"/>
      <c r="J64" s="5"/>
      <c r="K64" s="5"/>
      <c r="L64" s="5"/>
      <c r="M64" s="5"/>
      <c r="N64" s="5"/>
      <c r="O64" s="5"/>
      <c r="Q64" s="5"/>
      <c r="R64" s="5"/>
      <c r="S64" s="5"/>
    </row>
    <row r="65" spans="2:26">
      <c r="B65" s="41"/>
      <c r="C65" s="249"/>
      <c r="D65" s="17"/>
      <c r="E65" s="17"/>
      <c r="F65" s="17"/>
      <c r="G65" s="17"/>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21"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22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963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1018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879</v>
      </c>
      <c r="C9" s="287">
        <f>Prices!C70</f>
        <v>4.99</v>
      </c>
      <c r="D9" s="531">
        <v>931.67219679839138</v>
      </c>
      <c r="E9" s="539">
        <v>934.00137729038738</v>
      </c>
      <c r="F9" s="539">
        <v>936.3363807336134</v>
      </c>
      <c r="G9" s="539">
        <v>938.67722168544742</v>
      </c>
      <c r="H9" s="249"/>
      <c r="I9" s="249"/>
      <c r="J9" s="5" t="s">
        <v>268</v>
      </c>
      <c r="L9" s="525">
        <f>'DM ASIA OTHER'!D37</f>
        <v>1.9744449599107277</v>
      </c>
      <c r="M9" s="525">
        <f>'DM ASIA OTHER'!E37</f>
        <v>1.8490173864069028</v>
      </c>
      <c r="N9" s="525">
        <f>'DM ASIA OTHER'!F37</f>
        <v>1.6231667198154929</v>
      </c>
      <c r="O9" s="525">
        <f>'DM ASIA OTHER'!G37</f>
        <v>1.4362808154165028</v>
      </c>
      <c r="P9" s="286">
        <f>'DM ASIA OTHER'!H37</f>
        <v>5.1745937424389377E-2</v>
      </c>
      <c r="S9" s="88"/>
      <c r="T9" s="42"/>
      <c r="U9" s="42"/>
      <c r="V9" s="42"/>
      <c r="W9" s="42"/>
      <c r="X9" s="42"/>
      <c r="Y9" s="42"/>
      <c r="Z9" s="42"/>
      <c r="AA9" s="42"/>
    </row>
    <row r="10" spans="2:44">
      <c r="B10" s="5" t="s">
        <v>269</v>
      </c>
      <c r="C10" s="5"/>
      <c r="D10" s="527">
        <v>931.67219679839138</v>
      </c>
      <c r="E10" s="527">
        <v>934.00137729038738</v>
      </c>
      <c r="F10" s="527">
        <v>936.3363807336134</v>
      </c>
      <c r="G10" s="527">
        <v>938.67722168544742</v>
      </c>
      <c r="H10" s="247"/>
      <c r="I10" s="247"/>
      <c r="J10" s="5" t="s">
        <v>180</v>
      </c>
      <c r="L10" s="525">
        <f>'DM ASIA OTHER'!D38</f>
        <v>7.8678346581378626</v>
      </c>
      <c r="M10" s="525">
        <f>'DM ASIA OTHER'!E38</f>
        <v>7.254289328657916</v>
      </c>
      <c r="N10" s="525">
        <f>'DM ASIA OTHER'!F38</f>
        <v>6.2613613044918139</v>
      </c>
      <c r="O10" s="525">
        <f>'DM ASIA OTHER'!G38</f>
        <v>5.4626500230850716</v>
      </c>
      <c r="P10" s="286">
        <f>'DM ASIA OTHER'!H38</f>
        <v>6.8217204124905839E-2</v>
      </c>
      <c r="S10" s="88"/>
      <c r="T10" s="42"/>
      <c r="U10" s="42"/>
      <c r="V10" s="42"/>
      <c r="W10" s="288"/>
      <c r="X10" s="288"/>
      <c r="Y10" s="288"/>
      <c r="Z10" s="288"/>
      <c r="AA10" s="42"/>
    </row>
    <row r="11" spans="2:44">
      <c r="B11" s="41" t="s">
        <v>880</v>
      </c>
      <c r="C11" s="5"/>
      <c r="D11" s="528">
        <f>D10*C9</f>
        <v>4649.0442620239728</v>
      </c>
      <c r="E11" s="528">
        <f>E10*$C$9</f>
        <v>4660.6668726790331</v>
      </c>
      <c r="F11" s="528">
        <f t="shared" ref="F11:G11" si="2">F10*$C$9</f>
        <v>4672.3185398607311</v>
      </c>
      <c r="G11" s="528">
        <f t="shared" si="2"/>
        <v>4683.9993362103833</v>
      </c>
      <c r="H11" s="249"/>
      <c r="I11" s="249"/>
      <c r="J11" s="5" t="s">
        <v>181</v>
      </c>
      <c r="L11" s="525">
        <f>'DM ASIA OTHER'!D39</f>
        <v>15.114469721863887</v>
      </c>
      <c r="M11" s="525">
        <f>'DM ASIA OTHER'!E39</f>
        <v>11.82612853114612</v>
      </c>
      <c r="N11" s="525">
        <f>'DM ASIA OTHER'!F39</f>
        <v>9.7989585086809576</v>
      </c>
      <c r="O11" s="525">
        <f>'DM ASIA OTHER'!G39</f>
        <v>8.5492697158983812</v>
      </c>
      <c r="P11" s="286">
        <f>'DM ASIA OTHER'!H39</f>
        <v>0.14374774599437457</v>
      </c>
      <c r="S11" s="88"/>
      <c r="T11" s="42"/>
      <c r="U11" s="42"/>
      <c r="V11" s="42"/>
      <c r="W11" s="288"/>
      <c r="X11" s="288"/>
      <c r="Y11" s="288"/>
      <c r="Z11" s="288"/>
      <c r="AA11" s="42"/>
    </row>
    <row r="12" spans="2:44">
      <c r="B12" s="5" t="s">
        <v>24</v>
      </c>
      <c r="C12" s="249"/>
      <c r="D12" s="529">
        <v>2013.3658667997497</v>
      </c>
      <c r="E12" s="529">
        <v>1903.4899149544517</v>
      </c>
      <c r="F12" s="529">
        <v>1821.5986748365094</v>
      </c>
      <c r="G12" s="529">
        <v>1730.2229438169265</v>
      </c>
      <c r="H12" s="247"/>
      <c r="I12" s="247"/>
      <c r="J12" s="5" t="s">
        <v>461</v>
      </c>
      <c r="L12" s="525">
        <f>'DM ASIA OTHER'!D40</f>
        <v>20.806768315723069</v>
      </c>
      <c r="M12" s="525">
        <f>'DM ASIA OTHER'!E40</f>
        <v>16.571592610404696</v>
      </c>
      <c r="N12" s="525">
        <f>'DM ASIA OTHER'!F40</f>
        <v>13.814330413111364</v>
      </c>
      <c r="O12" s="525">
        <f>'DM ASIA OTHER'!G40</f>
        <v>12.166257085531647</v>
      </c>
      <c r="P12" s="286">
        <f>'DM ASIA OTHER'!H40</f>
        <v>0.13116206767528893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'DM ASIA OTHER'!D41</f>
        <v>1.931062543264519</v>
      </c>
      <c r="M13" s="525">
        <f>'DM ASIA OTHER'!E41</f>
        <v>1.8750073972072721</v>
      </c>
      <c r="N13" s="525">
        <f>'DM ASIA OTHER'!F41</f>
        <v>1.7691118623052557</v>
      </c>
      <c r="O13" s="525">
        <f>'DM ASIA OTHER'!G41</f>
        <v>1.6541168115993607</v>
      </c>
      <c r="P13" s="286">
        <f>'DM ASIA OTHER'!H41</f>
        <v>-4.0160486580771426E-3</v>
      </c>
      <c r="S13" s="88"/>
      <c r="T13" s="42"/>
      <c r="U13" s="42"/>
      <c r="V13" s="42"/>
      <c r="W13" s="42"/>
      <c r="X13" s="42"/>
      <c r="Y13" s="42"/>
      <c r="Z13" s="42"/>
      <c r="AA13" s="42"/>
    </row>
    <row r="14" spans="2:44">
      <c r="B14" s="5" t="s">
        <v>527</v>
      </c>
      <c r="C14" s="257"/>
      <c r="D14" s="529"/>
      <c r="E14" s="529"/>
      <c r="F14" s="529"/>
      <c r="G14" s="529"/>
      <c r="H14" s="247"/>
      <c r="I14" s="247"/>
      <c r="J14" s="5" t="s">
        <v>588</v>
      </c>
      <c r="L14" s="525">
        <f>'DM ASIA OTHER'!D42</f>
        <v>4.9082023337797445</v>
      </c>
      <c r="M14" s="525">
        <f>'DM ASIA OTHER'!E42</f>
        <v>4.8914338443998107</v>
      </c>
      <c r="N14" s="525">
        <f>'DM ASIA OTHER'!F42</f>
        <v>4.7364922440460013</v>
      </c>
      <c r="O14" s="525">
        <f>'DM ASIA OTHER'!G42</f>
        <v>4.5240234133099264</v>
      </c>
      <c r="P14" s="286">
        <f>'DM ASIA OTHER'!H42</f>
        <v>-2.8055446746051427E-2</v>
      </c>
      <c r="S14" s="88"/>
      <c r="T14" s="42"/>
      <c r="U14" s="42"/>
      <c r="V14" s="42"/>
      <c r="W14" s="42"/>
      <c r="X14" s="42"/>
      <c r="Y14" s="42"/>
      <c r="Z14" s="42"/>
      <c r="AA14" s="42"/>
    </row>
    <row r="15" spans="2:44">
      <c r="B15" s="5" t="s">
        <v>526</v>
      </c>
      <c r="C15" s="274"/>
      <c r="D15" s="529">
        <v>4.7</v>
      </c>
      <c r="E15" s="529">
        <v>4.7</v>
      </c>
      <c r="F15" s="529">
        <v>4.7</v>
      </c>
      <c r="G15" s="529">
        <v>4.7</v>
      </c>
      <c r="H15" s="247"/>
      <c r="I15" s="247"/>
      <c r="J15" s="5" t="s">
        <v>470</v>
      </c>
      <c r="L15" s="525">
        <f>'DM ASIA OTHER'!D43</f>
        <v>11.836681594498478</v>
      </c>
      <c r="M15" s="525">
        <f>'DM ASIA OTHER'!E43</f>
        <v>7.5729579498439383</v>
      </c>
      <c r="N15" s="525">
        <f>'DM ASIA OTHER'!F43</f>
        <v>6.4142900463814181</v>
      </c>
      <c r="O15" s="525">
        <f>'DM ASIA OTHER'!G43</f>
        <v>6.0363216426931707</v>
      </c>
      <c r="P15" s="286">
        <f>'DM ASIA OTHER'!H43</f>
        <v>0.21630389250420778</v>
      </c>
      <c r="S15" s="88"/>
      <c r="T15" s="42"/>
      <c r="U15" s="42"/>
      <c r="V15" s="42"/>
      <c r="W15" s="42"/>
      <c r="X15" s="42"/>
      <c r="Y15" s="42"/>
      <c r="Z15" s="42"/>
      <c r="AA15" s="42"/>
    </row>
    <row r="16" spans="2:44">
      <c r="B16" s="5" t="s">
        <v>529</v>
      </c>
      <c r="C16" s="257"/>
      <c r="D16" s="529">
        <v>102.48394164782304</v>
      </c>
      <c r="E16" s="529">
        <v>112.08016527484648</v>
      </c>
      <c r="F16" s="529">
        <v>121.72372949536974</v>
      </c>
      <c r="G16" s="529">
        <v>131.41481103596263</v>
      </c>
      <c r="H16" s="247"/>
      <c r="I16" s="247"/>
      <c r="J16" s="5" t="s">
        <v>528</v>
      </c>
      <c r="L16" s="525">
        <f>'DM ASIA OTHER'!D44</f>
        <v>26.371996431865153</v>
      </c>
      <c r="M16" s="525">
        <f>'DM ASIA OTHER'!E44</f>
        <v>19.646240301299546</v>
      </c>
      <c r="N16" s="525">
        <f>'DM ASIA OTHER'!F44</f>
        <v>17.008764755528887</v>
      </c>
      <c r="O16" s="525">
        <f>'DM ASIA OTHER'!G44</f>
        <v>15.564319966920019</v>
      </c>
      <c r="P16" s="286">
        <f>'DM ASIA OTHER'!H44</f>
        <v>0.17550780584293202</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'DM ASIA OTHER'!D45</f>
        <v>3.3544552198318908E-2</v>
      </c>
      <c r="M17" s="248">
        <f>'DM ASIA OTHER'!E45</f>
        <v>3.468266016036306E-2</v>
      </c>
      <c r="N17" s="248">
        <f>'DM ASIA OTHER'!F45</f>
        <v>3.8382102847477083E-2</v>
      </c>
      <c r="O17" s="248">
        <f>'DM ASIA OTHER'!G45</f>
        <v>4.0412140678726664E-2</v>
      </c>
      <c r="P17" s="286">
        <f>'DM ASIA OTHER'!H45</f>
        <v>4.918285214174678E-2</v>
      </c>
      <c r="S17" s="88"/>
      <c r="T17" s="42"/>
      <c r="U17" s="42"/>
      <c r="V17" s="42"/>
      <c r="W17" s="42"/>
      <c r="X17" s="42"/>
      <c r="Y17" s="42"/>
      <c r="Z17" s="42"/>
      <c r="AA17" s="42"/>
    </row>
    <row r="18" spans="2:27" ht="12.6" thickBot="1">
      <c r="B18" s="41" t="s">
        <v>578</v>
      </c>
      <c r="C18" s="249"/>
      <c r="D18" s="530">
        <f>D11+D12+D13-D14+D15-D16-D17</f>
        <v>6564.6261871758988</v>
      </c>
      <c r="E18" s="530">
        <f>E11+E12+E13-E14+E15-E16-E17</f>
        <v>6456.7766223586377</v>
      </c>
      <c r="F18" s="530">
        <f>F11+F12+F13-F14+F15-F16-F17</f>
        <v>6376.893485201871</v>
      </c>
      <c r="G18" s="530">
        <f>G11+G12+G13-G14+G15-G16-G17</f>
        <v>6287.5074689913472</v>
      </c>
      <c r="H18" s="276">
        <f>IF(D18=0,"nm",IF(G18=0,"nm",(G18/D18)^(1/3)-1))</f>
        <v>-1.4274092704388064E-2</v>
      </c>
      <c r="I18" s="254"/>
      <c r="J18" s="5" t="s">
        <v>36</v>
      </c>
      <c r="L18" s="248">
        <f>'DM ASIA OTHER'!D46</f>
        <v>4.1750171981953008E-2</v>
      </c>
      <c r="M18" s="248">
        <f>'DM ASIA OTHER'!E46</f>
        <v>5.1990072118846764E-2</v>
      </c>
      <c r="N18" s="248">
        <f>'DM ASIA OTHER'!F46</f>
        <v>4.8553615947090789E-2</v>
      </c>
      <c r="O18" s="248">
        <f>'DM ASIA OTHER'!G46</f>
        <v>2.164855703554814E-2</v>
      </c>
      <c r="P18" s="286">
        <f>'DM ASIA OTHER'!H46</f>
        <v>-0.20784264331366598</v>
      </c>
      <c r="S18" s="88"/>
      <c r="T18" s="42"/>
      <c r="U18" s="42"/>
      <c r="V18" s="42"/>
      <c r="W18" s="42"/>
      <c r="X18" s="42"/>
      <c r="Y18" s="42"/>
      <c r="Z18" s="42"/>
      <c r="AA18" s="42"/>
    </row>
    <row r="19" spans="2:27" ht="12.6" thickTop="1">
      <c r="B19" s="41"/>
      <c r="C19" s="249"/>
      <c r="D19" s="229"/>
      <c r="E19" s="229"/>
      <c r="F19" s="229"/>
      <c r="G19" s="229"/>
      <c r="H19" s="276"/>
      <c r="I19" s="254"/>
      <c r="J19" s="5" t="s">
        <v>576</v>
      </c>
      <c r="L19" s="248">
        <f>'DM ASIA OTHER'!D47</f>
        <v>8.4483137610526407E-2</v>
      </c>
      <c r="M19" s="248">
        <f>'DM ASIA OTHER'!E47</f>
        <v>0.13204879871551481</v>
      </c>
      <c r="N19" s="248">
        <f>'DM ASIA OTHER'!F47</f>
        <v>0.15590189916094357</v>
      </c>
      <c r="O19" s="248">
        <f>'DM ASIA OTHER'!G47</f>
        <v>0.16566380308949857</v>
      </c>
      <c r="P19" s="286">
        <f>'DM ASIA OTHER'!H47</f>
        <v>0.21630389250420778</v>
      </c>
      <c r="S19" s="88"/>
      <c r="T19" s="42"/>
      <c r="U19" s="42"/>
      <c r="V19" s="42"/>
      <c r="W19" s="42"/>
      <c r="X19" s="42"/>
      <c r="Y19" s="42"/>
      <c r="Z19" s="42"/>
      <c r="AA19" s="42"/>
    </row>
    <row r="20" spans="2:27">
      <c r="H20" s="277"/>
      <c r="I20" s="17"/>
      <c r="J20" s="5" t="s">
        <v>599</v>
      </c>
      <c r="L20" s="305">
        <f>'DM ASIA OTHER'!D48</f>
        <v>0.79301083660779303</v>
      </c>
      <c r="M20" s="305">
        <f>'DM ASIA OTHER'!E48</f>
        <v>0.53244129285248398</v>
      </c>
      <c r="N20" s="305">
        <f>'DM ASIA OTHER'!F48</f>
        <v>0.50688906687720303</v>
      </c>
      <c r="O20" s="305">
        <f>'DM ASIA OTHER'!G48</f>
        <v>0.508986640938492</v>
      </c>
      <c r="P20" s="286" t="str">
        <f>'DM ASIA OTHER'!H48</f>
        <v>nm</v>
      </c>
      <c r="S20" s="88"/>
      <c r="T20" s="42"/>
      <c r="U20" s="42"/>
      <c r="V20" s="42"/>
      <c r="W20" s="42"/>
      <c r="X20" s="42"/>
      <c r="Y20" s="42"/>
      <c r="Z20" s="42"/>
      <c r="AA20" s="42"/>
    </row>
    <row r="21" spans="2:27" ht="12.6" thickBot="1">
      <c r="B21" s="306" t="s">
        <v>947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2777.8601207510701</v>
      </c>
      <c r="D23" s="536">
        <v>2977.0221629880307</v>
      </c>
      <c r="E23" s="536">
        <v>3105.3626927238815</v>
      </c>
      <c r="F23" s="536">
        <v>3199.9500977349526</v>
      </c>
      <c r="G23" s="536">
        <v>3277.1449191140878</v>
      </c>
      <c r="H23" s="279">
        <f>IF(D23=0,"nm",IF(G23=0,"nm",(G23/D23)^(1/3)-1))</f>
        <v>3.2534392300954673E-2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786.66195284095454</v>
      </c>
      <c r="D24" s="536">
        <v>759.21972691097437</v>
      </c>
      <c r="E24" s="536">
        <v>743.79315449909268</v>
      </c>
      <c r="F24" s="536">
        <v>770.92757865270528</v>
      </c>
      <c r="G24" s="536">
        <v>795.47124607313503</v>
      </c>
      <c r="H24" s="279">
        <f>IF(D24=0,"nm",IF(G24=0,"nm",(G24/D24)^(1/3)-1))</f>
        <v>1.5669319800876602E-2</v>
      </c>
      <c r="I24" s="249"/>
      <c r="J24" s="17"/>
      <c r="K24" s="17"/>
      <c r="L24" s="17"/>
      <c r="M24" s="17"/>
      <c r="N24" s="17"/>
      <c r="O24" s="248"/>
      <c r="S24" s="88"/>
      <c r="T24" s="42"/>
      <c r="U24" s="42"/>
      <c r="V24" s="42"/>
      <c r="W24" s="42" t="s">
        <v>301</v>
      </c>
      <c r="X24" s="42" t="s">
        <v>254</v>
      </c>
      <c r="Y24" s="42"/>
      <c r="Z24" s="42"/>
      <c r="AA24" s="42"/>
    </row>
    <row r="25" spans="2:27">
      <c r="B25" s="5" t="s">
        <v>179</v>
      </c>
      <c r="C25" s="544">
        <v>318.55400891572094</v>
      </c>
      <c r="D25" s="536">
        <v>403.56222691097435</v>
      </c>
      <c r="E25" s="536">
        <v>417.76589949909265</v>
      </c>
      <c r="F25" s="536">
        <v>420.27968220270526</v>
      </c>
      <c r="G25" s="536">
        <v>440.80391272963504</v>
      </c>
      <c r="H25" s="279">
        <f>IF(D25=0,"nm",IF(G25=0,"nm",(G25/D25)^(1/3)-1))</f>
        <v>2.9860284419041871E-2</v>
      </c>
      <c r="I25" s="248"/>
      <c r="J25" s="247" t="s">
        <v>10</v>
      </c>
      <c r="K25" s="247"/>
      <c r="L25" s="321">
        <v>0</v>
      </c>
      <c r="M25" s="321">
        <v>0</v>
      </c>
      <c r="N25" s="321">
        <v>0</v>
      </c>
      <c r="O25" s="321">
        <v>0</v>
      </c>
      <c r="P25" s="279" t="str">
        <f>IF(L25=0,"nm",IF(O25=0,"nm",(O25/L25)^(1/3)-1))</f>
        <v>nm</v>
      </c>
      <c r="S25" s="88"/>
      <c r="T25" s="42"/>
      <c r="U25" s="42"/>
      <c r="V25" s="147" t="s">
        <v>268</v>
      </c>
      <c r="W25" s="288">
        <f>D37/L9</f>
        <v>1.1168192763585467</v>
      </c>
      <c r="X25" s="288">
        <v>1</v>
      </c>
      <c r="Y25" s="42"/>
      <c r="Z25" s="42"/>
      <c r="AA25" s="42"/>
    </row>
    <row r="26" spans="2:27">
      <c r="B26" s="5" t="s">
        <v>581</v>
      </c>
      <c r="C26" s="544">
        <v>222.98780624100465</v>
      </c>
      <c r="D26" s="536">
        <v>282.49355883768203</v>
      </c>
      <c r="E26" s="536">
        <v>292.43612964936483</v>
      </c>
      <c r="F26" s="536">
        <v>294.19577754189368</v>
      </c>
      <c r="G26" s="536">
        <v>308.56273891074449</v>
      </c>
      <c r="H26" s="279">
        <f>IF(D26=0,"nm",IF(G26=0,"nm",(G26/D26)^(1/3)-1))</f>
        <v>2.9860284419041871E-2</v>
      </c>
      <c r="I26" s="249"/>
      <c r="J26" s="249" t="s">
        <v>11</v>
      </c>
      <c r="K26" s="249"/>
      <c r="L26" s="281">
        <f>D11+L25</f>
        <v>4649.0442620239728</v>
      </c>
      <c r="M26" s="281">
        <f>E11+M25</f>
        <v>4660.6668726790331</v>
      </c>
      <c r="N26" s="281">
        <f>F11+N25</f>
        <v>4672.3185398607311</v>
      </c>
      <c r="O26" s="281">
        <f>G11+O25</f>
        <v>4683.9993362103833</v>
      </c>
      <c r="P26" s="279">
        <f>IF(L26=0,"nm",IF(O26=0,"nm",(O26/L26)^(1/3)-1))</f>
        <v>2.5000000000001688E-3</v>
      </c>
      <c r="Q26" s="5"/>
      <c r="S26" s="88"/>
      <c r="T26" s="42"/>
      <c r="U26" s="42"/>
      <c r="V26" s="147" t="s">
        <v>180</v>
      </c>
      <c r="W26" s="288">
        <f t="shared" ref="W26:W33" si="5">D38/L10</f>
        <v>1.0989736823707166</v>
      </c>
      <c r="X26" s="288">
        <v>1</v>
      </c>
      <c r="Y26" s="42"/>
      <c r="Z26" s="42"/>
      <c r="AA26" s="42"/>
    </row>
    <row r="27" spans="2:27">
      <c r="B27" s="5" t="s">
        <v>582</v>
      </c>
      <c r="C27" s="545">
        <v>4692.8325597604071</v>
      </c>
      <c r="D27" s="536">
        <v>5064.5087204165848</v>
      </c>
      <c r="E27" s="536">
        <v>5094.4934879828697</v>
      </c>
      <c r="F27" s="536">
        <v>5161.9091164444171</v>
      </c>
      <c r="G27" s="536">
        <v>5225.7733743611616</v>
      </c>
      <c r="H27" s="279">
        <f>IF(ISERROR((G27/D27)^(1/3)-1),"na",(G27/D27)^(1/3)-1)</f>
        <v>1.0503331129055438E-2</v>
      </c>
      <c r="I27" s="249"/>
      <c r="J27" s="248"/>
      <c r="K27" s="248"/>
      <c r="L27" s="248"/>
      <c r="M27" s="248"/>
      <c r="N27" s="248"/>
      <c r="O27" s="248"/>
      <c r="Q27" s="41"/>
      <c r="S27" s="88"/>
      <c r="T27" s="42"/>
      <c r="U27" s="42"/>
      <c r="V27" s="147" t="s">
        <v>181</v>
      </c>
      <c r="W27" s="288">
        <f t="shared" si="5"/>
        <v>1.0762336730813509</v>
      </c>
      <c r="X27" s="288">
        <v>1</v>
      </c>
      <c r="Y27" s="42"/>
      <c r="Z27" s="42"/>
      <c r="AA27" s="42"/>
    </row>
    <row r="28" spans="2:27" ht="12.6" thickBot="1">
      <c r="B28" s="5" t="s">
        <v>587</v>
      </c>
      <c r="C28" s="544">
        <v>1705.2231808217769</v>
      </c>
      <c r="D28" s="536">
        <v>1830.675551410837</v>
      </c>
      <c r="E28" s="536">
        <v>1909.5616069703742</v>
      </c>
      <c r="F28" s="536">
        <v>2002.4186864793739</v>
      </c>
      <c r="G28" s="536">
        <v>2086.7594971481585</v>
      </c>
      <c r="H28" s="279">
        <f>IF(ISERROR((G28/D28)^(1/3)-1),"na",(G28/D28)^(1/3)-1)</f>
        <v>4.4608781409746667E-2</v>
      </c>
      <c r="I28" s="248"/>
      <c r="J28" s="306" t="s">
        <v>1352</v>
      </c>
      <c r="K28" s="306"/>
      <c r="L28" s="306"/>
      <c r="M28" s="306"/>
      <c r="N28" s="266"/>
      <c r="O28" s="266"/>
      <c r="P28" s="266"/>
      <c r="Q28" s="5"/>
      <c r="S28" s="88"/>
      <c r="T28" s="42"/>
      <c r="U28" s="42"/>
      <c r="V28" s="147" t="s">
        <v>461</v>
      </c>
      <c r="W28" s="288">
        <f t="shared" si="5"/>
        <v>1.116855069095553</v>
      </c>
      <c r="X28" s="288">
        <v>1</v>
      </c>
      <c r="Y28" s="42"/>
      <c r="Z28" s="42"/>
      <c r="AA28" s="42"/>
    </row>
    <row r="29" spans="2:27" ht="12.6" thickTop="1">
      <c r="B29" s="5" t="s">
        <v>583</v>
      </c>
      <c r="C29" s="544">
        <v>127.12598032893777</v>
      </c>
      <c r="D29" s="536">
        <v>216.79646332703987</v>
      </c>
      <c r="E29" s="536">
        <v>242.29109855034557</v>
      </c>
      <c r="F29" s="536">
        <v>223.48108125917742</v>
      </c>
      <c r="G29" s="536">
        <v>242.17319318048158</v>
      </c>
      <c r="H29" s="279">
        <f>IF(D29=0,"nm",IF(G29=0,"nm",(G29/D29)^(1/3)-1))</f>
        <v>3.7587246610938374E-2</v>
      </c>
      <c r="I29" s="252"/>
      <c r="J29" s="249"/>
      <c r="K29" s="249"/>
      <c r="L29" s="249"/>
      <c r="M29" s="249"/>
      <c r="N29" s="249"/>
      <c r="O29" s="251"/>
      <c r="Q29" s="5"/>
      <c r="S29" s="88"/>
      <c r="T29" s="42"/>
      <c r="U29" s="42"/>
      <c r="V29" s="147" t="s">
        <v>525</v>
      </c>
      <c r="W29" s="288">
        <f t="shared" si="5"/>
        <v>0.67123769545528977</v>
      </c>
      <c r="X29" s="288">
        <v>1</v>
      </c>
      <c r="Y29" s="42"/>
      <c r="Z29" s="42"/>
      <c r="AA29" s="42"/>
    </row>
    <row r="30" spans="2:27">
      <c r="B30" s="5" t="s">
        <v>584</v>
      </c>
      <c r="C30" s="545">
        <v>296.20537618828155</v>
      </c>
      <c r="D30" s="536">
        <v>243.33262385258661</v>
      </c>
      <c r="E30" s="536">
        <v>247.17586636034224</v>
      </c>
      <c r="F30" s="536">
        <v>265.7967094768515</v>
      </c>
      <c r="G30" s="536">
        <v>280.93745199245848</v>
      </c>
      <c r="H30" s="279">
        <f>IF(D30=0,"nm",IF(G30=0,"nm",(G30/D30)^(1/3)-1))</f>
        <v>4.9066696052127545E-2</v>
      </c>
      <c r="I30" s="254"/>
      <c r="J30" s="248"/>
      <c r="K30" s="248"/>
      <c r="L30" s="248"/>
      <c r="M30" s="248"/>
      <c r="N30" s="248"/>
      <c r="O30" s="5"/>
      <c r="Q30" s="5"/>
      <c r="S30" s="88"/>
      <c r="T30" s="42"/>
      <c r="U30" s="42"/>
      <c r="V30" s="147" t="s">
        <v>588</v>
      </c>
      <c r="W30" s="288">
        <f t="shared" si="5"/>
        <v>0.7305941016578702</v>
      </c>
      <c r="X30" s="288">
        <v>1</v>
      </c>
      <c r="Y30" s="42"/>
      <c r="Z30" s="42"/>
      <c r="AA30" s="42"/>
    </row>
    <row r="31" spans="2:27">
      <c r="B31" s="5" t="s">
        <v>585</v>
      </c>
      <c r="C31" s="545">
        <v>92.934882473654994</v>
      </c>
      <c r="D31" s="536">
        <v>102.48394164782304</v>
      </c>
      <c r="E31" s="536">
        <v>112.08016527484648</v>
      </c>
      <c r="F31" s="536">
        <v>121.72372949536974</v>
      </c>
      <c r="G31" s="536">
        <v>131.41481103596263</v>
      </c>
      <c r="H31" s="279">
        <f>IF(D31=0,"nm",IF(G31=0,"nm",(G31/D31)^(1/3)-1))</f>
        <v>8.6416029568481711E-2</v>
      </c>
      <c r="I31" s="254"/>
      <c r="J31" s="252"/>
      <c r="K31" s="252"/>
      <c r="L31" s="252"/>
      <c r="M31" s="252"/>
      <c r="N31" s="252"/>
      <c r="O31" s="5"/>
      <c r="Q31" s="5"/>
      <c r="S31" s="88"/>
      <c r="T31" s="42"/>
      <c r="U31" s="42"/>
      <c r="V31" s="147" t="s">
        <v>470</v>
      </c>
      <c r="W31" s="288">
        <f t="shared" si="5"/>
        <v>1.8116801359139691</v>
      </c>
      <c r="X31" s="288">
        <v>1</v>
      </c>
      <c r="Y31" s="42"/>
      <c r="Z31" s="42"/>
      <c r="AA31" s="42"/>
    </row>
    <row r="32" spans="2:27">
      <c r="B32" s="5" t="s">
        <v>601</v>
      </c>
      <c r="C32" s="546">
        <v>12.818199288798951</v>
      </c>
      <c r="D32" s="536">
        <v>13.235752130631681</v>
      </c>
      <c r="E32" s="536">
        <v>13.666906756287062</v>
      </c>
      <c r="F32" s="536">
        <v>14.112106243873086</v>
      </c>
      <c r="G32" s="536">
        <v>14.571808104767342</v>
      </c>
      <c r="H32" s="279">
        <f>IF(D32=0,"nm",IF(G32=0,"nm",(G32/D32)^(1/3)-1))</f>
        <v>3.2575000000002907E-2</v>
      </c>
      <c r="I32" s="254"/>
      <c r="J32" s="254"/>
      <c r="K32" s="254"/>
      <c r="L32" s="254"/>
      <c r="M32" s="254"/>
      <c r="N32" s="254"/>
      <c r="O32" s="251"/>
      <c r="Q32" s="5"/>
      <c r="S32" s="88"/>
      <c r="T32" s="42"/>
      <c r="U32" s="42"/>
      <c r="V32" s="147" t="s">
        <v>528</v>
      </c>
      <c r="W32" s="288">
        <f t="shared" si="5"/>
        <v>0.72446987872887558</v>
      </c>
      <c r="X32" s="288">
        <v>1</v>
      </c>
      <c r="Y32" s="42"/>
      <c r="Z32" s="42"/>
      <c r="AA32" s="42"/>
    </row>
    <row r="33" spans="2:27">
      <c r="B33" s="5" t="s">
        <v>5</v>
      </c>
      <c r="C33" s="545">
        <v>96.742562911081819</v>
      </c>
      <c r="D33" s="536">
        <v>126.41636342491078</v>
      </c>
      <c r="E33" s="536">
        <v>97.921394543855044</v>
      </c>
      <c r="F33" s="536">
        <v>93.127214744774079</v>
      </c>
      <c r="G33" s="536">
        <v>88.795540466336107</v>
      </c>
      <c r="H33" s="279">
        <f>IF(ISERROR((G33/D33)^(1/3)-1),"na",(G33/D33)^(1/3)-1)</f>
        <v>-0.11108011651946204</v>
      </c>
      <c r="I33" s="5"/>
      <c r="J33" s="254"/>
      <c r="K33" s="254"/>
      <c r="L33" s="254"/>
      <c r="M33" s="254"/>
      <c r="N33" s="254"/>
      <c r="O33" s="251"/>
      <c r="Q33" s="5"/>
      <c r="S33" s="88"/>
      <c r="T33" s="42"/>
      <c r="U33" s="42"/>
      <c r="V33" s="147" t="s">
        <v>575</v>
      </c>
      <c r="W33" s="288">
        <f t="shared" si="5"/>
        <v>0.65715851700823857</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0.55197381710845606</v>
      </c>
      <c r="X34" s="288">
        <v>1</v>
      </c>
      <c r="Y34" s="288"/>
      <c r="Z34" s="288"/>
      <c r="AA34" s="42"/>
    </row>
    <row r="35" spans="2:27" ht="12.6" thickBot="1">
      <c r="B35" s="306" t="s">
        <v>644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2.2050981913372785</v>
      </c>
      <c r="E37" s="525">
        <f t="shared" ref="E37:G40" si="7">E$18/E23</f>
        <v>2.0792342992615298</v>
      </c>
      <c r="F37" s="525">
        <f t="shared" si="7"/>
        <v>1.9928102909216243</v>
      </c>
      <c r="G37" s="525">
        <f t="shared" si="7"/>
        <v>1.9185930510180345</v>
      </c>
      <c r="H37" s="17">
        <f t="shared" ref="H37:H45" si="8">H23</f>
        <v>3.2534392300954673E-2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8.6465432265377142</v>
      </c>
      <c r="E38" s="525">
        <f t="shared" si="7"/>
        <v>8.6808766433282809</v>
      </c>
      <c r="F38" s="525">
        <f t="shared" si="7"/>
        <v>8.271715348861056</v>
      </c>
      <c r="G38" s="525">
        <f t="shared" si="7"/>
        <v>7.9041291561823197</v>
      </c>
      <c r="H38" s="17">
        <f t="shared" si="8"/>
        <v>1.5669319800876602E-2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16.266701265438435</v>
      </c>
      <c r="E39" s="525">
        <f t="shared" si="7"/>
        <v>15.455489857119517</v>
      </c>
      <c r="F39" s="525">
        <f t="shared" si="7"/>
        <v>15.17297589019835</v>
      </c>
      <c r="G39" s="525">
        <f t="shared" si="7"/>
        <v>14.263728808704471</v>
      </c>
      <c r="H39" s="17">
        <f t="shared" si="8"/>
        <v>2.9860284419041871E-2</v>
      </c>
      <c r="I39" s="17"/>
      <c r="J39" s="5"/>
      <c r="K39" s="5"/>
      <c r="L39" s="5"/>
      <c r="M39" s="5"/>
      <c r="N39" s="5"/>
      <c r="O39" s="5"/>
      <c r="Q39" s="5"/>
      <c r="R39" s="5"/>
      <c r="S39" s="42"/>
      <c r="T39" s="42"/>
      <c r="U39" s="42"/>
      <c r="V39" s="42"/>
      <c r="W39" s="42"/>
      <c r="X39" s="42"/>
      <c r="Y39" s="42"/>
      <c r="Z39" s="42"/>
      <c r="AA39" s="42"/>
    </row>
    <row r="40" spans="2:27">
      <c r="B40" s="5" t="s">
        <v>461</v>
      </c>
      <c r="C40" s="247"/>
      <c r="D40" s="525">
        <f>D$18/D26</f>
        <v>23.238144664912049</v>
      </c>
      <c r="E40" s="525">
        <f t="shared" si="7"/>
        <v>22.079271224456456</v>
      </c>
      <c r="F40" s="525">
        <f t="shared" si="7"/>
        <v>21.6756798431405</v>
      </c>
      <c r="G40" s="525">
        <f t="shared" si="7"/>
        <v>20.376755441006392</v>
      </c>
      <c r="H40" s="17">
        <f t="shared" si="8"/>
        <v>2.9860284419041871E-2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1.2962019713209065</v>
      </c>
      <c r="E41" s="525">
        <f t="shared" ref="E41:G41" si="9">E18/E27</f>
        <v>1.2674030573577502</v>
      </c>
      <c r="F41" s="525">
        <f t="shared" si="9"/>
        <v>1.2353750020291618</v>
      </c>
      <c r="G41" s="525">
        <f t="shared" si="9"/>
        <v>1.2031726250968509</v>
      </c>
      <c r="H41" s="17">
        <f t="shared" si="8"/>
        <v>1.0503331129055438E-2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3.5859036748028745</v>
      </c>
      <c r="E42" s="525">
        <f t="shared" ref="E42:G42" si="10">E18/E28</f>
        <v>3.3812874110946716</v>
      </c>
      <c r="F42" s="525">
        <f t="shared" si="10"/>
        <v>3.1845954735938071</v>
      </c>
      <c r="G42" s="525">
        <f t="shared" si="10"/>
        <v>3.0130484502809662</v>
      </c>
      <c r="H42" s="17">
        <f t="shared" si="8"/>
        <v>4.4608781409746667E-2</v>
      </c>
      <c r="I42" s="248"/>
      <c r="J42" s="5"/>
      <c r="K42" s="5"/>
      <c r="L42" s="5"/>
      <c r="M42" s="5"/>
      <c r="N42" s="5"/>
      <c r="O42" s="5"/>
      <c r="Q42" s="5"/>
      <c r="R42" s="5"/>
      <c r="S42" s="42"/>
      <c r="T42" s="42"/>
      <c r="U42" s="42"/>
      <c r="V42" s="42"/>
      <c r="W42" s="288"/>
      <c r="X42" s="288"/>
      <c r="Y42" s="288"/>
      <c r="Z42" s="288"/>
      <c r="AA42" s="42"/>
    </row>
    <row r="43" spans="2:27">
      <c r="B43" s="5" t="s">
        <v>470</v>
      </c>
      <c r="C43" s="247"/>
      <c r="D43" s="525">
        <f>L26/D29</f>
        <v>21.44428091989138</v>
      </c>
      <c r="E43" s="525">
        <f>M26/E29</f>
        <v>19.235815515156432</v>
      </c>
      <c r="F43" s="525">
        <f>N26/F29</f>
        <v>20.906998093686997</v>
      </c>
      <c r="G43" s="525">
        <f>O26/G29</f>
        <v>19.341526924161229</v>
      </c>
      <c r="H43" s="17">
        <f t="shared" si="8"/>
        <v>3.7587246610938374E-2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19.105717056831686</v>
      </c>
      <c r="E44" s="525">
        <f>E11/E30</f>
        <v>18.855671232419343</v>
      </c>
      <c r="F44" s="525">
        <f>F11/F30</f>
        <v>17.578541694729473</v>
      </c>
      <c r="G44" s="525">
        <f>G11/G30</f>
        <v>16.672747983548028</v>
      </c>
      <c r="H44" s="17">
        <f t="shared" si="8"/>
        <v>4.9066696052127545E-2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2.2044088176352703E-2</v>
      </c>
      <c r="E45" s="248">
        <f>E31/E11</f>
        <v>2.4048096192384769E-2</v>
      </c>
      <c r="F45" s="248">
        <f>F31/F11</f>
        <v>2.6052104208416832E-2</v>
      </c>
      <c r="G45" s="248">
        <f>G31/G11</f>
        <v>2.8056112224448891E-2</v>
      </c>
      <c r="H45" s="17">
        <f t="shared" si="8"/>
        <v>8.6416029568481711E-2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2.4891071638899791E-2</v>
      </c>
      <c r="E46" s="248">
        <f>(E31+E32)/E11</f>
        <v>2.6980489158808279E-2</v>
      </c>
      <c r="F46" s="248">
        <f>(F31+F32)/F11</f>
        <v>2.9072468963833045E-2</v>
      </c>
      <c r="G46" s="248">
        <f>(G31+G32)/G11</f>
        <v>3.1167087922527609E-2</v>
      </c>
      <c r="H46" s="279">
        <f>((G31+G32)/(D31+D32))^(1/3)-1</f>
        <v>8.0526091874885797E-2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4.6632479948181225E-2</v>
      </c>
      <c r="E47" s="248">
        <f>1/E43</f>
        <v>5.1986358426658455E-2</v>
      </c>
      <c r="F47" s="248">
        <f>1/F43</f>
        <v>4.7830874404774369E-2</v>
      </c>
      <c r="G47" s="248">
        <f>1/G43</f>
        <v>5.1702226195534266E-2</v>
      </c>
      <c r="H47" s="17">
        <f>H29</f>
        <v>3.7587246610938374E-2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0.47271961947656349</v>
      </c>
      <c r="E48" s="305">
        <f>E31/E29</f>
        <v>0.46258474184744919</v>
      </c>
      <c r="F48" s="305">
        <f>F31/F29</f>
        <v>0.54467129302190564</v>
      </c>
      <c r="G48" s="305">
        <f>G31/G29</f>
        <v>0.54264804997646732</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20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201</v>
      </c>
      <c r="C9" s="267">
        <f>Prices!$C$93</f>
        <v>10.7</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'EMEA INCUMB'!H37</f>
        <v>1.947512825024833E-2</v>
      </c>
      <c r="R9" s="5"/>
      <c r="S9" s="42"/>
      <c r="T9" s="42"/>
      <c r="U9" s="42"/>
      <c r="V9" s="42"/>
      <c r="W9" s="42"/>
      <c r="X9" s="42"/>
      <c r="Y9" s="42"/>
      <c r="Z9" s="42"/>
      <c r="AA9" s="42"/>
    </row>
    <row r="10" spans="2:44">
      <c r="B10" s="5" t="s">
        <v>269</v>
      </c>
      <c r="C10" s="5"/>
      <c r="D10" s="527">
        <v>34552.100801000001</v>
      </c>
      <c r="E10" s="527">
        <v>34552.100801000001</v>
      </c>
      <c r="F10" s="527">
        <v>34552.100801000001</v>
      </c>
      <c r="G10" s="527">
        <v>34552.100801000001</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'EMEA INCUMB'!H38</f>
        <v>6.71694721895566E-3</v>
      </c>
      <c r="R10" s="5"/>
      <c r="S10" s="42"/>
      <c r="T10" s="42"/>
      <c r="U10" s="42"/>
      <c r="V10" s="42"/>
      <c r="W10" s="288"/>
      <c r="X10" s="288"/>
      <c r="Y10" s="288"/>
      <c r="Z10" s="288"/>
      <c r="AA10" s="42"/>
    </row>
    <row r="11" spans="2:44">
      <c r="B11" s="41" t="s">
        <v>309</v>
      </c>
      <c r="C11" s="5"/>
      <c r="D11" s="528">
        <f>($C$9*D10)</f>
        <v>369707.47857069998</v>
      </c>
      <c r="E11" s="528">
        <f>($C$9*E10)</f>
        <v>369707.47857069998</v>
      </c>
      <c r="F11" s="528">
        <f>($C$9*F10)</f>
        <v>369707.47857069998</v>
      </c>
      <c r="G11" s="528">
        <f>($C$9*G10)</f>
        <v>369707.47857069998</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'EMEA INCUMB'!H39</f>
        <v>6.2049124089686991E-3</v>
      </c>
      <c r="R11" s="5"/>
      <c r="S11" s="42"/>
      <c r="T11" s="42"/>
      <c r="U11" s="42"/>
      <c r="V11" s="42"/>
      <c r="W11" s="288"/>
      <c r="X11" s="288"/>
      <c r="Y11" s="288"/>
      <c r="Z11" s="288"/>
      <c r="AA11" s="42"/>
    </row>
    <row r="12" spans="2:44">
      <c r="B12" s="5" t="s">
        <v>38</v>
      </c>
      <c r="C12" s="249"/>
      <c r="D12" s="529">
        <v>494613</v>
      </c>
      <c r="E12" s="529">
        <v>458121.94412825658</v>
      </c>
      <c r="F12" s="529">
        <v>424782.68453937117</v>
      </c>
      <c r="G12" s="529">
        <v>387642.21457509836</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'EMEA INCUMB'!H40</f>
        <v>6.2049124089684771E-3</v>
      </c>
      <c r="R12" s="5"/>
      <c r="S12" s="42"/>
      <c r="T12" s="42"/>
      <c r="U12" s="42"/>
      <c r="V12" s="42"/>
      <c r="W12" s="288"/>
      <c r="X12" s="288"/>
      <c r="Y12" s="288"/>
      <c r="Z12" s="288"/>
      <c r="AA12" s="42"/>
    </row>
    <row r="13" spans="2:44">
      <c r="B13" s="5" t="s">
        <v>39</v>
      </c>
      <c r="C13" s="257"/>
      <c r="D13" s="614">
        <v>0</v>
      </c>
      <c r="E13" s="614">
        <v>0</v>
      </c>
      <c r="F13" s="614">
        <v>0</v>
      </c>
      <c r="G13" s="614">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'EMEA INCUMB'!H41</f>
        <v>-4.0694686979286798E-3</v>
      </c>
      <c r="R13" s="5"/>
      <c r="S13" s="42"/>
      <c r="T13" s="42"/>
      <c r="U13" s="42"/>
      <c r="V13" s="42"/>
      <c r="W13" s="42"/>
      <c r="X13" s="42"/>
      <c r="Y13" s="42"/>
      <c r="Z13" s="42"/>
      <c r="AA13" s="42"/>
    </row>
    <row r="14" spans="2:44">
      <c r="B14" s="5" t="s">
        <v>527</v>
      </c>
      <c r="C14" s="257"/>
      <c r="D14" s="614">
        <v>0</v>
      </c>
      <c r="E14" s="614">
        <f t="shared" ref="E14:G15" si="2">D14</f>
        <v>0</v>
      </c>
      <c r="F14" s="614">
        <f t="shared" si="2"/>
        <v>0</v>
      </c>
      <c r="G14" s="614">
        <f t="shared" si="2"/>
        <v>0</v>
      </c>
      <c r="H14" s="247"/>
      <c r="I14" s="247"/>
      <c r="J14" s="5" t="s">
        <v>588</v>
      </c>
      <c r="L14" s="525">
        <f>'AGG ASIA CELLULAR'!D42</f>
        <v>3.0425565782059985</v>
      </c>
      <c r="M14" s="525">
        <f>'AGG ASIA CELLULAR'!E42</f>
        <v>2.9683504205623694</v>
      </c>
      <c r="N14" s="525">
        <f>'AGG ASIA CELLULAR'!F42</f>
        <v>2.7517080061423012</v>
      </c>
      <c r="O14" s="525">
        <f>'AGG ASIA CELLULAR'!G42</f>
        <v>2.5304965947271518</v>
      </c>
      <c r="P14" s="286">
        <f>'EMEA INCUMB'!H42</f>
        <v>1.4111258607638399E-2</v>
      </c>
      <c r="R14" s="5"/>
      <c r="S14" s="42"/>
      <c r="T14" s="42"/>
      <c r="U14" s="42"/>
      <c r="V14" s="42"/>
      <c r="W14" s="42"/>
      <c r="X14" s="42"/>
      <c r="Y14" s="42"/>
      <c r="Z14" s="42"/>
      <c r="AA14" s="42"/>
    </row>
    <row r="15" spans="2:44">
      <c r="B15" s="5" t="s">
        <v>526</v>
      </c>
      <c r="C15" s="274"/>
      <c r="D15" s="614">
        <v>0</v>
      </c>
      <c r="E15" s="614">
        <f t="shared" si="2"/>
        <v>0</v>
      </c>
      <c r="F15" s="614">
        <f t="shared" si="2"/>
        <v>0</v>
      </c>
      <c r="G15" s="614">
        <f t="shared" si="2"/>
        <v>0</v>
      </c>
      <c r="H15" s="247"/>
      <c r="I15" s="247"/>
      <c r="J15" s="5" t="s">
        <v>470</v>
      </c>
      <c r="L15" s="525">
        <f>'AGG ASIA CELLULAR'!D43</f>
        <v>19.686221366850614</v>
      </c>
      <c r="M15" s="525">
        <f>'AGG ASIA CELLULAR'!E43</f>
        <v>16.014066999630888</v>
      </c>
      <c r="N15" s="525">
        <f>'AGG ASIA CELLULAR'!F43</f>
        <v>13.483560833528093</v>
      </c>
      <c r="O15" s="525">
        <f>'AGG ASIA CELLULAR'!G43</f>
        <v>11.678988724588283</v>
      </c>
      <c r="P15" s="286">
        <f>'EMEA INCUMB'!H43</f>
        <v>6.0036813160782021E-3</v>
      </c>
      <c r="R15" s="5"/>
      <c r="S15" s="42"/>
      <c r="T15" s="42"/>
      <c r="U15" s="42"/>
      <c r="V15" s="42"/>
      <c r="W15" s="42"/>
      <c r="X15" s="42"/>
      <c r="Y15" s="42"/>
      <c r="Z15" s="42"/>
      <c r="AA15" s="42"/>
    </row>
    <row r="16" spans="2:44">
      <c r="B16" s="5" t="s">
        <v>529</v>
      </c>
      <c r="C16" s="257"/>
      <c r="D16" s="614">
        <v>0</v>
      </c>
      <c r="E16" s="614">
        <v>0</v>
      </c>
      <c r="F16" s="614">
        <v>4962.3864852483039</v>
      </c>
      <c r="G16" s="614">
        <v>21674.387304351832</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'EMEA INCUMB'!H44</f>
        <v>-3.031445748740591E-3</v>
      </c>
      <c r="R16" s="5"/>
      <c r="S16" s="42"/>
      <c r="T16" s="42"/>
      <c r="U16" s="42"/>
      <c r="V16" s="42"/>
      <c r="W16" s="42"/>
      <c r="X16" s="42"/>
      <c r="Y16" s="42"/>
      <c r="Z16" s="42"/>
      <c r="AA16" s="42"/>
    </row>
    <row r="17" spans="2:27">
      <c r="B17" s="5" t="s">
        <v>6</v>
      </c>
      <c r="C17" s="257"/>
      <c r="D17" s="614">
        <v>0</v>
      </c>
      <c r="E17" s="614">
        <v>0</v>
      </c>
      <c r="F17" s="614">
        <v>0</v>
      </c>
      <c r="G17" s="614">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'EMEA INCUMB'!H45</f>
        <v>1.4582676697889596E-3</v>
      </c>
      <c r="R17" s="5"/>
      <c r="S17" s="42"/>
      <c r="T17" s="42"/>
      <c r="U17" s="42"/>
      <c r="V17" s="42"/>
      <c r="W17" s="42"/>
      <c r="X17" s="42"/>
      <c r="Y17" s="42"/>
      <c r="Z17" s="42"/>
      <c r="AA17" s="42"/>
    </row>
    <row r="18" spans="2:27" ht="12.6" thickBot="1">
      <c r="B18" s="41" t="s">
        <v>578</v>
      </c>
      <c r="C18" s="249"/>
      <c r="D18" s="530">
        <f>D11+D12+D13-D14+D15-D16-D17</f>
        <v>864320.47857069992</v>
      </c>
      <c r="E18" s="530">
        <f>E11+E12+E13-E14+E15-E16-E17</f>
        <v>827829.42269895657</v>
      </c>
      <c r="F18" s="530">
        <f>F11+F12+F13-F14+F15-F16-F17</f>
        <v>789527.77662482276</v>
      </c>
      <c r="G18" s="530">
        <f>G11+G12+G13-G14+G15-G16-G17</f>
        <v>735675.3058414465</v>
      </c>
      <c r="H18" s="276">
        <f>IF(D18=0,"nm",IF(G18=0,"nm",(G18/D18)^(1/3)-1))</f>
        <v>-5.2300921143391021E-2</v>
      </c>
      <c r="I18" s="254"/>
      <c r="J18" s="5" t="s">
        <v>36</v>
      </c>
      <c r="L18" s="248" t="e">
        <f>'AGG ASIA CELLULAR'!D46</f>
        <v>#VALUE!</v>
      </c>
      <c r="M18" s="248" t="e">
        <f>'AGG ASIA CELLULAR'!E46</f>
        <v>#VALUE!</v>
      </c>
      <c r="N18" s="248" t="e">
        <f>'AGG ASIA CELLULAR'!F46</f>
        <v>#VALUE!</v>
      </c>
      <c r="O18" s="248" t="e">
        <f>'AGG ASIA CELLULAR'!G46</f>
        <v>#VALUE!</v>
      </c>
      <c r="P18" s="286">
        <f>'EMEA INCUMB'!H46</f>
        <v>1.4582676697889596E-3</v>
      </c>
      <c r="R18" s="5"/>
      <c r="S18" s="42"/>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'EMEA INCUMB'!H47</f>
        <v>6.0036813160782021E-3</v>
      </c>
      <c r="R19" s="5"/>
      <c r="S19" s="42"/>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f>'EMEA INCUMB'!H48</f>
        <v>-3.031445748740591E-3</v>
      </c>
      <c r="R20" s="5"/>
      <c r="S20" s="42"/>
      <c r="T20" s="42"/>
      <c r="U20" s="42"/>
      <c r="V20" s="42"/>
      <c r="W20" s="42"/>
      <c r="X20" s="42"/>
      <c r="Y20" s="42"/>
      <c r="Z20" s="42"/>
      <c r="AA20" s="42"/>
    </row>
    <row r="21" spans="2:27" ht="12.6" thickBot="1">
      <c r="B21" s="306" t="s">
        <v>915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R21" s="5"/>
      <c r="S21" s="42"/>
      <c r="T21" s="42"/>
      <c r="U21" s="42"/>
      <c r="V21" s="42"/>
      <c r="W21" s="42"/>
      <c r="X21" s="42"/>
      <c r="Y21" s="42"/>
      <c r="Z21" s="42"/>
      <c r="AA21" s="42"/>
    </row>
    <row r="22" spans="2:27" ht="12.6" thickTop="1">
      <c r="B22" s="5"/>
      <c r="C22" s="257"/>
      <c r="D22" s="17"/>
      <c r="E22" s="17"/>
      <c r="F22" s="17"/>
      <c r="G22" s="17"/>
      <c r="H22" s="17"/>
      <c r="I22" s="17"/>
      <c r="P22" s="277"/>
      <c r="R22" s="5"/>
      <c r="S22" s="42"/>
      <c r="T22" s="42"/>
      <c r="U22" s="42"/>
      <c r="V22" s="42"/>
      <c r="W22" s="42"/>
      <c r="X22" s="42"/>
      <c r="Y22" s="42"/>
      <c r="Z22" s="42"/>
      <c r="AA22" s="42"/>
    </row>
    <row r="23" spans="2:27" ht="12.6" thickBot="1">
      <c r="B23" s="5" t="s">
        <v>579</v>
      </c>
      <c r="C23" s="544">
        <v>135076</v>
      </c>
      <c r="D23" s="536">
        <v>202856</v>
      </c>
      <c r="E23" s="536">
        <v>209959.279756565</v>
      </c>
      <c r="F23" s="536">
        <v>217203.07480990616</v>
      </c>
      <c r="G23" s="536">
        <v>224749.82891320949</v>
      </c>
      <c r="H23" s="279">
        <f t="shared" ref="H23:H32" si="4">IF(D23=0,"nm",IF(G23=0,"nm",(G23/D23)^(1/3)-1))</f>
        <v>3.4754135372314421E-2</v>
      </c>
      <c r="I23" s="247"/>
      <c r="J23" s="306" t="s">
        <v>9</v>
      </c>
      <c r="K23" s="306"/>
      <c r="L23" s="265" t="str">
        <f>D21</f>
        <v>2023E</v>
      </c>
      <c r="M23" s="265" t="str">
        <f t="shared" ref="M23:P23" si="5">E21</f>
        <v>2024E</v>
      </c>
      <c r="N23" s="265" t="str">
        <f t="shared" si="5"/>
        <v>2025E</v>
      </c>
      <c r="O23" s="265" t="str">
        <f t="shared" si="5"/>
        <v>2026E</v>
      </c>
      <c r="P23" s="265" t="str">
        <f t="shared" si="5"/>
        <v>23E-26E</v>
      </c>
      <c r="R23" s="5"/>
      <c r="S23" s="42"/>
      <c r="T23" s="42"/>
      <c r="U23" s="42"/>
      <c r="V23" s="42"/>
      <c r="W23" s="42"/>
      <c r="X23" s="42"/>
      <c r="Y23" s="42"/>
      <c r="Z23" s="42"/>
      <c r="AA23" s="42"/>
    </row>
    <row r="24" spans="2:27" ht="12.6" thickTop="1">
      <c r="B24" s="5" t="s">
        <v>478</v>
      </c>
      <c r="C24" s="545">
        <v>52804</v>
      </c>
      <c r="D24" s="536">
        <v>85735</v>
      </c>
      <c r="E24" s="536">
        <v>96609.99395080065</v>
      </c>
      <c r="F24" s="536">
        <v>106484.31504469833</v>
      </c>
      <c r="G24" s="536">
        <v>116212.8460575302</v>
      </c>
      <c r="H24" s="279">
        <f t="shared" si="4"/>
        <v>0.10670531330914002</v>
      </c>
      <c r="I24" s="249"/>
      <c r="J24" s="17"/>
      <c r="K24" s="17"/>
      <c r="L24" s="17"/>
      <c r="M24" s="17"/>
      <c r="N24" s="17"/>
      <c r="O24" s="248"/>
      <c r="R24" s="5"/>
      <c r="S24" s="42"/>
      <c r="T24" s="42"/>
      <c r="U24" s="42"/>
      <c r="V24" s="42"/>
      <c r="W24" s="42" t="b">
        <v>1</v>
      </c>
      <c r="X24" s="42" t="s">
        <v>252</v>
      </c>
      <c r="Y24" s="42"/>
      <c r="Z24" s="42"/>
      <c r="AA24" s="42"/>
    </row>
    <row r="25" spans="2:27">
      <c r="B25" s="5" t="s">
        <v>179</v>
      </c>
      <c r="C25" s="544">
        <v>13611</v>
      </c>
      <c r="D25" s="536">
        <v>48623</v>
      </c>
      <c r="E25" s="536">
        <v>67215.694784881547</v>
      </c>
      <c r="F25" s="536">
        <v>78247.915319410531</v>
      </c>
      <c r="G25" s="536">
        <v>86995.368298812973</v>
      </c>
      <c r="H25" s="279">
        <f t="shared" si="4"/>
        <v>0.21399843450490885</v>
      </c>
      <c r="I25" s="248"/>
      <c r="J25" s="247" t="s">
        <v>10</v>
      </c>
      <c r="K25" s="247"/>
      <c r="L25" s="321">
        <v>0</v>
      </c>
      <c r="M25" s="321">
        <v>0</v>
      </c>
      <c r="N25" s="321">
        <v>0</v>
      </c>
      <c r="O25" s="321">
        <v>0</v>
      </c>
      <c r="P25" s="279" t="str">
        <f>IF(L25=0,"nm",IF(O25=0,"nm",(O25/L25)^(1/3)-1))</f>
        <v>nm</v>
      </c>
      <c r="R25" s="5"/>
      <c r="S25" s="42"/>
      <c r="T25" s="42"/>
      <c r="U25" s="42"/>
      <c r="V25" s="147" t="s">
        <v>268</v>
      </c>
      <c r="W25" s="288">
        <f>D37/L9</f>
        <v>1.979149402661915</v>
      </c>
      <c r="X25" s="288">
        <v>1</v>
      </c>
      <c r="Y25" s="42"/>
      <c r="Z25" s="42"/>
      <c r="AA25" s="42"/>
    </row>
    <row r="26" spans="2:27">
      <c r="B26" s="5" t="s">
        <v>581</v>
      </c>
      <c r="C26" s="544">
        <v>13929.031923878159</v>
      </c>
      <c r="D26" s="536">
        <v>54969.985073555799</v>
      </c>
      <c r="E26" s="536">
        <v>57133.340567149316</v>
      </c>
      <c r="F26" s="536">
        <v>62598.332255528425</v>
      </c>
      <c r="G26" s="536">
        <v>69596.294639050378</v>
      </c>
      <c r="H26" s="279">
        <f t="shared" si="4"/>
        <v>8.1816247416002685E-2</v>
      </c>
      <c r="I26" s="249"/>
      <c r="J26" s="249" t="s">
        <v>11</v>
      </c>
      <c r="K26" s="249"/>
      <c r="L26" s="281">
        <f>D11+L25</f>
        <v>369707.47857069998</v>
      </c>
      <c r="M26" s="281">
        <f>E11+M25</f>
        <v>369707.47857069998</v>
      </c>
      <c r="N26" s="281">
        <f>F11+N25</f>
        <v>369707.47857069998</v>
      </c>
      <c r="O26" s="281">
        <f>G11+O25</f>
        <v>369707.47857069998</v>
      </c>
      <c r="P26" s="279">
        <f>IF(L26=0,"nm",IF(O26=0,"nm",(O26/L26)^(1/3)-1))</f>
        <v>0</v>
      </c>
      <c r="Q26" s="5"/>
      <c r="R26" s="5"/>
      <c r="S26" s="42"/>
      <c r="T26" s="42"/>
      <c r="U26" s="42"/>
      <c r="V26" s="147" t="s">
        <v>180</v>
      </c>
      <c r="W26" s="288">
        <f t="shared" ref="W26:W33" si="6">D38/L10</f>
        <v>1.5281269200164822</v>
      </c>
      <c r="X26" s="288">
        <v>1</v>
      </c>
      <c r="Y26" s="42"/>
      <c r="Z26" s="42"/>
      <c r="AA26" s="42"/>
    </row>
    <row r="27" spans="2:27">
      <c r="B27" s="5" t="s">
        <v>582</v>
      </c>
      <c r="C27" s="545">
        <v>326533.07900000003</v>
      </c>
      <c r="D27" s="536">
        <v>530444</v>
      </c>
      <c r="E27" s="536">
        <v>496636.63954799459</v>
      </c>
      <c r="F27" s="536">
        <v>478417.36815908656</v>
      </c>
      <c r="G27" s="536">
        <v>458380.95172644709</v>
      </c>
      <c r="H27" s="279">
        <f t="shared" si="4"/>
        <v>-4.7505799130891591E-2</v>
      </c>
      <c r="I27" s="249"/>
      <c r="J27" s="248"/>
      <c r="K27" s="248"/>
      <c r="L27" s="248"/>
      <c r="M27" s="248"/>
      <c r="N27" s="248"/>
      <c r="O27" s="248"/>
      <c r="Q27" s="41"/>
      <c r="R27" s="5"/>
      <c r="S27" s="42"/>
      <c r="T27" s="42"/>
      <c r="U27" s="42"/>
      <c r="V27" s="147" t="s">
        <v>181</v>
      </c>
      <c r="W27" s="288">
        <f t="shared" si="6"/>
        <v>1.3980888327961252</v>
      </c>
      <c r="X27" s="288">
        <v>1</v>
      </c>
      <c r="Y27" s="42"/>
      <c r="Z27" s="42"/>
      <c r="AA27" s="42"/>
    </row>
    <row r="28" spans="2:27" ht="12.6" thickBot="1">
      <c r="B28" s="5" t="s">
        <v>587</v>
      </c>
      <c r="C28" s="544">
        <v>253016</v>
      </c>
      <c r="D28" s="536">
        <v>222628</v>
      </c>
      <c r="E28" s="536">
        <v>193025.87916591909</v>
      </c>
      <c r="F28" s="536">
        <v>171075.55030806793</v>
      </c>
      <c r="G28" s="536">
        <v>155813.38498668751</v>
      </c>
      <c r="H28" s="279">
        <f t="shared" si="4"/>
        <v>-0.11214578817069887</v>
      </c>
      <c r="I28" s="248"/>
      <c r="J28" s="306" t="s">
        <v>1352</v>
      </c>
      <c r="K28" s="306"/>
      <c r="L28" s="306"/>
      <c r="M28" s="306"/>
      <c r="N28" s="266"/>
      <c r="O28" s="266"/>
      <c r="P28" s="266"/>
      <c r="Q28" s="5"/>
      <c r="R28" s="5"/>
      <c r="S28" s="42"/>
      <c r="T28" s="42"/>
      <c r="U28" s="42"/>
      <c r="V28" s="147" t="s">
        <v>461</v>
      </c>
      <c r="W28" s="288">
        <f t="shared" si="6"/>
        <v>0.94980546752166706</v>
      </c>
      <c r="X28" s="288">
        <v>1</v>
      </c>
      <c r="Y28" s="42"/>
      <c r="Z28" s="42"/>
      <c r="AA28" s="42"/>
    </row>
    <row r="29" spans="2:27" ht="12.6" thickTop="1">
      <c r="B29" s="5" t="s">
        <v>583</v>
      </c>
      <c r="C29" s="544">
        <v>-9713.8407362784455</v>
      </c>
      <c r="D29" s="536">
        <v>33208.444444444438</v>
      </c>
      <c r="E29" s="536">
        <v>49426.830862290633</v>
      </c>
      <c r="F29" s="536">
        <v>58544.319243288832</v>
      </c>
      <c r="G29" s="536">
        <v>65730.611404031923</v>
      </c>
      <c r="H29" s="279">
        <f t="shared" si="4"/>
        <v>0.2555664808277105</v>
      </c>
      <c r="I29" s="252"/>
      <c r="J29" s="249"/>
      <c r="K29" s="249"/>
      <c r="L29" s="249"/>
      <c r="M29" s="249"/>
      <c r="N29" s="249"/>
      <c r="O29" s="251"/>
      <c r="Q29" s="5"/>
      <c r="R29" s="5"/>
      <c r="S29" s="42"/>
      <c r="T29" s="42"/>
      <c r="U29" s="42"/>
      <c r="V29" s="147" t="s">
        <v>525</v>
      </c>
      <c r="W29" s="288">
        <f t="shared" si="6"/>
        <v>1.098831724462551</v>
      </c>
      <c r="X29" s="288">
        <v>1</v>
      </c>
      <c r="Y29" s="42"/>
      <c r="Z29" s="42"/>
      <c r="AA29" s="42"/>
    </row>
    <row r="30" spans="2:27">
      <c r="B30" s="5" t="s">
        <v>584</v>
      </c>
      <c r="C30" s="545">
        <v>-18285</v>
      </c>
      <c r="D30" s="536">
        <v>-15689</v>
      </c>
      <c r="E30" s="536">
        <v>3380.2655837652869</v>
      </c>
      <c r="F30" s="536">
        <v>19849.545940993215</v>
      </c>
      <c r="G30" s="536">
        <v>33424.001638207053</v>
      </c>
      <c r="H30" s="279">
        <f t="shared" si="4"/>
        <v>-2.286730889898839</v>
      </c>
      <c r="I30" s="254"/>
      <c r="J30" s="248"/>
      <c r="K30" s="248"/>
      <c r="L30" s="248"/>
      <c r="M30" s="248"/>
      <c r="N30" s="248"/>
      <c r="O30" s="5"/>
      <c r="Q30" s="5"/>
      <c r="R30" s="5"/>
      <c r="S30" s="42"/>
      <c r="T30" s="42"/>
      <c r="U30" s="42"/>
      <c r="V30" s="147" t="s">
        <v>588</v>
      </c>
      <c r="W30" s="288">
        <f t="shared" si="6"/>
        <v>1.276016690976792</v>
      </c>
      <c r="X30" s="288">
        <v>1</v>
      </c>
      <c r="Y30" s="42"/>
      <c r="Z30" s="42"/>
      <c r="AA30" s="42"/>
    </row>
    <row r="31" spans="2:27">
      <c r="B31" s="5" t="s">
        <v>585</v>
      </c>
      <c r="C31" s="545">
        <v>2335.7736710700001</v>
      </c>
      <c r="D31" s="536">
        <v>0</v>
      </c>
      <c r="E31" s="536">
        <v>845.06639594132173</v>
      </c>
      <c r="F31" s="536">
        <v>4962.3864852483039</v>
      </c>
      <c r="G31" s="536">
        <v>16712.000819103527</v>
      </c>
      <c r="H31" s="279" t="str">
        <f t="shared" si="4"/>
        <v>nm</v>
      </c>
      <c r="I31" s="254"/>
      <c r="J31" s="252"/>
      <c r="K31" s="252"/>
      <c r="L31" s="252"/>
      <c r="M31" s="252"/>
      <c r="N31" s="252"/>
      <c r="O31" s="5"/>
      <c r="Q31" s="5"/>
      <c r="R31" s="5"/>
      <c r="S31" s="42"/>
      <c r="T31" s="42"/>
      <c r="U31" s="42"/>
      <c r="V31" s="147" t="s">
        <v>470</v>
      </c>
      <c r="W31" s="288">
        <f t="shared" si="6"/>
        <v>0.56551917958051323</v>
      </c>
      <c r="X31" s="288">
        <v>1</v>
      </c>
      <c r="Y31" s="42"/>
      <c r="Z31" s="42"/>
      <c r="AA31" s="42"/>
    </row>
    <row r="32" spans="2:27">
      <c r="B32" s="5" t="s">
        <v>601</v>
      </c>
      <c r="C32" s="546" t="e">
        <v>#VALUE!</v>
      </c>
      <c r="D32" s="536" t="e">
        <v>#VALUE!</v>
      </c>
      <c r="E32" s="536" t="e">
        <v>#VALUE!</v>
      </c>
      <c r="F32" s="536" t="e">
        <v>#VALUE!</v>
      </c>
      <c r="G32" s="536" t="e">
        <v>#VALUE!</v>
      </c>
      <c r="H32" s="279" t="e">
        <f t="shared" si="4"/>
        <v>#VALUE!</v>
      </c>
      <c r="I32" s="254"/>
      <c r="J32" s="254"/>
      <c r="K32" s="254"/>
      <c r="L32" s="254"/>
      <c r="M32" s="254"/>
      <c r="N32" s="254"/>
      <c r="O32" s="251"/>
      <c r="Q32" s="5"/>
      <c r="R32" s="5"/>
      <c r="S32" s="42"/>
      <c r="T32" s="42"/>
      <c r="U32" s="42"/>
      <c r="V32" s="147" t="s">
        <v>528</v>
      </c>
      <c r="W32" s="288">
        <f t="shared" si="6"/>
        <v>-1.1012893106323132</v>
      </c>
      <c r="X32" s="288">
        <v>1</v>
      </c>
      <c r="Y32" s="42"/>
      <c r="Z32" s="42"/>
      <c r="AA32" s="42"/>
    </row>
    <row r="33" spans="2:27">
      <c r="B33" s="5" t="s">
        <v>5</v>
      </c>
      <c r="C33" s="545">
        <v>16477</v>
      </c>
      <c r="D33" s="536">
        <v>23300</v>
      </c>
      <c r="E33" s="536">
        <v>25938.51391191165</v>
      </c>
      <c r="F33" s="536">
        <v>24298.691625728072</v>
      </c>
      <c r="G33" s="536">
        <v>22705.953169527824</v>
      </c>
      <c r="H33" s="279">
        <f>IF(D33=0,"nm",IF(G33=0,"nm",(G33/D33)^(1/3)-1))</f>
        <v>-8.5717896803458871E-3</v>
      </c>
      <c r="I33" s="5"/>
      <c r="J33" s="254"/>
      <c r="K33" s="254"/>
      <c r="L33" s="254"/>
      <c r="M33" s="254"/>
      <c r="N33" s="254"/>
      <c r="O33" s="251"/>
      <c r="Q33" s="5"/>
      <c r="R33" s="5"/>
      <c r="S33" s="42"/>
      <c r="T33" s="42"/>
      <c r="U33" s="42"/>
      <c r="V33" s="147" t="s">
        <v>575</v>
      </c>
      <c r="W33" s="288">
        <f t="shared" si="6"/>
        <v>0</v>
      </c>
      <c r="X33" s="288">
        <v>1</v>
      </c>
      <c r="Y33" s="42"/>
      <c r="Z33" s="42"/>
      <c r="AA33" s="42"/>
    </row>
    <row r="34" spans="2:27">
      <c r="C34" s="5"/>
      <c r="D34" s="5"/>
      <c r="E34" s="5"/>
      <c r="F34" s="5"/>
      <c r="G34" s="5"/>
      <c r="I34" s="49"/>
      <c r="J34" s="254"/>
      <c r="K34" s="254"/>
      <c r="L34" s="254"/>
      <c r="M34" s="254"/>
      <c r="N34" s="254"/>
      <c r="O34" s="251"/>
      <c r="Q34" s="5"/>
      <c r="R34" s="5"/>
      <c r="S34" s="42"/>
      <c r="T34" s="42"/>
      <c r="U34" s="42"/>
      <c r="V34" s="147" t="s">
        <v>576</v>
      </c>
      <c r="W34" s="288">
        <f>D47/L19</f>
        <v>1.7682866224657012</v>
      </c>
      <c r="X34" s="288">
        <v>1</v>
      </c>
      <c r="Y34" s="288"/>
      <c r="Z34" s="288"/>
      <c r="AA34" s="42"/>
    </row>
    <row r="35" spans="2:27" ht="12.6" thickBot="1">
      <c r="B35" s="306" t="s">
        <v>41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R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R36" s="5"/>
      <c r="S36" s="42"/>
      <c r="T36" s="42"/>
      <c r="U36" s="42"/>
      <c r="V36" s="42"/>
      <c r="W36" s="42"/>
      <c r="X36" s="42"/>
      <c r="Y36" s="288"/>
      <c r="Z36" s="288"/>
      <c r="AA36" s="42"/>
    </row>
    <row r="37" spans="2:27">
      <c r="B37" s="5" t="s">
        <v>268</v>
      </c>
      <c r="C37" s="247"/>
      <c r="D37" s="525">
        <f>D$18/D23</f>
        <v>4.2607587577922263</v>
      </c>
      <c r="E37" s="525">
        <f t="shared" ref="E37:G41" si="8">E$18/E23</f>
        <v>3.9428094040843273</v>
      </c>
      <c r="F37" s="525">
        <f t="shared" si="8"/>
        <v>3.6349751370500125</v>
      </c>
      <c r="G37" s="525">
        <f t="shared" si="8"/>
        <v>3.2733075232975528</v>
      </c>
      <c r="H37" s="17">
        <f t="shared" ref="H37:H45" si="9">H23</f>
        <v>3.4754135372314421E-2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10.081302601862715</v>
      </c>
      <c r="E38" s="525">
        <f t="shared" si="8"/>
        <v>8.5687762605650803</v>
      </c>
      <c r="F38" s="525">
        <f t="shared" si="8"/>
        <v>7.4144983352093403</v>
      </c>
      <c r="G38" s="525">
        <f t="shared" si="8"/>
        <v>6.3304129517424998</v>
      </c>
      <c r="H38" s="17">
        <f t="shared" si="9"/>
        <v>0.10670531330914002</v>
      </c>
      <c r="I38" s="259"/>
      <c r="J38" s="17"/>
      <c r="K38" s="17"/>
      <c r="L38" s="17"/>
      <c r="M38" s="17"/>
      <c r="N38" s="17"/>
      <c r="O38" s="5"/>
      <c r="Q38" s="5"/>
      <c r="R38" s="5"/>
      <c r="S38" s="42"/>
      <c r="T38" s="42"/>
      <c r="U38" s="42"/>
      <c r="V38" s="42"/>
      <c r="W38" s="42"/>
      <c r="X38" s="42"/>
      <c r="Y38" s="42"/>
      <c r="Z38" s="42"/>
      <c r="AA38" s="42"/>
    </row>
    <row r="39" spans="2:27">
      <c r="B39" s="5" t="s">
        <v>181</v>
      </c>
      <c r="C39" s="247"/>
      <c r="D39" s="525">
        <f>D$18/D25</f>
        <v>17.775959495931964</v>
      </c>
      <c r="E39" s="525">
        <f t="shared" si="8"/>
        <v>12.316013772502961</v>
      </c>
      <c r="F39" s="525">
        <f t="shared" si="8"/>
        <v>10.090080654570089</v>
      </c>
      <c r="G39" s="525">
        <f t="shared" si="8"/>
        <v>8.4564882042287373</v>
      </c>
      <c r="H39" s="17">
        <f t="shared" si="9"/>
        <v>0.21399843450490885</v>
      </c>
      <c r="I39" s="17"/>
      <c r="J39" s="5"/>
      <c r="K39" s="5"/>
      <c r="L39" s="5"/>
      <c r="M39" s="5"/>
      <c r="N39" s="5"/>
      <c r="O39" s="5"/>
      <c r="Q39" s="5"/>
      <c r="R39" s="5"/>
      <c r="S39" s="42"/>
      <c r="T39" s="42"/>
      <c r="U39" s="42"/>
      <c r="V39" s="42"/>
      <c r="W39" s="42"/>
      <c r="X39" s="42"/>
      <c r="Y39" s="42"/>
      <c r="Z39" s="42"/>
      <c r="AA39" s="42"/>
    </row>
    <row r="40" spans="2:27">
      <c r="B40" s="5" t="s">
        <v>461</v>
      </c>
      <c r="C40" s="247"/>
      <c r="D40" s="525">
        <f>D$18/D26</f>
        <v>15.723498513127581</v>
      </c>
      <c r="E40" s="525">
        <f>E$18/E26</f>
        <v>14.489427967650542</v>
      </c>
      <c r="F40" s="525">
        <f t="shared" si="8"/>
        <v>12.612600818212613</v>
      </c>
      <c r="G40" s="525">
        <f t="shared" si="8"/>
        <v>10.570610255285921</v>
      </c>
      <c r="H40" s="17">
        <f t="shared" si="9"/>
        <v>8.1816247416002685E-2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1.6294283252722246</v>
      </c>
      <c r="E41" s="525">
        <f t="shared" si="8"/>
        <v>1.6668714242517255</v>
      </c>
      <c r="F41" s="525">
        <f t="shared" si="8"/>
        <v>1.6502907903675514</v>
      </c>
      <c r="G41" s="525">
        <f t="shared" si="8"/>
        <v>1.6049430131653537</v>
      </c>
      <c r="H41" s="17">
        <f t="shared" si="9"/>
        <v>-4.7505799130891591E-2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3.882352977032089</v>
      </c>
      <c r="E42" s="525">
        <f>E18/E28</f>
        <v>4.288696553415928</v>
      </c>
      <c r="F42" s="525">
        <f>F18/F28</f>
        <v>4.615082489596344</v>
      </c>
      <c r="G42" s="525">
        <f>G18/G28</f>
        <v>4.7215154584075147</v>
      </c>
      <c r="H42" s="17">
        <f t="shared" si="9"/>
        <v>-0.11214578817069887</v>
      </c>
      <c r="I42" s="248"/>
      <c r="J42" s="5"/>
      <c r="K42" s="5"/>
      <c r="L42" s="5"/>
      <c r="M42" s="5"/>
      <c r="N42" s="5"/>
      <c r="O42" s="5"/>
      <c r="Q42" s="5"/>
      <c r="R42" s="5"/>
      <c r="S42" s="42"/>
      <c r="T42" s="42"/>
      <c r="U42" s="42"/>
      <c r="V42" s="42"/>
      <c r="W42" s="288"/>
      <c r="X42" s="288"/>
      <c r="Y42" s="288"/>
      <c r="Z42" s="288"/>
      <c r="AA42" s="42"/>
    </row>
    <row r="43" spans="2:27">
      <c r="B43" s="5" t="s">
        <v>470</v>
      </c>
      <c r="C43" s="247"/>
      <c r="D43" s="525">
        <f>L26/D29</f>
        <v>11.132935756421729</v>
      </c>
      <c r="E43" s="525">
        <f>M26/E29</f>
        <v>7.4798944646228991</v>
      </c>
      <c r="F43" s="525">
        <f>N26/F29</f>
        <v>6.3150017516529759</v>
      </c>
      <c r="G43" s="525">
        <f>O26/G29</f>
        <v>5.6245860288471636</v>
      </c>
      <c r="H43" s="17">
        <f t="shared" si="9"/>
        <v>0.2555664808277105</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-23.564757382286952</v>
      </c>
      <c r="E44" s="525">
        <f>E11/E30</f>
        <v>109.37231688135044</v>
      </c>
      <c r="F44" s="525">
        <f>F11/F30</f>
        <v>18.625487941624968</v>
      </c>
      <c r="G44" s="525">
        <f>G11/G30</f>
        <v>11.061137519455077</v>
      </c>
      <c r="H44" s="17">
        <f t="shared" si="9"/>
        <v>-2.286730889898839</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2.2857703587938587E-3</v>
      </c>
      <c r="F45" s="248">
        <f>F31/F11</f>
        <v>1.3422467147359412E-2</v>
      </c>
      <c r="G45" s="248">
        <f>G31/G11</f>
        <v>4.5203307446505046E-2</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t="e">
        <f>(D31+D32)/D11</f>
        <v>#VALUE!</v>
      </c>
      <c r="E46" s="248" t="e">
        <f>(E31+E32)/E11</f>
        <v>#VALUE!</v>
      </c>
      <c r="F46" s="248" t="e">
        <f>(F31+F32)/F11</f>
        <v>#VALUE!</v>
      </c>
      <c r="G46" s="248" t="e">
        <f>(G31+G32)/G11</f>
        <v>#VALUE!</v>
      </c>
      <c r="H46" s="279" t="e">
        <f>((G31+G32)/(D31+D32))^(1/3)-1</f>
        <v>#VALUE!</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8.9823566926017465E-2</v>
      </c>
      <c r="E47" s="248">
        <f>1/E43</f>
        <v>0.13369172582977282</v>
      </c>
      <c r="F47" s="248">
        <f>1/F43</f>
        <v>0.15835308355033254</v>
      </c>
      <c r="G47" s="248">
        <f>1/G43</f>
        <v>0.17779086227346116</v>
      </c>
      <c r="H47" s="17">
        <f>H29</f>
        <v>0.2555664808277105</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1.709732105414128E-2</v>
      </c>
      <c r="F48" s="305">
        <f>F31/F29</f>
        <v>8.4762903547079202E-2</v>
      </c>
      <c r="G48" s="305">
        <f>G31/G29</f>
        <v>0.25424989152129523</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0" type="noConversion"/>
  <pageMargins left="0.75" right="0.75" top="1" bottom="1" header="0.5" footer="0.5"/>
  <pageSetup scale="71"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210">
    <pageSetUpPr fitToPage="1"/>
  </sheetPr>
  <dimension ref="B1:AR165"/>
  <sheetViews>
    <sheetView showGridLines="0" zoomScale="80" zoomScaleNormal="80" workbookViewId="0">
      <selection activeCell="J57" sqref="J57:J58"/>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668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669</v>
      </c>
      <c r="C7" s="265"/>
      <c r="D7" s="265" t="str">
        <f>D5</f>
        <v>2023E</v>
      </c>
      <c r="E7" s="265" t="str">
        <f t="shared" ref="E7:H7" si="0">E5</f>
        <v>2024E</v>
      </c>
      <c r="F7" s="265" t="str">
        <f t="shared" si="0"/>
        <v>2025E</v>
      </c>
      <c r="G7" s="265" t="str">
        <f t="shared" si="0"/>
        <v>2026E</v>
      </c>
      <c r="H7" s="265" t="str">
        <f t="shared" si="0"/>
        <v>23E-26E</v>
      </c>
      <c r="I7" s="49"/>
      <c r="J7" s="306" t="s">
        <v>471</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15</v>
      </c>
      <c r="C9" s="267">
        <f>Prices!$C$124</f>
        <v>1.77</v>
      </c>
      <c r="D9" s="531">
        <v>0</v>
      </c>
      <c r="E9" s="532">
        <v>0</v>
      </c>
      <c r="F9" s="532">
        <v>0</v>
      </c>
      <c r="G9" s="532">
        <v>0</v>
      </c>
      <c r="H9" s="249"/>
      <c r="I9" s="249"/>
      <c r="J9" s="5" t="s">
        <v>268</v>
      </c>
      <c r="L9" s="525">
        <f>'LATAM INCUMB'!D37</f>
        <v>1.7981142291912398</v>
      </c>
      <c r="M9" s="525">
        <f>'LATAM INCUMB'!E37</f>
        <v>1.6573649184523203</v>
      </c>
      <c r="N9" s="525">
        <f>'LATAM INCUMB'!F37</f>
        <v>1.5166362516889134</v>
      </c>
      <c r="O9" s="525">
        <f>'LATAM INCUMB'!G37</f>
        <v>1.393473574712661</v>
      </c>
      <c r="P9" s="286">
        <f>'LATAM INCUMB'!H37</f>
        <v>3.2219017878071687E-2</v>
      </c>
      <c r="S9" s="42"/>
      <c r="T9" s="42"/>
      <c r="U9" s="42"/>
      <c r="V9" s="42"/>
      <c r="W9" s="42"/>
      <c r="X9" s="42"/>
      <c r="Y9" s="42"/>
      <c r="Z9" s="42"/>
      <c r="AA9" s="42"/>
    </row>
    <row r="10" spans="2:44">
      <c r="B10" s="5" t="s">
        <v>269</v>
      </c>
      <c r="C10" s="5"/>
      <c r="D10" s="527">
        <v>573.38307692307694</v>
      </c>
      <c r="E10" s="527">
        <v>573.38307692307694</v>
      </c>
      <c r="F10" s="527">
        <v>573.38307692307694</v>
      </c>
      <c r="G10" s="527">
        <v>573.38307692307694</v>
      </c>
      <c r="H10" s="247"/>
      <c r="I10" s="247"/>
      <c r="J10" s="5" t="s">
        <v>180</v>
      </c>
      <c r="L10" s="525">
        <f>'LATAM INCUMB'!D38</f>
        <v>4.7512746785783913</v>
      </c>
      <c r="M10" s="525">
        <f>'LATAM INCUMB'!E38</f>
        <v>4.280865063792997</v>
      </c>
      <c r="N10" s="525">
        <f>'LATAM INCUMB'!F38</f>
        <v>3.8384069733071251</v>
      </c>
      <c r="O10" s="525">
        <f>'LATAM INCUMB'!G38</f>
        <v>3.473863325911124</v>
      </c>
      <c r="P10" s="286">
        <f>'LATAM INCUMB'!H38</f>
        <v>5.2441939874377175E-2</v>
      </c>
      <c r="S10" s="42"/>
      <c r="T10" s="42"/>
      <c r="U10" s="42"/>
      <c r="V10" s="42"/>
      <c r="W10" s="288"/>
      <c r="X10" s="288"/>
      <c r="Y10" s="288"/>
      <c r="Z10" s="288"/>
      <c r="AA10" s="42"/>
    </row>
    <row r="11" spans="2:44">
      <c r="B11" s="41" t="s">
        <v>270</v>
      </c>
      <c r="C11" s="5"/>
      <c r="D11" s="528">
        <f>$C$9*D10</f>
        <v>1014.8880461538462</v>
      </c>
      <c r="E11" s="528">
        <f>$C$9*E10</f>
        <v>1014.8880461538462</v>
      </c>
      <c r="F11" s="528">
        <f>$C$9*F10</f>
        <v>1014.8880461538462</v>
      </c>
      <c r="G11" s="528">
        <f>$C$9*G10</f>
        <v>1014.8880461538462</v>
      </c>
      <c r="H11" s="249"/>
      <c r="I11" s="249"/>
      <c r="J11" s="5" t="s">
        <v>181</v>
      </c>
      <c r="L11" s="525">
        <f>'LATAM INCUMB'!D39</f>
        <v>9.3432661340600287</v>
      </c>
      <c r="M11" s="525">
        <f>'LATAM INCUMB'!E39</f>
        <v>7.5472128390826727</v>
      </c>
      <c r="N11" s="525">
        <f>'LATAM INCUMB'!F39</f>
        <v>6.3647667031009485</v>
      </c>
      <c r="O11" s="525">
        <f>'LATAM INCUMB'!G39</f>
        <v>5.4763649870724755</v>
      </c>
      <c r="P11" s="286">
        <f>'LATAM INCUMB'!H39</f>
        <v>0.13292489725074952</v>
      </c>
      <c r="S11" s="42"/>
      <c r="T11" s="42"/>
      <c r="U11" s="42"/>
      <c r="V11" s="42"/>
      <c r="W11" s="288"/>
      <c r="X11" s="288"/>
      <c r="Y11" s="288"/>
      <c r="Z11" s="288"/>
      <c r="AA11" s="42"/>
    </row>
    <row r="12" spans="2:44">
      <c r="B12" s="5" t="s">
        <v>24</v>
      </c>
      <c r="C12" s="249"/>
      <c r="D12" s="529">
        <v>3323.5762119079463</v>
      </c>
      <c r="E12" s="529">
        <v>3172.7041155302045</v>
      </c>
      <c r="F12" s="529">
        <v>3095.295435679503</v>
      </c>
      <c r="G12" s="529">
        <v>2953.0334642834932</v>
      </c>
      <c r="H12" s="247"/>
      <c r="I12" s="247"/>
      <c r="J12" s="5" t="s">
        <v>461</v>
      </c>
      <c r="L12" s="525">
        <f>'LATAM INCUMB'!D40</f>
        <v>15.212560266492316</v>
      </c>
      <c r="M12" s="525">
        <f>'LATAM INCUMB'!E40</f>
        <v>11.124381688326695</v>
      </c>
      <c r="N12" s="525">
        <f>'LATAM INCUMB'!F40</f>
        <v>9.2813342134669856</v>
      </c>
      <c r="O12" s="525">
        <f>'LATAM INCUMB'!G40</f>
        <v>7.8992460056032359</v>
      </c>
      <c r="P12" s="286">
        <f>'LATAM INCUMB'!H40</f>
        <v>0.17960851918674359</v>
      </c>
      <c r="S12" s="42"/>
      <c r="T12" s="42"/>
      <c r="U12" s="42"/>
      <c r="V12" s="42"/>
      <c r="W12" s="288"/>
      <c r="X12" s="288"/>
      <c r="Y12" s="288"/>
      <c r="Z12" s="288"/>
      <c r="AA12" s="42"/>
    </row>
    <row r="13" spans="2:44">
      <c r="B13" s="5" t="s">
        <v>524</v>
      </c>
      <c r="C13" s="257"/>
      <c r="D13" s="529">
        <v>0</v>
      </c>
      <c r="E13" s="529">
        <v>0</v>
      </c>
      <c r="F13" s="529">
        <v>0</v>
      </c>
      <c r="G13" s="529">
        <v>0</v>
      </c>
      <c r="H13" s="247"/>
      <c r="I13" s="247"/>
      <c r="J13" s="5" t="s">
        <v>525</v>
      </c>
      <c r="L13" s="525">
        <f>'LATAM INCUMB'!D41</f>
        <v>1.3500734909901855</v>
      </c>
      <c r="M13" s="525">
        <f>'LATAM INCUMB'!E41</f>
        <v>1.2958114371123857</v>
      </c>
      <c r="N13" s="525">
        <f>'LATAM INCUMB'!F41</f>
        <v>1.2298151663256318</v>
      </c>
      <c r="O13" s="525">
        <f>'LATAM INCUMB'!G41</f>
        <v>1.1569201821496407</v>
      </c>
      <c r="P13" s="286">
        <f>'LATAM INCUMB'!H41</f>
        <v>-1.8012682500362365E-3</v>
      </c>
      <c r="S13" s="42"/>
      <c r="T13" s="42"/>
      <c r="U13" s="42"/>
      <c r="V13" s="42"/>
      <c r="W13" s="42"/>
      <c r="X13" s="42"/>
      <c r="Y13" s="42"/>
      <c r="Z13" s="42"/>
      <c r="AA13" s="42"/>
    </row>
    <row r="14" spans="2:44">
      <c r="B14" s="5" t="s">
        <v>527</v>
      </c>
      <c r="C14" s="257"/>
      <c r="D14" s="529">
        <v>6060.678127413229</v>
      </c>
      <c r="E14" s="529">
        <v>6060.678127413229</v>
      </c>
      <c r="F14" s="529">
        <v>6060.678127413229</v>
      </c>
      <c r="G14" s="529">
        <v>6060.678127413229</v>
      </c>
      <c r="H14" s="247"/>
      <c r="I14" s="247"/>
      <c r="J14" s="5" t="s">
        <v>588</v>
      </c>
      <c r="L14" s="525">
        <f>'LATAM INCUMB'!D42</f>
        <v>2.3016970940645507</v>
      </c>
      <c r="M14" s="525">
        <f>'LATAM INCUMB'!E42</f>
        <v>2.2701196711338612</v>
      </c>
      <c r="N14" s="525">
        <f>'LATAM INCUMB'!F42</f>
        <v>2.2018047168545012</v>
      </c>
      <c r="O14" s="525">
        <f>'LATAM INCUMB'!G42</f>
        <v>2.1318659888961053</v>
      </c>
      <c r="P14" s="286">
        <f>'LATAM INCUMB'!H42</f>
        <v>-2.7338410987633122E-2</v>
      </c>
      <c r="S14" s="42"/>
      <c r="T14" s="42"/>
      <c r="U14" s="42"/>
      <c r="V14" s="42"/>
      <c r="W14" s="42"/>
      <c r="X14" s="42"/>
      <c r="Y14" s="42"/>
      <c r="Z14" s="42"/>
      <c r="AA14" s="42"/>
    </row>
    <row r="15" spans="2:44">
      <c r="B15" s="5" t="s">
        <v>526</v>
      </c>
      <c r="C15" s="274"/>
      <c r="D15" s="529">
        <v>1204.7723920855979</v>
      </c>
      <c r="E15" s="529">
        <v>1204.7723920855979</v>
      </c>
      <c r="F15" s="529">
        <v>1204.7723920855979</v>
      </c>
      <c r="G15" s="529">
        <v>1204.7723920855979</v>
      </c>
      <c r="H15" s="247"/>
      <c r="I15" s="247"/>
      <c r="J15" s="5" t="s">
        <v>470</v>
      </c>
      <c r="L15" s="525">
        <f>'LATAM INCUMB'!D43</f>
        <v>31.920933591934315</v>
      </c>
      <c r="M15" s="525">
        <f>'LATAM INCUMB'!E43</f>
        <v>16.465156182385741</v>
      </c>
      <c r="N15" s="525">
        <f>'LATAM INCUMB'!F43</f>
        <v>12.417200013045317</v>
      </c>
      <c r="O15" s="525">
        <f>'LATAM INCUMB'!G43</f>
        <v>9.867174953724458</v>
      </c>
      <c r="P15" s="286">
        <f>'LATAM INCUMB'!H43</f>
        <v>0.44386238616406404</v>
      </c>
      <c r="S15" s="42"/>
      <c r="T15" s="42"/>
      <c r="U15" s="42"/>
      <c r="V15" s="42"/>
      <c r="W15" s="42"/>
      <c r="X15" s="42"/>
      <c r="Y15" s="42"/>
      <c r="Z15" s="42"/>
      <c r="AA15" s="42"/>
    </row>
    <row r="16" spans="2:44">
      <c r="B16" s="5" t="s">
        <v>529</v>
      </c>
      <c r="C16" s="257"/>
      <c r="D16" s="529">
        <v>0</v>
      </c>
      <c r="E16" s="529">
        <v>57.005257120883556</v>
      </c>
      <c r="F16" s="529">
        <v>115.15061938418479</v>
      </c>
      <c r="G16" s="529">
        <v>174.45888889275207</v>
      </c>
      <c r="H16" s="247"/>
      <c r="I16" s="247"/>
      <c r="J16" s="5" t="s">
        <v>528</v>
      </c>
      <c r="L16" s="525">
        <f>'LATAM INCUMB'!D44</f>
        <v>16.651538951838202</v>
      </c>
      <c r="M16" s="525">
        <f>'LATAM INCUMB'!E44</f>
        <v>12.18073372584948</v>
      </c>
      <c r="N16" s="525">
        <f>'LATAM INCUMB'!F44</f>
        <v>9.1775904647564932</v>
      </c>
      <c r="O16" s="525">
        <f>'LATAM INCUMB'!G44</f>
        <v>7.3507020212907745</v>
      </c>
      <c r="P16" s="286">
        <f>'LATAM INCUMB'!H44</f>
        <v>0.27622076039307863</v>
      </c>
      <c r="S16" s="42"/>
      <c r="T16" s="42"/>
      <c r="U16" s="42"/>
      <c r="V16" s="42"/>
      <c r="W16" s="42"/>
      <c r="X16" s="42"/>
      <c r="Y16" s="42"/>
      <c r="Z16" s="42"/>
      <c r="AA16" s="42"/>
    </row>
    <row r="17" spans="2:27">
      <c r="B17" s="5" t="s">
        <v>6</v>
      </c>
      <c r="C17" s="257"/>
      <c r="D17" s="529">
        <v>0</v>
      </c>
      <c r="E17" s="529">
        <v>0</v>
      </c>
      <c r="F17" s="529">
        <v>0</v>
      </c>
      <c r="G17" s="529">
        <v>0</v>
      </c>
      <c r="H17" s="247"/>
      <c r="I17" s="247"/>
      <c r="J17" s="5" t="s">
        <v>575</v>
      </c>
      <c r="L17" s="248">
        <f>'LATAM INCUMB'!D45</f>
        <v>3.2025799004615774E-2</v>
      </c>
      <c r="M17" s="248">
        <f>'LATAM INCUMB'!E45</f>
        <v>3.5431489634530598E-2</v>
      </c>
      <c r="N17" s="248">
        <f>'LATAM INCUMB'!F45</f>
        <v>4.0832121196613419E-2</v>
      </c>
      <c r="O17" s="248">
        <f>'LATAM INCUMB'!G45</f>
        <v>4.5473553846557851E-2</v>
      </c>
      <c r="P17" s="286">
        <f>'LATAM INCUMB'!H45</f>
        <v>9.2203572531136757E-2</v>
      </c>
      <c r="S17" s="42"/>
      <c r="T17" s="42"/>
      <c r="U17" s="42"/>
      <c r="V17" s="42"/>
      <c r="W17" s="42"/>
      <c r="X17" s="42"/>
      <c r="Y17" s="42"/>
      <c r="Z17" s="42"/>
      <c r="AA17" s="42"/>
    </row>
    <row r="18" spans="2:27" ht="12.6" thickBot="1">
      <c r="B18" s="41" t="s">
        <v>578</v>
      </c>
      <c r="C18" s="249"/>
      <c r="D18" s="530">
        <f>D11+D12+D13-D14+D15-D16-D17</f>
        <v>-517.44147726583833</v>
      </c>
      <c r="E18" s="530">
        <f>E11+E12+E13-E14+E15-E16-E17</f>
        <v>-725.31883076446422</v>
      </c>
      <c r="F18" s="530">
        <f>F11+F12+F13-F14+F15-F16-F17</f>
        <v>-860.87287287846686</v>
      </c>
      <c r="G18" s="530">
        <f>G11+G12+G13-G14+G15-G16-G17</f>
        <v>-1062.4431137830441</v>
      </c>
      <c r="H18" s="276">
        <f>IF(D18=0,"nm",IF(G18=0,"nm",(G18/D18)^(1/3)-1))</f>
        <v>0.27100760544897318</v>
      </c>
      <c r="I18" s="254"/>
      <c r="J18" s="5" t="s">
        <v>36</v>
      </c>
      <c r="L18" s="248">
        <f>'LATAM INCUMB'!D46</f>
        <v>3.2386280718173587E-2</v>
      </c>
      <c r="M18" s="248">
        <f>'LATAM INCUMB'!E46</f>
        <v>3.5702377387231532E-2</v>
      </c>
      <c r="N18" s="248">
        <f>'LATAM INCUMB'!F46</f>
        <v>3.2802914073150051E-2</v>
      </c>
      <c r="O18" s="248">
        <f>'LATAM INCUMB'!G46</f>
        <v>7.2247104617748276E-2</v>
      </c>
      <c r="P18" s="286">
        <f>'LATAM INCUMB'!H46</f>
        <v>0.269707667316055</v>
      </c>
      <c r="S18" s="42"/>
      <c r="T18" s="42"/>
      <c r="U18" s="42"/>
      <c r="V18" s="42"/>
      <c r="W18" s="42"/>
      <c r="X18" s="42"/>
      <c r="Y18" s="42"/>
      <c r="Z18" s="42"/>
      <c r="AA18" s="42"/>
    </row>
    <row r="19" spans="2:27" ht="12.6" thickTop="1">
      <c r="B19" s="41"/>
      <c r="C19" s="249"/>
      <c r="D19" s="229"/>
      <c r="E19" s="229"/>
      <c r="F19" s="229"/>
      <c r="G19" s="229"/>
      <c r="H19" s="276"/>
      <c r="I19" s="254"/>
      <c r="J19" s="5" t="s">
        <v>576</v>
      </c>
      <c r="L19" s="248">
        <f>'LATAM INCUMB'!D47</f>
        <v>3.1327404542224199E-2</v>
      </c>
      <c r="M19" s="248">
        <f>'LATAM INCUMB'!E47</f>
        <v>6.0734316086827646E-2</v>
      </c>
      <c r="N19" s="248">
        <f>'LATAM INCUMB'!F47</f>
        <v>8.053345351201685E-2</v>
      </c>
      <c r="O19" s="248">
        <f>'LATAM INCUMB'!G47</f>
        <v>0.10134613044664224</v>
      </c>
      <c r="P19" s="286">
        <f>'LATAM INCUMB'!H47</f>
        <v>0.44386238616406404</v>
      </c>
      <c r="S19" s="42"/>
      <c r="T19" s="42"/>
      <c r="U19" s="42"/>
      <c r="V19" s="42"/>
      <c r="W19" s="42"/>
      <c r="X19" s="42"/>
      <c r="Y19" s="42"/>
      <c r="Z19" s="42"/>
      <c r="AA19" s="42"/>
    </row>
    <row r="20" spans="2:27">
      <c r="H20" s="277"/>
      <c r="I20" s="17"/>
      <c r="J20" s="5" t="s">
        <v>599</v>
      </c>
      <c r="L20" s="305">
        <f>'LATAM INCUMB'!D48</f>
        <v>0.8627930890635962</v>
      </c>
      <c r="M20" s="305">
        <f>'LATAM INCUMB'!E48</f>
        <v>0.49052492114089552</v>
      </c>
      <c r="N20" s="305">
        <f>'LATAM INCUMB'!F48</f>
        <v>0.42422949128548088</v>
      </c>
      <c r="O20" s="305">
        <f>'LATAM INCUMB'!G48</f>
        <v>0.3734565041962376</v>
      </c>
      <c r="P20" s="286" t="str">
        <f>'LATAM INCUMB'!H48</f>
        <v>nm</v>
      </c>
      <c r="S20" s="42"/>
      <c r="T20" s="42"/>
      <c r="U20" s="42"/>
      <c r="V20" s="42"/>
      <c r="W20" s="42"/>
      <c r="X20" s="42"/>
      <c r="Y20" s="42"/>
      <c r="Z20" s="42"/>
      <c r="AA20" s="42"/>
    </row>
    <row r="21" spans="2:27" ht="12.6" thickBot="1">
      <c r="B21" s="306" t="s">
        <v>932</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3993.8764502448366</v>
      </c>
      <c r="D23" s="536">
        <v>3925.4085267314927</v>
      </c>
      <c r="E23" s="536">
        <v>3950.3447739558028</v>
      </c>
      <c r="F23" s="536">
        <v>4007.2336447614211</v>
      </c>
      <c r="G23" s="536">
        <v>4075.7463636745219</v>
      </c>
      <c r="H23" s="279">
        <f t="shared" ref="H23:H32" si="3">IF(D23=0,"nm",IF(G23=0,"nm",(G23/D23)^(1/3)-1))</f>
        <v>1.2606621051490574E-2</v>
      </c>
      <c r="I23" s="247"/>
      <c r="J23" s="306" t="s">
        <v>9</v>
      </c>
      <c r="K23" s="306"/>
      <c r="L23" s="265" t="str">
        <f>D21</f>
        <v>2023E</v>
      </c>
      <c r="M23" s="265" t="str">
        <f t="shared" ref="M23:P23" si="4">E21</f>
        <v>2024E</v>
      </c>
      <c r="N23" s="265" t="str">
        <f t="shared" si="4"/>
        <v>2025E</v>
      </c>
      <c r="O23" s="265" t="str">
        <f t="shared" si="4"/>
        <v>2026E</v>
      </c>
      <c r="P23" s="265" t="str">
        <f t="shared" si="4"/>
        <v>23E-26E</v>
      </c>
      <c r="S23" s="42"/>
      <c r="T23" s="42"/>
      <c r="U23" s="42"/>
      <c r="V23" s="42"/>
      <c r="W23" s="42"/>
      <c r="X23" s="42"/>
      <c r="Y23" s="42"/>
      <c r="Z23" s="42"/>
      <c r="AA23" s="42"/>
    </row>
    <row r="24" spans="2:27" ht="12.6" thickTop="1">
      <c r="B24" s="5" t="s">
        <v>478</v>
      </c>
      <c r="C24" s="545">
        <v>1348.7107759669182</v>
      </c>
      <c r="D24" s="536">
        <v>1240.0864022865444</v>
      </c>
      <c r="E24" s="536">
        <v>1281.1244613802062</v>
      </c>
      <c r="F24" s="536">
        <v>1288.5231200673541</v>
      </c>
      <c r="G24" s="536">
        <v>1296.1638812386161</v>
      </c>
      <c r="H24" s="279">
        <f t="shared" si="3"/>
        <v>1.485187073949934E-2</v>
      </c>
      <c r="I24" s="249"/>
      <c r="J24" s="17"/>
      <c r="K24" s="17"/>
      <c r="L24" s="17"/>
      <c r="M24" s="17"/>
      <c r="N24" s="17"/>
      <c r="O24" s="248"/>
      <c r="S24" s="42"/>
      <c r="T24" s="42"/>
      <c r="U24" s="42"/>
      <c r="V24" s="42"/>
      <c r="W24" s="42" t="s">
        <v>667</v>
      </c>
      <c r="X24" s="42" t="s">
        <v>258</v>
      </c>
      <c r="Y24" s="42"/>
      <c r="Z24" s="42"/>
      <c r="AA24" s="42"/>
    </row>
    <row r="25" spans="2:27">
      <c r="B25" s="5" t="s">
        <v>179</v>
      </c>
      <c r="C25" s="544">
        <v>438.41919346821362</v>
      </c>
      <c r="D25" s="536">
        <v>468.64306134201451</v>
      </c>
      <c r="E25" s="536">
        <v>516.6952596534303</v>
      </c>
      <c r="F25" s="536">
        <v>519.21543394269656</v>
      </c>
      <c r="G25" s="536">
        <v>527.0765355159067</v>
      </c>
      <c r="H25" s="279">
        <f t="shared" si="3"/>
        <v>3.9945301517286813E-2</v>
      </c>
      <c r="I25" s="248"/>
      <c r="J25" s="247" t="s">
        <v>10</v>
      </c>
      <c r="K25" s="247"/>
      <c r="L25" s="321">
        <v>-298.9401284003838</v>
      </c>
      <c r="M25" s="321">
        <v>-298.9401284003838</v>
      </c>
      <c r="N25" s="321">
        <v>-298.9401284003838</v>
      </c>
      <c r="O25" s="321">
        <v>-298.9401284003838</v>
      </c>
      <c r="P25" s="279">
        <f>IF(L25=0,"nm",IF(O25=0,"nm",(O25/L25)^(1/3)-1))</f>
        <v>0</v>
      </c>
      <c r="S25" s="42"/>
      <c r="T25" s="42"/>
      <c r="U25" s="42"/>
      <c r="V25" s="147" t="s">
        <v>268</v>
      </c>
      <c r="W25" s="288">
        <f>D37/L9</f>
        <v>-7.3309304420051249E-2</v>
      </c>
      <c r="X25" s="288">
        <v>1</v>
      </c>
      <c r="Y25" s="42"/>
      <c r="Z25" s="42"/>
      <c r="AA25" s="42"/>
    </row>
    <row r="26" spans="2:27">
      <c r="B26" s="5" t="s">
        <v>581</v>
      </c>
      <c r="C26" s="544">
        <v>503.73685035942231</v>
      </c>
      <c r="D26" s="536">
        <v>351.48229600651086</v>
      </c>
      <c r="E26" s="536">
        <v>372.02058695046981</v>
      </c>
      <c r="F26" s="536">
        <v>373.83511243874153</v>
      </c>
      <c r="G26" s="536">
        <v>379.49510557145288</v>
      </c>
      <c r="H26" s="279">
        <f t="shared" si="3"/>
        <v>2.5890263698069571E-2</v>
      </c>
      <c r="I26" s="249"/>
      <c r="J26" s="249" t="s">
        <v>11</v>
      </c>
      <c r="K26" s="249"/>
      <c r="L26" s="281">
        <f>D11+L25</f>
        <v>715.94791775346243</v>
      </c>
      <c r="M26" s="281">
        <f>E11+M25</f>
        <v>715.94791775346243</v>
      </c>
      <c r="N26" s="281">
        <f>F11+N25</f>
        <v>715.94791775346243</v>
      </c>
      <c r="O26" s="281">
        <f>G11+O25</f>
        <v>715.94791775346243</v>
      </c>
      <c r="P26" s="279">
        <f>IF(L26=0,"nm",IF(O26=0,"nm",(O26/L26)^(1/3)-1))</f>
        <v>0</v>
      </c>
      <c r="Q26" s="5"/>
      <c r="S26" s="42"/>
      <c r="T26" s="42"/>
      <c r="U26" s="42"/>
      <c r="V26" s="147" t="s">
        <v>180</v>
      </c>
      <c r="W26" s="288">
        <f t="shared" ref="W26:W33" si="5">D38/L10</f>
        <v>-8.782115697623985E-2</v>
      </c>
      <c r="X26" s="288">
        <v>1</v>
      </c>
      <c r="Y26" s="42"/>
      <c r="Z26" s="42"/>
      <c r="AA26" s="42"/>
    </row>
    <row r="27" spans="2:27">
      <c r="B27" s="5" t="s">
        <v>582</v>
      </c>
      <c r="C27" s="545">
        <v>10391.071674087549</v>
      </c>
      <c r="D27" s="536">
        <v>10697.327977470048</v>
      </c>
      <c r="E27" s="536">
        <v>10556.232607408816</v>
      </c>
      <c r="F27" s="536">
        <v>10600.940592986275</v>
      </c>
      <c r="G27" s="536">
        <v>10738.073930072285</v>
      </c>
      <c r="H27" s="279">
        <f t="shared" si="3"/>
        <v>1.2680527424493437E-3</v>
      </c>
      <c r="I27" s="249"/>
      <c r="J27" s="248"/>
      <c r="K27" s="248"/>
      <c r="L27" s="248"/>
      <c r="M27" s="248"/>
      <c r="N27" s="248"/>
      <c r="O27" s="248"/>
      <c r="Q27" s="41"/>
      <c r="S27" s="42"/>
      <c r="T27" s="42"/>
      <c r="U27" s="42"/>
      <c r="V27" s="147" t="s">
        <v>181</v>
      </c>
      <c r="W27" s="288">
        <f t="shared" si="5"/>
        <v>-0.11817356228200224</v>
      </c>
      <c r="X27" s="288">
        <v>1</v>
      </c>
      <c r="Y27" s="42"/>
      <c r="Z27" s="42"/>
      <c r="AA27" s="42"/>
    </row>
    <row r="28" spans="2:27" ht="12.6" thickBot="1">
      <c r="B28" s="5" t="s">
        <v>587</v>
      </c>
      <c r="C28" s="544">
        <v>4348.6933254365276</v>
      </c>
      <c r="D28" s="536">
        <v>4218.1754222656546</v>
      </c>
      <c r="E28" s="536">
        <v>4107.7140610020351</v>
      </c>
      <c r="F28" s="536">
        <v>4025.0419436164457</v>
      </c>
      <c r="G28" s="536">
        <v>3959.2964861507294</v>
      </c>
      <c r="H28" s="279">
        <f t="shared" si="3"/>
        <v>-2.0890804844164834E-2</v>
      </c>
      <c r="I28" s="248"/>
      <c r="J28" s="306" t="s">
        <v>1352</v>
      </c>
      <c r="K28" s="306"/>
      <c r="L28" s="306"/>
      <c r="M28" s="306"/>
      <c r="N28" s="266"/>
      <c r="O28" s="266"/>
      <c r="P28" s="266"/>
      <c r="Q28" s="5"/>
      <c r="S28" s="42"/>
      <c r="T28" s="42"/>
      <c r="U28" s="42"/>
      <c r="V28" s="147" t="s">
        <v>461</v>
      </c>
      <c r="W28" s="288">
        <f t="shared" si="5"/>
        <v>-9.6773282346399994E-2</v>
      </c>
      <c r="X28" s="288">
        <v>1</v>
      </c>
      <c r="Y28" s="42"/>
      <c r="Z28" s="42"/>
      <c r="AA28" s="42"/>
    </row>
    <row r="29" spans="2:27" ht="12.6" thickTop="1">
      <c r="B29" s="5" t="s">
        <v>583</v>
      </c>
      <c r="C29" s="544">
        <v>-738.62873203388597</v>
      </c>
      <c r="D29" s="536">
        <v>-274.11870754653791</v>
      </c>
      <c r="E29" s="536">
        <v>147.64786789392826</v>
      </c>
      <c r="F29" s="536">
        <v>194.12890219997431</v>
      </c>
      <c r="G29" s="536">
        <v>254.12560389233892</v>
      </c>
      <c r="H29" s="279">
        <f t="shared" si="3"/>
        <v>-1.9750717692940674</v>
      </c>
      <c r="I29" s="252"/>
      <c r="J29" s="249"/>
      <c r="K29" s="249"/>
      <c r="L29" s="249"/>
      <c r="M29" s="249"/>
      <c r="N29" s="249"/>
      <c r="O29" s="251"/>
      <c r="Q29" s="5"/>
      <c r="S29" s="42"/>
      <c r="T29" s="42"/>
      <c r="U29" s="42"/>
      <c r="V29" s="147" t="s">
        <v>525</v>
      </c>
      <c r="W29" s="288">
        <f t="shared" si="5"/>
        <v>-3.5828490969965598E-2</v>
      </c>
      <c r="X29" s="288">
        <v>1</v>
      </c>
      <c r="Y29" s="42"/>
      <c r="Z29" s="42"/>
      <c r="AA29" s="42"/>
    </row>
    <row r="30" spans="2:27">
      <c r="B30" s="5" t="s">
        <v>584</v>
      </c>
      <c r="C30" s="545">
        <v>-811.90716647806005</v>
      </c>
      <c r="D30" s="536">
        <v>-69.468521071289388</v>
      </c>
      <c r="E30" s="536">
        <v>30.030490583471387</v>
      </c>
      <c r="F30" s="536">
        <v>101.96516119197717</v>
      </c>
      <c r="G30" s="536">
        <v>190.17555083620729</v>
      </c>
      <c r="H30" s="279">
        <f t="shared" si="3"/>
        <v>-2.3989071069474379</v>
      </c>
      <c r="I30" s="254"/>
      <c r="J30" s="248"/>
      <c r="K30" s="248"/>
      <c r="L30" s="248"/>
      <c r="M30" s="248"/>
      <c r="N30" s="248"/>
      <c r="O30" s="5"/>
      <c r="Q30" s="5"/>
      <c r="S30" s="42"/>
      <c r="T30" s="42"/>
      <c r="U30" s="42"/>
      <c r="V30" s="147" t="s">
        <v>588</v>
      </c>
      <c r="W30" s="288">
        <f t="shared" si="5"/>
        <v>-5.3295241171367892E-2</v>
      </c>
      <c r="X30" s="288">
        <v>1</v>
      </c>
      <c r="Y30" s="42"/>
      <c r="Z30" s="42"/>
      <c r="AA30" s="42"/>
    </row>
    <row r="31" spans="2:27">
      <c r="B31" s="5" t="s">
        <v>585</v>
      </c>
      <c r="C31" s="545">
        <v>53.514781509716052</v>
      </c>
      <c r="D31" s="536">
        <v>53.514781509716052</v>
      </c>
      <c r="E31" s="536">
        <v>53.514781509716052</v>
      </c>
      <c r="F31" s="536">
        <v>53.514781509716052</v>
      </c>
      <c r="G31" s="536">
        <v>53.514781509716052</v>
      </c>
      <c r="H31" s="279">
        <f t="shared" si="3"/>
        <v>0</v>
      </c>
      <c r="I31" s="254"/>
      <c r="J31" s="252"/>
      <c r="K31" s="252"/>
      <c r="L31" s="252"/>
      <c r="M31" s="252"/>
      <c r="N31" s="252"/>
      <c r="O31" s="5"/>
      <c r="Q31" s="5"/>
      <c r="S31" s="42"/>
      <c r="T31" s="42"/>
      <c r="U31" s="42"/>
      <c r="V31" s="147" t="s">
        <v>470</v>
      </c>
      <c r="W31" s="288">
        <f t="shared" si="5"/>
        <v>-8.18214497338456E-2</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42"/>
      <c r="T32" s="42"/>
      <c r="U32" s="42"/>
      <c r="V32" s="147" t="s">
        <v>528</v>
      </c>
      <c r="W32" s="288">
        <f t="shared" si="5"/>
        <v>-0.87735570895932691</v>
      </c>
      <c r="X32" s="288">
        <v>1</v>
      </c>
      <c r="Y32" s="42"/>
      <c r="Z32" s="42"/>
      <c r="AA32" s="42"/>
    </row>
    <row r="33" spans="2:27">
      <c r="B33" s="5" t="s">
        <v>5</v>
      </c>
      <c r="C33" s="545">
        <v>486.82749357503207</v>
      </c>
      <c r="D33" s="536">
        <v>247.75417919305687</v>
      </c>
      <c r="E33" s="536">
        <v>240.75896130753117</v>
      </c>
      <c r="F33" s="536">
        <v>234.9998322752742</v>
      </c>
      <c r="G33" s="536">
        <v>229.06178993741005</v>
      </c>
      <c r="H33" s="279">
        <f>IF(D33=0,"nm",IF(G33=0,"nm",(G33/D33)^(1/3)-1))</f>
        <v>-2.5809507046737457E-2</v>
      </c>
      <c r="I33" s="5"/>
      <c r="J33" s="254"/>
      <c r="K33" s="254"/>
      <c r="L33" s="254"/>
      <c r="M33" s="254"/>
      <c r="N33" s="254"/>
      <c r="O33" s="251"/>
      <c r="Q33" s="5"/>
      <c r="S33" s="42"/>
      <c r="T33" s="42"/>
      <c r="U33" s="42"/>
      <c r="V33" s="147" t="s">
        <v>575</v>
      </c>
      <c r="W33" s="288">
        <f t="shared" si="5"/>
        <v>1.6464769143865876</v>
      </c>
      <c r="X33" s="288">
        <v>1</v>
      </c>
      <c r="Y33" s="42"/>
      <c r="Z33" s="42"/>
      <c r="AA33" s="42"/>
    </row>
    <row r="34" spans="2:27">
      <c r="D34" s="5"/>
      <c r="E34" s="5"/>
      <c r="F34" s="5"/>
      <c r="G34" s="5"/>
      <c r="I34" s="49"/>
      <c r="J34" s="254"/>
      <c r="K34" s="254"/>
      <c r="L34" s="254"/>
      <c r="M34" s="254"/>
      <c r="N34" s="254"/>
      <c r="O34" s="251"/>
      <c r="Q34" s="5"/>
      <c r="S34" s="42"/>
      <c r="T34" s="42"/>
      <c r="U34" s="42"/>
      <c r="V34" s="147" t="s">
        <v>576</v>
      </c>
      <c r="W34" s="288">
        <f>D47/L19</f>
        <v>-12.221734071601862</v>
      </c>
      <c r="X34" s="288">
        <v>1</v>
      </c>
      <c r="Y34" s="288"/>
      <c r="Z34" s="288"/>
      <c r="AA34" s="42"/>
    </row>
    <row r="35" spans="2:27" ht="12.6" thickBot="1">
      <c r="B35" s="306" t="s">
        <v>670</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-0.13181850340980639</v>
      </c>
      <c r="E37" s="525">
        <f t="shared" ref="E37:G41" si="7">E$18/E23</f>
        <v>-0.18360899421903959</v>
      </c>
      <c r="F37" s="525">
        <f t="shared" si="7"/>
        <v>-0.2148297177540095</v>
      </c>
      <c r="G37" s="525">
        <f t="shared" si="7"/>
        <v>-0.26067449222360095</v>
      </c>
      <c r="H37" s="17">
        <f t="shared" ref="H37:H45" si="8">H23</f>
        <v>1.2606621051490574E-2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-0.41726243938466645</v>
      </c>
      <c r="E38" s="525">
        <f t="shared" si="7"/>
        <v>-0.56615797498944753</v>
      </c>
      <c r="F38" s="525">
        <f t="shared" si="7"/>
        <v>-0.66810820812704319</v>
      </c>
      <c r="G38" s="525">
        <f t="shared" si="7"/>
        <v>-0.8196827030604894</v>
      </c>
      <c r="H38" s="17">
        <f t="shared" si="8"/>
        <v>1.485187073949934E-2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-1.1041270424106651</v>
      </c>
      <c r="E39" s="525">
        <f t="shared" si="7"/>
        <v>-1.4037652121116162</v>
      </c>
      <c r="F39" s="525">
        <f t="shared" si="7"/>
        <v>-1.6580263539960129</v>
      </c>
      <c r="G39" s="525">
        <f t="shared" si="7"/>
        <v>-2.0157283471993614</v>
      </c>
      <c r="H39" s="17">
        <f t="shared" si="8"/>
        <v>3.9945301517286813E-2</v>
      </c>
      <c r="I39" s="17"/>
      <c r="J39" s="5"/>
      <c r="K39" s="5"/>
      <c r="L39" s="5"/>
      <c r="M39" s="5"/>
      <c r="N39" s="5"/>
      <c r="O39" s="5"/>
      <c r="Q39" s="5"/>
      <c r="R39" s="5"/>
      <c r="S39" s="42"/>
      <c r="T39" s="42"/>
      <c r="U39" s="42"/>
      <c r="V39" s="42"/>
      <c r="W39" s="42"/>
      <c r="X39" s="42"/>
      <c r="Y39" s="42"/>
      <c r="Z39" s="42"/>
      <c r="AA39" s="42"/>
    </row>
    <row r="40" spans="2:27">
      <c r="B40" s="5" t="s">
        <v>461</v>
      </c>
      <c r="C40" s="247"/>
      <c r="D40" s="525">
        <f>D$18/D26</f>
        <v>-1.4721693898808867</v>
      </c>
      <c r="E40" s="525">
        <f t="shared" si="7"/>
        <v>-1.9496739057105781</v>
      </c>
      <c r="F40" s="525">
        <f t="shared" si="7"/>
        <v>-2.3028143805500179</v>
      </c>
      <c r="G40" s="525">
        <f t="shared" si="7"/>
        <v>-2.7996227044435571</v>
      </c>
      <c r="H40" s="17">
        <f t="shared" si="8"/>
        <v>2.5890263698069571E-2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-4.8371095880731789E-2</v>
      </c>
      <c r="E41" s="525">
        <f t="shared" si="7"/>
        <v>-6.8710008365617525E-2</v>
      </c>
      <c r="F41" s="525">
        <f t="shared" si="7"/>
        <v>-8.1207216032135099E-2</v>
      </c>
      <c r="G41" s="525">
        <f t="shared" si="7"/>
        <v>-9.8941683648465256E-2</v>
      </c>
      <c r="H41" s="17">
        <f t="shared" si="8"/>
        <v>1.2680527424493437E-3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-0.12266950173160689</v>
      </c>
      <c r="E42" s="525">
        <f>E18/E28</f>
        <v>-0.17657481022121829</v>
      </c>
      <c r="F42" s="525">
        <f>F18/F28</f>
        <v>-0.21387923031305961</v>
      </c>
      <c r="G42" s="525">
        <f>G18/G28</f>
        <v>-0.26834138779436612</v>
      </c>
      <c r="H42" s="17">
        <f t="shared" si="8"/>
        <v>-2.0890804844164834E-2</v>
      </c>
      <c r="I42" s="248"/>
      <c r="J42" s="5"/>
      <c r="K42" s="5"/>
      <c r="L42" s="5"/>
      <c r="M42" s="5"/>
      <c r="N42" s="5"/>
      <c r="O42" s="5"/>
      <c r="Q42" s="5"/>
      <c r="R42" s="5"/>
      <c r="S42" s="42"/>
      <c r="T42" s="42"/>
      <c r="U42" s="42"/>
      <c r="V42" s="42"/>
      <c r="W42" s="288"/>
      <c r="X42" s="288"/>
      <c r="Y42" s="288"/>
      <c r="Z42" s="288"/>
      <c r="AA42" s="42"/>
    </row>
    <row r="43" spans="2:27">
      <c r="B43" s="5" t="s">
        <v>470</v>
      </c>
      <c r="C43" s="247"/>
      <c r="D43" s="525">
        <f>L26/D29</f>
        <v>-2.6118170633498772</v>
      </c>
      <c r="E43" s="525">
        <f>M26/E29</f>
        <v>4.8490230706738462</v>
      </c>
      <c r="F43" s="525">
        <f>N26/F29</f>
        <v>3.6880027118061824</v>
      </c>
      <c r="G43" s="525">
        <f>O26/G29</f>
        <v>2.8172994251172581</v>
      </c>
      <c r="H43" s="17">
        <f t="shared" si="8"/>
        <v>-1.9750717692940674</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-14.609322762353852</v>
      </c>
      <c r="E44" s="525">
        <f>E11/E30</f>
        <v>33.795253638394932</v>
      </c>
      <c r="F44" s="525">
        <f>F11/F30</f>
        <v>9.9532824181294934</v>
      </c>
      <c r="G44" s="525">
        <f>G11/G30</f>
        <v>5.3365852849714628</v>
      </c>
      <c r="H44" s="17">
        <f t="shared" si="8"/>
        <v>-2.3989071069474379</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5.272973872588483E-2</v>
      </c>
      <c r="E45" s="248">
        <f>E31/E11</f>
        <v>5.272973872588483E-2</v>
      </c>
      <c r="F45" s="248">
        <f>F31/F11</f>
        <v>5.272973872588483E-2</v>
      </c>
      <c r="G45" s="248">
        <f>G31/G11</f>
        <v>5.272973872588483E-2</v>
      </c>
      <c r="H45" s="17">
        <f t="shared" si="8"/>
        <v>0</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5.272973872588483E-2</v>
      </c>
      <c r="E46" s="248">
        <f>(E31+E32)/E11</f>
        <v>5.272973872588483E-2</v>
      </c>
      <c r="F46" s="248">
        <f>(F31+F32)/F11</f>
        <v>5.272973872588483E-2</v>
      </c>
      <c r="G46" s="248">
        <f>(G31+G32)/G11</f>
        <v>5.272973872588483E-2</v>
      </c>
      <c r="H46" s="279">
        <f>((G31+G32)/(D31+D32))^(1/3)-1</f>
        <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-0.38287520746855641</v>
      </c>
      <c r="E47" s="248">
        <f>1/E43</f>
        <v>0.20622710707396874</v>
      </c>
      <c r="F47" s="248">
        <f>1/F43</f>
        <v>0.27114947524272687</v>
      </c>
      <c r="G47" s="248">
        <f>1/G43</f>
        <v>0.35494984703600657</v>
      </c>
      <c r="H47" s="17">
        <f>H29</f>
        <v>-1.9750717692940674</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-0.19522484250962951</v>
      </c>
      <c r="E48" s="305">
        <f>E31/E29</f>
        <v>0.36244872528847905</v>
      </c>
      <c r="F48" s="305">
        <f>F31/F29</f>
        <v>0.27566622436565313</v>
      </c>
      <c r="G48" s="305">
        <f>G31/G29</f>
        <v>0.21058398166124084</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ageMargins left="0.75" right="0.75" top="1" bottom="1" header="0.5" footer="0.5"/>
  <pageSetup scale="7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4B7C0-A85E-4188-8ACF-C86B6B6ACE46}">
  <sheetPr codeName="Sheet100">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1075</v>
      </c>
      <c r="H4" s="153"/>
      <c r="P4" s="222"/>
    </row>
    <row r="5" spans="2:27" s="149" customFormat="1">
      <c r="C5" s="153"/>
      <c r="D5" s="605" t="s">
        <v>1437</v>
      </c>
      <c r="E5" s="605" t="s">
        <v>1438</v>
      </c>
      <c r="F5" s="605" t="s">
        <v>1439</v>
      </c>
      <c r="G5" s="605" t="s">
        <v>1549</v>
      </c>
      <c r="H5" s="605" t="s">
        <v>1550</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375</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116</v>
      </c>
      <c r="C9" s="287">
        <f>Prices!C108/Prices!C153</f>
        <v>1.4833361933003633</v>
      </c>
      <c r="D9" s="526">
        <v>0</v>
      </c>
      <c r="E9" s="526">
        <v>0</v>
      </c>
      <c r="F9" s="526">
        <v>0</v>
      </c>
      <c r="G9" s="526">
        <v>0</v>
      </c>
      <c r="H9" s="249"/>
      <c r="I9" s="249"/>
      <c r="J9" s="5" t="s">
        <v>268</v>
      </c>
      <c r="L9" s="525">
        <f>'EMEA CELLULAR'!D37</f>
        <v>3.1810559293853995</v>
      </c>
      <c r="M9" s="525">
        <f>'EMEA CELLULAR'!E37</f>
        <v>3.2323872383219907</v>
      </c>
      <c r="N9" s="525">
        <f>'EMEA CELLULAR'!F37</f>
        <v>2.8967593532646405</v>
      </c>
      <c r="O9" s="525">
        <f>'EMEA CELLULAR'!G37</f>
        <v>2.5822840300404155</v>
      </c>
      <c r="P9" s="286">
        <f>'LATAM INCUMB'!H37</f>
        <v>3.2219017878071687E-2</v>
      </c>
      <c r="S9" s="88"/>
      <c r="T9" s="42"/>
      <c r="U9" s="42"/>
      <c r="V9" s="42"/>
      <c r="W9" s="42"/>
      <c r="X9" s="42"/>
      <c r="Y9" s="42"/>
      <c r="Z9" s="42"/>
      <c r="AA9" s="42"/>
    </row>
    <row r="10" spans="2:27">
      <c r="B10" s="5" t="s">
        <v>269</v>
      </c>
      <c r="C10" s="5"/>
      <c r="D10" s="527">
        <v>3751</v>
      </c>
      <c r="E10" s="527">
        <v>3673</v>
      </c>
      <c r="F10" s="527">
        <v>3673</v>
      </c>
      <c r="G10" s="527">
        <v>3673</v>
      </c>
      <c r="H10" s="249"/>
      <c r="I10" s="247"/>
      <c r="J10" s="5" t="s">
        <v>180</v>
      </c>
      <c r="L10" s="525">
        <f>'EMEA CELLULAR'!D38</f>
        <v>7.7572766871744339</v>
      </c>
      <c r="M10" s="525">
        <f>'EMEA CELLULAR'!E38</f>
        <v>8.095415565986066</v>
      </c>
      <c r="N10" s="525">
        <f>'EMEA CELLULAR'!F38</f>
        <v>7.1463601536743644</v>
      </c>
      <c r="O10" s="525">
        <f>'EMEA CELLULAR'!G38</f>
        <v>6.3123163660270478</v>
      </c>
      <c r="P10" s="286">
        <f>'LATAM INCUMB'!H38</f>
        <v>5.2441939874377175E-2</v>
      </c>
      <c r="S10" s="88"/>
      <c r="T10" s="42"/>
      <c r="U10" s="42"/>
      <c r="V10" s="42"/>
      <c r="W10" s="288"/>
      <c r="X10" s="288"/>
      <c r="Y10" s="288"/>
      <c r="Z10" s="288"/>
      <c r="AA10" s="42"/>
    </row>
    <row r="11" spans="2:27">
      <c r="B11" s="41" t="s">
        <v>309</v>
      </c>
      <c r="C11" s="5"/>
      <c r="D11" s="528">
        <f>($C$9*D10)</f>
        <v>5563.9940610696622</v>
      </c>
      <c r="E11" s="528">
        <f>($C$9*E10)</f>
        <v>5448.2938379922343</v>
      </c>
      <c r="F11" s="528">
        <f>($C$9*F10)</f>
        <v>5448.2938379922343</v>
      </c>
      <c r="G11" s="528">
        <f>($C$9*G10)</f>
        <v>5448.2938379922343</v>
      </c>
      <c r="H11" s="249"/>
      <c r="I11" s="249"/>
      <c r="J11" s="5" t="s">
        <v>181</v>
      </c>
      <c r="L11" s="525">
        <f>'EMEA CELLULAR'!D39</f>
        <v>15.605152275252255</v>
      </c>
      <c r="M11" s="525">
        <f>'EMEA CELLULAR'!E39</f>
        <v>14.854063145861112</v>
      </c>
      <c r="N11" s="525">
        <f>'EMEA CELLULAR'!F39</f>
        <v>12.469863163008389</v>
      </c>
      <c r="O11" s="525">
        <f>'EMEA CELLULAR'!G39</f>
        <v>10.733351248281235</v>
      </c>
      <c r="P11" s="286">
        <f>'LATAM INCUMB'!H39</f>
        <v>0.13292489725074952</v>
      </c>
      <c r="S11" s="88"/>
      <c r="T11" s="42"/>
      <c r="U11" s="42"/>
      <c r="V11" s="42"/>
      <c r="W11" s="288"/>
      <c r="X11" s="288"/>
      <c r="Y11" s="288"/>
      <c r="Z11" s="288"/>
      <c r="AA11" s="42"/>
    </row>
    <row r="12" spans="2:27">
      <c r="B12" s="5" t="s">
        <v>24</v>
      </c>
      <c r="C12" s="249"/>
      <c r="D12" s="529">
        <v>3505</v>
      </c>
      <c r="E12" s="529">
        <v>3335.2500533620887</v>
      </c>
      <c r="F12" s="529">
        <v>3030.219114333855</v>
      </c>
      <c r="G12" s="529">
        <v>2664.372234469206</v>
      </c>
      <c r="H12" s="247"/>
      <c r="I12" s="247"/>
      <c r="J12" s="5" t="s">
        <v>461</v>
      </c>
      <c r="L12" s="525">
        <f>'EMEA CELLULAR'!D40</f>
        <v>19.965576466556715</v>
      </c>
      <c r="M12" s="525">
        <f>'EMEA CELLULAR'!E40</f>
        <v>18.915055159311862</v>
      </c>
      <c r="N12" s="525">
        <f>'EMEA CELLULAR'!F40</f>
        <v>18.041615049136492</v>
      </c>
      <c r="O12" s="525">
        <f>'EMEA CELLULAR'!G40</f>
        <v>15.593250523045757</v>
      </c>
      <c r="P12" s="286">
        <f>'LATAM INCUMB'!H40</f>
        <v>0.17960851918674359</v>
      </c>
      <c r="S12" s="88"/>
      <c r="T12" s="42"/>
      <c r="U12" s="42"/>
      <c r="V12" s="42"/>
      <c r="W12" s="288"/>
      <c r="X12" s="288"/>
      <c r="Y12" s="288"/>
      <c r="Z12" s="288"/>
      <c r="AA12" s="42"/>
    </row>
    <row r="13" spans="2:27">
      <c r="B13" s="5" t="s">
        <v>524</v>
      </c>
      <c r="C13" s="257"/>
      <c r="D13" s="529">
        <v>532</v>
      </c>
      <c r="E13" s="529">
        <v>532</v>
      </c>
      <c r="F13" s="529">
        <v>532</v>
      </c>
      <c r="G13" s="529">
        <v>532</v>
      </c>
      <c r="H13" s="247"/>
      <c r="I13" s="247"/>
      <c r="J13" s="5" t="s">
        <v>525</v>
      </c>
      <c r="L13" s="525">
        <f>'EMEA CELLULAR'!D41</f>
        <v>2.9187139333758294</v>
      </c>
      <c r="M13" s="525">
        <f>'EMEA CELLULAR'!E41</f>
        <v>2.9515664246277606</v>
      </c>
      <c r="N13" s="525">
        <f>'EMEA CELLULAR'!F41</f>
        <v>2.8267562188907287</v>
      </c>
      <c r="O13" s="525">
        <f>'EMEA CELLULAR'!G41</f>
        <v>2.6673762180421927</v>
      </c>
      <c r="P13" s="286">
        <f>'LATAM INCUMB'!H41</f>
        <v>-1.8012682500362365E-3</v>
      </c>
      <c r="S13" s="88"/>
      <c r="T13" s="42"/>
      <c r="U13" s="42"/>
      <c r="V13" s="42"/>
      <c r="W13" s="42"/>
      <c r="X13" s="42"/>
      <c r="Y13" s="42"/>
      <c r="Z13" s="42"/>
      <c r="AA13" s="42"/>
    </row>
    <row r="14" spans="2:27">
      <c r="B14" s="5" t="s">
        <v>527</v>
      </c>
      <c r="C14" s="257"/>
      <c r="D14" s="529">
        <v>0</v>
      </c>
      <c r="E14" s="529">
        <v>0</v>
      </c>
      <c r="F14" s="529">
        <v>0</v>
      </c>
      <c r="G14" s="529">
        <v>0</v>
      </c>
      <c r="H14" s="247"/>
      <c r="I14" s="247"/>
      <c r="J14" s="5" t="s">
        <v>588</v>
      </c>
      <c r="L14" s="525">
        <f>'EMEA CELLULAR'!D42</f>
        <v>4.7109464900339777</v>
      </c>
      <c r="M14" s="525">
        <f>'EMEA CELLULAR'!E42</f>
        <v>4.3550930553623157</v>
      </c>
      <c r="N14" s="525">
        <f>'EMEA CELLULAR'!F42</f>
        <v>4.15717737946275</v>
      </c>
      <c r="O14" s="525">
        <f>'EMEA CELLULAR'!G42</f>
        <v>3.8993389218542824</v>
      </c>
      <c r="P14" s="286">
        <f>'LATAM INCUMB'!H42</f>
        <v>-2.7338410987633122E-2</v>
      </c>
      <c r="S14" s="88"/>
      <c r="T14" s="42"/>
      <c r="U14" s="42"/>
      <c r="V14" s="42"/>
      <c r="W14" s="42"/>
      <c r="X14" s="42"/>
      <c r="Y14" s="42"/>
      <c r="Z14" s="42"/>
      <c r="AA14" s="42"/>
    </row>
    <row r="15" spans="2:27">
      <c r="B15" s="5" t="s">
        <v>526</v>
      </c>
      <c r="C15" s="274"/>
      <c r="D15" s="529">
        <v>2133.0507136941778</v>
      </c>
      <c r="E15" s="529">
        <v>2133.0507136941778</v>
      </c>
      <c r="F15" s="529">
        <v>2133.0507136941778</v>
      </c>
      <c r="G15" s="529">
        <v>2133.0507136941778</v>
      </c>
      <c r="H15" s="247"/>
      <c r="I15" s="247"/>
      <c r="J15" s="5" t="s">
        <v>470</v>
      </c>
      <c r="L15" s="525">
        <f>'EMEA CELLULAR'!D43</f>
        <v>44.913387794396655</v>
      </c>
      <c r="M15" s="525">
        <f>'EMEA CELLULAR'!E43</f>
        <v>29.995057672440403</v>
      </c>
      <c r="N15" s="525">
        <f>'EMEA CELLULAR'!F43</f>
        <v>25.064246666873888</v>
      </c>
      <c r="O15" s="525">
        <f>'EMEA CELLULAR'!G43</f>
        <v>21.218892573865638</v>
      </c>
      <c r="P15" s="286">
        <f>'LATAM INCUMB'!H43</f>
        <v>0.44386238616406404</v>
      </c>
      <c r="S15" s="88"/>
      <c r="T15" s="42"/>
      <c r="U15" s="42"/>
      <c r="V15" s="42"/>
      <c r="W15" s="42"/>
      <c r="X15" s="42"/>
      <c r="Y15" s="42"/>
      <c r="Z15" s="42"/>
      <c r="AA15" s="42"/>
    </row>
    <row r="16" spans="2:27">
      <c r="B16" s="5" t="s">
        <v>529</v>
      </c>
      <c r="C16" s="257"/>
      <c r="D16" s="529">
        <v>0</v>
      </c>
      <c r="E16" s="529">
        <v>0</v>
      </c>
      <c r="F16" s="529">
        <v>293.47769528000009</v>
      </c>
      <c r="G16" s="529">
        <v>640.26601777600013</v>
      </c>
      <c r="H16" s="247"/>
      <c r="I16" s="247"/>
      <c r="J16" s="5" t="s">
        <v>528</v>
      </c>
      <c r="L16" s="525">
        <f>'EMEA CELLULAR'!D44</f>
        <v>29.727847806043954</v>
      </c>
      <c r="M16" s="525">
        <f>'EMEA CELLULAR'!E44</f>
        <v>27.159249380804312</v>
      </c>
      <c r="N16" s="525">
        <f>'EMEA CELLULAR'!F44</f>
        <v>19.560820863413703</v>
      </c>
      <c r="O16" s="525">
        <f>'EMEA CELLULAR'!G44</f>
        <v>16.324783869234651</v>
      </c>
      <c r="P16" s="286">
        <f>'LATAM INCUMB'!H44</f>
        <v>0.27622076039307863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'EMEA CELLULAR'!D45</f>
        <v>1.8067342047517077E-2</v>
      </c>
      <c r="M17" s="248">
        <f>'EMEA CELLULAR'!E45</f>
        <v>2.1685197442238385E-2</v>
      </c>
      <c r="N17" s="248">
        <f>'EMEA CELLULAR'!F45</f>
        <v>2.716595241137466E-2</v>
      </c>
      <c r="O17" s="248">
        <f>'EMEA CELLULAR'!G45</f>
        <v>2.9076456344932108E-2</v>
      </c>
      <c r="P17" s="286">
        <f>'LATAM INCUMB'!H45</f>
        <v>9.2203572531136757E-2</v>
      </c>
      <c r="S17" s="88"/>
      <c r="T17" s="42"/>
      <c r="U17" s="42"/>
      <c r="V17" s="42"/>
      <c r="W17" s="42"/>
      <c r="X17" s="42"/>
      <c r="Y17" s="42"/>
      <c r="Z17" s="42"/>
      <c r="AA17" s="42"/>
    </row>
    <row r="18" spans="2:27" ht="12.6" thickBot="1">
      <c r="B18" s="41" t="s">
        <v>88</v>
      </c>
      <c r="C18" s="249"/>
      <c r="D18" s="530">
        <f>D11+D12+D13-D14+D15-D16-D17</f>
        <v>11734.044774763839</v>
      </c>
      <c r="E18" s="530">
        <f>E11+E12+E13-E14+E15-E16-E17</f>
        <v>11448.5946050485</v>
      </c>
      <c r="F18" s="530">
        <f>F11+F12+F13-F14+F15-F16-F17</f>
        <v>10850.085970740267</v>
      </c>
      <c r="G18" s="530">
        <f>G11+G12+G13-G14+G15-G16-G17</f>
        <v>10137.450768379618</v>
      </c>
      <c r="H18" s="276">
        <f>IF(D18=0,"nm",IF(G18=0,"nm",(G18/D18)^(1/3)-1))</f>
        <v>-4.7583291633341074E-2</v>
      </c>
      <c r="I18" s="254"/>
      <c r="J18" s="5" t="s">
        <v>36</v>
      </c>
      <c r="L18" s="248">
        <f>'EMEA CELLULAR'!D46</f>
        <v>1.9060999328690584E-2</v>
      </c>
      <c r="M18" s="248">
        <f>'EMEA CELLULAR'!E46</f>
        <v>1.6448875575029897E-2</v>
      </c>
      <c r="N18" s="248">
        <f>'EMEA CELLULAR'!F46</f>
        <v>3.2525613186693281E-2</v>
      </c>
      <c r="O18" s="248">
        <f>'EMEA CELLULAR'!G46</f>
        <v>2.8728545035796364E-2</v>
      </c>
      <c r="P18" s="286">
        <f>'LATAM INCUMB'!H46</f>
        <v>0.269707667316055</v>
      </c>
      <c r="S18" s="88"/>
      <c r="T18" s="42"/>
      <c r="U18" s="42"/>
      <c r="V18" s="42"/>
      <c r="W18" s="42"/>
      <c r="X18" s="42"/>
      <c r="Y18" s="42"/>
      <c r="Z18" s="42"/>
      <c r="AA18" s="42"/>
    </row>
    <row r="19" spans="2:27" ht="12.6" thickTop="1">
      <c r="B19" s="41"/>
      <c r="C19" s="249"/>
      <c r="D19" s="229"/>
      <c r="E19" s="229"/>
      <c r="F19" s="229"/>
      <c r="G19" s="229"/>
      <c r="H19" s="276"/>
      <c r="I19" s="254"/>
      <c r="J19" s="5" t="s">
        <v>576</v>
      </c>
      <c r="L19" s="248">
        <f>'EMEA CELLULAR'!D47</f>
        <v>2.226507616343203E-2</v>
      </c>
      <c r="M19" s="248">
        <f>'EMEA CELLULAR'!E47</f>
        <v>3.3338825713237569E-2</v>
      </c>
      <c r="N19" s="248">
        <f>'EMEA CELLULAR'!F47</f>
        <v>3.9897468824452963E-2</v>
      </c>
      <c r="O19" s="248">
        <f>'EMEA CELLULAR'!G47</f>
        <v>4.712781293928861E-2</v>
      </c>
      <c r="P19" s="286">
        <f>'LATAM INCUMB'!H47</f>
        <v>0.44386238616406404</v>
      </c>
      <c r="S19" s="88"/>
      <c r="T19" s="42"/>
      <c r="U19" s="42"/>
      <c r="V19" s="42"/>
      <c r="W19" s="42"/>
      <c r="X19" s="42"/>
      <c r="Y19" s="42"/>
      <c r="Z19" s="42"/>
      <c r="AA19" s="42"/>
    </row>
    <row r="20" spans="2:27">
      <c r="H20" s="277"/>
      <c r="I20" s="17"/>
      <c r="J20" s="5" t="s">
        <v>599</v>
      </c>
      <c r="L20" s="305">
        <f>'EMEA CELLULAR'!D48</f>
        <v>0.86093645070473657</v>
      </c>
      <c r="M20" s="305">
        <f>'EMEA CELLULAR'!E48</f>
        <v>0.6892786925982729</v>
      </c>
      <c r="N20" s="305">
        <f>'EMEA CELLULAR'!F48</f>
        <v>0.72154157991457057</v>
      </c>
      <c r="O20" s="305">
        <f>'EMEA CELLULAR'!G48</f>
        <v>0.65380157418816365</v>
      </c>
      <c r="P20" s="286" t="str">
        <f>'LATAM INCUMB'!H48</f>
        <v>nm</v>
      </c>
      <c r="S20" s="88"/>
      <c r="T20" s="42"/>
      <c r="U20" s="42"/>
      <c r="V20" s="42"/>
      <c r="W20" s="42"/>
      <c r="X20" s="42"/>
      <c r="Y20" s="42"/>
      <c r="Z20" s="42"/>
      <c r="AA20" s="42"/>
    </row>
    <row r="21" spans="2:27" ht="12.6" thickBot="1">
      <c r="B21" s="306" t="s">
        <v>919</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5255</v>
      </c>
      <c r="D23" s="536">
        <v>4979</v>
      </c>
      <c r="E23" s="536">
        <v>4905.0795176064439</v>
      </c>
      <c r="F23" s="536">
        <v>5571.6932835133121</v>
      </c>
      <c r="G23" s="536">
        <v>6204.4247581876516</v>
      </c>
      <c r="H23" s="279">
        <f t="shared" ref="H23:H32" si="3">IF(D23=0,"nm",IF(G23=0,"nm",(G23/D23)^(1/3)-1))</f>
        <v>7.6101240332220543E-2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2296</v>
      </c>
      <c r="D24" s="536">
        <v>2104</v>
      </c>
      <c r="E24" s="536">
        <v>2009.309246743383</v>
      </c>
      <c r="F24" s="536">
        <v>2347.9857746370558</v>
      </c>
      <c r="G24" s="536">
        <v>2670.8473801803939</v>
      </c>
      <c r="H24" s="279">
        <f t="shared" si="3"/>
        <v>8.2765589799916217E-2</v>
      </c>
      <c r="I24" s="249"/>
      <c r="J24" s="17"/>
      <c r="K24" s="17"/>
      <c r="L24" s="17"/>
      <c r="M24" s="17"/>
      <c r="N24" s="17"/>
      <c r="O24" s="248"/>
      <c r="S24" s="88"/>
      <c r="T24" s="42"/>
      <c r="U24" s="42"/>
      <c r="V24" s="42"/>
      <c r="W24" s="42" t="s">
        <v>566</v>
      </c>
      <c r="X24" s="42" t="s">
        <v>507</v>
      </c>
      <c r="Y24" s="42"/>
      <c r="Z24" s="42"/>
      <c r="AA24" s="42"/>
    </row>
    <row r="25" spans="2:27">
      <c r="B25" s="5" t="s">
        <v>179</v>
      </c>
      <c r="C25" s="544">
        <v>1548</v>
      </c>
      <c r="D25" s="536">
        <v>1367</v>
      </c>
      <c r="E25" s="536">
        <v>1269.7420359861908</v>
      </c>
      <c r="F25" s="536">
        <v>1487.9838782695265</v>
      </c>
      <c r="G25" s="536">
        <v>1726.7111585783969</v>
      </c>
      <c r="H25" s="279">
        <f t="shared" si="3"/>
        <v>8.0978510320863561E-2</v>
      </c>
      <c r="I25" s="248"/>
      <c r="J25" s="247" t="s">
        <v>10</v>
      </c>
      <c r="K25" s="247"/>
      <c r="L25" s="321">
        <v>0</v>
      </c>
      <c r="M25" s="321">
        <v>0</v>
      </c>
      <c r="N25" s="321">
        <v>0</v>
      </c>
      <c r="O25" s="321">
        <v>0</v>
      </c>
      <c r="P25" s="279" t="str">
        <f>IF(L25=0,"nm",IF(O25=0,"nm",(O25/L25)^(1/3)-1))</f>
        <v>nm</v>
      </c>
      <c r="S25" s="88"/>
      <c r="T25" s="42"/>
      <c r="U25" s="42"/>
      <c r="V25" s="147" t="s">
        <v>268</v>
      </c>
      <c r="W25" s="288">
        <f t="shared" ref="W25:W33" si="5">D37/L9</f>
        <v>0.74085686551653407</v>
      </c>
      <c r="X25" s="288">
        <v>1</v>
      </c>
      <c r="Y25" s="42"/>
      <c r="Z25" s="42"/>
      <c r="AA25" s="42"/>
    </row>
    <row r="26" spans="2:27">
      <c r="B26" s="5" t="s">
        <v>581</v>
      </c>
      <c r="C26" s="544">
        <v>1122.8239845261121</v>
      </c>
      <c r="D26" s="536">
        <v>1931.1587301587299</v>
      </c>
      <c r="E26" s="536">
        <v>888.8194251903335</v>
      </c>
      <c r="F26" s="536">
        <v>1041.5887147886685</v>
      </c>
      <c r="G26" s="536">
        <v>1208.6978110048776</v>
      </c>
      <c r="H26" s="279">
        <f t="shared" si="3"/>
        <v>-0.14460523522171143</v>
      </c>
      <c r="I26" s="249"/>
      <c r="J26" s="249" t="s">
        <v>11</v>
      </c>
      <c r="K26" s="249"/>
      <c r="L26" s="281">
        <f>D11+L25</f>
        <v>5563.9940610696622</v>
      </c>
      <c r="M26" s="281">
        <f>E11+M25</f>
        <v>5448.2938379922343</v>
      </c>
      <c r="N26" s="281">
        <f>F11+N25</f>
        <v>5448.2938379922343</v>
      </c>
      <c r="O26" s="281">
        <f>G11+O25</f>
        <v>5448.2938379922343</v>
      </c>
      <c r="P26" s="279">
        <f>IF(L26=0,"nm",IF(O26=0,"nm",(O26/L26)^(1/3)-1))</f>
        <v>-6.9800932788561809E-3</v>
      </c>
      <c r="Q26" s="5"/>
      <c r="S26" s="88"/>
      <c r="T26" s="42"/>
      <c r="U26" s="42"/>
      <c r="V26" s="147" t="s">
        <v>180</v>
      </c>
      <c r="W26" s="288">
        <f t="shared" si="5"/>
        <v>0.71894012594919265</v>
      </c>
      <c r="X26" s="288">
        <v>1</v>
      </c>
      <c r="Y26" s="42"/>
      <c r="Z26" s="42"/>
      <c r="AA26" s="42"/>
    </row>
    <row r="27" spans="2:27">
      <c r="B27" s="5" t="s">
        <v>582</v>
      </c>
      <c r="C27" s="545">
        <v>7505</v>
      </c>
      <c r="D27" s="536">
        <v>5945</v>
      </c>
      <c r="E27" s="536">
        <v>5686.9019793847256</v>
      </c>
      <c r="F27" s="536">
        <v>5774.7017312232729</v>
      </c>
      <c r="G27" s="536">
        <v>5986.2558467942554</v>
      </c>
      <c r="H27" s="279">
        <f t="shared" si="3"/>
        <v>2.3078654429296019E-3</v>
      </c>
      <c r="I27" s="249"/>
      <c r="J27" s="248"/>
      <c r="K27" s="248"/>
      <c r="L27" s="248"/>
      <c r="M27" s="248"/>
      <c r="N27" s="248"/>
      <c r="O27" s="248"/>
      <c r="Q27" s="41"/>
      <c r="S27" s="88"/>
      <c r="T27" s="42"/>
      <c r="U27" s="42"/>
      <c r="V27" s="147" t="s">
        <v>181</v>
      </c>
      <c r="W27" s="288">
        <f t="shared" si="5"/>
        <v>0.5500614579819656</v>
      </c>
      <c r="X27" s="288">
        <v>1</v>
      </c>
      <c r="Y27" s="42"/>
      <c r="Z27" s="42"/>
      <c r="AA27" s="42"/>
    </row>
    <row r="28" spans="2:27" ht="12.6" thickBot="1">
      <c r="B28" s="5" t="s">
        <v>587</v>
      </c>
      <c r="C28" s="544">
        <v>4817</v>
      </c>
      <c r="D28" s="536">
        <v>4267</v>
      </c>
      <c r="E28" s="536">
        <v>4171.1106836246818</v>
      </c>
      <c r="F28" s="536">
        <v>4306.6145112157483</v>
      </c>
      <c r="G28" s="536">
        <v>4511.7765936383921</v>
      </c>
      <c r="H28" s="279">
        <f t="shared" si="3"/>
        <v>1.8767263959831082E-2</v>
      </c>
      <c r="I28" s="248"/>
      <c r="J28" s="306" t="s">
        <v>1352</v>
      </c>
      <c r="K28" s="306"/>
      <c r="L28" s="306"/>
      <c r="M28" s="306"/>
      <c r="N28" s="266"/>
      <c r="O28" s="266"/>
      <c r="P28" s="266"/>
      <c r="Q28" s="5"/>
      <c r="S28" s="88"/>
      <c r="T28" s="42"/>
      <c r="U28" s="42"/>
      <c r="V28" s="147" t="s">
        <v>461</v>
      </c>
      <c r="W28" s="288">
        <f t="shared" si="5"/>
        <v>0.30433220679324563</v>
      </c>
      <c r="X28" s="288">
        <v>1</v>
      </c>
      <c r="Y28" s="42"/>
      <c r="Z28" s="42"/>
      <c r="AA28" s="42"/>
    </row>
    <row r="29" spans="2:27" ht="12.6" thickTop="1">
      <c r="B29" s="5" t="s">
        <v>583</v>
      </c>
      <c r="C29" s="544">
        <v>356.2</v>
      </c>
      <c r="D29" s="536">
        <v>651.1</v>
      </c>
      <c r="E29" s="536">
        <v>578.0538008530549</v>
      </c>
      <c r="F29" s="536">
        <v>639.93747215558426</v>
      </c>
      <c r="G29" s="536">
        <v>738.20729957668891</v>
      </c>
      <c r="H29" s="279">
        <f t="shared" si="3"/>
        <v>4.2742032156974918E-2</v>
      </c>
      <c r="I29" s="252"/>
      <c r="J29" s="249"/>
      <c r="K29" s="249"/>
      <c r="L29" s="249"/>
      <c r="M29" s="249"/>
      <c r="N29" s="249"/>
      <c r="O29" s="251"/>
      <c r="Q29" s="5"/>
      <c r="S29" s="88"/>
      <c r="T29" s="42"/>
      <c r="U29" s="42"/>
      <c r="V29" s="147" t="s">
        <v>525</v>
      </c>
      <c r="W29" s="288">
        <f t="shared" si="5"/>
        <v>0.67624544175490453</v>
      </c>
      <c r="X29" s="288">
        <v>1</v>
      </c>
      <c r="Y29" s="42"/>
      <c r="Z29" s="42"/>
      <c r="AA29" s="42"/>
    </row>
    <row r="30" spans="2:27">
      <c r="B30" s="5" t="s">
        <v>584</v>
      </c>
      <c r="C30" s="545">
        <v>499</v>
      </c>
      <c r="D30" s="536">
        <v>-465</v>
      </c>
      <c r="E30" s="536">
        <v>155.37345666553932</v>
      </c>
      <c r="F30" s="536">
        <v>902.44132840441716</v>
      </c>
      <c r="G30" s="536">
        <v>1152.4115497925552</v>
      </c>
      <c r="H30" s="279">
        <f>IF(D30=0,"nm",IF(G30=0,"nm",(G30/D30)^(1/3)-1))</f>
        <v>-2.3532713363510203</v>
      </c>
      <c r="I30" s="254"/>
      <c r="J30" s="248"/>
      <c r="K30" s="248"/>
      <c r="L30" s="248"/>
      <c r="M30" s="248"/>
      <c r="N30" s="248"/>
      <c r="O30" s="5"/>
      <c r="Q30" s="5"/>
      <c r="S30" s="88"/>
      <c r="T30" s="42"/>
      <c r="U30" s="42"/>
      <c r="V30" s="147" t="s">
        <v>588</v>
      </c>
      <c r="W30" s="288">
        <f t="shared" si="5"/>
        <v>0.5837366036549767</v>
      </c>
      <c r="X30" s="288">
        <v>1</v>
      </c>
      <c r="Y30" s="42"/>
      <c r="Z30" s="42"/>
      <c r="AA30" s="42"/>
    </row>
    <row r="31" spans="2:27">
      <c r="B31" s="5" t="s">
        <v>585</v>
      </c>
      <c r="C31" s="545">
        <v>-195</v>
      </c>
      <c r="D31" s="536">
        <v>-212</v>
      </c>
      <c r="E31" s="536">
        <v>-233.51251000000002</v>
      </c>
      <c r="F31" s="536">
        <v>-257.70649520000006</v>
      </c>
      <c r="G31" s="536">
        <v>-293.47769528000003</v>
      </c>
      <c r="H31" s="279">
        <f t="shared" si="3"/>
        <v>0.11449916209622768</v>
      </c>
      <c r="I31" s="254"/>
      <c r="J31" s="252"/>
      <c r="K31" s="252"/>
      <c r="L31" s="252"/>
      <c r="M31" s="252"/>
      <c r="N31" s="252"/>
      <c r="O31" s="5"/>
      <c r="Q31" s="5"/>
      <c r="S31" s="88"/>
      <c r="T31" s="42"/>
      <c r="U31" s="42"/>
      <c r="V31" s="147" t="s">
        <v>470</v>
      </c>
      <c r="W31" s="288">
        <f t="shared" si="5"/>
        <v>0.19026685845891492</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-0.40250403271788643</v>
      </c>
      <c r="X32" s="288">
        <v>1</v>
      </c>
      <c r="Y32" s="42"/>
      <c r="Z32" s="42"/>
      <c r="AA32" s="42"/>
    </row>
    <row r="33" spans="2:27">
      <c r="B33" s="5" t="s">
        <v>5</v>
      </c>
      <c r="C33" s="545">
        <v>-723</v>
      </c>
      <c r="D33" s="536">
        <v>-1703</v>
      </c>
      <c r="E33" s="536">
        <v>-838.20966348528407</v>
      </c>
      <c r="F33" s="536">
        <v>-492.62442881247557</v>
      </c>
      <c r="G33" s="536">
        <v>-478.46602915284382</v>
      </c>
      <c r="H33" s="279">
        <f>IF(D33=0,"nm",IF(G33=0,"nm",(G33/D33)^(1/3)-1))</f>
        <v>-0.34504395703891722</v>
      </c>
      <c r="I33" s="5"/>
      <c r="J33" s="254"/>
      <c r="K33" s="254"/>
      <c r="L33" s="254"/>
      <c r="M33" s="254"/>
      <c r="N33" s="254"/>
      <c r="O33" s="251"/>
      <c r="Q33" s="5"/>
      <c r="S33" s="88"/>
      <c r="T33" s="42"/>
      <c r="U33" s="42"/>
      <c r="V33" s="147" t="s">
        <v>575</v>
      </c>
      <c r="W33" s="288">
        <f t="shared" si="5"/>
        <v>-2.1088949000072534</v>
      </c>
      <c r="X33" s="288">
        <v>1</v>
      </c>
      <c r="Y33" s="42"/>
      <c r="Z33" s="42"/>
      <c r="AA33" s="42"/>
    </row>
    <row r="34" spans="2:27">
      <c r="H34" s="277"/>
      <c r="I34" s="49"/>
      <c r="J34" s="254"/>
      <c r="K34" s="254"/>
      <c r="L34" s="254"/>
      <c r="M34" s="254"/>
      <c r="N34" s="254"/>
      <c r="O34" s="251"/>
      <c r="Q34" s="5"/>
      <c r="S34" s="88"/>
      <c r="T34" s="42"/>
      <c r="U34" s="42"/>
      <c r="V34" s="147" t="s">
        <v>576</v>
      </c>
      <c r="W34" s="288">
        <f>D47/L19</f>
        <v>5.2557760615779223</v>
      </c>
      <c r="X34" s="288">
        <v>1</v>
      </c>
      <c r="Y34" s="288"/>
      <c r="Z34" s="288"/>
      <c r="AA34" s="42"/>
    </row>
    <row r="35" spans="2:27" ht="12.6" thickBot="1">
      <c r="B35" s="306" t="s">
        <v>1364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2.3567071248772522</v>
      </c>
      <c r="E37" s="525">
        <f t="shared" ref="E37:G41" si="7">E$18/E23</f>
        <v>2.3340283402041826</v>
      </c>
      <c r="F37" s="525">
        <f t="shared" si="7"/>
        <v>1.9473588043415391</v>
      </c>
      <c r="G37" s="525">
        <f t="shared" si="7"/>
        <v>1.6339066333267658</v>
      </c>
      <c r="H37" s="17">
        <f t="shared" ref="H37:H45" si="8">H23</f>
        <v>7.6101240332220543E-2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5.5770174784999238</v>
      </c>
      <c r="E38" s="525">
        <f t="shared" si="7"/>
        <v>5.6977762997925652</v>
      </c>
      <c r="F38" s="525">
        <f t="shared" si="7"/>
        <v>4.6210186143131295</v>
      </c>
      <c r="G38" s="525">
        <f t="shared" si="7"/>
        <v>3.7955934298630409</v>
      </c>
      <c r="H38" s="17">
        <f t="shared" si="8"/>
        <v>8.2765589799916217E-2</v>
      </c>
      <c r="I38" s="259"/>
      <c r="J38" s="17"/>
      <c r="K38" s="17"/>
      <c r="L38" s="17"/>
      <c r="M38" s="17"/>
      <c r="N38" s="17"/>
      <c r="O38" s="5"/>
      <c r="Q38" s="5"/>
      <c r="R38" s="5"/>
      <c r="S38" s="42"/>
      <c r="T38" s="42"/>
      <c r="U38" s="42"/>
      <c r="V38" s="42"/>
      <c r="W38" s="42"/>
      <c r="X38" s="42"/>
      <c r="Y38" s="42"/>
      <c r="Z38" s="42"/>
      <c r="AA38" s="42"/>
    </row>
    <row r="39" spans="2:27">
      <c r="B39" s="5" t="s">
        <v>181</v>
      </c>
      <c r="C39" s="247"/>
      <c r="D39" s="525">
        <f>D$18/D25</f>
        <v>8.5837928125558438</v>
      </c>
      <c r="E39" s="525">
        <f t="shared" si="7"/>
        <v>9.0164728587224712</v>
      </c>
      <c r="F39" s="525">
        <f t="shared" si="7"/>
        <v>7.2918034457191432</v>
      </c>
      <c r="G39" s="525">
        <f t="shared" si="7"/>
        <v>5.8709592035797069</v>
      </c>
      <c r="H39" s="17">
        <f t="shared" si="8"/>
        <v>8.0978510320863561E-2</v>
      </c>
      <c r="I39" s="17"/>
      <c r="J39" s="5"/>
      <c r="K39" s="5"/>
      <c r="L39" s="5"/>
      <c r="M39" s="5"/>
      <c r="N39" s="5"/>
      <c r="O39" s="5"/>
      <c r="Q39" s="5"/>
      <c r="R39" s="5"/>
      <c r="S39" s="42"/>
      <c r="T39" s="42"/>
      <c r="U39" s="42"/>
      <c r="V39" s="42"/>
      <c r="W39" s="42"/>
      <c r="X39" s="42"/>
      <c r="Y39" s="42"/>
      <c r="Z39" s="42"/>
      <c r="AA39" s="42"/>
    </row>
    <row r="40" spans="2:27">
      <c r="B40" s="5" t="s">
        <v>461</v>
      </c>
      <c r="C40" s="247"/>
      <c r="D40" s="525">
        <f>D$18/D26</f>
        <v>6.076167945966497</v>
      </c>
      <c r="E40" s="525">
        <f t="shared" si="7"/>
        <v>12.880675512460673</v>
      </c>
      <c r="F40" s="525">
        <f t="shared" si="7"/>
        <v>10.416862065313062</v>
      </c>
      <c r="G40" s="525">
        <f t="shared" si="7"/>
        <v>8.3870845765424402</v>
      </c>
      <c r="H40" s="17">
        <f t="shared" si="8"/>
        <v>-0.14460523522171143</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1.9737669932319326</v>
      </c>
      <c r="E41" s="525">
        <f t="shared" si="7"/>
        <v>2.0131513865633992</v>
      </c>
      <c r="F41" s="525">
        <f t="shared" si="7"/>
        <v>1.8788998074263932</v>
      </c>
      <c r="G41" s="525">
        <f t="shared" si="7"/>
        <v>1.6934543106453428</v>
      </c>
      <c r="H41" s="17">
        <f t="shared" si="8"/>
        <v>2.3078654429296019E-3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2.7499519040927676</v>
      </c>
      <c r="E42" s="525">
        <f>E18/E28</f>
        <v>2.7447352691920677</v>
      </c>
      <c r="F42" s="525">
        <f>F18/F28</f>
        <v>2.5194003183900735</v>
      </c>
      <c r="G42" s="525">
        <f>G18/G28</f>
        <v>2.2468866882002603</v>
      </c>
      <c r="H42" s="17">
        <f t="shared" si="8"/>
        <v>1.8767263959831082E-2</v>
      </c>
      <c r="I42" s="248"/>
      <c r="J42" s="5"/>
      <c r="K42" s="5"/>
      <c r="L42" s="5"/>
      <c r="M42" s="5"/>
      <c r="N42" s="5"/>
      <c r="O42" s="5"/>
      <c r="Q42" s="5"/>
      <c r="R42" s="5"/>
      <c r="S42" s="42"/>
      <c r="T42" s="42"/>
      <c r="U42" s="42"/>
      <c r="V42" s="42"/>
      <c r="W42" s="288"/>
      <c r="X42" s="288"/>
      <c r="Y42" s="288"/>
      <c r="Z42" s="288"/>
      <c r="AA42" s="42"/>
    </row>
    <row r="43" spans="2:27">
      <c r="B43" s="5" t="s">
        <v>470</v>
      </c>
      <c r="C43" s="247"/>
      <c r="D43" s="525">
        <f>L26/D29</f>
        <v>8.5455291983868253</v>
      </c>
      <c r="E43" s="525">
        <f>M26/E29</f>
        <v>9.4252365955417812</v>
      </c>
      <c r="F43" s="525">
        <f>N26/F29</f>
        <v>8.5137909171657675</v>
      </c>
      <c r="G43" s="525">
        <f>O26/G29</f>
        <v>7.3804388565602856</v>
      </c>
      <c r="H43" s="17">
        <f t="shared" si="8"/>
        <v>4.2742032156974918E-2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-11.965578625956264</v>
      </c>
      <c r="E44" s="525">
        <f>E11/E30</f>
        <v>35.065795374047475</v>
      </c>
      <c r="F44" s="525">
        <f>F11/F30</f>
        <v>6.0372831634663937</v>
      </c>
      <c r="G44" s="525">
        <f>G11/G30</f>
        <v>4.727732760898637</v>
      </c>
      <c r="H44" s="17">
        <f t="shared" si="8"/>
        <v>-2.3532713363510203</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-3.8102125500695375E-2</v>
      </c>
      <c r="E45" s="248">
        <f>E31/E11</f>
        <v>-4.2859749665420457E-2</v>
      </c>
      <c r="F45" s="248">
        <f>F31/F11</f>
        <v>-4.7300403183644771E-2</v>
      </c>
      <c r="G45" s="248">
        <f>G31/G11</f>
        <v>-5.3865981536001424E-2</v>
      </c>
      <c r="H45" s="17">
        <f t="shared" si="8"/>
        <v>0.11449916209622768</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-3.8102125500695375E-2</v>
      </c>
      <c r="E46" s="248">
        <f>(E31+E32)/E11</f>
        <v>-4.2859749665420457E-2</v>
      </c>
      <c r="F46" s="248">
        <f>(F31+F32)/F11</f>
        <v>-4.7300403183644771E-2</v>
      </c>
      <c r="G46" s="248">
        <f>(G31+G32)/G11</f>
        <v>-5.3865981536001424E-2</v>
      </c>
      <c r="H46" s="279">
        <f>((G31+G32)/(D31+D32))^(1/3)-1</f>
        <v>0.11449916209622768</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0.11702025430897528</v>
      </c>
      <c r="E47" s="248">
        <f>1/E43</f>
        <v>0.10609813237717647</v>
      </c>
      <c r="F47" s="248">
        <f>1/F43</f>
        <v>0.1174564902673108</v>
      </c>
      <c r="G47" s="248">
        <f>1/G43</f>
        <v>0.13549329781536301</v>
      </c>
      <c r="H47" s="17">
        <f>H29</f>
        <v>4.2742032156974918E-2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-0.32560282598679158</v>
      </c>
      <c r="E48" s="305">
        <f>E31/E29</f>
        <v>-0.40396328102228057</v>
      </c>
      <c r="F48" s="305">
        <f>F31/F29</f>
        <v>-0.40270574300319356</v>
      </c>
      <c r="G48" s="305">
        <f>G31/G29</f>
        <v>-0.39755458317506381</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hyperlinks>
    <hyperlink ref="C2" location="AMXSOP!A1" display="Jump to AMXSop" xr:uid="{231034AE-3E8F-44E8-ACAD-80A8DB231252}"/>
  </hyperlinks>
  <pageMargins left="0.75" right="0.75" top="1" bottom="1" header="0.5" footer="0.5"/>
  <pageSetup scale="71" orientation="landscape"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223">
    <pageSetUpPr fitToPage="1"/>
  </sheetPr>
  <dimension ref="B1:AR165"/>
  <sheetViews>
    <sheetView showGridLines="0" zoomScale="80" zoomScaleNormal="80" zoomScaleSheetLayoutView="7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890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1378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892</v>
      </c>
      <c r="C9" s="267">
        <f>Prices!C31</f>
        <v>19.059999999999999</v>
      </c>
      <c r="D9" s="531">
        <v>0</v>
      </c>
      <c r="E9" s="532">
        <v>0</v>
      </c>
      <c r="F9" s="532">
        <v>0</v>
      </c>
      <c r="G9" s="532">
        <v>0</v>
      </c>
      <c r="H9" s="249"/>
      <c r="I9" s="249"/>
      <c r="J9" s="5" t="s">
        <v>268</v>
      </c>
      <c r="L9" s="525">
        <f>'W.EUR OTHER'!D37</f>
        <v>1.9589195361329668</v>
      </c>
      <c r="M9" s="525">
        <f>'W.EUR OTHER'!E37</f>
        <v>1.6383796798063159</v>
      </c>
      <c r="N9" s="525">
        <f>'W.EUR OTHER'!F37</f>
        <v>1.5411744049087741</v>
      </c>
      <c r="O9" s="525">
        <f>'W.EUR OTHER'!G37</f>
        <v>1.4434676732212866</v>
      </c>
      <c r="P9" s="279">
        <f>'W.EUR OTHER'!H37</f>
        <v>1.8004685546411769E-2</v>
      </c>
      <c r="S9" s="88"/>
      <c r="T9" s="42"/>
      <c r="U9" s="42"/>
      <c r="V9" s="42"/>
      <c r="W9" s="42"/>
      <c r="X9" s="42"/>
      <c r="Y9" s="42"/>
      <c r="Z9" s="42"/>
      <c r="AA9" s="42"/>
    </row>
    <row r="10" spans="2:44">
      <c r="B10" s="5" t="s">
        <v>269</v>
      </c>
      <c r="C10" s="5"/>
      <c r="D10" s="527">
        <v>172.816295</v>
      </c>
      <c r="E10" s="527">
        <v>172.816295</v>
      </c>
      <c r="F10" s="527">
        <v>172.816295</v>
      </c>
      <c r="G10" s="527">
        <v>172.816295</v>
      </c>
      <c r="H10" s="247"/>
      <c r="I10" s="247"/>
      <c r="J10" s="5" t="s">
        <v>180</v>
      </c>
      <c r="L10" s="525">
        <f>'W.EUR OTHER'!D38</f>
        <v>4.8812882235325841</v>
      </c>
      <c r="M10" s="525">
        <f>'W.EUR OTHER'!E38</f>
        <v>4.145841728258338</v>
      </c>
      <c r="N10" s="525">
        <f>'W.EUR OTHER'!F38</f>
        <v>3.8271320252352607</v>
      </c>
      <c r="O10" s="525">
        <f>'W.EUR OTHER'!G38</f>
        <v>3.5258553553595839</v>
      </c>
      <c r="P10" s="279">
        <f>'W.EUR OTHER'!H38</f>
        <v>2.4794026477105824E-2</v>
      </c>
      <c r="S10" s="88"/>
      <c r="T10" s="42"/>
      <c r="U10" s="42"/>
      <c r="V10" s="42"/>
      <c r="W10" s="288"/>
      <c r="X10" s="288"/>
      <c r="Y10" s="288"/>
      <c r="Z10" s="288"/>
      <c r="AA10" s="42"/>
    </row>
    <row r="11" spans="2:44">
      <c r="B11" s="41" t="s">
        <v>270</v>
      </c>
      <c r="C11" s="5"/>
      <c r="D11" s="528">
        <f>$C$9*D10</f>
        <v>3293.8785826999997</v>
      </c>
      <c r="E11" s="528">
        <f>$C$9*E10</f>
        <v>3293.8785826999997</v>
      </c>
      <c r="F11" s="528">
        <f>$C$9*F10</f>
        <v>3293.8785826999997</v>
      </c>
      <c r="G11" s="528">
        <f>$C$9*G10</f>
        <v>3293.8785826999997</v>
      </c>
      <c r="H11" s="249"/>
      <c r="I11" s="249"/>
      <c r="J11" s="5" t="s">
        <v>181</v>
      </c>
      <c r="L11" s="525">
        <f>'W.EUR OTHER'!D39</f>
        <v>13.16156410853363</v>
      </c>
      <c r="M11" s="525">
        <f>'W.EUR OTHER'!E39</f>
        <v>11.425296433104002</v>
      </c>
      <c r="N11" s="525">
        <f>'W.EUR OTHER'!F39</f>
        <v>9.8430805940601882</v>
      </c>
      <c r="O11" s="525">
        <f>'W.EUR OTHER'!G39</f>
        <v>8.6472666256233168</v>
      </c>
      <c r="P11" s="279">
        <f>'W.EUR OTHER'!H39</f>
        <v>5.7684523659928821E-2</v>
      </c>
      <c r="S11" s="88"/>
      <c r="T11" s="42"/>
      <c r="U11" s="42"/>
      <c r="V11" s="42"/>
      <c r="W11" s="288"/>
      <c r="X11" s="288"/>
      <c r="Y11" s="288"/>
      <c r="Z11" s="288"/>
      <c r="AA11" s="42"/>
    </row>
    <row r="12" spans="2:44">
      <c r="B12" s="5" t="s">
        <v>24</v>
      </c>
      <c r="C12" s="249"/>
      <c r="D12" s="529">
        <v>2436.5720000000001</v>
      </c>
      <c r="E12" s="529">
        <v>3056.2449258653164</v>
      </c>
      <c r="F12" s="529">
        <v>3332.1223569392073</v>
      </c>
      <c r="G12" s="529">
        <v>3425.8482038938532</v>
      </c>
      <c r="H12" s="247"/>
      <c r="I12" s="247"/>
      <c r="J12" s="5" t="s">
        <v>461</v>
      </c>
      <c r="L12" s="525">
        <f>'W.EUR OTHER'!D40</f>
        <v>18.782864415708623</v>
      </c>
      <c r="M12" s="525">
        <f>'W.EUR OTHER'!E40</f>
        <v>16.344811252802039</v>
      </c>
      <c r="N12" s="525">
        <f>'W.EUR OTHER'!F40</f>
        <v>14.257332213491615</v>
      </c>
      <c r="O12" s="525">
        <f>'W.EUR OTHER'!G40</f>
        <v>12.325553609893248</v>
      </c>
      <c r="P12" s="279">
        <f>'W.EUR OTHER'!H40</f>
        <v>5.8112215141036705E-2</v>
      </c>
      <c r="S12" s="88"/>
      <c r="T12" s="42"/>
      <c r="U12" s="42"/>
      <c r="V12" s="42"/>
      <c r="W12" s="288"/>
      <c r="X12" s="288"/>
      <c r="Y12" s="288"/>
      <c r="Z12" s="288"/>
      <c r="AA12" s="42"/>
    </row>
    <row r="13" spans="2:44">
      <c r="B13" s="5" t="s">
        <v>524</v>
      </c>
      <c r="C13" s="257"/>
      <c r="D13" s="529">
        <v>1277.8216302259802</v>
      </c>
      <c r="E13" s="529">
        <v>1277.8216302259802</v>
      </c>
      <c r="F13" s="529">
        <v>1273.012987820895</v>
      </c>
      <c r="G13" s="529">
        <v>1267.8869750170741</v>
      </c>
      <c r="H13" s="247"/>
      <c r="I13" s="247"/>
      <c r="J13" s="5" t="s">
        <v>525</v>
      </c>
      <c r="L13" s="525">
        <f>'W.EUR OTHER'!D41</f>
        <v>0.84442389849965394</v>
      </c>
      <c r="M13" s="525">
        <f>'W.EUR OTHER'!E41</f>
        <v>0.81498961294635097</v>
      </c>
      <c r="N13" s="525">
        <f>'W.EUR OTHER'!F41</f>
        <v>0.77498610757856878</v>
      </c>
      <c r="O13" s="525">
        <f>'W.EUR OTHER'!G41</f>
        <v>0.73281741958307633</v>
      </c>
      <c r="P13" s="279">
        <f>'W.EUR OTHER'!H41</f>
        <v>-3.6019662148356391E-2</v>
      </c>
      <c r="S13" s="88"/>
      <c r="T13" s="42"/>
      <c r="U13" s="42"/>
      <c r="V13" s="42"/>
      <c r="W13" s="42"/>
      <c r="X13" s="42"/>
      <c r="Y13" s="42"/>
      <c r="Z13" s="42"/>
      <c r="AA13" s="42"/>
    </row>
    <row r="14" spans="2:44">
      <c r="B14" s="5" t="s">
        <v>527</v>
      </c>
      <c r="C14" s="257"/>
      <c r="D14" s="529">
        <v>127.30200000000001</v>
      </c>
      <c r="E14" s="529">
        <v>127.30200000000001</v>
      </c>
      <c r="F14" s="529">
        <v>127.30200000000001</v>
      </c>
      <c r="G14" s="529">
        <v>127.30200000000001</v>
      </c>
      <c r="H14" s="247"/>
      <c r="I14" s="247"/>
      <c r="J14" s="5" t="s">
        <v>588</v>
      </c>
      <c r="L14" s="525">
        <f>'W.EUR OTHER'!D42</f>
        <v>2.9998062507434589</v>
      </c>
      <c r="M14" s="525">
        <f>'W.EUR OTHER'!E42</f>
        <v>2.5616627697063863</v>
      </c>
      <c r="N14" s="525">
        <f>'W.EUR OTHER'!F42</f>
        <v>2.4320616245212983</v>
      </c>
      <c r="O14" s="525">
        <f>'W.EUR OTHER'!G42</f>
        <v>2.298739291377446</v>
      </c>
      <c r="P14" s="279">
        <f>'W.EUR OTHER'!H42</f>
        <v>4.8033956462567584E-3</v>
      </c>
      <c r="S14" s="88"/>
      <c r="T14" s="42"/>
      <c r="U14" s="42"/>
      <c r="V14" s="42"/>
      <c r="W14" s="42"/>
      <c r="X14" s="42"/>
      <c r="Y14" s="42"/>
      <c r="Z14" s="42"/>
      <c r="AA14" s="42"/>
    </row>
    <row r="15" spans="2:44">
      <c r="B15" s="5" t="s">
        <v>526</v>
      </c>
      <c r="C15" s="274"/>
      <c r="D15" s="529">
        <v>2325.9090404237659</v>
      </c>
      <c r="E15" s="529">
        <v>2325.9090404237659</v>
      </c>
      <c r="F15" s="529">
        <v>2325.9090404237659</v>
      </c>
      <c r="G15" s="529">
        <v>2325.9090404237659</v>
      </c>
      <c r="H15" s="247"/>
      <c r="I15" s="247"/>
      <c r="J15" s="5" t="s">
        <v>470</v>
      </c>
      <c r="L15" s="525">
        <f>'W.EUR OTHER'!D43</f>
        <v>36.043730510598792</v>
      </c>
      <c r="M15" s="525">
        <f>'W.EUR OTHER'!E43</f>
        <v>34.490732675014193</v>
      </c>
      <c r="N15" s="525">
        <f>'W.EUR OTHER'!F43</f>
        <v>16.287705091950169</v>
      </c>
      <c r="O15" s="525">
        <f>'W.EUR OTHER'!G43</f>
        <v>11.941589892511526</v>
      </c>
      <c r="P15" s="279">
        <f>'W.EUR OTHER'!H43</f>
        <v>0.37754240659126448</v>
      </c>
      <c r="S15" s="88"/>
      <c r="T15" s="42"/>
      <c r="U15" s="42"/>
      <c r="V15" s="42"/>
      <c r="W15" s="42"/>
      <c r="X15" s="42"/>
      <c r="Y15" s="42"/>
      <c r="Z15" s="42"/>
      <c r="AA15" s="42"/>
    </row>
    <row r="16" spans="2:44">
      <c r="B16" s="5" t="s">
        <v>529</v>
      </c>
      <c r="C16" s="257"/>
      <c r="D16" s="529">
        <v>0</v>
      </c>
      <c r="E16" s="529">
        <v>0</v>
      </c>
      <c r="F16" s="529">
        <v>86.408147499999998</v>
      </c>
      <c r="G16" s="529">
        <v>172.816295</v>
      </c>
      <c r="H16" s="247"/>
      <c r="I16" s="247"/>
      <c r="J16" s="5" t="s">
        <v>528</v>
      </c>
      <c r="L16" s="525">
        <f>'W.EUR OTHER'!D44</f>
        <v>18.190653543431651</v>
      </c>
      <c r="M16" s="525">
        <f>'W.EUR OTHER'!E44</f>
        <v>13.647996044938878</v>
      </c>
      <c r="N16" s="525">
        <f>'W.EUR OTHER'!F44</f>
        <v>10.565198529238016</v>
      </c>
      <c r="O16" s="525">
        <f>'W.EUR OTHER'!G44</f>
        <v>9.2374096772312519</v>
      </c>
      <c r="P16" s="279">
        <f>'W.EUR OTHER'!H44</f>
        <v>0.20457659904306258</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'W.EUR OTHER'!D45</f>
        <v>6.6143118778113894E-2</v>
      </c>
      <c r="M17" s="248">
        <f>'W.EUR OTHER'!E45</f>
        <v>4.3051326641435336E-2</v>
      </c>
      <c r="N17" s="248">
        <f>'W.EUR OTHER'!F45</f>
        <v>4.4102284782265591E-2</v>
      </c>
      <c r="O17" s="248">
        <f>'W.EUR OTHER'!G45</f>
        <v>4.5021641876791196E-2</v>
      </c>
      <c r="P17" s="279">
        <f>'W.EUR OTHER'!H45</f>
        <v>-0.15462913486104612</v>
      </c>
      <c r="S17" s="88"/>
      <c r="T17" s="42"/>
      <c r="U17" s="42"/>
      <c r="V17" s="42"/>
      <c r="W17" s="42"/>
      <c r="X17" s="42"/>
      <c r="Y17" s="42"/>
      <c r="Z17" s="42"/>
      <c r="AA17" s="42"/>
    </row>
    <row r="18" spans="2:27" ht="12.6" thickBot="1">
      <c r="B18" s="41" t="s">
        <v>578</v>
      </c>
      <c r="C18" s="249"/>
      <c r="D18" s="530">
        <f>D11+D12+D13-D14+D15-D16-D17</f>
        <v>9206.8792533497472</v>
      </c>
      <c r="E18" s="530">
        <f>E11+E12+E13-E14+E15-E16-E17</f>
        <v>9826.5521792150612</v>
      </c>
      <c r="F18" s="530">
        <f>F11+F12+F13-F14+F15-F16-F17</f>
        <v>10011.212820383867</v>
      </c>
      <c r="G18" s="530">
        <f>G11+G12+G13-G14+G15-G16-G17</f>
        <v>10013.404507034693</v>
      </c>
      <c r="H18" s="276">
        <f>IF(D18=0,"nm",IF(G18=0,"nm",(G18/D18)^(1/3)-1))</f>
        <v>2.8386667670356136E-2</v>
      </c>
      <c r="I18" s="254"/>
      <c r="J18" s="5" t="s">
        <v>36</v>
      </c>
      <c r="L18" s="248">
        <f>'W.EUR OTHER'!D46</f>
        <v>6.6143118778113894E-2</v>
      </c>
      <c r="M18" s="248">
        <f>'W.EUR OTHER'!E46</f>
        <v>4.3051326641435336E-2</v>
      </c>
      <c r="N18" s="248">
        <f>'W.EUR OTHER'!F46</f>
        <v>4.4102284782265591E-2</v>
      </c>
      <c r="O18" s="248">
        <f>'W.EUR OTHER'!G46</f>
        <v>4.5021641876791196E-2</v>
      </c>
      <c r="P18" s="279">
        <f>'W.EUR OTHER'!H46</f>
        <v>-0.15462913486104612</v>
      </c>
      <c r="S18" s="88"/>
      <c r="T18" s="42"/>
      <c r="U18" s="42"/>
      <c r="V18" s="42"/>
      <c r="W18" s="42"/>
      <c r="X18" s="42"/>
      <c r="Y18" s="42"/>
      <c r="Z18" s="42"/>
      <c r="AA18" s="42"/>
    </row>
    <row r="19" spans="2:27" ht="12.6" thickTop="1">
      <c r="B19" s="41"/>
      <c r="C19" s="249"/>
      <c r="D19" s="229"/>
      <c r="E19" s="229"/>
      <c r="F19" s="229"/>
      <c r="G19" s="229"/>
      <c r="H19" s="276"/>
      <c r="I19" s="254"/>
      <c r="J19" s="5" t="s">
        <v>576</v>
      </c>
      <c r="L19" s="248">
        <f>'W.EUR OTHER'!D47</f>
        <v>2.7744076038576149E-2</v>
      </c>
      <c r="M19" s="248">
        <f>'W.EUR OTHER'!E47</f>
        <v>2.8993295370742325E-2</v>
      </c>
      <c r="N19" s="248">
        <f>'W.EUR OTHER'!F47</f>
        <v>6.1396003571689631E-2</v>
      </c>
      <c r="O19" s="248">
        <f>'W.EUR OTHER'!G47</f>
        <v>8.3740943124088682E-2</v>
      </c>
      <c r="P19" s="279">
        <f>'W.EUR OTHER'!H47</f>
        <v>0.37754240659126448</v>
      </c>
      <c r="S19" s="88"/>
      <c r="T19" s="42"/>
      <c r="U19" s="42"/>
      <c r="V19" s="42"/>
      <c r="W19" s="42"/>
      <c r="X19" s="42"/>
      <c r="Y19" s="42"/>
      <c r="Z19" s="42"/>
      <c r="AA19" s="42"/>
    </row>
    <row r="20" spans="2:27">
      <c r="H20" s="277"/>
      <c r="I20" s="17"/>
      <c r="J20" s="5" t="s">
        <v>599</v>
      </c>
      <c r="L20" s="305">
        <f>'W.EUR OTHER'!D48</f>
        <v>2.1773296851754451</v>
      </c>
      <c r="M20" s="305">
        <f>'W.EUR OTHER'!E48</f>
        <v>1.3522122093409186</v>
      </c>
      <c r="N20" s="305">
        <f>'W.EUR OTHER'!F48</f>
        <v>0.65358788133464962</v>
      </c>
      <c r="O20" s="305">
        <f>'W.EUR OTHER'!G48</f>
        <v>0.50321211795021492</v>
      </c>
      <c r="P20" s="279" t="str">
        <f>'W.EUR OTHER'!H48</f>
        <v>nm</v>
      </c>
      <c r="S20" s="88"/>
      <c r="T20" s="42"/>
      <c r="U20" s="42"/>
      <c r="V20" s="42"/>
      <c r="W20" s="42"/>
      <c r="X20" s="42"/>
      <c r="Y20" s="42"/>
      <c r="Z20" s="42"/>
      <c r="AA20" s="42"/>
    </row>
    <row r="21" spans="2:27" ht="12.6" thickBot="1">
      <c r="B21" s="306" t="s">
        <v>928</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6213.2160000000003</v>
      </c>
      <c r="D23" s="529">
        <v>6394.5106798878514</v>
      </c>
      <c r="E23" s="529">
        <v>6626.8600592045459</v>
      </c>
      <c r="F23" s="529">
        <v>6804.4393613112861</v>
      </c>
      <c r="G23" s="529">
        <v>6922.9514053941075</v>
      </c>
      <c r="H23" s="279">
        <f>IF(D23=0,"nm",IF(G23=0,"nm",(G23/D23)^(1/3)-1))</f>
        <v>2.6820795056666569E-2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478</v>
      </c>
      <c r="C24" s="545">
        <v>1140.3340000000001</v>
      </c>
      <c r="D24" s="529">
        <v>1155.77</v>
      </c>
      <c r="E24" s="529">
        <v>1216.3505969660237</v>
      </c>
      <c r="F24" s="529">
        <v>1362.4297511824852</v>
      </c>
      <c r="G24" s="529">
        <v>1483.2646937645147</v>
      </c>
      <c r="H24" s="279">
        <f>IF(D24=0,"nm",IF(G24=0,"nm",(G24/D24)^(1/3)-1))</f>
        <v>8.6715214194776458E-2</v>
      </c>
      <c r="I24" s="249"/>
      <c r="J24" s="17"/>
      <c r="K24" s="17"/>
      <c r="L24" s="17"/>
      <c r="M24" s="17"/>
      <c r="N24" s="17"/>
      <c r="O24" s="248"/>
      <c r="S24" s="88"/>
      <c r="T24" s="42"/>
      <c r="U24" s="42"/>
      <c r="V24" s="42"/>
      <c r="W24" s="42" t="s">
        <v>890</v>
      </c>
      <c r="X24" s="42" t="s">
        <v>1379</v>
      </c>
      <c r="Y24" s="42"/>
      <c r="Z24" s="42"/>
      <c r="AA24" s="42"/>
    </row>
    <row r="25" spans="2:27">
      <c r="B25" s="5" t="s">
        <v>179</v>
      </c>
      <c r="C25" s="544">
        <v>458.95600000000002</v>
      </c>
      <c r="D25" s="529">
        <v>357.87799999999993</v>
      </c>
      <c r="E25" s="529">
        <v>295.98365136102359</v>
      </c>
      <c r="F25" s="529">
        <v>414.99910925752158</v>
      </c>
      <c r="G25" s="529">
        <v>582.8210499772357</v>
      </c>
      <c r="H25" s="279">
        <f>IF(D25=0,"nm",IF(G25=0,"nm",(G25/D25)^(1/3)-1))</f>
        <v>0.17652206295946304</v>
      </c>
      <c r="I25" s="248"/>
      <c r="J25" s="247" t="s">
        <v>10</v>
      </c>
      <c r="K25" s="247"/>
      <c r="L25" s="321">
        <v>1277.8216302259802</v>
      </c>
      <c r="M25" s="321">
        <v>1277.8216302259802</v>
      </c>
      <c r="N25" s="321">
        <v>1273.012987820895</v>
      </c>
      <c r="O25" s="321">
        <v>1267.8869750170741</v>
      </c>
      <c r="P25" s="279">
        <f>IF(L25=0,"nm",IF(O25=0,"nm",(O25/L25)^(1/3)-1))</f>
        <v>-2.5983055890941298E-3</v>
      </c>
      <c r="S25" s="88"/>
      <c r="T25" s="42"/>
      <c r="U25" s="42"/>
      <c r="V25" s="147" t="s">
        <v>268</v>
      </c>
      <c r="W25" s="288">
        <f>D37/L9</f>
        <v>0.73500202059471187</v>
      </c>
      <c r="X25" s="288">
        <v>1</v>
      </c>
      <c r="Y25" s="42"/>
      <c r="Z25" s="42"/>
      <c r="AA25" s="42"/>
    </row>
    <row r="26" spans="2:27">
      <c r="B26" s="5" t="s">
        <v>581</v>
      </c>
      <c r="C26" s="544">
        <v>318.97442000000007</v>
      </c>
      <c r="D26" s="529">
        <v>248.72520999999998</v>
      </c>
      <c r="E26" s="529">
        <v>205.70863769591142</v>
      </c>
      <c r="F26" s="529">
        <v>288.42438093397755</v>
      </c>
      <c r="G26" s="529">
        <v>405.06062973417886</v>
      </c>
      <c r="H26" s="279">
        <f>IF(D26=0,"nm",IF(G26=0,"nm",(G26/D26)^(1/3)-1))</f>
        <v>0.17652206295946304</v>
      </c>
      <c r="I26" s="249"/>
      <c r="J26" s="249" t="s">
        <v>11</v>
      </c>
      <c r="K26" s="249"/>
      <c r="L26" s="281">
        <f>D11+L25</f>
        <v>4571.7002129259799</v>
      </c>
      <c r="M26" s="281">
        <f>E11+M25</f>
        <v>4571.7002129259799</v>
      </c>
      <c r="N26" s="281">
        <f>F11+N25</f>
        <v>4566.8915705208947</v>
      </c>
      <c r="O26" s="281">
        <f>G11+O25</f>
        <v>4561.7655577170735</v>
      </c>
      <c r="P26" s="279">
        <f>IF(L26=0,"nm",IF(O26=0,"nm",(O26/L26)^(1/3)-1))</f>
        <v>-7.2488422994920754E-4</v>
      </c>
      <c r="Q26" s="5"/>
      <c r="S26" s="88"/>
      <c r="T26" s="42"/>
      <c r="U26" s="42"/>
      <c r="V26" s="147" t="s">
        <v>180</v>
      </c>
      <c r="W26" s="288">
        <f t="shared" ref="W26:W33" si="4">D38/L10</f>
        <v>1.6319489832420453</v>
      </c>
      <c r="X26" s="288">
        <v>1</v>
      </c>
      <c r="Y26" s="42"/>
      <c r="Z26" s="42"/>
      <c r="AA26" s="42"/>
    </row>
    <row r="27" spans="2:27">
      <c r="B27" s="5" t="s">
        <v>582</v>
      </c>
      <c r="C27" s="545">
        <v>7961.6639999999998</v>
      </c>
      <c r="D27" s="529">
        <v>8648.6520000000019</v>
      </c>
      <c r="E27" s="529">
        <v>9729.568017698668</v>
      </c>
      <c r="F27" s="529">
        <v>10521.673731491876</v>
      </c>
      <c r="G27" s="529">
        <v>10991.361092836629</v>
      </c>
      <c r="H27" s="279">
        <f>IF(ISERROR((G27/D27)^(1/3)-1),"na",(G27/D27)^(1/3)-1)</f>
        <v>8.3180960714586583E-2</v>
      </c>
      <c r="I27" s="249"/>
      <c r="J27" s="248"/>
      <c r="K27" s="248"/>
      <c r="L27" s="248"/>
      <c r="M27" s="248"/>
      <c r="N27" s="248"/>
      <c r="O27" s="248"/>
      <c r="Q27" s="41"/>
      <c r="S27" s="88"/>
      <c r="T27" s="42"/>
      <c r="U27" s="42"/>
      <c r="V27" s="147" t="s">
        <v>181</v>
      </c>
      <c r="W27" s="288">
        <f t="shared" si="4"/>
        <v>1.9546542240081217</v>
      </c>
      <c r="X27" s="288">
        <v>1</v>
      </c>
      <c r="Y27" s="42"/>
      <c r="Z27" s="42"/>
      <c r="AA27" s="42"/>
    </row>
    <row r="28" spans="2:27" ht="12.6" thickBot="1">
      <c r="B28" s="5" t="s">
        <v>587</v>
      </c>
      <c r="C28" s="544">
        <v>1850.999</v>
      </c>
      <c r="D28" s="529">
        <v>2405.3119999999999</v>
      </c>
      <c r="E28" s="529">
        <v>3050.1976273056544</v>
      </c>
      <c r="F28" s="529">
        <v>3634.5900936942562</v>
      </c>
      <c r="G28" s="529">
        <v>4110.5034571796823</v>
      </c>
      <c r="H28" s="279">
        <f>IF(ISERROR((G28/D28)^(1/3)-1),"na",(G28/D28)^(1/3)-1)</f>
        <v>0.19556869064057825</v>
      </c>
      <c r="I28" s="248"/>
      <c r="J28" s="306" t="s">
        <v>1352</v>
      </c>
      <c r="K28" s="306"/>
      <c r="L28" s="306"/>
      <c r="M28" s="306"/>
      <c r="N28" s="266"/>
      <c r="O28" s="266"/>
      <c r="P28" s="266"/>
      <c r="Q28" s="5"/>
      <c r="S28" s="88"/>
      <c r="T28" s="42"/>
      <c r="U28" s="42"/>
      <c r="V28" s="147" t="s">
        <v>461</v>
      </c>
      <c r="W28" s="288">
        <f t="shared" si="4"/>
        <v>1.970746744043997</v>
      </c>
      <c r="X28" s="288">
        <v>1</v>
      </c>
      <c r="Y28" s="42"/>
      <c r="Z28" s="42"/>
      <c r="AA28" s="42"/>
    </row>
    <row r="29" spans="2:27" ht="12.6" thickTop="1">
      <c r="B29" s="5" t="s">
        <v>583</v>
      </c>
      <c r="C29" s="544">
        <v>-226.32499999999999</v>
      </c>
      <c r="D29" s="529">
        <v>-158.44100000000012</v>
      </c>
      <c r="E29" s="529">
        <v>-470.08769017015629</v>
      </c>
      <c r="F29" s="529">
        <v>-59.292195378731037</v>
      </c>
      <c r="G29" s="529">
        <v>209.85006444855389</v>
      </c>
      <c r="H29" s="279">
        <f>IF(D29=0,"nm",IF(G29=0,"nm",(G29/D29)^(1/3)-1))</f>
        <v>-2.0981976516986092</v>
      </c>
      <c r="I29" s="252"/>
      <c r="J29" s="249"/>
      <c r="K29" s="249"/>
      <c r="L29" s="249"/>
      <c r="M29" s="249"/>
      <c r="N29" s="249"/>
      <c r="O29" s="251"/>
      <c r="Q29" s="5"/>
      <c r="S29" s="88"/>
      <c r="T29" s="42"/>
      <c r="U29" s="42"/>
      <c r="V29" s="147" t="s">
        <v>525</v>
      </c>
      <c r="W29" s="288">
        <f t="shared" si="4"/>
        <v>1.2606760692690326</v>
      </c>
      <c r="X29" s="288">
        <v>1</v>
      </c>
      <c r="Y29" s="42"/>
      <c r="Z29" s="42"/>
      <c r="AA29" s="42"/>
    </row>
    <row r="30" spans="2:27">
      <c r="B30" s="5" t="s">
        <v>584</v>
      </c>
      <c r="C30" s="545">
        <v>464.70999999999992</v>
      </c>
      <c r="D30" s="529">
        <v>350.92299999999989</v>
      </c>
      <c r="E30" s="529">
        <v>424.52242252349123</v>
      </c>
      <c r="F30" s="529">
        <v>458.84136841029812</v>
      </c>
      <c r="G30" s="529">
        <v>479.4248475681469</v>
      </c>
      <c r="H30" s="279">
        <f>IF(D30=0,"nm",IF(G30=0,"nm",(G30/D30)^(1/3)-1))</f>
        <v>0.10960797249582788</v>
      </c>
      <c r="I30" s="254"/>
      <c r="J30" s="248"/>
      <c r="K30" s="248"/>
      <c r="L30" s="248"/>
      <c r="M30" s="248"/>
      <c r="N30" s="248"/>
      <c r="O30" s="5"/>
      <c r="Q30" s="5"/>
      <c r="S30" s="88"/>
      <c r="T30" s="42"/>
      <c r="U30" s="42"/>
      <c r="V30" s="147" t="s">
        <v>588</v>
      </c>
      <c r="W30" s="288">
        <f t="shared" si="4"/>
        <v>1.2759916247073178</v>
      </c>
      <c r="X30" s="288">
        <v>1</v>
      </c>
      <c r="Y30" s="42"/>
      <c r="Z30" s="42"/>
      <c r="AA30" s="42"/>
    </row>
    <row r="31" spans="2:27">
      <c r="B31" s="5" t="s">
        <v>585</v>
      </c>
      <c r="C31" s="545">
        <v>93.3579455</v>
      </c>
      <c r="D31" s="529">
        <v>86.408147499999998</v>
      </c>
      <c r="E31" s="529">
        <v>86.408147499999998</v>
      </c>
      <c r="F31" s="529">
        <v>86.408147499999998</v>
      </c>
      <c r="G31" s="529">
        <v>86.408147499999998</v>
      </c>
      <c r="H31" s="279">
        <f>IF(D31=0,"nm",IF(G31=0,"nm",(G31/D31)^(1/3)-1))</f>
        <v>0</v>
      </c>
      <c r="I31" s="254"/>
      <c r="J31" s="252"/>
      <c r="K31" s="252"/>
      <c r="L31" s="252"/>
      <c r="M31" s="252"/>
      <c r="N31" s="252"/>
      <c r="O31" s="5"/>
      <c r="Q31" s="5"/>
      <c r="S31" s="88"/>
      <c r="T31" s="42"/>
      <c r="U31" s="42"/>
      <c r="V31" s="147" t="s">
        <v>143</v>
      </c>
      <c r="W31" s="288">
        <f t="shared" si="4"/>
        <v>-0.80053520447985727</v>
      </c>
      <c r="X31" s="288">
        <v>1</v>
      </c>
      <c r="Y31" s="42"/>
      <c r="Z31" s="42"/>
      <c r="AA31" s="42"/>
    </row>
    <row r="32" spans="2:27">
      <c r="B32" s="5" t="s">
        <v>601</v>
      </c>
      <c r="C32" s="546">
        <v>0</v>
      </c>
      <c r="D32" s="529">
        <v>0</v>
      </c>
      <c r="E32" s="529">
        <v>0</v>
      </c>
      <c r="F32" s="529">
        <v>0</v>
      </c>
      <c r="G32" s="529">
        <v>0</v>
      </c>
      <c r="H32" s="279" t="str">
        <f>IF(D32=0,"nm",IF(G32=0,"nm",(G32/D32)^(1/3)-1))</f>
        <v>nm</v>
      </c>
      <c r="I32" s="254"/>
      <c r="J32" s="254"/>
      <c r="K32" s="254"/>
      <c r="L32" s="254"/>
      <c r="M32" s="254"/>
      <c r="N32" s="254"/>
      <c r="O32" s="251"/>
      <c r="Q32" s="5"/>
      <c r="S32" s="88"/>
      <c r="T32" s="42"/>
      <c r="U32" s="42"/>
      <c r="V32" s="147" t="s">
        <v>528</v>
      </c>
      <c r="W32" s="288">
        <f t="shared" si="4"/>
        <v>0.51599732538959386</v>
      </c>
      <c r="X32" s="288">
        <v>1</v>
      </c>
      <c r="Y32" s="42"/>
      <c r="Z32" s="42"/>
      <c r="AA32" s="42"/>
    </row>
    <row r="33" spans="2:27">
      <c r="B33" s="5" t="s">
        <v>5</v>
      </c>
      <c r="C33" s="545">
        <v>38.188000000000002</v>
      </c>
      <c r="D33" s="529">
        <v>98.192000000000007</v>
      </c>
      <c r="E33" s="529">
        <v>125.04742661914912</v>
      </c>
      <c r="F33" s="529">
        <v>151.91596897091341</v>
      </c>
      <c r="G33" s="529">
        <v>166.78782664332334</v>
      </c>
      <c r="H33" s="279">
        <f>IF(ISERROR((G33/D33)^(1/3)-1),"na",(G33/D33)^(1/3)-1)</f>
        <v>0.19315284522415421</v>
      </c>
      <c r="I33" s="5"/>
      <c r="J33" s="254"/>
      <c r="K33" s="254"/>
      <c r="L33" s="254"/>
      <c r="M33" s="254"/>
      <c r="N33" s="254"/>
      <c r="O33" s="251"/>
      <c r="Q33" s="5"/>
      <c r="S33" s="88"/>
      <c r="T33" s="42"/>
      <c r="U33" s="42"/>
      <c r="V33" s="147" t="s">
        <v>575</v>
      </c>
      <c r="W33" s="288">
        <f t="shared" si="4"/>
        <v>0.39660888491549334</v>
      </c>
      <c r="X33" s="288">
        <v>1</v>
      </c>
      <c r="Y33" s="42"/>
      <c r="Z33" s="42"/>
      <c r="AA33" s="42"/>
    </row>
    <row r="34" spans="2:27">
      <c r="D34" s="5"/>
      <c r="E34" s="5"/>
      <c r="F34" s="5"/>
      <c r="G34" s="5"/>
      <c r="I34" s="49"/>
      <c r="J34" s="254"/>
      <c r="K34" s="254"/>
      <c r="L34" s="254"/>
      <c r="M34" s="254"/>
      <c r="N34" s="254"/>
      <c r="O34" s="251"/>
      <c r="Q34" s="5"/>
      <c r="S34" s="88"/>
      <c r="T34" s="42"/>
      <c r="U34" s="42"/>
      <c r="V34" s="147" t="s">
        <v>144</v>
      </c>
      <c r="W34" s="288">
        <f>D47/L19</f>
        <v>-1.2491643020868068</v>
      </c>
      <c r="X34" s="288">
        <v>1</v>
      </c>
      <c r="Y34" s="288"/>
      <c r="Z34" s="288"/>
      <c r="AA34" s="42"/>
    </row>
    <row r="35" spans="2:27" ht="12.6" thickBot="1">
      <c r="B35" s="306" t="s">
        <v>895</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289"/>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1.4398098172401863</v>
      </c>
      <c r="E37" s="525">
        <f t="shared" ref="E37:G41" si="6">E$18/E23</f>
        <v>1.4828368324401571</v>
      </c>
      <c r="F37" s="525">
        <f t="shared" si="6"/>
        <v>1.4712766605439487</v>
      </c>
      <c r="G37" s="525">
        <f t="shared" si="6"/>
        <v>1.446406874852916</v>
      </c>
      <c r="H37" s="17">
        <f t="shared" ref="H37:H45" si="7">H23</f>
        <v>2.6820795056666569E-2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7.9660133533053701</v>
      </c>
      <c r="E38" s="525">
        <f t="shared" si="6"/>
        <v>8.0787169453656684</v>
      </c>
      <c r="F38" s="525">
        <f t="shared" si="6"/>
        <v>7.348057991022948</v>
      </c>
      <c r="G38" s="525">
        <f t="shared" si="6"/>
        <v>6.7509221712955005</v>
      </c>
      <c r="H38" s="17">
        <f t="shared" si="7"/>
        <v>8.6715214194776458E-2</v>
      </c>
      <c r="I38" s="259"/>
      <c r="J38" s="17"/>
      <c r="K38" s="17"/>
      <c r="L38" s="17"/>
      <c r="M38" s="17"/>
      <c r="N38" s="17"/>
      <c r="O38" s="5"/>
      <c r="Q38" s="5"/>
      <c r="R38" s="5"/>
      <c r="S38" s="42"/>
      <c r="T38" s="42"/>
      <c r="U38" s="42"/>
      <c r="V38" s="42"/>
      <c r="W38" s="42"/>
      <c r="X38" s="42"/>
      <c r="Y38" s="42"/>
      <c r="Z38" s="42"/>
      <c r="AA38" s="42"/>
    </row>
    <row r="39" spans="2:27">
      <c r="B39" s="5" t="s">
        <v>181</v>
      </c>
      <c r="C39" s="247"/>
      <c r="D39" s="525">
        <f>D$18/D25</f>
        <v>25.726306879298949</v>
      </c>
      <c r="E39" s="525">
        <f t="shared" si="6"/>
        <v>33.199645095361049</v>
      </c>
      <c r="F39" s="525">
        <f t="shared" si="6"/>
        <v>24.123456164267466</v>
      </c>
      <c r="G39" s="525">
        <f t="shared" si="6"/>
        <v>17.180924586416026</v>
      </c>
      <c r="H39" s="17">
        <f t="shared" si="7"/>
        <v>0.17652206295946304</v>
      </c>
      <c r="I39" s="17"/>
      <c r="J39" s="5"/>
      <c r="K39" s="5"/>
      <c r="L39" s="5"/>
      <c r="M39" s="5"/>
      <c r="N39" s="5"/>
      <c r="O39" s="5"/>
      <c r="Q39" s="5"/>
      <c r="R39" s="5"/>
      <c r="S39" s="42"/>
      <c r="T39" s="42"/>
      <c r="U39" s="42"/>
      <c r="V39" s="42"/>
      <c r="W39" s="42"/>
      <c r="X39" s="42"/>
      <c r="Y39" s="42"/>
      <c r="Z39" s="42"/>
      <c r="AA39" s="42"/>
    </row>
    <row r="40" spans="2:27">
      <c r="B40" s="5" t="s">
        <v>461</v>
      </c>
      <c r="C40" s="247"/>
      <c r="D40" s="525">
        <f>D$18/D26</f>
        <v>37.016268891077623</v>
      </c>
      <c r="E40" s="525">
        <f t="shared" si="6"/>
        <v>47.769273518505102</v>
      </c>
      <c r="F40" s="525">
        <f t="shared" si="6"/>
        <v>34.710008869449588</v>
      </c>
      <c r="G40" s="525">
        <f t="shared" si="6"/>
        <v>24.720754800598598</v>
      </c>
      <c r="H40" s="17">
        <f t="shared" si="7"/>
        <v>0.17652206295946304</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1.0645450011573763</v>
      </c>
      <c r="E41" s="525">
        <f t="shared" si="6"/>
        <v>1.0099679822721803</v>
      </c>
      <c r="F41" s="525">
        <f t="shared" si="6"/>
        <v>0.95148481846760047</v>
      </c>
      <c r="G41" s="525">
        <f t="shared" si="6"/>
        <v>0.91102497884094658</v>
      </c>
      <c r="H41" s="17">
        <f t="shared" si="7"/>
        <v>8.3180960714586583E-2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3.8277276516933134</v>
      </c>
      <c r="E42" s="525">
        <f>E18/E28</f>
        <v>3.2216116396022496</v>
      </c>
      <c r="F42" s="525">
        <f>F18/F28</f>
        <v>2.7544269263685548</v>
      </c>
      <c r="G42" s="525">
        <f>G18/G28</f>
        <v>2.4360530556286495</v>
      </c>
      <c r="H42" s="17">
        <f t="shared" si="7"/>
        <v>0.19556869064057825</v>
      </c>
      <c r="I42" s="248"/>
      <c r="J42" s="5"/>
      <c r="K42" s="5"/>
      <c r="L42" s="5"/>
      <c r="M42" s="5"/>
      <c r="N42" s="5"/>
      <c r="O42" s="5"/>
      <c r="Q42" s="5"/>
      <c r="R42" s="5"/>
      <c r="S42" s="42"/>
      <c r="T42" s="42"/>
      <c r="U42" s="42"/>
      <c r="V42" s="42"/>
      <c r="W42" s="288"/>
      <c r="X42" s="288"/>
      <c r="Y42" s="288"/>
      <c r="Z42" s="288"/>
      <c r="AA42" s="42"/>
    </row>
    <row r="43" spans="2:27">
      <c r="B43" s="5" t="s">
        <v>470</v>
      </c>
      <c r="C43" s="247"/>
      <c r="D43" s="525">
        <f>L26/D29</f>
        <v>-28.854275174519074</v>
      </c>
      <c r="E43" s="525">
        <f>M26/E29</f>
        <v>-9.725207250739059</v>
      </c>
      <c r="F43" s="525">
        <f>N26/F29</f>
        <v>-77.023485828947813</v>
      </c>
      <c r="G43" s="525">
        <f>O26/G29</f>
        <v>21.738213756114522</v>
      </c>
      <c r="H43" s="17">
        <f t="shared" si="7"/>
        <v>-2.0981976516986092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9.386328575499471</v>
      </c>
      <c r="E44" s="525">
        <f>E11/E30</f>
        <v>7.7590214507873982</v>
      </c>
      <c r="F44" s="525">
        <f>F11/F30</f>
        <v>7.1786870353734056</v>
      </c>
      <c r="G44" s="525">
        <f>G11/G30</f>
        <v>6.8704794910151126</v>
      </c>
      <c r="H44" s="17">
        <f t="shared" si="7"/>
        <v>0.10960797249582788</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2.6232948583420779E-2</v>
      </c>
      <c r="E45" s="248">
        <f>E31/E11</f>
        <v>2.6232948583420779E-2</v>
      </c>
      <c r="F45" s="248">
        <f>F31/F11</f>
        <v>2.6232948583420779E-2</v>
      </c>
      <c r="G45" s="248">
        <f>G31/G11</f>
        <v>2.6232948583420779E-2</v>
      </c>
      <c r="H45" s="17">
        <f t="shared" si="7"/>
        <v>0</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2.6232948583420779E-2</v>
      </c>
      <c r="E46" s="248">
        <f>(E31+E32)/E11</f>
        <v>2.6232948583420779E-2</v>
      </c>
      <c r="F46" s="248">
        <f>(F31+F32)/F11</f>
        <v>2.6232948583420779E-2</v>
      </c>
      <c r="G46" s="248">
        <f>(G31+G32)/G11</f>
        <v>2.6232948583420779E-2</v>
      </c>
      <c r="H46" s="279">
        <f>((G31+G32)/(D31+D32))^(1/3)-1</f>
        <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-3.4656909381771274E-2</v>
      </c>
      <c r="E47" s="248">
        <f>1/E43</f>
        <v>-0.1028255721670102</v>
      </c>
      <c r="F47" s="248">
        <f>1/F43</f>
        <v>-1.29830530160733E-2</v>
      </c>
      <c r="G47" s="248">
        <f>1/G43</f>
        <v>4.600193977385654E-2</v>
      </c>
      <c r="H47" s="17">
        <f>H29</f>
        <v>-2.0981976516986092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-0.54536482034321887</v>
      </c>
      <c r="E48" s="305">
        <f>E31/E29</f>
        <v>-0.18381282749336211</v>
      </c>
      <c r="F48" s="305">
        <f>F31/F29</f>
        <v>-1.4573275107805477</v>
      </c>
      <c r="G48" s="305">
        <f>G31/G29</f>
        <v>0.41176135793460056</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hyperlinks>
    <hyperlink ref="C2" location="UTDISOP!A1" display="Jump to UTDI SOP" xr:uid="{00000000-0004-0000-7200-000001000000}"/>
  </hyperlinks>
  <pageMargins left="0.75" right="0.75" top="1" bottom="1" header="0.5" footer="0.5"/>
  <pageSetup scale="71"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87">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979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15</v>
      </c>
      <c r="C9" s="267">
        <f>Prices!C113</f>
        <v>27.2</v>
      </c>
      <c r="D9" s="531">
        <v>0</v>
      </c>
      <c r="E9" s="532">
        <v>0</v>
      </c>
      <c r="F9" s="532">
        <v>0</v>
      </c>
      <c r="G9" s="532">
        <v>0</v>
      </c>
      <c r="H9" s="249"/>
      <c r="I9" s="249"/>
      <c r="J9" s="5" t="s">
        <v>268</v>
      </c>
      <c r="L9" s="525">
        <f>'EMEA CELLULAR'!D37</f>
        <v>3.1810559293853995</v>
      </c>
      <c r="M9" s="525">
        <f>'EMEA CELLULAR'!E37</f>
        <v>3.2323872383219907</v>
      </c>
      <c r="N9" s="525">
        <f>'EMEA CELLULAR'!F37</f>
        <v>2.8967593532646405</v>
      </c>
      <c r="O9" s="525">
        <f>'EMEA CELLULAR'!G37</f>
        <v>2.5822840300404155</v>
      </c>
      <c r="P9" s="286">
        <f>'EMEA CELLULAR'!H37</f>
        <v>4.7493644526533263E-2</v>
      </c>
      <c r="S9" s="88"/>
      <c r="T9" s="42"/>
      <c r="U9" s="42"/>
      <c r="V9" s="42"/>
      <c r="W9" s="42"/>
      <c r="X9" s="42"/>
      <c r="Y9" s="42"/>
      <c r="Z9" s="42"/>
      <c r="AA9" s="42"/>
    </row>
    <row r="10" spans="2:44">
      <c r="B10" s="5" t="s">
        <v>269</v>
      </c>
      <c r="C10" s="5"/>
      <c r="D10" s="527">
        <v>1753.3566760000001</v>
      </c>
      <c r="E10" s="527">
        <v>1753.3566760000001</v>
      </c>
      <c r="F10" s="527">
        <v>1753.3566760000001</v>
      </c>
      <c r="G10" s="527">
        <v>1753.3566760000001</v>
      </c>
      <c r="H10" s="247"/>
      <c r="I10" s="247"/>
      <c r="J10" s="5" t="s">
        <v>180</v>
      </c>
      <c r="L10" s="525">
        <f>'EMEA CELLULAR'!D38</f>
        <v>7.7572766871744339</v>
      </c>
      <c r="M10" s="525">
        <f>'EMEA CELLULAR'!E38</f>
        <v>8.095415565986066</v>
      </c>
      <c r="N10" s="525">
        <f>'EMEA CELLULAR'!F38</f>
        <v>7.1463601536743644</v>
      </c>
      <c r="O10" s="525">
        <f>'EMEA CELLULAR'!G38</f>
        <v>6.3123163660270478</v>
      </c>
      <c r="P10" s="286">
        <f>'EMEA CELLULAR'!H38</f>
        <v>4.6652398847596643E-2</v>
      </c>
      <c r="S10" s="88"/>
      <c r="T10" s="42"/>
      <c r="U10" s="42"/>
      <c r="V10" s="42"/>
      <c r="W10" s="288"/>
      <c r="X10" s="288"/>
      <c r="Y10" s="288"/>
      <c r="Z10" s="288"/>
      <c r="AA10" s="42"/>
    </row>
    <row r="11" spans="2:44">
      <c r="B11" s="41" t="s">
        <v>270</v>
      </c>
      <c r="C11" s="5"/>
      <c r="D11" s="528">
        <f>$C$9*D10</f>
        <v>47691.301587200003</v>
      </c>
      <c r="E11" s="528">
        <f>$C$9*E10</f>
        <v>47691.301587200003</v>
      </c>
      <c r="F11" s="528">
        <f>$C$9*F10</f>
        <v>47691.301587200003</v>
      </c>
      <c r="G11" s="528">
        <f>$C$9*G10</f>
        <v>47691.301587200003</v>
      </c>
      <c r="H11" s="249"/>
      <c r="I11" s="249"/>
      <c r="J11" s="5" t="s">
        <v>181</v>
      </c>
      <c r="L11" s="525">
        <f>'EMEA CELLULAR'!D39</f>
        <v>15.605152275252255</v>
      </c>
      <c r="M11" s="525">
        <f>'EMEA CELLULAR'!E39</f>
        <v>14.854063145861112</v>
      </c>
      <c r="N11" s="525">
        <f>'EMEA CELLULAR'!F39</f>
        <v>12.469863163008389</v>
      </c>
      <c r="O11" s="525">
        <f>'EMEA CELLULAR'!G39</f>
        <v>10.733351248281235</v>
      </c>
      <c r="P11" s="286">
        <f>'EMEA CELLULAR'!H39</f>
        <v>0.10698020388173712</v>
      </c>
      <c r="S11" s="88"/>
      <c r="T11" s="42"/>
      <c r="U11" s="42"/>
      <c r="V11" s="42"/>
      <c r="W11" s="288"/>
      <c r="X11" s="288"/>
      <c r="Y11" s="288"/>
      <c r="Z11" s="288"/>
      <c r="AA11" s="42"/>
    </row>
    <row r="12" spans="2:44">
      <c r="B12" s="5" t="s">
        <v>24</v>
      </c>
      <c r="C12" s="249"/>
      <c r="D12" s="529">
        <v>3255</v>
      </c>
      <c r="E12" s="529">
        <v>2412.4559546135306</v>
      </c>
      <c r="F12" s="529">
        <v>1932.7885503109201</v>
      </c>
      <c r="G12" s="529">
        <v>1590.3810133215045</v>
      </c>
      <c r="H12" s="247"/>
      <c r="I12" s="247"/>
      <c r="J12" s="5" t="s">
        <v>461</v>
      </c>
      <c r="L12" s="525">
        <f>'EMEA CELLULAR'!D40</f>
        <v>19.965576466556715</v>
      </c>
      <c r="M12" s="525">
        <f>'EMEA CELLULAR'!E40</f>
        <v>18.915055159311862</v>
      </c>
      <c r="N12" s="525">
        <f>'EMEA CELLULAR'!F40</f>
        <v>18.041615049136492</v>
      </c>
      <c r="O12" s="525">
        <f>'EMEA CELLULAR'!G40</f>
        <v>15.593250523045757</v>
      </c>
      <c r="P12" s="286">
        <f>'EMEA CELLULAR'!H40</f>
        <v>6.1069987666233061E-2</v>
      </c>
      <c r="S12" s="88"/>
      <c r="T12" s="42"/>
      <c r="U12" s="42"/>
      <c r="V12" s="42"/>
      <c r="W12" s="288"/>
      <c r="X12" s="288"/>
      <c r="Y12" s="288"/>
      <c r="Z12" s="288"/>
      <c r="AA12" s="42"/>
    </row>
    <row r="13" spans="2:44">
      <c r="B13" s="5" t="s">
        <v>524</v>
      </c>
      <c r="C13" s="257"/>
      <c r="D13" s="529">
        <v>-800</v>
      </c>
      <c r="E13" s="529">
        <v>-800</v>
      </c>
      <c r="F13" s="529">
        <v>-800</v>
      </c>
      <c r="G13" s="529">
        <v>-800</v>
      </c>
      <c r="H13" s="247"/>
      <c r="I13" s="247"/>
      <c r="J13" s="5" t="s">
        <v>525</v>
      </c>
      <c r="L13" s="525">
        <f>'EMEA CELLULAR'!D41</f>
        <v>2.9187139333758294</v>
      </c>
      <c r="M13" s="525">
        <f>'EMEA CELLULAR'!E41</f>
        <v>2.9515664246277606</v>
      </c>
      <c r="N13" s="525">
        <f>'EMEA CELLULAR'!F41</f>
        <v>2.8267562188907287</v>
      </c>
      <c r="O13" s="525">
        <f>'EMEA CELLULAR'!G41</f>
        <v>2.6673762180421927</v>
      </c>
      <c r="P13" s="286">
        <f>'EMEA CELLULAR'!H41</f>
        <v>6.9271484573356634E-3</v>
      </c>
      <c r="S13" s="88"/>
      <c r="T13" s="42"/>
      <c r="U13" s="42"/>
      <c r="V13" s="42"/>
      <c r="W13" s="42"/>
      <c r="X13" s="42"/>
      <c r="Y13" s="42"/>
      <c r="Z13" s="42"/>
      <c r="AA13" s="42"/>
    </row>
    <row r="14" spans="2:44">
      <c r="B14" s="5" t="s">
        <v>527</v>
      </c>
      <c r="C14" s="257"/>
      <c r="D14" s="529">
        <v>0</v>
      </c>
      <c r="E14" s="529">
        <v>0</v>
      </c>
      <c r="F14" s="529">
        <v>0</v>
      </c>
      <c r="G14" s="529">
        <v>0</v>
      </c>
      <c r="H14" s="247"/>
      <c r="I14" s="247"/>
      <c r="J14" s="5" t="s">
        <v>588</v>
      </c>
      <c r="L14" s="525">
        <f>'EMEA CELLULAR'!D42</f>
        <v>4.7109464900339777</v>
      </c>
      <c r="M14" s="525">
        <f>'EMEA CELLULAR'!E42</f>
        <v>4.3550930553623157</v>
      </c>
      <c r="N14" s="525">
        <f>'EMEA CELLULAR'!F42</f>
        <v>4.15717737946275</v>
      </c>
      <c r="O14" s="525">
        <f>'EMEA CELLULAR'!G42</f>
        <v>3.8993389218542824</v>
      </c>
      <c r="P14" s="286">
        <f>'EMEA CELLULAR'!H42</f>
        <v>4.0721900193509741E-2</v>
      </c>
      <c r="S14" s="88"/>
      <c r="T14" s="42"/>
      <c r="U14" s="42"/>
      <c r="V14" s="42"/>
      <c r="W14" s="42"/>
      <c r="X14" s="42"/>
      <c r="Y14" s="42"/>
      <c r="Z14" s="42"/>
      <c r="AA14" s="42"/>
    </row>
    <row r="15" spans="2:44">
      <c r="B15" s="5" t="s">
        <v>526</v>
      </c>
      <c r="C15" s="274"/>
      <c r="D15" s="529">
        <v>369.32933976584809</v>
      </c>
      <c r="E15" s="529">
        <v>369.32933976584809</v>
      </c>
      <c r="F15" s="529">
        <v>369.32933976584809</v>
      </c>
      <c r="G15" s="529">
        <v>369.32933976584809</v>
      </c>
      <c r="H15" s="247"/>
      <c r="I15" s="247"/>
      <c r="J15" s="5" t="s">
        <v>470</v>
      </c>
      <c r="L15" s="525">
        <f>'EMEA CELLULAR'!D43</f>
        <v>44.913387794396655</v>
      </c>
      <c r="M15" s="525">
        <f>'EMEA CELLULAR'!E43</f>
        <v>29.995057672440403</v>
      </c>
      <c r="N15" s="525">
        <f>'EMEA CELLULAR'!F43</f>
        <v>25.064246666873888</v>
      </c>
      <c r="O15" s="525">
        <f>'EMEA CELLULAR'!G43</f>
        <v>21.218892573865638</v>
      </c>
      <c r="P15" s="286">
        <f>'EMEA CELLULAR'!H43</f>
        <v>0.28395863860305148</v>
      </c>
      <c r="S15" s="88"/>
      <c r="T15" s="42"/>
      <c r="U15" s="42"/>
      <c r="V15" s="42"/>
      <c r="W15" s="42"/>
      <c r="X15" s="42"/>
      <c r="Y15" s="42"/>
      <c r="Z15" s="42"/>
      <c r="AA15" s="42"/>
    </row>
    <row r="16" spans="2:44">
      <c r="B16" s="5" t="s">
        <v>529</v>
      </c>
      <c r="C16" s="257"/>
      <c r="D16" s="529">
        <v>0</v>
      </c>
      <c r="E16" s="529">
        <v>0</v>
      </c>
      <c r="F16" s="529">
        <v>217.44323928342487</v>
      </c>
      <c r="G16" s="529">
        <v>638.71526197665958</v>
      </c>
      <c r="H16" s="247"/>
      <c r="I16" s="247"/>
      <c r="J16" s="5" t="s">
        <v>528</v>
      </c>
      <c r="L16" s="525">
        <f>'EMEA CELLULAR'!D44</f>
        <v>29.727847806043954</v>
      </c>
      <c r="M16" s="525">
        <f>'EMEA CELLULAR'!E44</f>
        <v>27.159249380804312</v>
      </c>
      <c r="N16" s="525">
        <f>'EMEA CELLULAR'!F44</f>
        <v>19.560820863413703</v>
      </c>
      <c r="O16" s="525">
        <f>'EMEA CELLULAR'!G44</f>
        <v>16.324783869234651</v>
      </c>
      <c r="P16" s="286">
        <f>'EMEA CELLULAR'!H44</f>
        <v>0.22067184815723828</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'EMEA CELLULAR'!D45</f>
        <v>1.8067342047517077E-2</v>
      </c>
      <c r="M17" s="248">
        <f>'EMEA CELLULAR'!E45</f>
        <v>2.1685197442238385E-2</v>
      </c>
      <c r="N17" s="248">
        <f>'EMEA CELLULAR'!F45</f>
        <v>2.716595241137466E-2</v>
      </c>
      <c r="O17" s="248">
        <f>'EMEA CELLULAR'!G45</f>
        <v>2.9076456344932108E-2</v>
      </c>
      <c r="P17" s="286">
        <f>'EMEA CELLULAR'!H45</f>
        <v>0.17141106606848178</v>
      </c>
      <c r="S17" s="88"/>
      <c r="T17" s="42"/>
      <c r="U17" s="42"/>
      <c r="V17" s="42"/>
      <c r="W17" s="42"/>
      <c r="X17" s="42"/>
      <c r="Y17" s="42"/>
      <c r="Z17" s="42"/>
      <c r="AA17" s="42"/>
    </row>
    <row r="18" spans="2:27" ht="12.6" thickBot="1">
      <c r="B18" s="41" t="s">
        <v>578</v>
      </c>
      <c r="C18" s="249"/>
      <c r="D18" s="530">
        <f>D11+D12+D13-D14+D15-D16-D17</f>
        <v>50515.630926965852</v>
      </c>
      <c r="E18" s="530">
        <f>E11+E12+E13-E14+E15-E16-E17</f>
        <v>49673.08688157938</v>
      </c>
      <c r="F18" s="530">
        <f>F11+F12+F13-F14+F15-F16-F17</f>
        <v>48975.976237993345</v>
      </c>
      <c r="G18" s="530">
        <f>G11+G12+G13-G14+G15-G16-G17</f>
        <v>48212.296678310697</v>
      </c>
      <c r="H18" s="276">
        <f>IF(D18=0,"nm",IF(G18=0,"nm",(G18/D18)^(1/3)-1))</f>
        <v>-1.5435861890260583E-2</v>
      </c>
      <c r="I18" s="254"/>
      <c r="J18" s="5" t="s">
        <v>36</v>
      </c>
      <c r="L18" s="248">
        <f>'EMEA CELLULAR'!D46</f>
        <v>1.9060999328690584E-2</v>
      </c>
      <c r="M18" s="248">
        <f>'EMEA CELLULAR'!E46</f>
        <v>1.6448875575029897E-2</v>
      </c>
      <c r="N18" s="248">
        <f>'EMEA CELLULAR'!F46</f>
        <v>3.2525613186693281E-2</v>
      </c>
      <c r="O18" s="248">
        <f>'EMEA CELLULAR'!G46</f>
        <v>2.8728545035796364E-2</v>
      </c>
      <c r="P18" s="286">
        <f>'EMEA CELLULAR'!H46</f>
        <v>0.14608344960699671</v>
      </c>
      <c r="S18" s="88"/>
      <c r="T18" s="42"/>
      <c r="U18" s="42"/>
      <c r="V18" s="42"/>
      <c r="W18" s="42"/>
      <c r="X18" s="42"/>
      <c r="Y18" s="42"/>
      <c r="Z18" s="42"/>
      <c r="AA18" s="42"/>
    </row>
    <row r="19" spans="2:27" ht="12.6" thickTop="1">
      <c r="B19" s="41"/>
      <c r="C19" s="249"/>
      <c r="D19" s="229"/>
      <c r="E19" s="229"/>
      <c r="F19" s="229"/>
      <c r="G19" s="229"/>
      <c r="H19" s="276"/>
      <c r="I19" s="254"/>
      <c r="J19" s="5" t="s">
        <v>576</v>
      </c>
      <c r="L19" s="248">
        <f>'EMEA CELLULAR'!D47</f>
        <v>2.226507616343203E-2</v>
      </c>
      <c r="M19" s="248">
        <f>'EMEA CELLULAR'!E47</f>
        <v>3.3338825713237569E-2</v>
      </c>
      <c r="N19" s="248">
        <f>'EMEA CELLULAR'!F47</f>
        <v>3.9897468824452963E-2</v>
      </c>
      <c r="O19" s="248">
        <f>'EMEA CELLULAR'!G47</f>
        <v>4.712781293928861E-2</v>
      </c>
      <c r="P19" s="286">
        <f>'EMEA CELLULAR'!H47</f>
        <v>0.28395863860305148</v>
      </c>
      <c r="S19" s="88"/>
      <c r="T19" s="42"/>
      <c r="U19" s="42"/>
      <c r="V19" s="42"/>
      <c r="W19" s="42"/>
      <c r="X19" s="42"/>
      <c r="Y19" s="42"/>
      <c r="Z19" s="42"/>
      <c r="AA19" s="42"/>
    </row>
    <row r="20" spans="2:27">
      <c r="H20" s="277"/>
      <c r="I20" s="17"/>
      <c r="J20" s="5" t="s">
        <v>599</v>
      </c>
      <c r="L20" s="305">
        <f>'EMEA CELLULAR'!D48</f>
        <v>0.86093645070473657</v>
      </c>
      <c r="M20" s="305">
        <f>'EMEA CELLULAR'!E48</f>
        <v>0.6892786925982729</v>
      </c>
      <c r="N20" s="305">
        <f>'EMEA CELLULAR'!F48</f>
        <v>0.72154157991457057</v>
      </c>
      <c r="O20" s="305">
        <f>'EMEA CELLULAR'!G48</f>
        <v>0.65380157418816365</v>
      </c>
      <c r="P20" s="286" t="str">
        <f>'EMEA CELLULAR'!H48</f>
        <v>nm</v>
      </c>
      <c r="S20" s="88"/>
      <c r="T20" s="42"/>
      <c r="U20" s="42"/>
      <c r="V20" s="42"/>
      <c r="W20" s="42"/>
      <c r="X20" s="42"/>
      <c r="Y20" s="42"/>
      <c r="Z20" s="42"/>
      <c r="AA20" s="42"/>
    </row>
    <row r="21" spans="2:27" ht="12.6" thickBot="1">
      <c r="B21" s="306" t="s">
        <v>917</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3755.4095505823193</v>
      </c>
      <c r="D23" s="536">
        <v>3698.1561430531378</v>
      </c>
      <c r="E23" s="536">
        <v>3992.385699654581</v>
      </c>
      <c r="F23" s="536">
        <v>4236.6072051442834</v>
      </c>
      <c r="G23" s="536">
        <v>4470.9777726351595</v>
      </c>
      <c r="H23" s="279">
        <f t="shared" ref="H23:H32" si="3">IF(D23=0,"nm",IF(G23=0,"nm",(G23/D23)^(1/3)-1))</f>
        <v>6.5301214854422529E-2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1747.2870556881576</v>
      </c>
      <c r="D24" s="536">
        <v>1609.2645661317813</v>
      </c>
      <c r="E24" s="536">
        <v>1848.6109598382664</v>
      </c>
      <c r="F24" s="536">
        <v>1967.6063754409925</v>
      </c>
      <c r="G24" s="536">
        <v>2082.2991808470742</v>
      </c>
      <c r="H24" s="279">
        <f t="shared" si="3"/>
        <v>8.9695673255873132E-2</v>
      </c>
      <c r="I24" s="249"/>
      <c r="J24" s="17"/>
      <c r="K24" s="17"/>
      <c r="L24" s="17"/>
      <c r="M24" s="17"/>
      <c r="N24" s="17"/>
      <c r="O24" s="248"/>
      <c r="S24" s="88"/>
      <c r="T24" s="42"/>
      <c r="U24" s="42"/>
      <c r="V24" s="42"/>
      <c r="W24" s="42" t="s">
        <v>188</v>
      </c>
      <c r="X24" s="42" t="s">
        <v>508</v>
      </c>
      <c r="Y24" s="42"/>
      <c r="Z24" s="42"/>
      <c r="AA24" s="42"/>
    </row>
    <row r="25" spans="2:27">
      <c r="B25" s="5" t="s">
        <v>179</v>
      </c>
      <c r="C25" s="544">
        <v>906.28705568815758</v>
      </c>
      <c r="D25" s="536">
        <v>958.26456613178129</v>
      </c>
      <c r="E25" s="536">
        <v>1157.0149978232907</v>
      </c>
      <c r="F25" s="536">
        <v>1198.5765152855213</v>
      </c>
      <c r="G25" s="536">
        <v>1277.4638536927646</v>
      </c>
      <c r="H25" s="279">
        <f t="shared" si="3"/>
        <v>0.10057859914116829</v>
      </c>
      <c r="I25" s="248"/>
      <c r="J25" s="247" t="s">
        <v>10</v>
      </c>
      <c r="K25" s="247"/>
      <c r="L25" s="321">
        <v>0</v>
      </c>
      <c r="M25" s="321">
        <v>0</v>
      </c>
      <c r="N25" s="321">
        <v>0</v>
      </c>
      <c r="O25" s="321">
        <v>0</v>
      </c>
      <c r="P25" s="279" t="str">
        <f>IF(L25=0,"nm",IF(O25=0,"nm",(O25/L25)^(1/3)-1))</f>
        <v>nm</v>
      </c>
      <c r="S25" s="88"/>
      <c r="T25" s="42"/>
      <c r="U25" s="42"/>
      <c r="V25" s="147" t="s">
        <v>268</v>
      </c>
      <c r="W25" s="288">
        <f>D37/L9</f>
        <v>4.2940711159952398</v>
      </c>
      <c r="X25" s="288">
        <v>1</v>
      </c>
      <c r="Y25" s="42"/>
      <c r="Z25" s="42"/>
      <c r="AA25" s="42"/>
    </row>
    <row r="26" spans="2:27">
      <c r="B26" s="5" t="s">
        <v>581</v>
      </c>
      <c r="C26" s="544">
        <v>828.34262619858441</v>
      </c>
      <c r="D26" s="536">
        <v>711.03230806978172</v>
      </c>
      <c r="E26" s="536">
        <v>858.50512838488169</v>
      </c>
      <c r="F26" s="536">
        <v>889.34377434185683</v>
      </c>
      <c r="G26" s="536">
        <v>947.87817944003132</v>
      </c>
      <c r="H26" s="279">
        <f t="shared" si="3"/>
        <v>0.10057859914116829</v>
      </c>
      <c r="I26" s="249"/>
      <c r="J26" s="249" t="s">
        <v>11</v>
      </c>
      <c r="K26" s="249"/>
      <c r="L26" s="281">
        <f>D11+L25</f>
        <v>47691.301587200003</v>
      </c>
      <c r="M26" s="281">
        <f>E11+M25</f>
        <v>47691.301587200003</v>
      </c>
      <c r="N26" s="281">
        <f>F11+N25</f>
        <v>47691.301587200003</v>
      </c>
      <c r="O26" s="281">
        <f>G11+O25</f>
        <v>47691.301587200003</v>
      </c>
      <c r="P26" s="279">
        <f>IF(L26=0,"nm",IF(O26=0,"nm",(O26/L26)^(1/3)-1))</f>
        <v>0</v>
      </c>
      <c r="Q26" s="5"/>
      <c r="S26" s="88"/>
      <c r="T26" s="42"/>
      <c r="U26" s="42"/>
      <c r="V26" s="147" t="s">
        <v>180</v>
      </c>
      <c r="W26" s="288">
        <f t="shared" ref="W26:W33" si="5">D38/L10</f>
        <v>4.0465885711760796</v>
      </c>
      <c r="X26" s="288">
        <v>1</v>
      </c>
      <c r="Y26" s="42"/>
      <c r="Z26" s="42"/>
      <c r="AA26" s="42"/>
    </row>
    <row r="27" spans="2:27">
      <c r="B27" s="5" t="s">
        <v>582</v>
      </c>
      <c r="C27" s="545">
        <v>5880</v>
      </c>
      <c r="D27" s="536">
        <v>4333</v>
      </c>
      <c r="E27" s="536">
        <v>4143.9705599997269</v>
      </c>
      <c r="F27" s="536">
        <v>4213.7615403465261</v>
      </c>
      <c r="G27" s="536">
        <v>4304.4016167269529</v>
      </c>
      <c r="H27" s="279">
        <f t="shared" si="3"/>
        <v>-2.2049028942658921E-3</v>
      </c>
      <c r="I27" s="249"/>
      <c r="J27" s="248"/>
      <c r="K27" s="248"/>
      <c r="L27" s="248"/>
      <c r="M27" s="248"/>
      <c r="N27" s="248"/>
      <c r="O27" s="248"/>
      <c r="Q27" s="41"/>
      <c r="S27" s="88"/>
      <c r="T27" s="42"/>
      <c r="U27" s="42"/>
      <c r="V27" s="147" t="s">
        <v>181</v>
      </c>
      <c r="W27" s="288">
        <f t="shared" si="5"/>
        <v>3.3780987525482566</v>
      </c>
      <c r="X27" s="288">
        <v>1</v>
      </c>
      <c r="Y27" s="42"/>
      <c r="Z27" s="42"/>
      <c r="AA27" s="42"/>
    </row>
    <row r="28" spans="2:27" ht="12.6" thickBot="1">
      <c r="B28" s="5" t="s">
        <v>587</v>
      </c>
      <c r="C28" s="544">
        <v>2848</v>
      </c>
      <c r="D28" s="536">
        <v>2921</v>
      </c>
      <c r="E28" s="536">
        <v>3002.9282899707814</v>
      </c>
      <c r="F28" s="536">
        <v>3139.3869025887243</v>
      </c>
      <c r="G28" s="536">
        <v>3282.8198425106584</v>
      </c>
      <c r="H28" s="279">
        <f t="shared" si="3"/>
        <v>3.9693106025245672E-2</v>
      </c>
      <c r="I28" s="248"/>
      <c r="J28" s="306" t="s">
        <v>1352</v>
      </c>
      <c r="K28" s="306"/>
      <c r="L28" s="306"/>
      <c r="M28" s="306"/>
      <c r="N28" s="266"/>
      <c r="O28" s="266"/>
      <c r="P28" s="266"/>
      <c r="Q28" s="5"/>
      <c r="S28" s="88"/>
      <c r="T28" s="42"/>
      <c r="U28" s="42"/>
      <c r="V28" s="147" t="s">
        <v>461</v>
      </c>
      <c r="W28" s="288">
        <f t="shared" si="5"/>
        <v>3.5583985837346916</v>
      </c>
      <c r="X28" s="288">
        <v>1</v>
      </c>
      <c r="Y28" s="42"/>
      <c r="Z28" s="42"/>
      <c r="AA28" s="42"/>
    </row>
    <row r="29" spans="2:27" ht="12.6" thickTop="1">
      <c r="B29" s="5" t="s">
        <v>583</v>
      </c>
      <c r="C29" s="544">
        <v>180.17038902149091</v>
      </c>
      <c r="D29" s="536">
        <v>434.88647856684975</v>
      </c>
      <c r="E29" s="536">
        <v>842.54404538646941</v>
      </c>
      <c r="F29" s="536">
        <v>697.11064358603528</v>
      </c>
      <c r="G29" s="536">
        <v>763.67955968265017</v>
      </c>
      <c r="H29" s="279">
        <f t="shared" si="3"/>
        <v>0.20645673979448609</v>
      </c>
      <c r="I29" s="252"/>
      <c r="J29" s="249"/>
      <c r="K29" s="249"/>
      <c r="L29" s="249"/>
      <c r="M29" s="249"/>
      <c r="N29" s="249"/>
      <c r="O29" s="251"/>
      <c r="Q29" s="5"/>
      <c r="S29" s="88"/>
      <c r="T29" s="42"/>
      <c r="U29" s="42"/>
      <c r="V29" s="147" t="s">
        <v>525</v>
      </c>
      <c r="W29" s="288">
        <f t="shared" si="5"/>
        <v>3.9943448906329047</v>
      </c>
      <c r="X29" s="288">
        <v>1</v>
      </c>
      <c r="Y29" s="42"/>
      <c r="Z29" s="42"/>
      <c r="AA29" s="42"/>
    </row>
    <row r="30" spans="2:27">
      <c r="B30" s="5" t="s">
        <v>584</v>
      </c>
      <c r="C30" s="545">
        <v>196.28705568815758</v>
      </c>
      <c r="D30" s="536">
        <v>344.35996808596201</v>
      </c>
      <c r="E30" s="536">
        <v>644.53904808735444</v>
      </c>
      <c r="F30" s="536">
        <v>748.97520065292088</v>
      </c>
      <c r="G30" s="536">
        <v>826.74067277218444</v>
      </c>
      <c r="H30" s="279">
        <f t="shared" si="3"/>
        <v>0.3390153275127985</v>
      </c>
      <c r="I30" s="254"/>
      <c r="J30" s="248"/>
      <c r="K30" s="248"/>
      <c r="L30" s="248"/>
      <c r="M30" s="248"/>
      <c r="N30" s="248"/>
      <c r="O30" s="5"/>
      <c r="Q30" s="5"/>
      <c r="S30" s="88"/>
      <c r="T30" s="42"/>
      <c r="U30" s="42"/>
      <c r="V30" s="147" t="s">
        <v>588</v>
      </c>
      <c r="W30" s="288">
        <f t="shared" si="5"/>
        <v>3.6710141063468318</v>
      </c>
      <c r="X30" s="288">
        <v>1</v>
      </c>
      <c r="Y30" s="42"/>
      <c r="Z30" s="42"/>
      <c r="AA30" s="42"/>
    </row>
    <row r="31" spans="2:27">
      <c r="B31" s="5" t="s">
        <v>30</v>
      </c>
      <c r="C31" s="545">
        <v>0</v>
      </c>
      <c r="D31" s="536">
        <v>0</v>
      </c>
      <c r="E31" s="536">
        <v>217.41943093267088</v>
      </c>
      <c r="F31" s="536">
        <v>421.22589666921033</v>
      </c>
      <c r="G31" s="536">
        <v>348.51715768460122</v>
      </c>
      <c r="H31" s="279" t="str">
        <f t="shared" si="3"/>
        <v>nm</v>
      </c>
      <c r="I31" s="254"/>
      <c r="J31" s="252"/>
      <c r="K31" s="252"/>
      <c r="L31" s="252"/>
      <c r="M31" s="252"/>
      <c r="N31" s="252"/>
      <c r="O31" s="5"/>
      <c r="Q31" s="5"/>
      <c r="S31" s="88"/>
      <c r="T31" s="42"/>
      <c r="U31" s="42"/>
      <c r="V31" s="147" t="s">
        <v>470</v>
      </c>
      <c r="W31" s="288">
        <f t="shared" si="5"/>
        <v>2.4416727456588183</v>
      </c>
      <c r="X31" s="288">
        <v>1</v>
      </c>
      <c r="Y31" s="42"/>
      <c r="Z31" s="42"/>
      <c r="AA31" s="42"/>
    </row>
    <row r="32" spans="2:27">
      <c r="B32" s="5" t="s">
        <v>601</v>
      </c>
      <c r="C32" s="546">
        <v>0</v>
      </c>
      <c r="D32" s="536">
        <v>0</v>
      </c>
      <c r="E32" s="536">
        <v>0</v>
      </c>
      <c r="F32" s="536">
        <v>0</v>
      </c>
      <c r="G32" s="536">
        <v>0</v>
      </c>
      <c r="H32" s="279" t="str">
        <f t="shared" si="3"/>
        <v>nm</v>
      </c>
      <c r="I32" s="254"/>
      <c r="J32" s="254"/>
      <c r="K32" s="254"/>
      <c r="L32" s="254"/>
      <c r="M32" s="254"/>
      <c r="N32" s="254"/>
      <c r="O32" s="251"/>
      <c r="Q32" s="5"/>
      <c r="S32" s="88"/>
      <c r="T32" s="42"/>
      <c r="U32" s="42"/>
      <c r="V32" s="147" t="s">
        <v>528</v>
      </c>
      <c r="W32" s="288">
        <f t="shared" si="5"/>
        <v>4.6586817944940835</v>
      </c>
      <c r="X32" s="288">
        <v>1</v>
      </c>
      <c r="Y32" s="42"/>
      <c r="Z32" s="42"/>
      <c r="AA32" s="42"/>
    </row>
    <row r="33" spans="2:27">
      <c r="B33" s="5" t="s">
        <v>5</v>
      </c>
      <c r="C33" s="545">
        <v>-551</v>
      </c>
      <c r="D33" s="536">
        <v>-471</v>
      </c>
      <c r="E33" s="536">
        <v>-237.05981469540558</v>
      </c>
      <c r="F33" s="536">
        <v>-190.88477466578638</v>
      </c>
      <c r="G33" s="536">
        <v>-164.59693640278243</v>
      </c>
      <c r="H33" s="279">
        <f>IF(D33=0,"nm",IF(G33=0,"nm",(G33/D33)^(1/3)-1))</f>
        <v>-0.2956309251210294</v>
      </c>
      <c r="I33" s="5"/>
      <c r="J33" s="254"/>
      <c r="K33" s="254"/>
      <c r="L33" s="254"/>
      <c r="M33" s="254"/>
      <c r="N33" s="254"/>
      <c r="O33" s="251"/>
      <c r="Q33" s="5"/>
      <c r="S33" s="88"/>
      <c r="T33" s="42"/>
      <c r="U33" s="42"/>
      <c r="V33" s="147" t="s">
        <v>575</v>
      </c>
      <c r="W33" s="288">
        <f t="shared" si="5"/>
        <v>0</v>
      </c>
      <c r="X33" s="288">
        <v>1</v>
      </c>
      <c r="Y33" s="42"/>
      <c r="Z33" s="42"/>
      <c r="AA33" s="42"/>
    </row>
    <row r="34" spans="2:27">
      <c r="H34" s="277"/>
      <c r="I34" s="49"/>
      <c r="J34" s="254"/>
      <c r="K34" s="254"/>
      <c r="L34" s="254"/>
      <c r="M34" s="254"/>
      <c r="N34" s="254"/>
      <c r="O34" s="251"/>
      <c r="Q34" s="5"/>
      <c r="S34" s="88"/>
      <c r="T34" s="42"/>
      <c r="U34" s="42"/>
      <c r="V34" s="147" t="s">
        <v>576</v>
      </c>
      <c r="W34" s="288">
        <f>D47/L19</f>
        <v>0.40955529432760956</v>
      </c>
      <c r="X34" s="288">
        <v>1</v>
      </c>
      <c r="Y34" s="288"/>
      <c r="Z34" s="288"/>
      <c r="AA34" s="42"/>
    </row>
    <row r="35" spans="2:27" ht="12.6" thickBot="1">
      <c r="B35" s="306" t="s">
        <v>496</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13.659680384739236</v>
      </c>
      <c r="E37" s="525">
        <f t="shared" ref="E37:G41" si="7">E$18/E23</f>
        <v>12.441955917705313</v>
      </c>
      <c r="F37" s="525">
        <f t="shared" si="7"/>
        <v>11.560188109609138</v>
      </c>
      <c r="G37" s="525">
        <f t="shared" si="7"/>
        <v>10.783389927231676</v>
      </c>
      <c r="H37" s="17">
        <f t="shared" ref="H37:H45" si="8">H23</f>
        <v>6.5301214854422529E-2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31.390507185770701</v>
      </c>
      <c r="E38" s="525">
        <f t="shared" si="7"/>
        <v>26.870492472859322</v>
      </c>
      <c r="F38" s="525">
        <f t="shared" si="7"/>
        <v>24.891145327284548</v>
      </c>
      <c r="G38" s="525">
        <f t="shared" si="7"/>
        <v>23.153395593565978</v>
      </c>
      <c r="H38" s="17">
        <f t="shared" si="8"/>
        <v>8.9695673255873132E-2</v>
      </c>
      <c r="I38" s="259"/>
      <c r="J38" s="17"/>
      <c r="K38" s="17"/>
      <c r="L38" s="17"/>
      <c r="M38" s="17"/>
      <c r="N38" s="17"/>
      <c r="O38" s="5"/>
      <c r="Q38" s="5"/>
      <c r="R38" s="5"/>
      <c r="S38" s="42"/>
      <c r="T38" s="42"/>
      <c r="U38" s="42"/>
      <c r="V38" s="42"/>
      <c r="W38" s="42"/>
      <c r="X38" s="42"/>
      <c r="Y38" s="42"/>
      <c r="Z38" s="42"/>
      <c r="AA38" s="42"/>
    </row>
    <row r="39" spans="2:27">
      <c r="B39" s="5" t="s">
        <v>181</v>
      </c>
      <c r="C39" s="247"/>
      <c r="D39" s="525">
        <f>D$18/D25</f>
        <v>52.715745434355235</v>
      </c>
      <c r="E39" s="525">
        <f t="shared" si="7"/>
        <v>42.932102846575098</v>
      </c>
      <c r="F39" s="525">
        <f t="shared" si="7"/>
        <v>40.861785303983233</v>
      </c>
      <c r="G39" s="525">
        <f t="shared" si="7"/>
        <v>37.74063472633172</v>
      </c>
      <c r="H39" s="17">
        <f t="shared" si="8"/>
        <v>0.10057859914116829</v>
      </c>
      <c r="I39" s="17"/>
      <c r="J39" s="5"/>
      <c r="K39" s="5"/>
      <c r="L39" s="5"/>
      <c r="M39" s="5"/>
      <c r="N39" s="5"/>
      <c r="O39" s="5"/>
      <c r="Q39" s="5"/>
      <c r="R39" s="5"/>
      <c r="S39" s="42"/>
      <c r="T39" s="42"/>
      <c r="U39" s="42"/>
      <c r="V39" s="42"/>
      <c r="W39" s="42"/>
      <c r="X39" s="42"/>
      <c r="Y39" s="42"/>
      <c r="Z39" s="42"/>
      <c r="AA39" s="42"/>
    </row>
    <row r="40" spans="2:27">
      <c r="B40" s="5" t="s">
        <v>461</v>
      </c>
      <c r="C40" s="247"/>
      <c r="D40" s="525">
        <f>D$18/D26</f>
        <v>71.045479022042102</v>
      </c>
      <c r="E40" s="525">
        <f t="shared" si="7"/>
        <v>57.859976882176682</v>
      </c>
      <c r="F40" s="525">
        <f t="shared" si="7"/>
        <v>55.069791514802198</v>
      </c>
      <c r="G40" s="525">
        <f t="shared" si="7"/>
        <v>50.863389119045451</v>
      </c>
      <c r="H40" s="17">
        <f t="shared" si="8"/>
        <v>0.10057859914116829</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11.658350086998812</v>
      </c>
      <c r="E41" s="525">
        <f t="shared" si="7"/>
        <v>11.986833922290861</v>
      </c>
      <c r="F41" s="525">
        <f t="shared" si="7"/>
        <v>11.62286374514817</v>
      </c>
      <c r="G41" s="525">
        <f t="shared" si="7"/>
        <v>11.200696628994184</v>
      </c>
      <c r="H41" s="17">
        <f t="shared" si="8"/>
        <v>-2.2049028942658921E-3</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17.293951019159827</v>
      </c>
      <c r="E42" s="525">
        <f>E18/E28</f>
        <v>16.541549476049159</v>
      </c>
      <c r="F42" s="525">
        <f>F18/F28</f>
        <v>15.60049071925731</v>
      </c>
      <c r="G42" s="525">
        <f>G18/G28</f>
        <v>14.686245054933796</v>
      </c>
      <c r="H42" s="17">
        <f t="shared" si="8"/>
        <v>3.9693106025245672E-2</v>
      </c>
      <c r="I42" s="248"/>
      <c r="J42" s="5"/>
      <c r="K42" s="5"/>
      <c r="L42" s="5"/>
      <c r="M42" s="5"/>
      <c r="N42" s="5"/>
      <c r="O42" s="5"/>
      <c r="Q42" s="5"/>
      <c r="R42" s="5"/>
      <c r="S42" s="42"/>
      <c r="T42" s="42"/>
      <c r="U42" s="42"/>
      <c r="V42" s="42"/>
      <c r="W42" s="288"/>
      <c r="X42" s="288"/>
      <c r="Y42" s="288"/>
      <c r="Z42" s="288"/>
      <c r="AA42" s="42"/>
    </row>
    <row r="43" spans="2:27">
      <c r="B43" s="5" t="s">
        <v>470</v>
      </c>
      <c r="C43" s="247"/>
      <c r="D43" s="525">
        <f>L26/D29</f>
        <v>109.66379489278374</v>
      </c>
      <c r="E43" s="525">
        <f>M26/E29</f>
        <v>56.603926938115521</v>
      </c>
      <c r="F43" s="525">
        <f>N26/F29</f>
        <v>68.412815133433099</v>
      </c>
      <c r="G43" s="525">
        <f>O26/G29</f>
        <v>62.449362409304626</v>
      </c>
      <c r="H43" s="17">
        <f t="shared" si="8"/>
        <v>0.20645673979448609</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138.49258336350786</v>
      </c>
      <c r="E44" s="525">
        <f>E11/E30</f>
        <v>73.992881779191123</v>
      </c>
      <c r="F44" s="525">
        <f>F11/F30</f>
        <v>63.675408138513795</v>
      </c>
      <c r="G44" s="525">
        <f>G11/G30</f>
        <v>57.685926382796644</v>
      </c>
      <c r="H44" s="17">
        <f t="shared" si="8"/>
        <v>0.3390153275127985</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v>
      </c>
      <c r="E45" s="248">
        <f>E31/E11</f>
        <v>4.5588906927846286E-3</v>
      </c>
      <c r="F45" s="248">
        <f>F31/F11</f>
        <v>8.8323422228061867E-3</v>
      </c>
      <c r="G45" s="248">
        <f>G31/G11</f>
        <v>7.3077719853664189E-3</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v>
      </c>
      <c r="E46" s="248">
        <f>(E31+E32)/E11</f>
        <v>4.5588906927846286E-3</v>
      </c>
      <c r="F46" s="248">
        <f>(F31+F32)/F11</f>
        <v>8.8323422228061867E-3</v>
      </c>
      <c r="G46" s="248">
        <f>(G31+G32)/G11</f>
        <v>7.3077719853664189E-3</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9.1187798213410495E-3</v>
      </c>
      <c r="E47" s="248">
        <f>1/E43</f>
        <v>1.7666618803555616E-2</v>
      </c>
      <c r="F47" s="248">
        <f>1/F43</f>
        <v>1.4617144434848779E-2</v>
      </c>
      <c r="G47" s="248">
        <f>1/G43</f>
        <v>1.6012973734556579E-2</v>
      </c>
      <c r="H47" s="17">
        <f>H29</f>
        <v>0.20645673979448609</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v>
      </c>
      <c r="E48" s="305">
        <f>E31/E29</f>
        <v>0.25805111569323597</v>
      </c>
      <c r="F48" s="305">
        <f>F31/F29</f>
        <v>0.60424539568405533</v>
      </c>
      <c r="G48" s="305">
        <f>G31/G29</f>
        <v>0.45636570111871111</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VIMPSOP!A1" display="Jump to Vimpelcom SOP" xr:uid="{00000000-0004-0000-7300-000001000000}"/>
  </hyperlinks>
  <pageMargins left="0.75" right="0.75" top="1" bottom="1" header="0.5" footer="0.5"/>
  <pageSetup scale="71"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43">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615</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471</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193</v>
      </c>
      <c r="C9" s="287">
        <f>Prices!C125</f>
        <v>55.12</v>
      </c>
      <c r="D9" s="531">
        <v>0</v>
      </c>
      <c r="E9" s="532">
        <v>0</v>
      </c>
      <c r="F9" s="532">
        <v>0</v>
      </c>
      <c r="G9" s="532">
        <v>0</v>
      </c>
      <c r="H9" s="249" t="s">
        <v>145</v>
      </c>
      <c r="I9" s="249"/>
      <c r="J9" s="5" t="s">
        <v>268</v>
      </c>
      <c r="L9" s="525">
        <f>'LATAM INCUMB'!D37</f>
        <v>1.7981142291912398</v>
      </c>
      <c r="M9" s="525">
        <f>'LATAM INCUMB'!E37</f>
        <v>1.6573649184523203</v>
      </c>
      <c r="N9" s="525">
        <f>'LATAM INCUMB'!F37</f>
        <v>1.5166362516889134</v>
      </c>
      <c r="O9" s="525">
        <f>'LATAM INCUMB'!G37</f>
        <v>1.393473574712661</v>
      </c>
      <c r="P9" s="286">
        <f>'LATAM INCUMB'!H37</f>
        <v>3.2219017878071687E-2</v>
      </c>
      <c r="S9" s="42"/>
      <c r="T9" s="42"/>
      <c r="U9" s="42"/>
      <c r="V9" s="42"/>
      <c r="W9" s="42"/>
      <c r="X9" s="42"/>
      <c r="Y9" s="42"/>
      <c r="Z9" s="42"/>
      <c r="AA9" s="42"/>
    </row>
    <row r="10" spans="2:44">
      <c r="B10" s="5" t="s">
        <v>269</v>
      </c>
      <c r="C10" s="5"/>
      <c r="D10" s="527">
        <v>1655.556</v>
      </c>
      <c r="E10" s="527">
        <v>1645.556</v>
      </c>
      <c r="F10" s="527">
        <v>1633.556</v>
      </c>
      <c r="G10" s="527">
        <v>1618.556</v>
      </c>
      <c r="H10" s="249" t="s">
        <v>176</v>
      </c>
      <c r="I10" s="247"/>
      <c r="J10" s="5" t="s">
        <v>180</v>
      </c>
      <c r="L10" s="525">
        <f>'LATAM INCUMB'!D38</f>
        <v>4.7512746785783913</v>
      </c>
      <c r="M10" s="525">
        <f>'LATAM INCUMB'!E38</f>
        <v>4.280865063792997</v>
      </c>
      <c r="N10" s="525">
        <f>'LATAM INCUMB'!F38</f>
        <v>3.8384069733071251</v>
      </c>
      <c r="O10" s="525">
        <f>'LATAM INCUMB'!G38</f>
        <v>3.473863325911124</v>
      </c>
      <c r="P10" s="286">
        <f>'LATAM INCUMB'!H38</f>
        <v>5.2441939874377175E-2</v>
      </c>
      <c r="S10" s="42"/>
      <c r="T10" s="42"/>
      <c r="U10" s="42"/>
      <c r="V10" s="42"/>
      <c r="W10" s="288"/>
      <c r="X10" s="288"/>
      <c r="Y10" s="288"/>
      <c r="Z10" s="288"/>
      <c r="AA10" s="42"/>
    </row>
    <row r="11" spans="2:44">
      <c r="B11" s="41" t="s">
        <v>270</v>
      </c>
      <c r="C11" s="5"/>
      <c r="D11" s="528">
        <f>$C$9*D10</f>
        <v>91254.246719999996</v>
      </c>
      <c r="E11" s="528">
        <f>$C$9*E10</f>
        <v>90703.046719999998</v>
      </c>
      <c r="F11" s="528">
        <f>$C$9*F10</f>
        <v>90041.606719999996</v>
      </c>
      <c r="G11" s="528">
        <f>$C$9*G10</f>
        <v>89214.806719999993</v>
      </c>
      <c r="H11" s="249"/>
      <c r="I11" s="249"/>
      <c r="J11" s="5" t="s">
        <v>181</v>
      </c>
      <c r="L11" s="525">
        <f>'LATAM INCUMB'!D39</f>
        <v>9.3432661340600287</v>
      </c>
      <c r="M11" s="525">
        <f>'LATAM INCUMB'!E39</f>
        <v>7.5472128390826727</v>
      </c>
      <c r="N11" s="525">
        <f>'LATAM INCUMB'!F39</f>
        <v>6.3647667031009485</v>
      </c>
      <c r="O11" s="525">
        <f>'LATAM INCUMB'!G39</f>
        <v>5.4763649870724755</v>
      </c>
      <c r="P11" s="286">
        <f>'LATAM INCUMB'!H39</f>
        <v>0.13292489725074952</v>
      </c>
      <c r="S11" s="42"/>
      <c r="T11" s="42"/>
      <c r="U11" s="42"/>
      <c r="V11" s="42"/>
      <c r="W11" s="288"/>
      <c r="X11" s="288"/>
      <c r="Y11" s="288"/>
      <c r="Z11" s="288"/>
      <c r="AA11" s="42"/>
    </row>
    <row r="12" spans="2:44">
      <c r="B12" s="5" t="s">
        <v>24</v>
      </c>
      <c r="C12" s="249"/>
      <c r="D12" s="529">
        <v>14962.479460032246</v>
      </c>
      <c r="E12" s="529">
        <v>14817.437057621271</v>
      </c>
      <c r="F12" s="529">
        <v>15415.721236209794</v>
      </c>
      <c r="G12" s="529">
        <v>17179.699940100763</v>
      </c>
      <c r="H12" s="247"/>
      <c r="I12" s="247"/>
      <c r="J12" s="5" t="s">
        <v>461</v>
      </c>
      <c r="L12" s="525">
        <f>'LATAM INCUMB'!D40</f>
        <v>15.212560266492316</v>
      </c>
      <c r="M12" s="525">
        <f>'LATAM INCUMB'!E40</f>
        <v>11.124381688326695</v>
      </c>
      <c r="N12" s="525">
        <f>'LATAM INCUMB'!F40</f>
        <v>9.2813342134669856</v>
      </c>
      <c r="O12" s="525">
        <f>'LATAM INCUMB'!G40</f>
        <v>7.8992460056032359</v>
      </c>
      <c r="P12" s="286">
        <f>'LATAM INCUMB'!H40</f>
        <v>0.17960851918674359</v>
      </c>
      <c r="S12" s="42"/>
      <c r="T12" s="42"/>
      <c r="U12" s="42"/>
      <c r="V12" s="42"/>
      <c r="W12" s="288"/>
      <c r="X12" s="288"/>
      <c r="Y12" s="288"/>
      <c r="Z12" s="288"/>
      <c r="AA12" s="42"/>
    </row>
    <row r="13" spans="2:44">
      <c r="B13" s="5" t="s">
        <v>524</v>
      </c>
      <c r="C13" s="257"/>
      <c r="D13" s="529">
        <v>1963</v>
      </c>
      <c r="E13" s="529">
        <v>1963</v>
      </c>
      <c r="F13" s="529">
        <v>1963</v>
      </c>
      <c r="G13" s="529">
        <v>1963</v>
      </c>
      <c r="H13" s="247"/>
      <c r="I13" s="247"/>
      <c r="J13" s="5" t="s">
        <v>525</v>
      </c>
      <c r="L13" s="525">
        <f>'LATAM INCUMB'!D41</f>
        <v>1.3500734909901855</v>
      </c>
      <c r="M13" s="525">
        <f>'LATAM INCUMB'!E41</f>
        <v>1.2958114371123857</v>
      </c>
      <c r="N13" s="525">
        <f>'LATAM INCUMB'!F41</f>
        <v>1.2298151663256318</v>
      </c>
      <c r="O13" s="525">
        <f>'LATAM INCUMB'!G41</f>
        <v>1.1569201821496407</v>
      </c>
      <c r="P13" s="286">
        <f>'LATAM INCUMB'!H41</f>
        <v>-1.8012682500362365E-3</v>
      </c>
      <c r="S13" s="42"/>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7"/>
      <c r="I14" s="247"/>
      <c r="J14" s="5" t="s">
        <v>588</v>
      </c>
      <c r="L14" s="525">
        <f>'LATAM INCUMB'!D42</f>
        <v>2.3016970940645507</v>
      </c>
      <c r="M14" s="525">
        <f>'LATAM INCUMB'!E42</f>
        <v>2.2701196711338612</v>
      </c>
      <c r="N14" s="525">
        <f>'LATAM INCUMB'!F42</f>
        <v>2.2018047168545012</v>
      </c>
      <c r="O14" s="525">
        <f>'LATAM INCUMB'!G42</f>
        <v>2.1318659888961053</v>
      </c>
      <c r="P14" s="286">
        <f>'LATAM INCUMB'!H42</f>
        <v>-2.7338410987633122E-2</v>
      </c>
      <c r="S14" s="42"/>
      <c r="T14" s="42"/>
      <c r="U14" s="42"/>
      <c r="V14" s="42"/>
      <c r="W14" s="42"/>
      <c r="X14" s="42"/>
      <c r="Y14" s="42"/>
      <c r="Z14" s="42"/>
      <c r="AA14" s="42"/>
    </row>
    <row r="15" spans="2:44">
      <c r="B15" s="5" t="s">
        <v>526</v>
      </c>
      <c r="C15" s="274"/>
      <c r="D15" s="529">
        <v>0</v>
      </c>
      <c r="E15" s="529">
        <f t="shared" si="2"/>
        <v>0</v>
      </c>
      <c r="F15" s="529">
        <f t="shared" si="2"/>
        <v>0</v>
      </c>
      <c r="G15" s="529">
        <f t="shared" si="2"/>
        <v>0</v>
      </c>
      <c r="H15" s="247"/>
      <c r="I15" s="247"/>
      <c r="J15" s="5" t="s">
        <v>470</v>
      </c>
      <c r="L15" s="525">
        <f>'LATAM INCUMB'!D43</f>
        <v>31.920933591934315</v>
      </c>
      <c r="M15" s="525">
        <f>'LATAM INCUMB'!E43</f>
        <v>16.465156182385741</v>
      </c>
      <c r="N15" s="525">
        <f>'LATAM INCUMB'!F43</f>
        <v>12.417200013045317</v>
      </c>
      <c r="O15" s="525">
        <f>'LATAM INCUMB'!G43</f>
        <v>9.867174953724458</v>
      </c>
      <c r="P15" s="286">
        <f>'LATAM INCUMB'!H43</f>
        <v>0.44386238616406404</v>
      </c>
      <c r="S15" s="42"/>
      <c r="T15" s="42"/>
      <c r="U15" s="42"/>
      <c r="V15" s="42"/>
      <c r="W15" s="42"/>
      <c r="X15" s="42"/>
      <c r="Y15" s="42"/>
      <c r="Z15" s="42"/>
      <c r="AA15" s="42"/>
    </row>
    <row r="16" spans="2:44">
      <c r="B16" s="5" t="s">
        <v>529</v>
      </c>
      <c r="C16" s="257"/>
      <c r="D16" s="529">
        <v>3643.5097710960008</v>
      </c>
      <c r="E16" s="529">
        <v>9732.066971096001</v>
      </c>
      <c r="F16" s="529">
        <v>17001.391171096002</v>
      </c>
      <c r="G16" s="529">
        <v>25417.882371096002</v>
      </c>
      <c r="H16" s="247"/>
      <c r="I16" s="247"/>
      <c r="J16" s="5" t="s">
        <v>528</v>
      </c>
      <c r="L16" s="525">
        <f>'LATAM INCUMB'!D44</f>
        <v>16.651538951838202</v>
      </c>
      <c r="M16" s="525">
        <f>'LATAM INCUMB'!E44</f>
        <v>12.18073372584948</v>
      </c>
      <c r="N16" s="525">
        <f>'LATAM INCUMB'!F44</f>
        <v>9.1775904647564932</v>
      </c>
      <c r="O16" s="525">
        <f>'LATAM INCUMB'!G44</f>
        <v>7.3507020212907745</v>
      </c>
      <c r="P16" s="286">
        <f>'LATAM INCUMB'!H44</f>
        <v>0.27622076039307863</v>
      </c>
      <c r="S16" s="42"/>
      <c r="T16" s="42"/>
      <c r="U16" s="42"/>
      <c r="V16" s="42"/>
      <c r="W16" s="42"/>
      <c r="X16" s="42"/>
      <c r="Y16" s="42"/>
      <c r="Z16" s="42"/>
      <c r="AA16" s="42"/>
    </row>
    <row r="17" spans="2:27">
      <c r="B17" s="5" t="s">
        <v>6</v>
      </c>
      <c r="C17" s="257"/>
      <c r="D17" s="529">
        <v>6794.7391159759936</v>
      </c>
      <c r="E17" s="529">
        <v>5448.7755813143722</v>
      </c>
      <c r="F17" s="529">
        <v>4508.6354395538783</v>
      </c>
      <c r="G17" s="529">
        <v>3992.5477409573155</v>
      </c>
      <c r="H17" s="247"/>
      <c r="I17" s="247"/>
      <c r="J17" s="5" t="s">
        <v>575</v>
      </c>
      <c r="L17" s="248">
        <f>'LATAM INCUMB'!D45</f>
        <v>3.2025799004615774E-2</v>
      </c>
      <c r="M17" s="248">
        <f>'LATAM INCUMB'!E45</f>
        <v>3.5431489634530598E-2</v>
      </c>
      <c r="N17" s="248">
        <f>'LATAM INCUMB'!F45</f>
        <v>4.0832121196613419E-2</v>
      </c>
      <c r="O17" s="248">
        <f>'LATAM INCUMB'!G45</f>
        <v>4.5473553846557851E-2</v>
      </c>
      <c r="P17" s="286">
        <f>'LATAM INCUMB'!H45</f>
        <v>9.2203572531136757E-2</v>
      </c>
      <c r="S17" s="42"/>
      <c r="T17" s="42"/>
      <c r="U17" s="42"/>
      <c r="V17" s="42"/>
      <c r="W17" s="42"/>
      <c r="X17" s="42"/>
      <c r="Y17" s="42"/>
      <c r="Z17" s="42"/>
      <c r="AA17" s="42"/>
    </row>
    <row r="18" spans="2:27" ht="12.6" thickBot="1">
      <c r="B18" s="41" t="s">
        <v>578</v>
      </c>
      <c r="C18" s="249"/>
      <c r="D18" s="530">
        <f>D11+D12+D13-D14+D15-D16-D17</f>
        <v>97741.477292960248</v>
      </c>
      <c r="E18" s="530">
        <f>E11+E12+E13-E14+E15-E16-E17</f>
        <v>92302.641225210886</v>
      </c>
      <c r="F18" s="530">
        <f>F11+F12+F13-F14+F15-F16-F17</f>
        <v>85910.301345559914</v>
      </c>
      <c r="G18" s="530">
        <f>G11+G12+G13-G14+G15-G16-G17</f>
        <v>78947.076548047437</v>
      </c>
      <c r="H18" s="276">
        <f>IF(D18=0,"nm",IF(G18=0,"nm",(G18/D18)^(1/3)-1))</f>
        <v>-6.8708331069228246E-2</v>
      </c>
      <c r="I18" s="254"/>
      <c r="J18" s="5" t="s">
        <v>36</v>
      </c>
      <c r="L18" s="248">
        <f>'LATAM INCUMB'!D46</f>
        <v>3.2386280718173587E-2</v>
      </c>
      <c r="M18" s="248">
        <f>'LATAM INCUMB'!E46</f>
        <v>3.5702377387231532E-2</v>
      </c>
      <c r="N18" s="248">
        <f>'LATAM INCUMB'!F46</f>
        <v>3.2802914073150051E-2</v>
      </c>
      <c r="O18" s="248">
        <f>'LATAM INCUMB'!G46</f>
        <v>7.2247104617748276E-2</v>
      </c>
      <c r="P18" s="286">
        <f>'LATAM INCUMB'!H46</f>
        <v>0.269707667316055</v>
      </c>
      <c r="S18" s="42"/>
      <c r="T18" s="42"/>
      <c r="U18" s="42"/>
      <c r="V18" s="42"/>
      <c r="W18" s="42"/>
      <c r="X18" s="42"/>
      <c r="Y18" s="42"/>
      <c r="Z18" s="42"/>
      <c r="AA18" s="42"/>
    </row>
    <row r="19" spans="2:27" ht="12.6" thickTop="1">
      <c r="B19" s="41"/>
      <c r="C19" s="249"/>
      <c r="D19" s="229"/>
      <c r="E19" s="229"/>
      <c r="F19" s="229"/>
      <c r="G19" s="229"/>
      <c r="H19" s="276"/>
      <c r="I19" s="254"/>
      <c r="J19" s="5" t="s">
        <v>576</v>
      </c>
      <c r="L19" s="248">
        <f>'LATAM INCUMB'!D47</f>
        <v>3.1327404542224199E-2</v>
      </c>
      <c r="M19" s="248">
        <f>'LATAM INCUMB'!E47</f>
        <v>6.0734316086827646E-2</v>
      </c>
      <c r="N19" s="248">
        <f>'LATAM INCUMB'!F47</f>
        <v>8.053345351201685E-2</v>
      </c>
      <c r="O19" s="248">
        <f>'LATAM INCUMB'!G47</f>
        <v>0.10134613044664224</v>
      </c>
      <c r="P19" s="286">
        <f>'LATAM INCUMB'!H47</f>
        <v>0.44386238616406404</v>
      </c>
      <c r="S19" s="42"/>
      <c r="T19" s="42"/>
      <c r="U19" s="42"/>
      <c r="V19" s="42"/>
      <c r="W19" s="42"/>
      <c r="X19" s="42"/>
      <c r="Y19" s="42"/>
      <c r="Z19" s="42"/>
      <c r="AA19" s="42"/>
    </row>
    <row r="20" spans="2:27">
      <c r="H20" s="277"/>
      <c r="I20" s="17"/>
      <c r="J20" s="5" t="s">
        <v>599</v>
      </c>
      <c r="L20" s="305">
        <f>'LATAM INCUMB'!D48</f>
        <v>0.8627930890635962</v>
      </c>
      <c r="M20" s="305">
        <f>'LATAM INCUMB'!E48</f>
        <v>0.49052492114089552</v>
      </c>
      <c r="N20" s="305">
        <f>'LATAM INCUMB'!F48</f>
        <v>0.42422949128548088</v>
      </c>
      <c r="O20" s="305">
        <f>'LATAM INCUMB'!G48</f>
        <v>0.3734565041962376</v>
      </c>
      <c r="P20" s="286" t="str">
        <f>'LATAM INCUMB'!H48</f>
        <v>nm</v>
      </c>
      <c r="S20" s="42"/>
      <c r="T20" s="42"/>
      <c r="U20" s="42"/>
      <c r="V20" s="42"/>
      <c r="W20" s="42"/>
      <c r="X20" s="42"/>
      <c r="Y20" s="42"/>
      <c r="Z20" s="42"/>
      <c r="AA20" s="42"/>
    </row>
    <row r="21" spans="2:27" ht="12.6" thickBot="1">
      <c r="B21" s="306" t="s">
        <v>939</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579</v>
      </c>
      <c r="C23" s="544">
        <v>48041</v>
      </c>
      <c r="D23" s="536">
        <v>52105.004688145302</v>
      </c>
      <c r="E23" s="536">
        <v>54800.105351117549</v>
      </c>
      <c r="F23" s="536">
        <v>58138.328212947003</v>
      </c>
      <c r="G23" s="536">
        <v>60933.387982338172</v>
      </c>
      <c r="H23" s="279">
        <f t="shared" ref="H23:H32" si="4">IF(D23=0,"nm",IF(G23=0,"nm",(G23/D23)^(1/3)-1))</f>
        <v>5.3558436109118146E-2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478</v>
      </c>
      <c r="C24" s="545">
        <v>19282</v>
      </c>
      <c r="D24" s="536">
        <v>21086.572975761956</v>
      </c>
      <c r="E24" s="536">
        <v>22708.264126610393</v>
      </c>
      <c r="F24" s="536">
        <v>24668.200679025758</v>
      </c>
      <c r="G24" s="536">
        <v>26157.755753581368</v>
      </c>
      <c r="H24" s="279">
        <f t="shared" si="4"/>
        <v>7.4479561881599876E-2</v>
      </c>
      <c r="I24" s="249"/>
      <c r="J24" s="17"/>
      <c r="K24" s="17"/>
      <c r="L24" s="17"/>
      <c r="M24" s="17"/>
      <c r="N24" s="17"/>
      <c r="O24" s="248"/>
      <c r="S24" s="42"/>
      <c r="T24" s="42"/>
      <c r="U24" s="42"/>
      <c r="V24" s="42"/>
      <c r="W24" s="42" t="s">
        <v>614</v>
      </c>
      <c r="X24" s="42" t="s">
        <v>507</v>
      </c>
      <c r="Y24" s="42"/>
      <c r="Z24" s="42"/>
      <c r="AA24" s="42"/>
    </row>
    <row r="25" spans="2:27">
      <c r="B25" s="5" t="s">
        <v>179</v>
      </c>
      <c r="C25" s="544">
        <v>9752</v>
      </c>
      <c r="D25" s="536">
        <v>12204.016924123996</v>
      </c>
      <c r="E25" s="536">
        <v>14067.461197918179</v>
      </c>
      <c r="F25" s="536">
        <v>15665.275798558263</v>
      </c>
      <c r="G25" s="536">
        <v>16962.234907987462</v>
      </c>
      <c r="H25" s="279">
        <f t="shared" si="4"/>
        <v>0.11598945437726726</v>
      </c>
      <c r="I25" s="248"/>
      <c r="J25" s="247" t="s">
        <v>10</v>
      </c>
      <c r="K25" s="247"/>
      <c r="L25" s="321">
        <v>-2074</v>
      </c>
      <c r="M25" s="321">
        <v>-2074</v>
      </c>
      <c r="N25" s="321">
        <v>-2074</v>
      </c>
      <c r="O25" s="321">
        <v>-2074</v>
      </c>
      <c r="P25" s="279">
        <f>IF(L25=0,"nm",IF(O25=0,"nm",(O25/L25)^(1/3)-1))</f>
        <v>0</v>
      </c>
      <c r="S25" s="42"/>
      <c r="T25" s="42"/>
      <c r="U25" s="42"/>
      <c r="V25" s="147" t="s">
        <v>268</v>
      </c>
      <c r="W25" s="288">
        <f>D37/L9</f>
        <v>1.0432350785573907</v>
      </c>
      <c r="X25" s="288">
        <v>1</v>
      </c>
      <c r="Y25" s="42"/>
      <c r="Z25" s="42"/>
      <c r="AA25" s="42"/>
    </row>
    <row r="26" spans="2:27">
      <c r="B26" s="5" t="s">
        <v>581</v>
      </c>
      <c r="C26" s="544">
        <v>8191.6799999999994</v>
      </c>
      <c r="D26" s="536">
        <v>8054.6511699218363</v>
      </c>
      <c r="E26" s="536">
        <v>9284.5243906259966</v>
      </c>
      <c r="F26" s="536">
        <v>10339.082027048453</v>
      </c>
      <c r="G26" s="536">
        <v>11195.075039271724</v>
      </c>
      <c r="H26" s="279">
        <f t="shared" si="4"/>
        <v>0.11598945437726726</v>
      </c>
      <c r="I26" s="249"/>
      <c r="J26" s="249" t="s">
        <v>11</v>
      </c>
      <c r="K26" s="249"/>
      <c r="L26" s="281">
        <f>D11+L25</f>
        <v>89180.246719999996</v>
      </c>
      <c r="M26" s="281">
        <f>E11+M25</f>
        <v>88629.046719999998</v>
      </c>
      <c r="N26" s="281">
        <f>F11+N25</f>
        <v>87967.606719999996</v>
      </c>
      <c r="O26" s="281">
        <f>G11+O25</f>
        <v>87140.806719999993</v>
      </c>
      <c r="P26" s="279">
        <f>IF(L26=0,"nm",IF(O26=0,"nm",(O26/L26)^(1/3)-1))</f>
        <v>-7.6817723257081028E-3</v>
      </c>
      <c r="Q26" s="5"/>
      <c r="S26" s="42"/>
      <c r="T26" s="42"/>
      <c r="U26" s="42"/>
      <c r="V26" s="147" t="s">
        <v>180</v>
      </c>
      <c r="W26" s="288">
        <f t="shared" ref="W26:W33" si="6">D38/L10</f>
        <v>0.97557970518487303</v>
      </c>
      <c r="X26" s="288">
        <v>1</v>
      </c>
      <c r="Y26" s="42"/>
      <c r="Z26" s="42"/>
      <c r="AA26" s="42"/>
    </row>
    <row r="27" spans="2:27">
      <c r="B27" s="5" t="s">
        <v>582</v>
      </c>
      <c r="C27" s="545">
        <v>85331</v>
      </c>
      <c r="D27" s="536">
        <v>82322.509275504868</v>
      </c>
      <c r="E27" s="536">
        <v>79942.559093239746</v>
      </c>
      <c r="F27" s="536">
        <v>78420.095566222255</v>
      </c>
      <c r="G27" s="536">
        <v>77851.186894568804</v>
      </c>
      <c r="H27" s="279">
        <f t="shared" si="4"/>
        <v>-1.84429513214317E-2</v>
      </c>
      <c r="I27" s="249"/>
      <c r="J27" s="248"/>
      <c r="K27" s="248"/>
      <c r="L27" s="248"/>
      <c r="M27" s="248"/>
      <c r="N27" s="248"/>
      <c r="O27" s="248"/>
      <c r="Q27" s="41"/>
      <c r="S27" s="42"/>
      <c r="T27" s="42"/>
      <c r="U27" s="42"/>
      <c r="V27" s="147" t="s">
        <v>181</v>
      </c>
      <c r="W27" s="288">
        <f t="shared" si="6"/>
        <v>0.85719055691360946</v>
      </c>
      <c r="X27" s="288">
        <v>1</v>
      </c>
      <c r="Y27" s="42"/>
      <c r="Z27" s="42"/>
      <c r="AA27" s="42"/>
    </row>
    <row r="28" spans="2:27" ht="12.6" thickBot="1">
      <c r="B28" s="5" t="s">
        <v>587</v>
      </c>
      <c r="C28" s="544">
        <v>45898</v>
      </c>
      <c r="D28" s="536">
        <v>47617.050055606131</v>
      </c>
      <c r="E28" s="536">
        <v>49376.551297896251</v>
      </c>
      <c r="F28" s="536">
        <v>51741.733676990276</v>
      </c>
      <c r="G28" s="536">
        <v>54496.794806406659</v>
      </c>
      <c r="H28" s="279">
        <f t="shared" si="4"/>
        <v>4.6010774055409209E-2</v>
      </c>
      <c r="I28" s="248"/>
      <c r="J28" s="306" t="s">
        <v>1352</v>
      </c>
      <c r="K28" s="306"/>
      <c r="L28" s="306"/>
      <c r="M28" s="306"/>
      <c r="N28" s="266"/>
      <c r="O28" s="266"/>
      <c r="P28" s="266"/>
      <c r="Q28" s="5"/>
      <c r="S28" s="42"/>
      <c r="T28" s="42"/>
      <c r="U28" s="42"/>
      <c r="V28" s="147" t="s">
        <v>461</v>
      </c>
      <c r="W28" s="288">
        <f t="shared" si="6"/>
        <v>0.79768210675384532</v>
      </c>
      <c r="X28" s="288">
        <v>1</v>
      </c>
      <c r="Y28" s="42"/>
      <c r="Z28" s="42"/>
      <c r="AA28" s="42"/>
    </row>
    <row r="29" spans="2:27" ht="12.6" thickTop="1">
      <c r="B29" s="5" t="s">
        <v>583</v>
      </c>
      <c r="C29" s="544">
        <v>3981</v>
      </c>
      <c r="D29" s="536">
        <v>7020.0025568338933</v>
      </c>
      <c r="E29" s="536">
        <v>8415.0263294136348</v>
      </c>
      <c r="F29" s="536">
        <v>9169.4921412859912</v>
      </c>
      <c r="G29" s="536">
        <v>9790.0408324807977</v>
      </c>
      <c r="H29" s="279">
        <f t="shared" si="4"/>
        <v>0.11724669242949792</v>
      </c>
      <c r="I29" s="252"/>
      <c r="J29" s="249"/>
      <c r="K29" s="249"/>
      <c r="L29" s="249"/>
      <c r="M29" s="249"/>
      <c r="N29" s="249"/>
      <c r="O29" s="251"/>
      <c r="Q29" s="5"/>
      <c r="S29" s="42"/>
      <c r="T29" s="42"/>
      <c r="U29" s="42"/>
      <c r="V29" s="147" t="s">
        <v>525</v>
      </c>
      <c r="W29" s="288">
        <f t="shared" si="6"/>
        <v>0.87943326544122757</v>
      </c>
      <c r="X29" s="288">
        <v>1</v>
      </c>
      <c r="Y29" s="42"/>
      <c r="Z29" s="42"/>
      <c r="AA29" s="42"/>
    </row>
    <row r="30" spans="2:27">
      <c r="B30" s="5" t="s">
        <v>584</v>
      </c>
      <c r="C30" s="545">
        <v>4378.4639999999999</v>
      </c>
      <c r="D30" s="536">
        <v>5372.2146208676177</v>
      </c>
      <c r="E30" s="536">
        <v>6559.7670225033462</v>
      </c>
      <c r="F30" s="536">
        <v>8148.0058202639048</v>
      </c>
      <c r="G30" s="536">
        <v>9221.5789611852415</v>
      </c>
      <c r="H30" s="279">
        <f t="shared" si="4"/>
        <v>0.19733950436133263</v>
      </c>
      <c r="I30" s="254"/>
      <c r="J30" s="248"/>
      <c r="K30" s="248"/>
      <c r="L30" s="248"/>
      <c r="M30" s="248"/>
      <c r="N30" s="248"/>
      <c r="O30" s="5"/>
      <c r="Q30" s="5"/>
      <c r="S30" s="42"/>
      <c r="T30" s="42"/>
      <c r="U30" s="42"/>
      <c r="V30" s="147" t="s">
        <v>588</v>
      </c>
      <c r="W30" s="288">
        <f t="shared" si="6"/>
        <v>0.89180159066762232</v>
      </c>
      <c r="X30" s="288">
        <v>1</v>
      </c>
      <c r="Y30" s="42"/>
      <c r="Z30" s="42"/>
      <c r="AA30" s="42"/>
    </row>
    <row r="31" spans="2:27">
      <c r="B31" s="5" t="s">
        <v>585</v>
      </c>
      <c r="C31" s="545">
        <v>6286.2059909999998</v>
      </c>
      <c r="D31" s="536">
        <v>3893.8921251829042</v>
      </c>
      <c r="E31" s="536">
        <v>4552.7790000000005</v>
      </c>
      <c r="F31" s="536">
        <v>6088.5572000000002</v>
      </c>
      <c r="G31" s="536">
        <v>7269.3241999999991</v>
      </c>
      <c r="H31" s="279">
        <f t="shared" si="4"/>
        <v>0.2313174684450654</v>
      </c>
      <c r="I31" s="254"/>
      <c r="J31" s="252"/>
      <c r="K31" s="252"/>
      <c r="L31" s="252"/>
      <c r="M31" s="252"/>
      <c r="N31" s="252"/>
      <c r="O31" s="5"/>
      <c r="Q31" s="5"/>
      <c r="S31" s="42"/>
      <c r="T31" s="42"/>
      <c r="U31" s="42"/>
      <c r="V31" s="147" t="s">
        <v>470</v>
      </c>
      <c r="W31" s="288">
        <f t="shared" si="6"/>
        <v>0.39797502117048139</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42"/>
      <c r="T32" s="42"/>
      <c r="U32" s="42"/>
      <c r="V32" s="147" t="s">
        <v>528</v>
      </c>
      <c r="W32" s="288">
        <f t="shared" si="6"/>
        <v>1.0201061183234506</v>
      </c>
      <c r="X32" s="288">
        <v>1</v>
      </c>
      <c r="Y32" s="42"/>
      <c r="Z32" s="42"/>
      <c r="AA32" s="42"/>
    </row>
    <row r="33" spans="2:27">
      <c r="B33" s="5" t="s">
        <v>5</v>
      </c>
      <c r="C33" s="545">
        <v>1766.3200000000002</v>
      </c>
      <c r="D33" s="536">
        <v>2315.5098996276679</v>
      </c>
      <c r="E33" s="536">
        <v>2064.5420244759462</v>
      </c>
      <c r="F33" s="536">
        <v>1989.4684896621404</v>
      </c>
      <c r="G33" s="536">
        <v>2029.675768007422</v>
      </c>
      <c r="H33" s="279">
        <f>IF(D33=0,"nm",IF(G33=0,"nm",(G33/D33)^(1/3)-1))</f>
        <v>-4.2967525125220951E-2</v>
      </c>
      <c r="I33" s="5"/>
      <c r="J33" s="254"/>
      <c r="K33" s="254"/>
      <c r="L33" s="254"/>
      <c r="M33" s="254"/>
      <c r="N33" s="254"/>
      <c r="O33" s="251"/>
      <c r="Q33" s="5"/>
      <c r="S33" s="42"/>
      <c r="T33" s="42"/>
      <c r="U33" s="42"/>
      <c r="V33" s="147" t="s">
        <v>575</v>
      </c>
      <c r="W33" s="288">
        <f t="shared" si="6"/>
        <v>1.3323884451185575</v>
      </c>
      <c r="X33" s="288">
        <v>1</v>
      </c>
      <c r="Y33" s="42"/>
      <c r="Z33" s="42"/>
      <c r="AA33" s="42"/>
    </row>
    <row r="34" spans="2:27">
      <c r="D34" s="5"/>
      <c r="E34" s="5"/>
      <c r="F34" s="5"/>
      <c r="G34" s="5"/>
      <c r="I34" s="49"/>
      <c r="J34" s="254"/>
      <c r="K34" s="254"/>
      <c r="L34" s="254"/>
      <c r="M34" s="254"/>
      <c r="N34" s="254"/>
      <c r="O34" s="251"/>
      <c r="Q34" s="5"/>
      <c r="S34" s="42"/>
      <c r="T34" s="42"/>
      <c r="U34" s="42"/>
      <c r="V34" s="147" t="s">
        <v>576</v>
      </c>
      <c r="W34" s="288">
        <f>D47/L19</f>
        <v>2.5127205146164884</v>
      </c>
      <c r="X34" s="288">
        <v>1</v>
      </c>
      <c r="Y34" s="288"/>
      <c r="Z34" s="288"/>
      <c r="AA34" s="42"/>
    </row>
    <row r="35" spans="2:27" ht="12.6" thickBot="1">
      <c r="B35" s="306" t="s">
        <v>616</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268</v>
      </c>
      <c r="C37" s="247"/>
      <c r="D37" s="525">
        <f>D$18/D23</f>
        <v>1.8758558391454851</v>
      </c>
      <c r="E37" s="525">
        <f t="shared" ref="E37:G41" si="8">E$18/E23</f>
        <v>1.684351528775456</v>
      </c>
      <c r="F37" s="525">
        <f t="shared" si="8"/>
        <v>1.4776878521668306</v>
      </c>
      <c r="G37" s="525">
        <f t="shared" si="8"/>
        <v>1.2956291970984875</v>
      </c>
      <c r="H37" s="17">
        <f t="shared" ref="H37:H45" si="9">H23</f>
        <v>5.3558436109118146E-2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4.6352471501798593</v>
      </c>
      <c r="E38" s="525">
        <f t="shared" si="8"/>
        <v>4.0647158545706361</v>
      </c>
      <c r="F38" s="525">
        <f t="shared" si="8"/>
        <v>3.4826334706529898</v>
      </c>
      <c r="G38" s="525">
        <f>G$18/G24</f>
        <v>3.0181135297602304</v>
      </c>
      <c r="H38" s="17">
        <f t="shared" si="9"/>
        <v>7.4479561881599876E-2</v>
      </c>
      <c r="I38" s="259"/>
      <c r="J38" s="17"/>
      <c r="K38" s="17"/>
      <c r="L38" s="17"/>
      <c r="M38" s="17"/>
      <c r="N38" s="17"/>
      <c r="O38" s="5"/>
      <c r="Q38" s="5"/>
      <c r="R38" s="5"/>
      <c r="S38" s="42"/>
      <c r="T38" s="42"/>
      <c r="U38" s="42"/>
      <c r="V38" s="42"/>
      <c r="W38" s="42"/>
      <c r="X38" s="42"/>
      <c r="Y38" s="42"/>
      <c r="Z38" s="42"/>
      <c r="AA38" s="42"/>
    </row>
    <row r="39" spans="2:27">
      <c r="B39" s="5" t="s">
        <v>181</v>
      </c>
      <c r="C39" s="247"/>
      <c r="D39" s="525">
        <f>D$18/D25</f>
        <v>8.0089595008469825</v>
      </c>
      <c r="E39" s="525">
        <f t="shared" si="8"/>
        <v>6.5614285283310823</v>
      </c>
      <c r="F39" s="525">
        <f t="shared" si="8"/>
        <v>5.4841231300547273</v>
      </c>
      <c r="G39" s="525">
        <f t="shared" si="8"/>
        <v>4.654285061862427</v>
      </c>
      <c r="H39" s="17">
        <f t="shared" si="9"/>
        <v>0.11598945437726726</v>
      </c>
      <c r="I39" s="17"/>
      <c r="J39" s="5"/>
      <c r="K39" s="5"/>
      <c r="L39" s="5"/>
      <c r="M39" s="5"/>
      <c r="N39" s="5"/>
      <c r="O39" s="5"/>
      <c r="Q39" s="5"/>
      <c r="R39" s="5"/>
      <c r="S39" s="42"/>
      <c r="T39" s="42"/>
      <c r="U39" s="42"/>
      <c r="V39" s="42"/>
      <c r="W39" s="42"/>
      <c r="X39" s="42"/>
      <c r="Y39" s="42"/>
      <c r="Z39" s="42"/>
      <c r="AA39" s="42"/>
    </row>
    <row r="40" spans="2:27">
      <c r="B40" s="5" t="s">
        <v>461</v>
      </c>
      <c r="C40" s="247"/>
      <c r="D40" s="525">
        <f>D$18/D26</f>
        <v>12.13478712249543</v>
      </c>
      <c r="E40" s="525">
        <f t="shared" si="8"/>
        <v>9.9415583762592181</v>
      </c>
      <c r="F40" s="525">
        <f t="shared" si="8"/>
        <v>8.3092774697798912</v>
      </c>
      <c r="G40" s="525">
        <f t="shared" si="8"/>
        <v>7.05194706342792</v>
      </c>
      <c r="H40" s="17">
        <f t="shared" si="9"/>
        <v>0.11598945437726726</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1.1872995387671366</v>
      </c>
      <c r="E41" s="525">
        <f t="shared" si="8"/>
        <v>1.1546120398466999</v>
      </c>
      <c r="F41" s="525">
        <f t="shared" si="8"/>
        <v>1.0955138568150879</v>
      </c>
      <c r="G41" s="525">
        <f t="shared" si="8"/>
        <v>1.0140767237751014</v>
      </c>
      <c r="H41" s="17">
        <f t="shared" si="9"/>
        <v>-1.84429513214317E-2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2.0526571297218101</v>
      </c>
      <c r="E42" s="525">
        <f>E18/E28</f>
        <v>1.8693618488730612</v>
      </c>
      <c r="F42" s="525">
        <f>F18/F28</f>
        <v>1.6603676614679133</v>
      </c>
      <c r="G42" s="525">
        <f>G18/G28</f>
        <v>1.4486554086070103</v>
      </c>
      <c r="H42" s="17">
        <f t="shared" si="9"/>
        <v>4.6010774055409209E-2</v>
      </c>
      <c r="I42" s="248"/>
      <c r="J42" s="5"/>
      <c r="K42" s="5"/>
      <c r="L42" s="5"/>
      <c r="M42" s="5"/>
      <c r="N42" s="5"/>
      <c r="O42" s="5"/>
      <c r="Q42" s="5"/>
      <c r="R42" s="5"/>
      <c r="S42" s="42"/>
      <c r="T42" s="42"/>
      <c r="U42" s="42"/>
      <c r="V42" s="42"/>
      <c r="W42" s="288"/>
      <c r="X42" s="288"/>
      <c r="Y42" s="288"/>
      <c r="Z42" s="288"/>
      <c r="AA42" s="42"/>
    </row>
    <row r="43" spans="2:27">
      <c r="B43" s="5" t="s">
        <v>470</v>
      </c>
      <c r="C43" s="247"/>
      <c r="D43" s="525">
        <f>L26/D29</f>
        <v>12.70373422203159</v>
      </c>
      <c r="E43" s="525">
        <f>M26/E29</f>
        <v>10.532236412643018</v>
      </c>
      <c r="F43" s="525">
        <f>N26/F29</f>
        <v>9.5935091458252586</v>
      </c>
      <c r="G43" s="525">
        <f>O26/G29</f>
        <v>8.90096458340496</v>
      </c>
      <c r="H43" s="17">
        <f t="shared" si="9"/>
        <v>0.11724669242949792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16.986336764271407</v>
      </c>
      <c r="E44" s="525">
        <f>E11/E30</f>
        <v>13.827175021436323</v>
      </c>
      <c r="F44" s="525">
        <f>F11/F30</f>
        <v>11.050753853914607</v>
      </c>
      <c r="G44" s="525">
        <f>G11/G30</f>
        <v>9.6745695173804904</v>
      </c>
      <c r="H44" s="17">
        <f t="shared" si="9"/>
        <v>0.19733950436133263</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4.2670804539439458E-2</v>
      </c>
      <c r="E45" s="248">
        <f>E31/E11</f>
        <v>5.0194333758759105E-2</v>
      </c>
      <c r="F45" s="248">
        <f>F31/F11</f>
        <v>6.7619375328712483E-2</v>
      </c>
      <c r="G45" s="248">
        <f>G31/G11</f>
        <v>8.1481140488424961E-2</v>
      </c>
      <c r="H45" s="17">
        <f t="shared" si="9"/>
        <v>0.2313174684450654</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4.2670804539439458E-2</v>
      </c>
      <c r="E46" s="248">
        <f>(E31+E32)/E11</f>
        <v>5.0194333758759105E-2</v>
      </c>
      <c r="F46" s="248">
        <f>(F31+F32)/F11</f>
        <v>6.7619375328712483E-2</v>
      </c>
      <c r="G46" s="248">
        <f>(G31+G32)/G11</f>
        <v>8.1481140488424961E-2</v>
      </c>
      <c r="H46" s="279">
        <f>((G31+G32)/(D31+D32))^(1/3)-1</f>
        <v>0.2313174684450654</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7.8717012062936506E-2</v>
      </c>
      <c r="E47" s="248">
        <f>1/E43</f>
        <v>9.4946596413235509E-2</v>
      </c>
      <c r="F47" s="248">
        <f>1/F43</f>
        <v>0.10423714459428676</v>
      </c>
      <c r="G47" s="248">
        <f>1/G43</f>
        <v>0.11234737433563202</v>
      </c>
      <c r="H47" s="17">
        <f>H29</f>
        <v>0.11724669242949792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0.55468528588956767</v>
      </c>
      <c r="E48" s="305">
        <f>E31/E29</f>
        <v>0.5410296797392482</v>
      </c>
      <c r="F48" s="305">
        <f>F31/F29</f>
        <v>0.66400157240836022</v>
      </c>
      <c r="G48" s="305">
        <f>G31/G29</f>
        <v>0.74252235760675078</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0"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4">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488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328</v>
      </c>
      <c r="C9" s="287">
        <f>Prices!C114/100</f>
        <v>111.12</v>
      </c>
      <c r="D9" s="529">
        <v>0</v>
      </c>
      <c r="E9" s="529">
        <v>0</v>
      </c>
      <c r="F9" s="529">
        <v>0</v>
      </c>
      <c r="G9" s="529">
        <v>0</v>
      </c>
      <c r="H9" s="249"/>
      <c r="I9" s="249"/>
      <c r="J9" s="5" t="s">
        <v>268</v>
      </c>
      <c r="L9" s="525">
        <f>'EMEA CELLULAR'!D37</f>
        <v>3.1810559293853995</v>
      </c>
      <c r="M9" s="525">
        <f>'EMEA CELLULAR'!E37</f>
        <v>3.2323872383219907</v>
      </c>
      <c r="N9" s="525">
        <f>'EMEA CELLULAR'!F37</f>
        <v>2.8967593532646405</v>
      </c>
      <c r="O9" s="525">
        <f>'EMEA CELLULAR'!G37</f>
        <v>2.5822840300404155</v>
      </c>
      <c r="P9" s="286">
        <f>'EMEA CELLULAR'!H37</f>
        <v>4.7493644526533263E-2</v>
      </c>
      <c r="S9" s="88"/>
      <c r="T9" s="42"/>
      <c r="U9" s="42"/>
      <c r="V9" s="42"/>
      <c r="W9" s="42"/>
      <c r="X9" s="42"/>
      <c r="Y9" s="42"/>
      <c r="Z9" s="42"/>
      <c r="AA9" s="42"/>
    </row>
    <row r="10" spans="2:44">
      <c r="B10" s="5" t="s">
        <v>269</v>
      </c>
      <c r="C10" s="5"/>
      <c r="D10" s="527">
        <v>2077.8409999999999</v>
      </c>
      <c r="E10" s="527">
        <v>2077.8409999999999</v>
      </c>
      <c r="F10" s="527">
        <v>2077.8409999999999</v>
      </c>
      <c r="G10" s="527">
        <v>2077.8409999999999</v>
      </c>
      <c r="H10" s="249"/>
      <c r="I10" s="247"/>
      <c r="J10" s="5" t="s">
        <v>180</v>
      </c>
      <c r="L10" s="525">
        <f>'EMEA CELLULAR'!D38</f>
        <v>7.7572766871744339</v>
      </c>
      <c r="M10" s="525">
        <f>'EMEA CELLULAR'!E38</f>
        <v>8.095415565986066</v>
      </c>
      <c r="N10" s="525">
        <f>'EMEA CELLULAR'!F38</f>
        <v>7.1463601536743644</v>
      </c>
      <c r="O10" s="525">
        <f>'EMEA CELLULAR'!G38</f>
        <v>6.3123163660270478</v>
      </c>
      <c r="P10" s="286">
        <f>'EMEA CELLULAR'!H38</f>
        <v>4.6652398847596643E-2</v>
      </c>
      <c r="S10" s="88"/>
      <c r="T10" s="42"/>
      <c r="U10" s="42"/>
      <c r="V10" s="42"/>
      <c r="W10" s="288"/>
      <c r="X10" s="288"/>
      <c r="Y10" s="288"/>
      <c r="Z10" s="288"/>
      <c r="AA10" s="42"/>
    </row>
    <row r="11" spans="2:44">
      <c r="B11" s="41" t="s">
        <v>309</v>
      </c>
      <c r="C11" s="5"/>
      <c r="D11" s="528">
        <f>($C$9*D10)</f>
        <v>230889.69192000001</v>
      </c>
      <c r="E11" s="528">
        <f>($C$9*E10)</f>
        <v>230889.69192000001</v>
      </c>
      <c r="F11" s="528">
        <f>($C$9*F10)</f>
        <v>230889.69192000001</v>
      </c>
      <c r="G11" s="528">
        <f>($C$9*G10)</f>
        <v>230889.69192000001</v>
      </c>
      <c r="H11" s="249"/>
      <c r="I11" s="249"/>
      <c r="J11" s="5" t="s">
        <v>181</v>
      </c>
      <c r="L11" s="525">
        <f>'EMEA CELLULAR'!D39</f>
        <v>15.605152275252255</v>
      </c>
      <c r="M11" s="525">
        <f>'EMEA CELLULAR'!E39</f>
        <v>14.854063145861112</v>
      </c>
      <c r="N11" s="525">
        <f>'EMEA CELLULAR'!F39</f>
        <v>12.469863163008389</v>
      </c>
      <c r="O11" s="525">
        <f>'EMEA CELLULAR'!G39</f>
        <v>10.733351248281235</v>
      </c>
      <c r="P11" s="286">
        <f>'EMEA CELLULAR'!H39</f>
        <v>0.10698020388173712</v>
      </c>
      <c r="S11" s="88"/>
      <c r="T11" s="42"/>
      <c r="U11" s="42"/>
      <c r="V11" s="42"/>
      <c r="W11" s="288"/>
      <c r="X11" s="288"/>
      <c r="Y11" s="288"/>
      <c r="Z11" s="288"/>
      <c r="AA11" s="42"/>
    </row>
    <row r="12" spans="2:44">
      <c r="B12" s="5" t="s">
        <v>24</v>
      </c>
      <c r="C12" s="249"/>
      <c r="D12" s="529">
        <v>49768</v>
      </c>
      <c r="E12" s="529">
        <v>55945.201179455573</v>
      </c>
      <c r="F12" s="529">
        <v>51107.477191622107</v>
      </c>
      <c r="G12" s="529">
        <v>47518.990374897388</v>
      </c>
      <c r="H12" s="247"/>
      <c r="I12" s="247"/>
      <c r="J12" s="5" t="s">
        <v>461</v>
      </c>
      <c r="L12" s="525">
        <f>'EMEA CELLULAR'!D40</f>
        <v>19.965576466556715</v>
      </c>
      <c r="M12" s="525">
        <f>'EMEA CELLULAR'!E40</f>
        <v>18.915055159311862</v>
      </c>
      <c r="N12" s="525">
        <f>'EMEA CELLULAR'!F40</f>
        <v>18.041615049136492</v>
      </c>
      <c r="O12" s="525">
        <f>'EMEA CELLULAR'!G40</f>
        <v>15.593250523045757</v>
      </c>
      <c r="P12" s="286">
        <f>'EMEA CELLULAR'!H40</f>
        <v>6.1069987666233061E-2</v>
      </c>
      <c r="S12" s="88"/>
      <c r="T12" s="42"/>
      <c r="U12" s="42"/>
      <c r="V12" s="42"/>
      <c r="W12" s="288"/>
      <c r="X12" s="288"/>
      <c r="Y12" s="288"/>
      <c r="Z12" s="288"/>
      <c r="AA12" s="42"/>
    </row>
    <row r="13" spans="2:44">
      <c r="B13" s="5" t="s">
        <v>524</v>
      </c>
      <c r="C13" s="257"/>
      <c r="D13" s="529">
        <v>28730.506249427417</v>
      </c>
      <c r="E13" s="529">
        <v>28730.506249427417</v>
      </c>
      <c r="F13" s="529">
        <v>28730.506249427417</v>
      </c>
      <c r="G13" s="529">
        <v>28730.506249427417</v>
      </c>
      <c r="H13" s="247"/>
      <c r="I13" s="247"/>
      <c r="J13" s="5" t="s">
        <v>525</v>
      </c>
      <c r="L13" s="525">
        <f>'EMEA CELLULAR'!D41</f>
        <v>2.9187139333758294</v>
      </c>
      <c r="M13" s="525">
        <f>'EMEA CELLULAR'!E41</f>
        <v>2.9515664246277606</v>
      </c>
      <c r="N13" s="525">
        <f>'EMEA CELLULAR'!F41</f>
        <v>2.8267562188907287</v>
      </c>
      <c r="O13" s="525">
        <f>'EMEA CELLULAR'!G41</f>
        <v>2.6673762180421927</v>
      </c>
      <c r="P13" s="286">
        <f>'EMEA CELLULAR'!H41</f>
        <v>6.9271484573356634E-3</v>
      </c>
      <c r="S13" s="88"/>
      <c r="T13" s="42"/>
      <c r="U13" s="42"/>
      <c r="V13" s="42"/>
      <c r="W13" s="42"/>
      <c r="X13" s="42"/>
      <c r="Y13" s="42"/>
      <c r="Z13" s="42"/>
      <c r="AA13" s="42"/>
    </row>
    <row r="14" spans="2:44">
      <c r="B14" s="5" t="s">
        <v>527</v>
      </c>
      <c r="C14" s="257"/>
      <c r="D14" s="529">
        <v>56743</v>
      </c>
      <c r="E14" s="529">
        <f t="shared" ref="E14:G15" si="2">D14</f>
        <v>56743</v>
      </c>
      <c r="F14" s="529">
        <f t="shared" si="2"/>
        <v>56743</v>
      </c>
      <c r="G14" s="529">
        <f t="shared" si="2"/>
        <v>56743</v>
      </c>
      <c r="H14" s="247"/>
      <c r="I14" s="247"/>
      <c r="J14" s="5" t="s">
        <v>588</v>
      </c>
      <c r="L14" s="525">
        <f>'EMEA CELLULAR'!D42</f>
        <v>4.7109464900339777</v>
      </c>
      <c r="M14" s="525">
        <f>'EMEA CELLULAR'!E42</f>
        <v>4.3550930553623157</v>
      </c>
      <c r="N14" s="525">
        <f>'EMEA CELLULAR'!F42</f>
        <v>4.15717737946275</v>
      </c>
      <c r="O14" s="525">
        <f>'EMEA CELLULAR'!G42</f>
        <v>3.8993389218542824</v>
      </c>
      <c r="P14" s="286">
        <f>'EMEA CELLULAR'!H42</f>
        <v>4.0721900193509741E-2</v>
      </c>
      <c r="S14" s="88"/>
      <c r="T14" s="42"/>
      <c r="U14" s="42"/>
      <c r="V14" s="42"/>
      <c r="W14" s="42"/>
      <c r="X14" s="42"/>
      <c r="Y14" s="42"/>
      <c r="Z14" s="42"/>
      <c r="AA14" s="42"/>
    </row>
    <row r="15" spans="2:44">
      <c r="B15" s="5" t="s">
        <v>526</v>
      </c>
      <c r="C15" s="274"/>
      <c r="D15" s="529">
        <v>6391</v>
      </c>
      <c r="E15" s="529">
        <f t="shared" si="2"/>
        <v>6391</v>
      </c>
      <c r="F15" s="529">
        <f t="shared" si="2"/>
        <v>6391</v>
      </c>
      <c r="G15" s="529">
        <f t="shared" si="2"/>
        <v>6391</v>
      </c>
      <c r="H15" s="247"/>
      <c r="I15" s="247"/>
      <c r="J15" s="5" t="s">
        <v>470</v>
      </c>
      <c r="L15" s="525">
        <f>'EMEA CELLULAR'!D43</f>
        <v>44.913387794396655</v>
      </c>
      <c r="M15" s="525">
        <f>'EMEA CELLULAR'!E43</f>
        <v>29.995057672440403</v>
      </c>
      <c r="N15" s="525">
        <f>'EMEA CELLULAR'!F43</f>
        <v>25.064246666873888</v>
      </c>
      <c r="O15" s="525">
        <f>'EMEA CELLULAR'!G43</f>
        <v>21.218892573865638</v>
      </c>
      <c r="P15" s="286">
        <f>'EMEA CELLULAR'!H43</f>
        <v>0.28395863860305148</v>
      </c>
      <c r="S15" s="88"/>
      <c r="T15" s="42"/>
      <c r="U15" s="42"/>
      <c r="V15" s="42"/>
      <c r="W15" s="42"/>
      <c r="X15" s="42"/>
      <c r="Y15" s="42"/>
      <c r="Z15" s="42"/>
      <c r="AA15" s="42"/>
    </row>
    <row r="16" spans="2:44">
      <c r="B16" s="5" t="s">
        <v>529</v>
      </c>
      <c r="C16" s="257"/>
      <c r="D16" s="529">
        <v>0</v>
      </c>
      <c r="E16" s="529">
        <v>0</v>
      </c>
      <c r="F16" s="529">
        <v>13314.028534474561</v>
      </c>
      <c r="G16" s="529">
        <v>30354.146783898152</v>
      </c>
      <c r="H16" s="247"/>
      <c r="I16" s="247"/>
      <c r="J16" s="5" t="s">
        <v>528</v>
      </c>
      <c r="L16" s="525">
        <f>'EMEA CELLULAR'!D44</f>
        <v>29.727847806043954</v>
      </c>
      <c r="M16" s="525">
        <f>'EMEA CELLULAR'!E44</f>
        <v>27.159249380804312</v>
      </c>
      <c r="N16" s="525">
        <f>'EMEA CELLULAR'!F44</f>
        <v>19.560820863413703</v>
      </c>
      <c r="O16" s="525">
        <f>'EMEA CELLULAR'!G44</f>
        <v>16.324783869234651</v>
      </c>
      <c r="P16" s="286">
        <f>'EMEA CELLULAR'!H44</f>
        <v>0.22067184815723828</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'EMEA CELLULAR'!D45</f>
        <v>1.8067342047517077E-2</v>
      </c>
      <c r="M17" s="248">
        <f>'EMEA CELLULAR'!E45</f>
        <v>2.1685197442238385E-2</v>
      </c>
      <c r="N17" s="248">
        <f>'EMEA CELLULAR'!F45</f>
        <v>2.716595241137466E-2</v>
      </c>
      <c r="O17" s="248">
        <f>'EMEA CELLULAR'!G45</f>
        <v>2.9076456344932108E-2</v>
      </c>
      <c r="P17" s="286">
        <f>'EMEA CELLULAR'!H45</f>
        <v>0.17141106606848178</v>
      </c>
      <c r="S17" s="88"/>
      <c r="T17" s="42"/>
      <c r="U17" s="42"/>
      <c r="V17" s="42"/>
      <c r="W17" s="42"/>
      <c r="X17" s="42"/>
      <c r="Y17" s="42"/>
      <c r="Z17" s="42"/>
      <c r="AA17" s="42"/>
    </row>
    <row r="18" spans="2:27" ht="12.6" thickBot="1">
      <c r="B18" s="41" t="s">
        <v>578</v>
      </c>
      <c r="C18" s="249"/>
      <c r="D18" s="530">
        <f>D11+D12+D13-D14+D15-D16-D17</f>
        <v>259036.19816942746</v>
      </c>
      <c r="E18" s="530">
        <f>E11+E12+E13-E14+E15-E16-E17</f>
        <v>265213.39934888296</v>
      </c>
      <c r="F18" s="530">
        <f>F11+F12+F13-F14+F15-F16-F17</f>
        <v>247061.64682657504</v>
      </c>
      <c r="G18" s="530">
        <f>G11+G12+G13-G14+G15-G16-G17</f>
        <v>226433.04176042668</v>
      </c>
      <c r="H18" s="276">
        <f>IF(D18=0,"nm",IF(G18=0,"nm",(G18/D18)^(1/3)-1))</f>
        <v>-4.3849078887542747E-2</v>
      </c>
      <c r="I18" s="254"/>
      <c r="J18" s="5" t="s">
        <v>36</v>
      </c>
      <c r="L18" s="248">
        <f>'EMEA CELLULAR'!D46</f>
        <v>1.9060999328690584E-2</v>
      </c>
      <c r="M18" s="248">
        <f>'EMEA CELLULAR'!E46</f>
        <v>1.6448875575029897E-2</v>
      </c>
      <c r="N18" s="248">
        <f>'EMEA CELLULAR'!F46</f>
        <v>3.2525613186693281E-2</v>
      </c>
      <c r="O18" s="248">
        <f>'EMEA CELLULAR'!G46</f>
        <v>2.8728545035796364E-2</v>
      </c>
      <c r="P18" s="286">
        <f>'EMEA CELLULAR'!H46</f>
        <v>0.14608344960699671</v>
      </c>
      <c r="S18" s="88"/>
      <c r="T18" s="42"/>
      <c r="U18" s="42"/>
      <c r="V18" s="42"/>
      <c r="W18" s="42"/>
      <c r="X18" s="42"/>
      <c r="Y18" s="42"/>
      <c r="Z18" s="42"/>
      <c r="AA18" s="42"/>
    </row>
    <row r="19" spans="2:27" ht="12.6" thickTop="1">
      <c r="B19" s="41"/>
      <c r="C19" s="249"/>
      <c r="D19" s="229"/>
      <c r="E19" s="229"/>
      <c r="F19" s="229"/>
      <c r="G19" s="229"/>
      <c r="H19" s="276"/>
      <c r="I19" s="254"/>
      <c r="J19" s="5" t="s">
        <v>576</v>
      </c>
      <c r="L19" s="248">
        <f>'EMEA CELLULAR'!D47</f>
        <v>2.226507616343203E-2</v>
      </c>
      <c r="M19" s="248">
        <f>'EMEA CELLULAR'!E47</f>
        <v>3.3338825713237569E-2</v>
      </c>
      <c r="N19" s="248">
        <f>'EMEA CELLULAR'!F47</f>
        <v>3.9897468824452963E-2</v>
      </c>
      <c r="O19" s="248">
        <f>'EMEA CELLULAR'!G47</f>
        <v>4.712781293928861E-2</v>
      </c>
      <c r="P19" s="286">
        <f>'EMEA CELLULAR'!H47</f>
        <v>0.28395863860305148</v>
      </c>
      <c r="S19" s="88"/>
      <c r="T19" s="42"/>
      <c r="U19" s="42"/>
      <c r="V19" s="42"/>
      <c r="W19" s="42"/>
      <c r="X19" s="42"/>
      <c r="Y19" s="42"/>
      <c r="Z19" s="42"/>
      <c r="AA19" s="42"/>
    </row>
    <row r="20" spans="2:27">
      <c r="H20" s="277"/>
      <c r="I20" s="17"/>
      <c r="J20" s="5" t="s">
        <v>599</v>
      </c>
      <c r="L20" s="305">
        <f>'EMEA CELLULAR'!D48</f>
        <v>0.86093645070473657</v>
      </c>
      <c r="M20" s="305">
        <f>'EMEA CELLULAR'!E48</f>
        <v>0.6892786925982729</v>
      </c>
      <c r="N20" s="305">
        <f>'EMEA CELLULAR'!F48</f>
        <v>0.72154157991457057</v>
      </c>
      <c r="O20" s="305">
        <f>'EMEA CELLULAR'!G48</f>
        <v>0.65380157418816365</v>
      </c>
      <c r="P20" s="286" t="str">
        <f>'EMEA CELLULAR'!H48</f>
        <v>nm</v>
      </c>
      <c r="S20" s="88"/>
      <c r="T20" s="42"/>
      <c r="U20" s="42"/>
      <c r="V20" s="42"/>
      <c r="W20" s="42"/>
      <c r="X20" s="42"/>
      <c r="Y20" s="42"/>
      <c r="Z20" s="42"/>
      <c r="AA20" s="42"/>
    </row>
    <row r="21" spans="2:27" ht="12.6" thickBot="1">
      <c r="B21" s="306" t="s">
        <v>917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119170</v>
      </c>
      <c r="D23" s="536">
        <v>150594</v>
      </c>
      <c r="E23" s="536">
        <v>151204.73000614421</v>
      </c>
      <c r="F23" s="536">
        <v>165653.44023060083</v>
      </c>
      <c r="G23" s="536">
        <v>178251.02389832371</v>
      </c>
      <c r="H23" s="279">
        <f t="shared" ref="H23:H32" si="4">IF(D23=0,"nm",IF(G23=0,"nm",(G23/D23)^(1/3)-1))</f>
        <v>5.7811103631183469E-2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45144</v>
      </c>
      <c r="D24" s="536">
        <v>56116</v>
      </c>
      <c r="E24" s="536">
        <v>55218.866617604726</v>
      </c>
      <c r="F24" s="536">
        <v>61293.996375658462</v>
      </c>
      <c r="G24" s="536">
        <v>66529.150647497969</v>
      </c>
      <c r="H24" s="279">
        <f t="shared" si="4"/>
        <v>5.8380324139227779E-2</v>
      </c>
      <c r="I24" s="249"/>
      <c r="J24" s="17"/>
      <c r="K24" s="17"/>
      <c r="L24" s="17"/>
      <c r="M24" s="17"/>
      <c r="N24" s="17"/>
      <c r="O24" s="248"/>
      <c r="S24" s="88"/>
      <c r="T24" s="42"/>
      <c r="U24" s="42"/>
      <c r="V24" s="42"/>
      <c r="W24" s="42" t="s">
        <v>376</v>
      </c>
      <c r="X24" s="42" t="s">
        <v>508</v>
      </c>
      <c r="Y24" s="42"/>
      <c r="Z24" s="42"/>
      <c r="AA24" s="42"/>
    </row>
    <row r="25" spans="2:27">
      <c r="B25" s="5" t="s">
        <v>179</v>
      </c>
      <c r="C25" s="544">
        <v>28654</v>
      </c>
      <c r="D25" s="536">
        <v>35694</v>
      </c>
      <c r="E25" s="536">
        <v>34441.185029288405</v>
      </c>
      <c r="F25" s="536">
        <v>38645.573615500245</v>
      </c>
      <c r="G25" s="536">
        <v>42249.805478469498</v>
      </c>
      <c r="H25" s="279">
        <f t="shared" si="4"/>
        <v>5.7815268871281411E-2</v>
      </c>
      <c r="I25" s="248"/>
      <c r="J25" s="247" t="s">
        <v>10</v>
      </c>
      <c r="K25" s="247"/>
      <c r="L25" s="321">
        <v>0</v>
      </c>
      <c r="M25" s="321">
        <v>0</v>
      </c>
      <c r="N25" s="321">
        <v>0</v>
      </c>
      <c r="O25" s="321">
        <v>0</v>
      </c>
      <c r="P25" s="279" t="str">
        <f>IF(L25=0,"nm",IF(O25=0,"nm",(O25/L25)^(1/3)-1))</f>
        <v>nm</v>
      </c>
      <c r="S25" s="88"/>
      <c r="T25" s="42"/>
      <c r="U25" s="42"/>
      <c r="V25" s="147" t="s">
        <v>268</v>
      </c>
      <c r="W25" s="288">
        <f>D37/L9</f>
        <v>0.54073126792229798</v>
      </c>
      <c r="X25" s="288">
        <v>1</v>
      </c>
      <c r="Y25" s="42"/>
      <c r="Z25" s="42"/>
      <c r="AA25" s="42"/>
    </row>
    <row r="26" spans="2:27">
      <c r="B26" s="5" t="s">
        <v>581</v>
      </c>
      <c r="C26" s="544">
        <v>20630.88</v>
      </c>
      <c r="D26" s="536">
        <v>25699.68</v>
      </c>
      <c r="E26" s="536">
        <v>24797.65322108765</v>
      </c>
      <c r="F26" s="536">
        <v>27824.813003160176</v>
      </c>
      <c r="G26" s="536">
        <v>30419.859944498035</v>
      </c>
      <c r="H26" s="279">
        <f t="shared" si="4"/>
        <v>5.7815268871281411E-2</v>
      </c>
      <c r="I26" s="249"/>
      <c r="J26" s="249" t="s">
        <v>11</v>
      </c>
      <c r="K26" s="249"/>
      <c r="L26" s="281">
        <f>D11+L25</f>
        <v>230889.69192000001</v>
      </c>
      <c r="M26" s="281">
        <f>E11+M25</f>
        <v>230889.69192000001</v>
      </c>
      <c r="N26" s="281">
        <f>F11+N25</f>
        <v>230889.69192000001</v>
      </c>
      <c r="O26" s="281">
        <f>G11+O25</f>
        <v>230889.69192000001</v>
      </c>
      <c r="P26" s="279">
        <f>IF(L26=0,"nm",IF(O26=0,"nm",(O26/L26)^(1/3)-1))</f>
        <v>0</v>
      </c>
      <c r="Q26" s="5"/>
      <c r="S26" s="88"/>
      <c r="T26" s="42"/>
      <c r="U26" s="42"/>
      <c r="V26" s="147" t="s">
        <v>180</v>
      </c>
      <c r="W26" s="288">
        <f t="shared" ref="W26:W33" si="6">D38/L10</f>
        <v>0.59506508439742634</v>
      </c>
      <c r="X26" s="288">
        <v>1</v>
      </c>
      <c r="Y26" s="42"/>
      <c r="Z26" s="42"/>
      <c r="AA26" s="42"/>
    </row>
    <row r="27" spans="2:27">
      <c r="B27" s="5" t="s">
        <v>582</v>
      </c>
      <c r="C27" s="545">
        <v>135573</v>
      </c>
      <c r="D27" s="536">
        <v>145504</v>
      </c>
      <c r="E27" s="536">
        <v>140089.94157415535</v>
      </c>
      <c r="F27" s="536">
        <v>135984.47450915136</v>
      </c>
      <c r="G27" s="536">
        <v>131592.60642861229</v>
      </c>
      <c r="H27" s="279">
        <f t="shared" si="4"/>
        <v>-3.2942749293301099E-2</v>
      </c>
      <c r="I27" s="249"/>
      <c r="J27" s="248"/>
      <c r="K27" s="248"/>
      <c r="L27" s="248"/>
      <c r="M27" s="248"/>
      <c r="N27" s="248"/>
      <c r="O27" s="248"/>
      <c r="Q27" s="41"/>
      <c r="S27" s="88"/>
      <c r="T27" s="42"/>
      <c r="U27" s="42"/>
      <c r="V27" s="147" t="s">
        <v>181</v>
      </c>
      <c r="W27" s="288">
        <f t="shared" si="6"/>
        <v>0.46504740702047792</v>
      </c>
      <c r="X27" s="288">
        <v>1</v>
      </c>
      <c r="Y27" s="42"/>
      <c r="Z27" s="42"/>
      <c r="AA27" s="42"/>
    </row>
    <row r="28" spans="2:27" ht="12.6" thickBot="1">
      <c r="B28" s="5" t="s">
        <v>587</v>
      </c>
      <c r="C28" s="544">
        <v>74241</v>
      </c>
      <c r="D28" s="536">
        <v>74643</v>
      </c>
      <c r="E28" s="536">
        <v>74436.827228313967</v>
      </c>
      <c r="F28" s="536">
        <v>76140.07419389642</v>
      </c>
      <c r="G28" s="536">
        <v>78983.853840613359</v>
      </c>
      <c r="H28" s="279">
        <f t="shared" si="4"/>
        <v>1.9020868801993718E-2</v>
      </c>
      <c r="I28" s="248"/>
      <c r="J28" s="306" t="s">
        <v>1352</v>
      </c>
      <c r="K28" s="306"/>
      <c r="L28" s="306"/>
      <c r="M28" s="306"/>
      <c r="N28" s="266"/>
      <c r="O28" s="266"/>
      <c r="P28" s="266"/>
      <c r="Q28" s="5"/>
      <c r="S28" s="88"/>
      <c r="T28" s="42"/>
      <c r="U28" s="42"/>
      <c r="V28" s="147" t="s">
        <v>461</v>
      </c>
      <c r="W28" s="288">
        <f t="shared" si="6"/>
        <v>0.50483666321059439</v>
      </c>
      <c r="X28" s="288">
        <v>1</v>
      </c>
      <c r="Y28" s="42"/>
      <c r="Z28" s="42"/>
      <c r="AA28" s="42"/>
    </row>
    <row r="29" spans="2:27" ht="12.6" thickTop="1">
      <c r="B29" s="5" t="s">
        <v>583</v>
      </c>
      <c r="C29" s="544">
        <v>13420</v>
      </c>
      <c r="D29" s="536">
        <v>12233</v>
      </c>
      <c r="E29" s="536">
        <v>13328.9512128184</v>
      </c>
      <c r="F29" s="536">
        <v>15591.723044010258</v>
      </c>
      <c r="G29" s="536">
        <v>17719.048828920011</v>
      </c>
      <c r="H29" s="279">
        <f t="shared" si="4"/>
        <v>0.13145115403750895</v>
      </c>
      <c r="I29" s="252"/>
      <c r="J29" s="249"/>
      <c r="K29" s="249"/>
      <c r="L29" s="249"/>
      <c r="M29" s="249"/>
      <c r="N29" s="249"/>
      <c r="O29" s="251"/>
      <c r="Q29" s="5"/>
      <c r="S29" s="88"/>
      <c r="T29" s="42"/>
      <c r="U29" s="42"/>
      <c r="V29" s="147" t="s">
        <v>525</v>
      </c>
      <c r="W29" s="288">
        <f t="shared" si="6"/>
        <v>0.60994965993174732</v>
      </c>
      <c r="X29" s="288">
        <v>1</v>
      </c>
      <c r="Y29" s="42"/>
      <c r="Z29" s="42"/>
      <c r="AA29" s="42"/>
    </row>
    <row r="30" spans="2:27">
      <c r="B30" s="5" t="s">
        <v>584</v>
      </c>
      <c r="C30" s="545">
        <v>17294</v>
      </c>
      <c r="D30" s="536">
        <v>16495</v>
      </c>
      <c r="E30" s="536">
        <v>17572.20406140967</v>
      </c>
      <c r="F30" s="536">
        <v>22026.648964758144</v>
      </c>
      <c r="G30" s="536">
        <v>25589.94960826607</v>
      </c>
      <c r="H30" s="279">
        <f t="shared" si="4"/>
        <v>0.15763692312350419</v>
      </c>
      <c r="I30" s="254"/>
      <c r="J30" s="248"/>
      <c r="K30" s="248"/>
      <c r="L30" s="248"/>
      <c r="M30" s="248"/>
      <c r="N30" s="248"/>
      <c r="O30" s="5"/>
      <c r="Q30" s="5"/>
      <c r="S30" s="88"/>
      <c r="T30" s="42"/>
      <c r="U30" s="42"/>
      <c r="V30" s="147" t="s">
        <v>588</v>
      </c>
      <c r="W30" s="288">
        <f t="shared" si="6"/>
        <v>0.73665340424365977</v>
      </c>
      <c r="X30" s="288">
        <v>1</v>
      </c>
      <c r="Y30" s="42"/>
      <c r="Z30" s="42"/>
      <c r="AA30" s="42"/>
    </row>
    <row r="31" spans="2:27">
      <c r="B31" s="5" t="s">
        <v>585</v>
      </c>
      <c r="C31" s="545">
        <v>13921.5347</v>
      </c>
      <c r="D31" s="536">
        <v>12259.2619</v>
      </c>
      <c r="E31" s="536">
        <v>12981.31424434956</v>
      </c>
      <c r="F31" s="536">
        <v>16690.76824479234</v>
      </c>
      <c r="G31" s="536">
        <v>19652.737710927329</v>
      </c>
      <c r="H31" s="279">
        <f t="shared" si="4"/>
        <v>0.17036029109666129</v>
      </c>
      <c r="I31" s="254"/>
      <c r="J31" s="252"/>
      <c r="K31" s="252"/>
      <c r="L31" s="252"/>
      <c r="M31" s="252"/>
      <c r="N31" s="252"/>
      <c r="O31" s="5"/>
      <c r="Q31" s="5"/>
      <c r="S31" s="88"/>
      <c r="T31" s="42"/>
      <c r="U31" s="42"/>
      <c r="V31" s="147" t="s">
        <v>470</v>
      </c>
      <c r="W31" s="288">
        <f t="shared" si="6"/>
        <v>0.42023841869943246</v>
      </c>
      <c r="X31" s="288">
        <v>1</v>
      </c>
      <c r="Y31" s="42"/>
      <c r="Z31" s="42"/>
      <c r="AA31" s="42"/>
    </row>
    <row r="32" spans="2:27">
      <c r="B32" s="5" t="s">
        <v>601</v>
      </c>
      <c r="C32" s="546">
        <v>3567</v>
      </c>
      <c r="D32" s="536">
        <v>-1676.5847539600127</v>
      </c>
      <c r="E32" s="536">
        <v>-11351</v>
      </c>
      <c r="F32" s="536">
        <v>2991.8999999999996</v>
      </c>
      <c r="G32" s="536">
        <v>-593.71742706129044</v>
      </c>
      <c r="H32" s="279">
        <f t="shared" si="4"/>
        <v>-0.29251360183580055</v>
      </c>
      <c r="I32" s="254"/>
      <c r="J32" s="254"/>
      <c r="K32" s="254"/>
      <c r="L32" s="254"/>
      <c r="M32" s="254"/>
      <c r="N32" s="254"/>
      <c r="O32" s="251"/>
      <c r="Q32" s="5"/>
      <c r="S32" s="88"/>
      <c r="T32" s="42"/>
      <c r="U32" s="42"/>
      <c r="V32" s="147" t="s">
        <v>528</v>
      </c>
      <c r="W32" s="288">
        <f t="shared" si="6"/>
        <v>0.47085670099244198</v>
      </c>
      <c r="X32" s="288">
        <v>1</v>
      </c>
      <c r="Y32" s="42"/>
      <c r="Z32" s="42"/>
      <c r="AA32" s="42"/>
    </row>
    <row r="33" spans="2:27">
      <c r="B33" s="5" t="s">
        <v>5</v>
      </c>
      <c r="C33" s="545">
        <v>-4248</v>
      </c>
      <c r="D33" s="536">
        <v>-7201</v>
      </c>
      <c r="E33" s="536">
        <v>-6874.0456058173995</v>
      </c>
      <c r="F33" s="536">
        <v>-6417.129491373058</v>
      </c>
      <c r="G33" s="536">
        <v>-5679.2491446631948</v>
      </c>
      <c r="H33" s="279">
        <f>IF(D33=0,"nm",IF(G33=0,"nm",(G33/D33)^(1/3)-1))</f>
        <v>-7.6083541867320248E-2</v>
      </c>
      <c r="I33" s="5"/>
      <c r="J33" s="254"/>
      <c r="K33" s="254"/>
      <c r="L33" s="254"/>
      <c r="M33" s="254"/>
      <c r="N33" s="254"/>
      <c r="O33" s="251"/>
      <c r="Q33" s="5"/>
      <c r="S33" s="88"/>
      <c r="T33" s="42"/>
      <c r="U33" s="42"/>
      <c r="V33" s="147" t="s">
        <v>575</v>
      </c>
      <c r="W33" s="288">
        <f t="shared" si="6"/>
        <v>2.9387694216543352</v>
      </c>
      <c r="X33" s="288">
        <v>1</v>
      </c>
      <c r="Y33" s="42"/>
      <c r="Z33" s="42"/>
      <c r="AA33" s="42"/>
    </row>
    <row r="34" spans="2:27">
      <c r="H34" s="277"/>
      <c r="I34" s="49"/>
      <c r="J34" s="254"/>
      <c r="K34" s="254"/>
      <c r="L34" s="254"/>
      <c r="M34" s="254"/>
      <c r="N34" s="254"/>
      <c r="O34" s="251"/>
      <c r="Q34" s="5"/>
      <c r="S34" s="88"/>
      <c r="T34" s="42"/>
      <c r="U34" s="42"/>
      <c r="V34" s="147" t="s">
        <v>576</v>
      </c>
      <c r="W34" s="288">
        <f>D47/L19</f>
        <v>2.3796015678310245</v>
      </c>
      <c r="X34" s="288">
        <v>1</v>
      </c>
      <c r="Y34" s="288"/>
      <c r="Z34" s="288"/>
      <c r="AA34" s="42"/>
    </row>
    <row r="35" spans="2:27" ht="12.6" thickBot="1">
      <c r="B35" s="306" t="s">
        <v>521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D$18/D23</f>
        <v>1.720096406028311</v>
      </c>
      <c r="E37" s="525">
        <f t="shared" ref="E37:G41" si="8">E$18/E23</f>
        <v>1.7540020033639556</v>
      </c>
      <c r="F37" s="525">
        <f t="shared" si="8"/>
        <v>1.4914368604880677</v>
      </c>
      <c r="G37" s="525">
        <f t="shared" si="8"/>
        <v>1.2703042978849115</v>
      </c>
      <c r="H37" s="17">
        <f t="shared" ref="H37:H45" si="9">H23</f>
        <v>5.7811103631183469E-2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4.6160845065476419</v>
      </c>
      <c r="E38" s="525">
        <f t="shared" si="8"/>
        <v>4.8029489845473998</v>
      </c>
      <c r="F38" s="525">
        <f t="shared" si="8"/>
        <v>4.0307642091467546</v>
      </c>
      <c r="G38" s="525">
        <f t="shared" si="8"/>
        <v>3.403516196383944</v>
      </c>
      <c r="H38" s="17">
        <f t="shared" si="9"/>
        <v>5.8380324139227779E-2</v>
      </c>
      <c r="I38" s="259"/>
      <c r="J38" s="17"/>
      <c r="K38" s="17"/>
      <c r="L38" s="17"/>
      <c r="M38" s="17"/>
      <c r="N38" s="17"/>
      <c r="O38" s="5"/>
      <c r="Q38" s="5"/>
      <c r="R38" s="5"/>
      <c r="S38" s="42"/>
      <c r="T38" s="42"/>
      <c r="U38" s="42"/>
      <c r="V38" s="42"/>
      <c r="W38" s="42"/>
      <c r="X38" s="42"/>
      <c r="Y38" s="42"/>
      <c r="Z38" s="42"/>
      <c r="AA38" s="42"/>
    </row>
    <row r="39" spans="2:27">
      <c r="B39" s="5" t="s">
        <v>181</v>
      </c>
      <c r="C39" s="247"/>
      <c r="D39" s="525">
        <f>D$18/D25</f>
        <v>7.2571356017657722</v>
      </c>
      <c r="E39" s="525">
        <f t="shared" si="8"/>
        <v>7.7004725337803679</v>
      </c>
      <c r="F39" s="525">
        <f t="shared" si="8"/>
        <v>6.393012801017961</v>
      </c>
      <c r="G39" s="525">
        <f t="shared" si="8"/>
        <v>5.3593866100949734</v>
      </c>
      <c r="H39" s="17">
        <f t="shared" si="9"/>
        <v>5.7815268871281411E-2</v>
      </c>
      <c r="I39" s="17"/>
      <c r="J39" s="5"/>
      <c r="K39" s="5"/>
      <c r="L39" s="5"/>
      <c r="M39" s="5"/>
      <c r="N39" s="5"/>
      <c r="O39" s="5"/>
      <c r="Q39" s="5"/>
      <c r="R39" s="5"/>
      <c r="S39" s="42"/>
      <c r="T39" s="42"/>
      <c r="U39" s="42"/>
      <c r="V39" s="42"/>
      <c r="W39" s="42"/>
      <c r="X39" s="42"/>
      <c r="Y39" s="42"/>
      <c r="Z39" s="42"/>
      <c r="AA39" s="42"/>
    </row>
    <row r="40" spans="2:27">
      <c r="B40" s="5" t="s">
        <v>461</v>
      </c>
      <c r="C40" s="247"/>
      <c r="D40" s="525">
        <f>D$18/D26</f>
        <v>10.079355002452461</v>
      </c>
      <c r="E40" s="525">
        <f t="shared" si="8"/>
        <v>10.695100741361623</v>
      </c>
      <c r="F40" s="525">
        <f t="shared" si="8"/>
        <v>8.8791844458582805</v>
      </c>
      <c r="G40" s="525">
        <f t="shared" si="8"/>
        <v>7.4435925140207972</v>
      </c>
      <c r="H40" s="17">
        <f t="shared" si="9"/>
        <v>5.7815268871281411E-2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1.7802685711006396</v>
      </c>
      <c r="E41" s="525">
        <f t="shared" si="8"/>
        <v>1.8931651792323336</v>
      </c>
      <c r="F41" s="525">
        <f t="shared" si="8"/>
        <v>1.8168371626126225</v>
      </c>
      <c r="G41" s="525">
        <f t="shared" si="8"/>
        <v>1.7207124921814236</v>
      </c>
      <c r="H41" s="17">
        <f t="shared" si="9"/>
        <v>-3.2942749293301099E-2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3.4703347690932498</v>
      </c>
      <c r="E42" s="525">
        <f>E18/E28</f>
        <v>3.5629326131192518</v>
      </c>
      <c r="F42" s="525">
        <f>F18/F28</f>
        <v>3.2448306551082942</v>
      </c>
      <c r="G42" s="525">
        <f>G18/G28</f>
        <v>2.8668269620948177</v>
      </c>
      <c r="H42" s="17">
        <f t="shared" si="9"/>
        <v>1.9020868801993718E-2</v>
      </c>
      <c r="I42" s="248"/>
      <c r="J42" s="5"/>
      <c r="K42" s="5"/>
      <c r="L42" s="5"/>
      <c r="M42" s="5"/>
      <c r="N42" s="5"/>
      <c r="O42" s="5"/>
      <c r="Q42" s="5"/>
      <c r="R42" s="5"/>
      <c r="S42" s="42"/>
      <c r="T42" s="42"/>
      <c r="U42" s="42"/>
      <c r="V42" s="42"/>
      <c r="W42" s="288"/>
      <c r="X42" s="288"/>
      <c r="Y42" s="288"/>
      <c r="Z42" s="288"/>
      <c r="AA42" s="42"/>
    </row>
    <row r="43" spans="2:27">
      <c r="B43" s="5" t="s">
        <v>470</v>
      </c>
      <c r="C43" s="247"/>
      <c r="D43" s="525">
        <f>L26/D29</f>
        <v>18.87433106515164</v>
      </c>
      <c r="E43" s="525">
        <f>M26/E29</f>
        <v>17.322420063924781</v>
      </c>
      <c r="F43" s="525">
        <f>N26/F29</f>
        <v>14.808478271982837</v>
      </c>
      <c r="G43" s="525">
        <f>O26/G29</f>
        <v>13.030591774382108</v>
      </c>
      <c r="H43" s="17">
        <f t="shared" si="9"/>
        <v>0.13145115403750895</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13.997556345559261</v>
      </c>
      <c r="E44" s="525">
        <f>E11/E30</f>
        <v>13.13948387539256</v>
      </c>
      <c r="F44" s="525">
        <f>F11/F30</f>
        <v>10.482288626355071</v>
      </c>
      <c r="G44" s="525">
        <f>G11/G30</f>
        <v>9.0226708318885471</v>
      </c>
      <c r="H44" s="17">
        <f t="shared" si="9"/>
        <v>0.15763692312350419</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5.3095752339812813E-2</v>
      </c>
      <c r="E45" s="248">
        <f>E31/E11</f>
        <v>5.622301340697098E-2</v>
      </c>
      <c r="F45" s="248">
        <f>F31/F11</f>
        <v>7.2288927695288593E-2</v>
      </c>
      <c r="G45" s="248">
        <f>G31/G11</f>
        <v>8.5117432257377362E-2</v>
      </c>
      <c r="H45" s="17">
        <f t="shared" si="9"/>
        <v>0.17036029109666129</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4.5834342183221993E-2</v>
      </c>
      <c r="E46" s="248">
        <f>(E31+E32)/E11</f>
        <v>7.0610092238957145E-3</v>
      </c>
      <c r="F46" s="248">
        <f>(F31+F32)/F11</f>
        <v>8.5247063570131579E-2</v>
      </c>
      <c r="G46" s="248">
        <f>(G31+G32)/G11</f>
        <v>8.2545999023939623E-2</v>
      </c>
      <c r="H46" s="279">
        <f>((G31+G32)/(D31+D32))^(1/3)-1</f>
        <v>0.21665751154429391</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5.2982010146380029E-2</v>
      </c>
      <c r="E47" s="248">
        <f>1/E43</f>
        <v>5.7728654328304499E-2</v>
      </c>
      <c r="F47" s="248">
        <f>1/F43</f>
        <v>6.7528883227115089E-2</v>
      </c>
      <c r="G47" s="248">
        <f>1/G43</f>
        <v>7.6742485476828506E-2</v>
      </c>
      <c r="H47" s="17">
        <f>H29</f>
        <v>0.13145115403750895</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1.0021468078149267</v>
      </c>
      <c r="E48" s="305">
        <f>E31/E29</f>
        <v>0.97391865549522616</v>
      </c>
      <c r="F48" s="305">
        <f>F31/F29</f>
        <v>1.0704890150806194</v>
      </c>
      <c r="G48" s="305">
        <f>G31/G29</f>
        <v>1.1091305126295077</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VODASOP!A1" display="Jump to Vodacom SOP" xr:uid="{00000000-0004-0000-7500-000001000000}"/>
  </hyperlinks>
  <pageMargins left="0.75" right="0.75" top="1" bottom="1" header="0.5" footer="0.5"/>
  <pageSetup scale="71"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24">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442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34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971</v>
      </c>
      <c r="C9" s="267">
        <f>Prices!C32</f>
        <v>77.44</v>
      </c>
      <c r="D9" s="531">
        <v>0</v>
      </c>
      <c r="E9" s="532">
        <v>0</v>
      </c>
      <c r="F9" s="532">
        <v>0</v>
      </c>
      <c r="G9" s="532">
        <v>0</v>
      </c>
      <c r="H9" s="249"/>
      <c r="I9" s="249"/>
      <c r="J9" s="5" t="s">
        <v>268</v>
      </c>
      <c r="L9" s="525">
        <f>'W.EUR OTHER'!D37</f>
        <v>1.9589195361329668</v>
      </c>
      <c r="M9" s="525">
        <f>'W.EUR OTHER'!E37</f>
        <v>1.6383796798063159</v>
      </c>
      <c r="N9" s="525">
        <f>'W.EUR OTHER'!F37</f>
        <v>1.5411744049087741</v>
      </c>
      <c r="O9" s="525">
        <f>'W.EUR OTHER'!G37</f>
        <v>1.4434676732212866</v>
      </c>
      <c r="P9" s="279">
        <f>'W.EUR OTHER'!H37</f>
        <v>1.8004685546411769E-2</v>
      </c>
      <c r="S9" s="88"/>
      <c r="T9" s="42"/>
      <c r="U9" s="42"/>
      <c r="V9" s="42"/>
      <c r="W9" s="42"/>
      <c r="X9" s="42"/>
      <c r="Y9" s="42"/>
      <c r="Z9" s="42"/>
      <c r="AA9" s="42"/>
    </row>
    <row r="10" spans="2:44">
      <c r="B10" s="5" t="s">
        <v>269</v>
      </c>
      <c r="C10" s="5"/>
      <c r="D10" s="527">
        <v>27080.121854000001</v>
      </c>
      <c r="E10" s="527">
        <v>24718.023062333334</v>
      </c>
      <c r="F10" s="527">
        <v>22551.96045915873</v>
      </c>
      <c r="G10" s="527">
        <v>22551.96045915873</v>
      </c>
      <c r="H10" s="247"/>
      <c r="I10" s="247"/>
      <c r="J10" s="5" t="s">
        <v>180</v>
      </c>
      <c r="L10" s="525">
        <f>'W.EUR OTHER'!D38</f>
        <v>4.8812882235325841</v>
      </c>
      <c r="M10" s="525">
        <f>'W.EUR OTHER'!E38</f>
        <v>4.145841728258338</v>
      </c>
      <c r="N10" s="525">
        <f>'W.EUR OTHER'!F38</f>
        <v>3.8271320252352607</v>
      </c>
      <c r="O10" s="525">
        <f>'W.EUR OTHER'!G38</f>
        <v>3.5258553553595839</v>
      </c>
      <c r="P10" s="279">
        <f>'W.EUR OTHER'!H38</f>
        <v>2.4794026477105824E-2</v>
      </c>
      <c r="S10" s="88"/>
      <c r="T10" s="42"/>
      <c r="U10" s="42"/>
      <c r="V10" s="42"/>
      <c r="W10" s="288"/>
      <c r="X10" s="288"/>
      <c r="Y10" s="288"/>
      <c r="Z10" s="288"/>
      <c r="AA10" s="42"/>
    </row>
    <row r="11" spans="2:44">
      <c r="B11" s="41" t="s">
        <v>972</v>
      </c>
      <c r="C11" s="5"/>
      <c r="D11" s="528">
        <f>$C$9/100*D10</f>
        <v>20970.846363737601</v>
      </c>
      <c r="E11" s="528">
        <f t="shared" ref="E11:G11" si="2">$C$9/100*E10</f>
        <v>19141.637059470933</v>
      </c>
      <c r="F11" s="528">
        <f t="shared" si="2"/>
        <v>17464.23817957252</v>
      </c>
      <c r="G11" s="528">
        <f t="shared" si="2"/>
        <v>17464.23817957252</v>
      </c>
      <c r="H11" s="249"/>
      <c r="I11" s="249"/>
      <c r="J11" s="5" t="s">
        <v>181</v>
      </c>
      <c r="L11" s="525">
        <f>'W.EUR OTHER'!D39</f>
        <v>13.16156410853363</v>
      </c>
      <c r="M11" s="525">
        <f>'W.EUR OTHER'!E39</f>
        <v>11.425296433104002</v>
      </c>
      <c r="N11" s="525">
        <f>'W.EUR OTHER'!F39</f>
        <v>9.8430805940601882</v>
      </c>
      <c r="O11" s="525">
        <f>'W.EUR OTHER'!G39</f>
        <v>8.6472666256233168</v>
      </c>
      <c r="P11" s="279">
        <f>'W.EUR OTHER'!H39</f>
        <v>5.7684523659928821E-2</v>
      </c>
      <c r="S11" s="88"/>
      <c r="T11" s="42"/>
      <c r="U11" s="42"/>
      <c r="V11" s="42"/>
      <c r="W11" s="288"/>
      <c r="X11" s="288"/>
      <c r="Y11" s="288"/>
      <c r="Z11" s="288"/>
      <c r="AA11" s="42"/>
    </row>
    <row r="12" spans="2:44">
      <c r="B12" s="5" t="s">
        <v>24</v>
      </c>
      <c r="C12" s="249"/>
      <c r="D12" s="529">
        <v>28431.337431200001</v>
      </c>
      <c r="E12" s="529">
        <v>18227.113466892555</v>
      </c>
      <c r="F12" s="529">
        <v>18618.389510254368</v>
      </c>
      <c r="G12" s="529">
        <v>16758.172236136288</v>
      </c>
      <c r="H12" s="247"/>
      <c r="I12" s="247"/>
      <c r="J12" s="5" t="s">
        <v>461</v>
      </c>
      <c r="L12" s="525">
        <f>'W.EUR OTHER'!D40</f>
        <v>18.782864415708623</v>
      </c>
      <c r="M12" s="525">
        <f>'W.EUR OTHER'!E40</f>
        <v>16.344811252802039</v>
      </c>
      <c r="N12" s="525">
        <f>'W.EUR OTHER'!F40</f>
        <v>14.257332213491615</v>
      </c>
      <c r="O12" s="525">
        <f>'W.EUR OTHER'!G40</f>
        <v>12.325553609893248</v>
      </c>
      <c r="P12" s="279">
        <f>'W.EUR OTHER'!H40</f>
        <v>5.8112215141036705E-2</v>
      </c>
      <c r="S12" s="88"/>
      <c r="T12" s="42"/>
      <c r="U12" s="42"/>
      <c r="V12" s="42"/>
      <c r="W12" s="288"/>
      <c r="X12" s="288"/>
      <c r="Y12" s="288"/>
      <c r="Z12" s="288"/>
      <c r="AA12" s="42"/>
    </row>
    <row r="13" spans="2:44">
      <c r="B13" s="5" t="s">
        <v>524</v>
      </c>
      <c r="C13" s="257"/>
      <c r="D13" s="529">
        <v>7108.363156822782</v>
      </c>
      <c r="E13" s="529">
        <v>7224.5207586134602</v>
      </c>
      <c r="F13" s="529">
        <v>7298.5388152017122</v>
      </c>
      <c r="G13" s="529">
        <v>7457.8139105116297</v>
      </c>
      <c r="H13" s="247"/>
      <c r="I13" s="247"/>
      <c r="J13" s="5" t="s">
        <v>525</v>
      </c>
      <c r="L13" s="525">
        <f>'W.EUR OTHER'!D41</f>
        <v>0.84442389849965394</v>
      </c>
      <c r="M13" s="525">
        <f>'W.EUR OTHER'!E41</f>
        <v>0.81498961294635097</v>
      </c>
      <c r="N13" s="525">
        <f>'W.EUR OTHER'!F41</f>
        <v>0.77498610757856878</v>
      </c>
      <c r="O13" s="525">
        <f>'W.EUR OTHER'!G41</f>
        <v>0.73281741958307633</v>
      </c>
      <c r="P13" s="279">
        <f>'W.EUR OTHER'!H41</f>
        <v>-3.6019662148356391E-2</v>
      </c>
      <c r="S13" s="88"/>
      <c r="T13" s="42"/>
      <c r="U13" s="42"/>
      <c r="V13" s="42"/>
      <c r="W13" s="42"/>
      <c r="X13" s="42"/>
      <c r="Y13" s="42"/>
      <c r="Z13" s="42"/>
      <c r="AA13" s="42"/>
    </row>
    <row r="14" spans="2:44">
      <c r="B14" s="5" t="s">
        <v>527</v>
      </c>
      <c r="C14" s="257"/>
      <c r="D14" s="529">
        <v>6458.7063312673317</v>
      </c>
      <c r="E14" s="529">
        <v>6458.7063312673317</v>
      </c>
      <c r="F14" s="529">
        <v>6458.7063312673317</v>
      </c>
      <c r="G14" s="529">
        <v>6458.7063312673317</v>
      </c>
      <c r="H14" s="247"/>
      <c r="I14" s="247"/>
      <c r="J14" s="5" t="s">
        <v>588</v>
      </c>
      <c r="L14" s="525">
        <f>'W.EUR OTHER'!D42</f>
        <v>2.9998062507434589</v>
      </c>
      <c r="M14" s="525">
        <f>'W.EUR OTHER'!E42</f>
        <v>2.5616627697063863</v>
      </c>
      <c r="N14" s="525">
        <f>'W.EUR OTHER'!F42</f>
        <v>2.4320616245212983</v>
      </c>
      <c r="O14" s="525">
        <f>'W.EUR OTHER'!G42</f>
        <v>2.298739291377446</v>
      </c>
      <c r="P14" s="279">
        <f>'W.EUR OTHER'!H42</f>
        <v>4.8033956462567584E-3</v>
      </c>
      <c r="S14" s="88"/>
      <c r="T14" s="42"/>
      <c r="U14" s="42"/>
      <c r="V14" s="42"/>
      <c r="W14" s="42"/>
      <c r="X14" s="42"/>
      <c r="Y14" s="42"/>
      <c r="Z14" s="42"/>
      <c r="AA14" s="42"/>
    </row>
    <row r="15" spans="2:44">
      <c r="B15" s="5" t="s">
        <v>526</v>
      </c>
      <c r="C15" s="274"/>
      <c r="D15" s="529">
        <v>2815.4395489666176</v>
      </c>
      <c r="E15" s="529">
        <v>2815.4395489666176</v>
      </c>
      <c r="F15" s="529">
        <v>2815.4395489666176</v>
      </c>
      <c r="G15" s="529">
        <v>2815.4395489666176</v>
      </c>
      <c r="H15" s="247"/>
      <c r="I15" s="247"/>
      <c r="J15" s="5" t="s">
        <v>470</v>
      </c>
      <c r="L15" s="525">
        <f>'W.EUR OTHER'!D43</f>
        <v>36.043730510598792</v>
      </c>
      <c r="M15" s="525">
        <f>'W.EUR OTHER'!E43</f>
        <v>34.490732675014193</v>
      </c>
      <c r="N15" s="525">
        <f>'W.EUR OTHER'!F43</f>
        <v>16.287705091950169</v>
      </c>
      <c r="O15" s="525">
        <f>'W.EUR OTHER'!G43</f>
        <v>11.941589892511526</v>
      </c>
      <c r="P15" s="279">
        <f>'W.EUR OTHER'!H43</f>
        <v>0.37754240659126448</v>
      </c>
      <c r="S15" s="88"/>
      <c r="T15" s="42"/>
      <c r="U15" s="42"/>
      <c r="V15" s="42"/>
      <c r="W15" s="42"/>
      <c r="X15" s="42"/>
      <c r="Y15" s="42"/>
      <c r="Z15" s="42"/>
      <c r="AA15" s="42"/>
    </row>
    <row r="16" spans="2:44">
      <c r="B16" s="5" t="s">
        <v>529</v>
      </c>
      <c r="C16" s="257"/>
      <c r="D16" s="529">
        <v>0</v>
      </c>
      <c r="E16" s="529">
        <v>474.37456697805209</v>
      </c>
      <c r="F16" s="529">
        <v>1339.8803732051306</v>
      </c>
      <c r="G16" s="529">
        <v>2205.4228509367367</v>
      </c>
      <c r="H16" s="247"/>
      <c r="I16" s="247"/>
      <c r="J16" s="5" t="s">
        <v>528</v>
      </c>
      <c r="L16" s="525">
        <f>'W.EUR OTHER'!D44</f>
        <v>18.190653543431651</v>
      </c>
      <c r="M16" s="525">
        <f>'W.EUR OTHER'!E44</f>
        <v>13.647996044938878</v>
      </c>
      <c r="N16" s="525">
        <f>'W.EUR OTHER'!F44</f>
        <v>10.565198529238016</v>
      </c>
      <c r="O16" s="525">
        <f>'W.EUR OTHER'!G44</f>
        <v>9.2374096772312519</v>
      </c>
      <c r="P16" s="279">
        <f>'W.EUR OTHER'!H44</f>
        <v>0.20457659904306258</v>
      </c>
      <c r="S16" s="88"/>
      <c r="T16" s="42"/>
      <c r="U16" s="42"/>
      <c r="V16" s="42"/>
      <c r="W16" s="42"/>
      <c r="X16" s="42"/>
      <c r="Y16" s="42"/>
      <c r="Z16" s="42"/>
      <c r="AA16" s="42"/>
    </row>
    <row r="17" spans="2:27">
      <c r="B17" s="5" t="s">
        <v>6</v>
      </c>
      <c r="C17" s="257"/>
      <c r="D17" s="529">
        <v>980.7645454545451</v>
      </c>
      <c r="E17" s="529">
        <v>969.26487215909071</v>
      </c>
      <c r="F17" s="529">
        <v>969.18994318181797</v>
      </c>
      <c r="G17" s="529">
        <v>969.18994318181797</v>
      </c>
      <c r="H17" s="247"/>
      <c r="I17" s="247"/>
      <c r="J17" s="5" t="s">
        <v>575</v>
      </c>
      <c r="L17" s="248">
        <f>'W.EUR OTHER'!D45</f>
        <v>6.6143118778113894E-2</v>
      </c>
      <c r="M17" s="248">
        <f>'W.EUR OTHER'!E45</f>
        <v>4.3051326641435336E-2</v>
      </c>
      <c r="N17" s="248">
        <f>'W.EUR OTHER'!F45</f>
        <v>4.4102284782265591E-2</v>
      </c>
      <c r="O17" s="248">
        <f>'W.EUR OTHER'!G45</f>
        <v>4.5021641876791196E-2</v>
      </c>
      <c r="P17" s="279">
        <f>'W.EUR OTHER'!H45</f>
        <v>-0.15462913486104612</v>
      </c>
      <c r="S17" s="88"/>
      <c r="T17" s="42"/>
      <c r="U17" s="42"/>
      <c r="V17" s="42"/>
      <c r="W17" s="42"/>
      <c r="X17" s="42"/>
      <c r="Y17" s="42"/>
      <c r="Z17" s="42"/>
      <c r="AA17" s="42"/>
    </row>
    <row r="18" spans="2:27" ht="12.6" thickBot="1">
      <c r="B18" s="41" t="s">
        <v>973</v>
      </c>
      <c r="C18" s="249"/>
      <c r="D18" s="530">
        <f>D11+D12+D13-D14+D15-D16-D17</f>
        <v>51886.515624005129</v>
      </c>
      <c r="E18" s="530">
        <f>E11+E12+E13-E14+E15-E16-E17</f>
        <v>39506.365063539088</v>
      </c>
      <c r="F18" s="530">
        <f>F11+F12+F13-F14+F15-F16-F17</f>
        <v>37428.829406340934</v>
      </c>
      <c r="G18" s="530">
        <f>G11+G12+G13-G14+G15-G16-G17</f>
        <v>34862.344749801166</v>
      </c>
      <c r="H18" s="276">
        <f>IF(D18=0,"nm",IF(G18=0,"nm",(G18/D18)^(1/3)-1))</f>
        <v>-0.12414133936711569</v>
      </c>
      <c r="I18" s="254"/>
      <c r="J18" s="5" t="s">
        <v>36</v>
      </c>
      <c r="L18" s="248">
        <f>'W.EUR OTHER'!D46</f>
        <v>6.6143118778113894E-2</v>
      </c>
      <c r="M18" s="248">
        <f>'W.EUR OTHER'!E46</f>
        <v>4.3051326641435336E-2</v>
      </c>
      <c r="N18" s="248">
        <f>'W.EUR OTHER'!F46</f>
        <v>4.4102284782265591E-2</v>
      </c>
      <c r="O18" s="248">
        <f>'W.EUR OTHER'!G46</f>
        <v>4.5021641876791196E-2</v>
      </c>
      <c r="P18" s="279">
        <f>'W.EUR OTHER'!H46</f>
        <v>-0.15462913486104612</v>
      </c>
      <c r="S18" s="88"/>
      <c r="T18" s="42"/>
      <c r="U18" s="42"/>
      <c r="V18" s="42"/>
      <c r="W18" s="42"/>
      <c r="X18" s="42"/>
      <c r="Y18" s="42"/>
      <c r="Z18" s="42"/>
      <c r="AA18" s="42"/>
    </row>
    <row r="19" spans="2:27" ht="12.6" thickTop="1">
      <c r="B19" s="41"/>
      <c r="C19" s="249"/>
      <c r="D19" s="229"/>
      <c r="E19" s="229"/>
      <c r="F19" s="229"/>
      <c r="G19" s="229"/>
      <c r="H19" s="276"/>
      <c r="I19" s="254"/>
      <c r="J19" s="5" t="s">
        <v>576</v>
      </c>
      <c r="L19" s="248">
        <f>'W.EUR OTHER'!D47</f>
        <v>2.7744076038576149E-2</v>
      </c>
      <c r="M19" s="248">
        <f>'W.EUR OTHER'!E47</f>
        <v>2.8993295370742325E-2</v>
      </c>
      <c r="N19" s="248">
        <f>'W.EUR OTHER'!F47</f>
        <v>6.1396003571689631E-2</v>
      </c>
      <c r="O19" s="248">
        <f>'W.EUR OTHER'!G47</f>
        <v>8.3740943124088682E-2</v>
      </c>
      <c r="P19" s="279">
        <f>'W.EUR OTHER'!H47</f>
        <v>0.37754240659126448</v>
      </c>
      <c r="S19" s="88"/>
      <c r="T19" s="42"/>
      <c r="U19" s="42"/>
      <c r="V19" s="42"/>
      <c r="W19" s="42"/>
      <c r="X19" s="42"/>
      <c r="Y19" s="42"/>
      <c r="Z19" s="42"/>
      <c r="AA19" s="42"/>
    </row>
    <row r="20" spans="2:27">
      <c r="H20" s="277"/>
      <c r="I20" s="17"/>
      <c r="J20" s="5" t="s">
        <v>599</v>
      </c>
      <c r="L20" s="305">
        <f>'W.EUR OTHER'!D48</f>
        <v>2.1773296851754451</v>
      </c>
      <c r="M20" s="305">
        <f>'W.EUR OTHER'!E48</f>
        <v>1.3522122093409186</v>
      </c>
      <c r="N20" s="305">
        <f>'W.EUR OTHER'!F48</f>
        <v>0.65358788133464962</v>
      </c>
      <c r="O20" s="305">
        <f>'W.EUR OTHER'!G48</f>
        <v>0.50321211795021492</v>
      </c>
      <c r="P20" s="279" t="str">
        <f>'W.EUR OTHER'!H48</f>
        <v>nm</v>
      </c>
      <c r="S20" s="88"/>
      <c r="T20" s="42"/>
      <c r="U20" s="42"/>
      <c r="V20" s="42"/>
      <c r="W20" s="42"/>
      <c r="X20" s="42"/>
      <c r="Y20" s="42"/>
      <c r="Z20" s="42"/>
      <c r="AA20" s="42"/>
    </row>
    <row r="21" spans="2:27" ht="12.6" thickBot="1">
      <c r="B21" s="306" t="s">
        <v>922</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31689.443997599999</v>
      </c>
      <c r="D23" s="536">
        <v>32162.310777643659</v>
      </c>
      <c r="E23" s="536">
        <v>32865.781763344457</v>
      </c>
      <c r="F23" s="536">
        <v>33438.336190574373</v>
      </c>
      <c r="G23" s="536">
        <v>33905.641026966492</v>
      </c>
      <c r="H23" s="279">
        <f t="shared" ref="H23:H32" si="4">IF(D23=0,"nm",IF(G23=0,"nm",(G23/D23)^(1/3)-1))</f>
        <v>1.775107984944535E-2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4">
        <v>12674.075200500001</v>
      </c>
      <c r="D24" s="536">
        <v>9510.1991832000003</v>
      </c>
      <c r="E24" s="536">
        <v>9443.7763608746263</v>
      </c>
      <c r="F24" s="536">
        <v>9902.2853026433604</v>
      </c>
      <c r="G24" s="536">
        <v>10319.967068778449</v>
      </c>
      <c r="H24" s="279">
        <f t="shared" si="4"/>
        <v>2.7612944188088129E-2</v>
      </c>
      <c r="I24" s="249"/>
      <c r="J24" s="17"/>
      <c r="K24" s="17"/>
      <c r="L24" s="17"/>
      <c r="M24" s="17"/>
      <c r="N24" s="17"/>
      <c r="O24" s="248"/>
      <c r="S24" s="88"/>
      <c r="T24" s="42"/>
      <c r="U24" s="42"/>
      <c r="V24" s="42"/>
      <c r="W24" s="42" t="s">
        <v>276</v>
      </c>
      <c r="X24" s="42" t="s">
        <v>253</v>
      </c>
      <c r="Y24" s="42"/>
      <c r="Z24" s="42"/>
      <c r="AA24" s="42"/>
    </row>
    <row r="25" spans="2:27">
      <c r="B25" s="5" t="s">
        <v>179</v>
      </c>
      <c r="C25" s="544">
        <v>5433.4749939000012</v>
      </c>
      <c r="D25" s="536">
        <v>4046.0852864000008</v>
      </c>
      <c r="E25" s="536">
        <v>3889.8302333584206</v>
      </c>
      <c r="F25" s="536">
        <v>4335.4131599332386</v>
      </c>
      <c r="G25" s="536">
        <v>4759.2647431068226</v>
      </c>
      <c r="H25" s="279">
        <f t="shared" si="4"/>
        <v>5.5605417326569428E-2</v>
      </c>
      <c r="I25" s="248"/>
      <c r="J25" s="247" t="s">
        <v>10</v>
      </c>
      <c r="K25" s="247"/>
      <c r="L25" s="321">
        <v>0</v>
      </c>
      <c r="M25" s="321">
        <v>0</v>
      </c>
      <c r="N25" s="321">
        <v>0</v>
      </c>
      <c r="O25" s="321">
        <v>0</v>
      </c>
      <c r="P25" s="279" t="str">
        <f>IF(L25=0,"nm",IF(O25=0,"nm",(O25/L25)^(1/3)-1))</f>
        <v>nm</v>
      </c>
      <c r="S25" s="88"/>
      <c r="T25" s="42"/>
      <c r="U25" s="42"/>
      <c r="V25" s="147" t="s">
        <v>268</v>
      </c>
      <c r="W25" s="288">
        <f>D37/L9</f>
        <v>0.82355131616879707</v>
      </c>
      <c r="X25" s="288">
        <v>1</v>
      </c>
      <c r="Y25" s="42"/>
      <c r="Z25" s="42"/>
      <c r="AA25" s="42"/>
    </row>
    <row r="26" spans="2:27">
      <c r="B26" s="5" t="s">
        <v>581</v>
      </c>
      <c r="C26" s="544">
        <v>4010.0426396818193</v>
      </c>
      <c r="D26" s="536">
        <v>3055.4383117655129</v>
      </c>
      <c r="E26" s="536">
        <v>2878.4743726852312</v>
      </c>
      <c r="F26" s="536">
        <v>3208.2057383505967</v>
      </c>
      <c r="G26" s="536">
        <v>3521.8559098990486</v>
      </c>
      <c r="H26" s="279">
        <f t="shared" si="4"/>
        <v>4.8494173085703807E-2</v>
      </c>
      <c r="I26" s="249"/>
      <c r="J26" s="249" t="s">
        <v>11</v>
      </c>
      <c r="K26" s="249"/>
      <c r="L26" s="281">
        <f>D11+L25</f>
        <v>20970.846363737601</v>
      </c>
      <c r="M26" s="281">
        <f>E11+M25</f>
        <v>19141.637059470933</v>
      </c>
      <c r="N26" s="281">
        <f>F11+N25</f>
        <v>17464.23817957252</v>
      </c>
      <c r="O26" s="281">
        <f>G11+O25</f>
        <v>17464.23817957252</v>
      </c>
      <c r="P26" s="279">
        <f>IF(L26=0,"nm",IF(O26=0,"nm",(O26/L26)^(1/3)-1))</f>
        <v>-5.9169844307515596E-2</v>
      </c>
      <c r="Q26" s="5"/>
      <c r="S26" s="88"/>
      <c r="T26" s="42"/>
      <c r="U26" s="42"/>
      <c r="V26" s="147" t="s">
        <v>180</v>
      </c>
      <c r="W26" s="288">
        <f t="shared" ref="W26:W33" si="6">D38/L10</f>
        <v>1.1177133602097735</v>
      </c>
      <c r="X26" s="288">
        <v>1</v>
      </c>
      <c r="Y26" s="42"/>
      <c r="Z26" s="42"/>
      <c r="AA26" s="42"/>
    </row>
    <row r="27" spans="2:27">
      <c r="B27" s="5" t="s">
        <v>582</v>
      </c>
      <c r="C27" s="544">
        <v>85509.604397400006</v>
      </c>
      <c r="D27" s="536">
        <v>82226.671801599994</v>
      </c>
      <c r="E27" s="536">
        <v>69480.85909092112</v>
      </c>
      <c r="F27" s="536">
        <v>69368.793289909197</v>
      </c>
      <c r="G27" s="536">
        <v>69038.245478006764</v>
      </c>
      <c r="H27" s="279">
        <f t="shared" si="4"/>
        <v>-5.6607662319735241E-2</v>
      </c>
      <c r="I27" s="249"/>
      <c r="J27" s="248"/>
      <c r="K27" s="248"/>
      <c r="L27" s="248"/>
      <c r="M27" s="248"/>
      <c r="N27" s="248"/>
      <c r="O27" s="248"/>
      <c r="Q27" s="41"/>
      <c r="S27" s="88"/>
      <c r="T27" s="42"/>
      <c r="U27" s="42"/>
      <c r="V27" s="147" t="s">
        <v>181</v>
      </c>
      <c r="W27" s="288">
        <f t="shared" si="6"/>
        <v>0.97434322735602441</v>
      </c>
      <c r="X27" s="288">
        <v>1</v>
      </c>
      <c r="Y27" s="42"/>
      <c r="Z27" s="42"/>
      <c r="AA27" s="42"/>
    </row>
    <row r="28" spans="2:27" ht="12.6" thickBot="1">
      <c r="B28" s="5" t="s">
        <v>587</v>
      </c>
      <c r="C28" s="544">
        <v>32834.194682400004</v>
      </c>
      <c r="D28" s="536">
        <v>24596.7117272</v>
      </c>
      <c r="E28" s="536">
        <v>24123.616689787548</v>
      </c>
      <c r="F28" s="536">
        <v>23952.873622483432</v>
      </c>
      <c r="G28" s="536">
        <v>23783.32006006785</v>
      </c>
      <c r="H28" s="279">
        <f t="shared" si="4"/>
        <v>-1.1146830919173456E-2</v>
      </c>
      <c r="I28" s="248"/>
      <c r="J28" s="306" t="s">
        <v>1352</v>
      </c>
      <c r="K28" s="306"/>
      <c r="L28" s="306"/>
      <c r="M28" s="306"/>
      <c r="N28" s="266"/>
      <c r="O28" s="266"/>
      <c r="P28" s="266"/>
      <c r="Q28" s="5"/>
      <c r="S28" s="88"/>
      <c r="T28" s="42"/>
      <c r="U28" s="42"/>
      <c r="V28" s="147" t="s">
        <v>461</v>
      </c>
      <c r="W28" s="288">
        <f t="shared" si="6"/>
        <v>0.90410560926528261</v>
      </c>
      <c r="X28" s="288">
        <v>1</v>
      </c>
      <c r="Y28" s="42"/>
      <c r="Z28" s="42"/>
      <c r="AA28" s="42"/>
    </row>
    <row r="29" spans="2:27" ht="12.6" thickTop="1">
      <c r="B29" s="5" t="s">
        <v>583</v>
      </c>
      <c r="C29" s="544">
        <v>2258.2583361000002</v>
      </c>
      <c r="D29" s="536">
        <v>1345.5304951999999</v>
      </c>
      <c r="E29" s="536">
        <v>1217.9627507737939</v>
      </c>
      <c r="F29" s="536">
        <v>2041.6093046243627</v>
      </c>
      <c r="G29" s="536">
        <v>2507.5381930600947</v>
      </c>
      <c r="H29" s="279">
        <f t="shared" si="4"/>
        <v>0.23060309733426587</v>
      </c>
      <c r="I29" s="252"/>
      <c r="J29" s="249"/>
      <c r="K29" s="249"/>
      <c r="L29" s="249"/>
      <c r="M29" s="249"/>
      <c r="N29" s="249"/>
      <c r="O29" s="251"/>
      <c r="Q29" s="5"/>
      <c r="S29" s="88"/>
      <c r="T29" s="42"/>
      <c r="U29" s="42"/>
      <c r="V29" s="147" t="s">
        <v>525</v>
      </c>
      <c r="W29" s="288">
        <f t="shared" si="6"/>
        <v>0.74727642085547952</v>
      </c>
      <c r="X29" s="288">
        <v>1</v>
      </c>
      <c r="Y29" s="42"/>
      <c r="Z29" s="42"/>
      <c r="AA29" s="42"/>
    </row>
    <row r="30" spans="2:27">
      <c r="B30" s="5" t="s">
        <v>584</v>
      </c>
      <c r="C30" s="544">
        <v>3174.3524181000002</v>
      </c>
      <c r="D30" s="536">
        <v>2059.2917007999999</v>
      </c>
      <c r="E30" s="536">
        <v>2258.8658007357803</v>
      </c>
      <c r="F30" s="536">
        <v>2790.789728873573</v>
      </c>
      <c r="G30" s="536">
        <v>3123.0435334234576</v>
      </c>
      <c r="H30" s="279">
        <f t="shared" si="4"/>
        <v>0.14891188737569672</v>
      </c>
      <c r="I30" s="254"/>
      <c r="J30" s="248"/>
      <c r="K30" s="248"/>
      <c r="L30" s="248"/>
      <c r="M30" s="248"/>
      <c r="N30" s="248"/>
      <c r="O30" s="5"/>
      <c r="Q30" s="5"/>
      <c r="S30" s="88"/>
      <c r="T30" s="42"/>
      <c r="U30" s="42"/>
      <c r="V30" s="147" t="s">
        <v>588</v>
      </c>
      <c r="W30" s="288">
        <f t="shared" si="6"/>
        <v>0.70320872436416204</v>
      </c>
      <c r="X30" s="288">
        <v>1</v>
      </c>
      <c r="Y30" s="42"/>
      <c r="Z30" s="42"/>
      <c r="AA30" s="42"/>
    </row>
    <row r="31" spans="2:27">
      <c r="B31" s="5" t="s">
        <v>585</v>
      </c>
      <c r="C31" s="544">
        <v>2099.5241361477815</v>
      </c>
      <c r="D31" s="536">
        <v>2103.4904933585676</v>
      </c>
      <c r="E31" s="536">
        <v>948.74913395610417</v>
      </c>
      <c r="F31" s="536">
        <v>865.54247773160614</v>
      </c>
      <c r="G31" s="536">
        <v>865.54247773160614</v>
      </c>
      <c r="H31" s="279">
        <f t="shared" si="4"/>
        <v>-0.25621181116765468</v>
      </c>
      <c r="I31" s="254"/>
      <c r="J31" s="252"/>
      <c r="K31" s="252"/>
      <c r="L31" s="252"/>
      <c r="M31" s="252"/>
      <c r="N31" s="252"/>
      <c r="O31" s="5"/>
      <c r="Q31" s="5"/>
      <c r="S31" s="88"/>
      <c r="T31" s="42"/>
      <c r="U31" s="42"/>
      <c r="V31" s="147" t="s">
        <v>470</v>
      </c>
      <c r="W31" s="288">
        <f t="shared" si="6"/>
        <v>0.43240696378446092</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0.55982177494967</v>
      </c>
      <c r="X32" s="288">
        <v>1</v>
      </c>
      <c r="Y32" s="42"/>
      <c r="Z32" s="42"/>
      <c r="AA32" s="42"/>
    </row>
    <row r="33" spans="2:27">
      <c r="B33" s="5" t="s">
        <v>5</v>
      </c>
      <c r="C33" s="544">
        <v>1279.074756</v>
      </c>
      <c r="D33" s="536">
        <v>1764.983876</v>
      </c>
      <c r="E33" s="536">
        <v>1442.3331262964307</v>
      </c>
      <c r="F33" s="536">
        <v>1242.1108338261533</v>
      </c>
      <c r="G33" s="536">
        <v>1258.1520881418544</v>
      </c>
      <c r="H33" s="279">
        <f>IF(D33=0,"nm",IF(G33=0,"nm",(G33/D33)^(1/3)-1))</f>
        <v>-0.10669972675877881</v>
      </c>
      <c r="I33" s="5"/>
      <c r="J33" s="254"/>
      <c r="K33" s="254"/>
      <c r="L33" s="254"/>
      <c r="M33" s="254"/>
      <c r="N33" s="254"/>
      <c r="O33" s="251"/>
      <c r="Q33" s="5"/>
      <c r="S33" s="88"/>
      <c r="T33" s="42"/>
      <c r="U33" s="42"/>
      <c r="V33" s="147" t="s">
        <v>575</v>
      </c>
      <c r="W33" s="288">
        <f t="shared" si="6"/>
        <v>1.5164913104947684</v>
      </c>
      <c r="X33" s="288">
        <v>1</v>
      </c>
      <c r="Y33" s="42"/>
      <c r="Z33" s="42"/>
      <c r="AA33" s="42"/>
    </row>
    <row r="34" spans="2:27">
      <c r="B34" s="5"/>
      <c r="C34" s="247"/>
      <c r="D34" s="17"/>
      <c r="E34" s="17"/>
      <c r="F34" s="268"/>
      <c r="G34" s="17"/>
      <c r="H34" s="277"/>
      <c r="I34" s="49"/>
      <c r="J34" s="254"/>
      <c r="K34" s="254"/>
      <c r="L34" s="254"/>
      <c r="M34" s="254"/>
      <c r="N34" s="254"/>
      <c r="O34" s="251"/>
      <c r="Q34" s="5"/>
      <c r="S34" s="88"/>
      <c r="T34" s="42"/>
      <c r="U34" s="42"/>
      <c r="V34" s="147" t="s">
        <v>576</v>
      </c>
      <c r="W34" s="288">
        <f>D47/L19</f>
        <v>2.3126362055965024</v>
      </c>
      <c r="X34" s="288">
        <v>1</v>
      </c>
      <c r="Y34" s="288"/>
      <c r="Z34" s="288"/>
      <c r="AA34" s="42"/>
    </row>
    <row r="35" spans="2:27" ht="12.6" thickBot="1">
      <c r="B35" s="306" t="s">
        <v>441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 t="shared" ref="D37:G41" si="8">D$18/D23</f>
        <v>1.6132707622510742</v>
      </c>
      <c r="E37" s="525">
        <f t="shared" si="8"/>
        <v>1.2020515850805333</v>
      </c>
      <c r="F37" s="525">
        <f t="shared" si="8"/>
        <v>1.1193388688068577</v>
      </c>
      <c r="G37" s="525">
        <f t="shared" si="8"/>
        <v>1.0282166534493116</v>
      </c>
      <c r="H37" s="17">
        <f t="shared" ref="H37:H45" si="9">H23</f>
        <v>1.775107984944535E-2</v>
      </c>
      <c r="I37" s="5"/>
      <c r="J37" s="259"/>
      <c r="K37" s="259"/>
      <c r="L37" s="259"/>
      <c r="M37" s="259"/>
      <c r="N37" s="259"/>
      <c r="O37" s="18"/>
      <c r="Q37" s="5"/>
      <c r="R37" s="5"/>
      <c r="S37" s="42"/>
      <c r="T37" s="42"/>
      <c r="U37" s="42"/>
      <c r="V37" s="42"/>
      <c r="W37" s="42"/>
      <c r="X37" s="42"/>
      <c r="Y37" s="42"/>
      <c r="Z37" s="42"/>
      <c r="AA37" s="42"/>
    </row>
    <row r="38" spans="2:27">
      <c r="B38" s="5" t="s">
        <v>180</v>
      </c>
      <c r="C38" s="247"/>
      <c r="D38" s="525">
        <f t="shared" si="8"/>
        <v>5.4558810624770011</v>
      </c>
      <c r="E38" s="525">
        <f t="shared" si="8"/>
        <v>4.1833228100586073</v>
      </c>
      <c r="F38" s="525">
        <f t="shared" si="8"/>
        <v>3.7798173110958047</v>
      </c>
      <c r="G38" s="525">
        <f t="shared" si="8"/>
        <v>3.3781449608760954</v>
      </c>
      <c r="H38" s="17">
        <f t="shared" si="9"/>
        <v>2.7612944188088129E-2</v>
      </c>
      <c r="I38" s="259"/>
      <c r="J38" s="17"/>
      <c r="K38" s="17"/>
      <c r="L38" s="17"/>
      <c r="M38" s="17"/>
      <c r="N38" s="17"/>
      <c r="O38" s="5"/>
      <c r="Q38" s="5"/>
      <c r="R38" s="5"/>
      <c r="S38" s="42"/>
      <c r="T38" s="42"/>
      <c r="U38" s="42"/>
      <c r="V38" s="42"/>
      <c r="W38" s="42"/>
      <c r="X38" s="42"/>
      <c r="Y38" s="42"/>
      <c r="Z38" s="42"/>
      <c r="AA38" s="42"/>
    </row>
    <row r="39" spans="2:27">
      <c r="B39" s="5" t="s">
        <v>181</v>
      </c>
      <c r="C39" s="247"/>
      <c r="D39" s="525">
        <f t="shared" si="8"/>
        <v>12.823880850561874</v>
      </c>
      <c r="E39" s="525">
        <f t="shared" si="8"/>
        <v>10.156321148604444</v>
      </c>
      <c r="F39" s="525">
        <f t="shared" si="8"/>
        <v>8.6332785424578322</v>
      </c>
      <c r="G39" s="525">
        <f t="shared" si="8"/>
        <v>7.3251534914704521</v>
      </c>
      <c r="H39" s="17">
        <f t="shared" si="9"/>
        <v>5.5605417326569428E-2</v>
      </c>
      <c r="I39" s="17"/>
      <c r="J39" s="5"/>
      <c r="K39" s="5"/>
      <c r="L39" s="5"/>
      <c r="M39" s="5"/>
      <c r="N39" s="5"/>
      <c r="O39" s="5"/>
      <c r="Q39" s="5"/>
      <c r="R39" s="5"/>
      <c r="S39" s="42"/>
      <c r="T39" s="42"/>
      <c r="U39" s="42"/>
      <c r="V39" s="42"/>
      <c r="W39" s="42"/>
      <c r="X39" s="42"/>
      <c r="Y39" s="42"/>
      <c r="Z39" s="42"/>
      <c r="AA39" s="42"/>
    </row>
    <row r="40" spans="2:27">
      <c r="B40" s="5" t="s">
        <v>461</v>
      </c>
      <c r="C40" s="247"/>
      <c r="D40" s="525">
        <f t="shared" si="8"/>
        <v>16.981693076311441</v>
      </c>
      <c r="E40" s="525">
        <f t="shared" si="8"/>
        <v>13.724758308924924</v>
      </c>
      <c r="F40" s="525">
        <f t="shared" si="8"/>
        <v>11.666592624943016</v>
      </c>
      <c r="G40" s="525">
        <f t="shared" si="8"/>
        <v>9.8988560695546663</v>
      </c>
      <c r="H40" s="17">
        <f t="shared" si="9"/>
        <v>4.8494173085703807E-2</v>
      </c>
      <c r="I40" s="5"/>
      <c r="J40" s="259"/>
      <c r="K40" s="259"/>
      <c r="L40" s="259"/>
      <c r="M40" s="259"/>
      <c r="N40" s="259"/>
      <c r="O40" s="18"/>
      <c r="Q40" s="5"/>
      <c r="R40" s="5"/>
      <c r="S40" s="42"/>
      <c r="T40" s="42"/>
      <c r="U40" s="42"/>
      <c r="V40" s="42"/>
      <c r="W40" s="288"/>
      <c r="X40" s="288"/>
      <c r="Y40" s="42"/>
      <c r="Z40" s="42"/>
      <c r="AA40" s="42"/>
    </row>
    <row r="41" spans="2:27">
      <c r="B41" s="5" t="s">
        <v>525</v>
      </c>
      <c r="C41" s="247"/>
      <c r="D41" s="525">
        <f t="shared" si="8"/>
        <v>0.63101806855565212</v>
      </c>
      <c r="E41" s="525">
        <f t="shared" si="8"/>
        <v>0.56859350302278111</v>
      </c>
      <c r="F41" s="525">
        <f t="shared" si="8"/>
        <v>0.53956293069589201</v>
      </c>
      <c r="G41" s="525">
        <f t="shared" si="8"/>
        <v>0.50497147643920248</v>
      </c>
      <c r="H41" s="17">
        <f t="shared" si="9"/>
        <v>-5.6607662319735241E-2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2.1094899269249474</v>
      </c>
      <c r="E42" s="525">
        <f>E18/E28</f>
        <v>1.6376634387605589</v>
      </c>
      <c r="F42" s="525">
        <f>F18/F28</f>
        <v>1.5626028841570081</v>
      </c>
      <c r="G42" s="525">
        <f>G18/G28</f>
        <v>1.4658317115420305</v>
      </c>
      <c r="H42" s="17">
        <f t="shared" si="9"/>
        <v>-1.1146830919173456E-2</v>
      </c>
      <c r="I42" s="248"/>
      <c r="J42" s="5"/>
      <c r="K42" s="5"/>
      <c r="L42" s="5"/>
      <c r="M42" s="5"/>
      <c r="N42" s="5"/>
      <c r="O42" s="5"/>
      <c r="Q42" s="5"/>
      <c r="R42" s="5"/>
      <c r="S42" s="42"/>
      <c r="T42" s="42"/>
      <c r="U42" s="42"/>
      <c r="V42" s="42"/>
      <c r="W42" s="288"/>
      <c r="X42" s="288"/>
      <c r="Y42" s="288"/>
      <c r="Z42" s="288"/>
      <c r="AA42" s="42"/>
    </row>
    <row r="43" spans="2:27">
      <c r="B43" s="5" t="s">
        <v>470</v>
      </c>
      <c r="C43" s="247"/>
      <c r="D43" s="525">
        <f>L26/D29</f>
        <v>15.585560073553362</v>
      </c>
      <c r="E43" s="525">
        <f>M26/E29</f>
        <v>15.716110404287736</v>
      </c>
      <c r="F43" s="525">
        <f>N26/F29</f>
        <v>8.5541529126140894</v>
      </c>
      <c r="G43" s="525">
        <f>O26/G29</f>
        <v>6.9646947862676001</v>
      </c>
      <c r="H43" s="17">
        <f t="shared" si="9"/>
        <v>0.23060309733426587</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10.18352395417841</v>
      </c>
      <c r="E44" s="525">
        <f>E11/E30</f>
        <v>8.4740036584891083</v>
      </c>
      <c r="F44" s="525">
        <f>F11/F30</f>
        <v>6.257812259693778</v>
      </c>
      <c r="G44" s="525">
        <f>G11/G30</f>
        <v>5.5920572328456624</v>
      </c>
      <c r="H44" s="17">
        <f t="shared" si="9"/>
        <v>0.14891188737569672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0.10030546487603306</v>
      </c>
      <c r="E45" s="248">
        <f>E31/E11</f>
        <v>4.9564680962680796E-2</v>
      </c>
      <c r="F45" s="248">
        <f>F31/F11</f>
        <v>4.9560849367252066E-2</v>
      </c>
      <c r="G45" s="248">
        <f>G31/G11</f>
        <v>4.9560849367252066E-2</v>
      </c>
      <c r="H45" s="17">
        <f t="shared" si="9"/>
        <v>-0.25621181116765468</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0.10030546487603306</v>
      </c>
      <c r="E46" s="248">
        <f>(E31+E32)/E11</f>
        <v>4.9564680962680796E-2</v>
      </c>
      <c r="F46" s="248">
        <f>(F31+F32)/F11</f>
        <v>4.9560849367252066E-2</v>
      </c>
      <c r="G46" s="248">
        <f>(G31+G32)/G11</f>
        <v>4.9560849367252066E-2</v>
      </c>
      <c r="H46" s="279">
        <f>((G31+G32)/(D31+D32))^(1/3)-1</f>
        <v>-0.25621181116765468</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6.4161954737633586E-2</v>
      </c>
      <c r="E47" s="248">
        <f>1/E43</f>
        <v>6.3628975253773715E-2</v>
      </c>
      <c r="F47" s="248">
        <f>1/F43</f>
        <v>0.1169022824604157</v>
      </c>
      <c r="G47" s="248">
        <f>1/G43</f>
        <v>0.14358130983309075</v>
      </c>
      <c r="H47" s="17">
        <f>H29</f>
        <v>0.23060309733426587</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1.56331684853111</v>
      </c>
      <c r="E48" s="305">
        <f>E31/E29</f>
        <v>0.77896399816278994</v>
      </c>
      <c r="F48" s="305">
        <f>F31/F29</f>
        <v>0.42395108396650749</v>
      </c>
      <c r="G48" s="305">
        <f>G31/G29</f>
        <v>0.34517618919109433</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VODSOP!A1" display="Jump to VOD SOP" xr:uid="{00000000-0004-0000-7600-000001000000}"/>
  </hyperlinks>
  <pageMargins left="0.75" right="0.75" top="1" bottom="1" header="0.5" footer="0.5"/>
  <pageSetup scale="7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5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403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E6" s="26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177</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116</v>
      </c>
      <c r="C9" s="267">
        <v>47.01</v>
      </c>
      <c r="D9" s="531"/>
      <c r="E9" s="532"/>
      <c r="F9" s="532"/>
      <c r="G9" s="532"/>
      <c r="H9" s="249"/>
      <c r="I9" s="249"/>
      <c r="J9" s="5" t="s">
        <v>268</v>
      </c>
      <c r="L9" s="525">
        <f>'US TELCO'!D37</f>
        <v>2.6968886837537913</v>
      </c>
      <c r="M9" s="525">
        <f>'US TELCO'!E37</f>
        <v>2.5146711450844865</v>
      </c>
      <c r="N9" s="525">
        <f>'US TELCO'!F37</f>
        <v>2.2999891851781435</v>
      </c>
      <c r="O9" s="525">
        <f>'US TELCO'!G37</f>
        <v>2.0949250903192609</v>
      </c>
      <c r="P9" s="18">
        <f>'US TELCO'!H37</f>
        <v>1.8592642260168768E-2</v>
      </c>
      <c r="S9" s="88"/>
      <c r="T9" s="42"/>
      <c r="U9" s="42"/>
      <c r="V9" s="42"/>
      <c r="W9" s="42"/>
      <c r="X9" s="42"/>
      <c r="Y9" s="42"/>
      <c r="Z9" s="42"/>
      <c r="AA9" s="42"/>
    </row>
    <row r="10" spans="2:44">
      <c r="B10" s="5" t="s">
        <v>269</v>
      </c>
      <c r="C10" s="5"/>
      <c r="D10" s="527">
        <v>4213.5</v>
      </c>
      <c r="E10" s="527">
        <v>4214</v>
      </c>
      <c r="F10" s="527">
        <v>4214</v>
      </c>
      <c r="G10" s="527">
        <v>4214</v>
      </c>
      <c r="H10" s="247"/>
      <c r="I10" s="247"/>
      <c r="J10" s="5" t="s">
        <v>180</v>
      </c>
      <c r="L10" s="525">
        <f>'US TELCO'!D38</f>
        <v>7.5103910335065676</v>
      </c>
      <c r="M10" s="525">
        <f>'US TELCO'!E38</f>
        <v>6.8358730386328723</v>
      </c>
      <c r="N10" s="525">
        <f>'US TELCO'!F38</f>
        <v>6.2046381864839537</v>
      </c>
      <c r="O10" s="525">
        <f>'US TELCO'!G38</f>
        <v>5.6229208951465788</v>
      </c>
      <c r="P10" s="18">
        <f>'US TELCO'!H38</f>
        <v>3.1183334923203576E-2</v>
      </c>
      <c r="R10" s="270"/>
      <c r="S10" s="327"/>
      <c r="T10" s="42"/>
      <c r="U10" s="42"/>
      <c r="V10" s="42"/>
      <c r="W10" s="288"/>
      <c r="X10" s="288"/>
      <c r="Y10" s="288"/>
      <c r="Z10" s="288"/>
      <c r="AA10" s="42"/>
    </row>
    <row r="11" spans="2:44">
      <c r="B11" s="41" t="s">
        <v>270</v>
      </c>
      <c r="C11" s="5"/>
      <c r="D11" s="528">
        <f>$C$9*D10</f>
        <v>198076.63499999998</v>
      </c>
      <c r="E11" s="528">
        <f>$C$9*E10</f>
        <v>198100.13999999998</v>
      </c>
      <c r="F11" s="528">
        <f>$C$9*F10</f>
        <v>198100.13999999998</v>
      </c>
      <c r="G11" s="528">
        <f>$C$9*G10</f>
        <v>198100.13999999998</v>
      </c>
      <c r="H11" s="249"/>
      <c r="I11" s="249"/>
      <c r="J11" s="5" t="s">
        <v>181</v>
      </c>
      <c r="L11" s="525">
        <f>'US TELCO'!D39</f>
        <v>13.261738384106318</v>
      </c>
      <c r="M11" s="525">
        <f>'US TELCO'!E39</f>
        <v>11.062571352627396</v>
      </c>
      <c r="N11" s="525">
        <f>'US TELCO'!F39</f>
        <v>9.820261878240153</v>
      </c>
      <c r="O11" s="525">
        <f>'US TELCO'!G39</f>
        <v>8.7783728274098998</v>
      </c>
      <c r="P11" s="18">
        <f>'US TELCO'!H39</f>
        <v>7.4396303115465079E-2</v>
      </c>
      <c r="R11" s="270"/>
      <c r="S11" s="88"/>
      <c r="T11" s="42"/>
      <c r="U11" s="42"/>
      <c r="V11" s="42"/>
      <c r="W11" s="288"/>
      <c r="X11" s="288"/>
      <c r="Y11" s="288"/>
      <c r="Z11" s="288"/>
      <c r="AA11" s="42"/>
    </row>
    <row r="12" spans="2:44">
      <c r="B12" s="5" t="s">
        <v>24</v>
      </c>
      <c r="C12" s="249"/>
      <c r="D12" s="529">
        <v>124994</v>
      </c>
      <c r="E12" s="529">
        <v>118065.82954521515</v>
      </c>
      <c r="F12" s="529">
        <v>110123.54006926986</v>
      </c>
      <c r="G12" s="529">
        <v>101707.40937903603</v>
      </c>
      <c r="H12" s="247"/>
      <c r="I12" s="247"/>
      <c r="J12" s="5" t="s">
        <v>461</v>
      </c>
      <c r="L12" s="525">
        <f>'US TELCO'!D40</f>
        <v>19.214894465576968</v>
      </c>
      <c r="M12" s="525">
        <f>'US TELCO'!E40</f>
        <v>16.71537636399913</v>
      </c>
      <c r="N12" s="525">
        <f>'US TELCO'!F40</f>
        <v>14.808303046381596</v>
      </c>
      <c r="O12" s="525">
        <f>'US TELCO'!G40</f>
        <v>13.077466088113542</v>
      </c>
      <c r="P12" s="18">
        <f>'US TELCO'!H40</f>
        <v>6.4487323949837583E-2</v>
      </c>
      <c r="R12" s="270"/>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'US TELCO'!D41</f>
        <v>1.3850697361796853</v>
      </c>
      <c r="M13" s="525">
        <f>'US TELCO'!E41</f>
        <v>1.725261392221999</v>
      </c>
      <c r="N13" s="525">
        <f>'US TELCO'!F41</f>
        <v>1.6455244527361086</v>
      </c>
      <c r="O13" s="525">
        <f>'US TELCO'!G41</f>
        <v>1.56576442945581</v>
      </c>
      <c r="P13" s="18">
        <f>'US TELCO'!H41</f>
        <v>-0.10115646387707644</v>
      </c>
      <c r="R13" s="270"/>
      <c r="S13" s="88"/>
      <c r="T13" s="42"/>
      <c r="U13" s="42"/>
      <c r="V13" s="42"/>
      <c r="W13" s="42"/>
      <c r="X13" s="42"/>
      <c r="Y13" s="42"/>
      <c r="Z13" s="42"/>
      <c r="AA13" s="42"/>
    </row>
    <row r="14" spans="2:44">
      <c r="B14" s="5" t="s">
        <v>527</v>
      </c>
      <c r="C14" s="257"/>
      <c r="D14" s="529">
        <v>953</v>
      </c>
      <c r="E14" s="529">
        <v>953</v>
      </c>
      <c r="F14" s="529">
        <v>953</v>
      </c>
      <c r="G14" s="529">
        <v>953</v>
      </c>
      <c r="H14" s="247"/>
      <c r="I14" s="247"/>
      <c r="J14" s="5" t="s">
        <v>588</v>
      </c>
      <c r="L14" s="525">
        <f>'US TELCO'!D42</f>
        <v>3.4632866380030749</v>
      </c>
      <c r="M14" s="525">
        <f>'US TELCO'!E42</f>
        <v>3.3126311431167741</v>
      </c>
      <c r="N14" s="525">
        <f>'US TELCO'!F42</f>
        <v>3.1324767196320553</v>
      </c>
      <c r="O14" s="525">
        <f>'US TELCO'!G42</f>
        <v>2.9507296796827212</v>
      </c>
      <c r="P14" s="18">
        <f>'US TELCO'!H42</f>
        <v>-1.2306873951881125E-2</v>
      </c>
      <c r="R14" s="270"/>
      <c r="S14" s="88"/>
      <c r="T14" s="42"/>
      <c r="U14" s="42"/>
      <c r="V14" s="42"/>
      <c r="W14" s="42"/>
      <c r="X14" s="42"/>
      <c r="Y14" s="42"/>
      <c r="Z14" s="42"/>
      <c r="AA14" s="42"/>
    </row>
    <row r="15" spans="2:44">
      <c r="B15" s="5" t="s">
        <v>526</v>
      </c>
      <c r="C15" s="274"/>
      <c r="D15" s="529">
        <v>1369</v>
      </c>
      <c r="E15" s="529">
        <v>1369</v>
      </c>
      <c r="F15" s="529">
        <v>1369</v>
      </c>
      <c r="G15" s="529">
        <v>1369</v>
      </c>
      <c r="H15" s="247"/>
      <c r="I15" s="247"/>
      <c r="J15" s="5" t="s">
        <v>470</v>
      </c>
      <c r="L15" s="525">
        <f>'US TELCO'!D43</f>
        <v>13.364053634891468</v>
      </c>
      <c r="M15" s="525">
        <f>'US TELCO'!E43</f>
        <v>15.472348569319676</v>
      </c>
      <c r="N15" s="525">
        <f>'US TELCO'!F43</f>
        <v>14.099378857291484</v>
      </c>
      <c r="O15" s="525">
        <f>'US TELCO'!G43</f>
        <v>12.972992171971411</v>
      </c>
      <c r="P15" s="18">
        <f>'US TELCO'!H43</f>
        <v>-2.422411565871474E-2</v>
      </c>
      <c r="R15" s="270"/>
      <c r="S15" s="88"/>
      <c r="T15" s="42"/>
      <c r="U15" s="42"/>
      <c r="V15" s="42"/>
      <c r="W15" s="42"/>
      <c r="X15" s="42"/>
      <c r="Y15" s="42"/>
      <c r="Z15" s="42"/>
      <c r="AA15" s="42"/>
    </row>
    <row r="16" spans="2:44">
      <c r="B16" s="5" t="s">
        <v>529</v>
      </c>
      <c r="C16" s="257"/>
      <c r="D16" s="529">
        <v>11025</v>
      </c>
      <c r="E16" s="529">
        <v>22318.11</v>
      </c>
      <c r="F16" s="529">
        <v>33821.519999999997</v>
      </c>
      <c r="G16" s="529">
        <v>45535.229999999996</v>
      </c>
      <c r="H16" s="247"/>
      <c r="I16" s="247"/>
      <c r="J16" s="5" t="s">
        <v>528</v>
      </c>
      <c r="L16" s="525">
        <f>'US TELCO'!D44</f>
        <v>12.896141683059501</v>
      </c>
      <c r="M16" s="525">
        <f>'US TELCO'!E44</f>
        <v>12.533526105398932</v>
      </c>
      <c r="N16" s="525">
        <f>'US TELCO'!F44</f>
        <v>11.378316950649831</v>
      </c>
      <c r="O16" s="525">
        <f>'US TELCO'!G44</f>
        <v>10.34083266993402</v>
      </c>
      <c r="P16" s="18">
        <f>'US TELCO'!H44</f>
        <v>3.9965241834319487E-2</v>
      </c>
      <c r="R16" s="270"/>
      <c r="S16" s="88"/>
      <c r="T16" s="42"/>
      <c r="U16" s="42"/>
      <c r="V16" s="42"/>
      <c r="W16" s="42"/>
      <c r="X16" s="42"/>
      <c r="Y16" s="42"/>
      <c r="Z16" s="42"/>
      <c r="AA16" s="42"/>
    </row>
    <row r="17" spans="2:27">
      <c r="B17" s="5" t="s">
        <v>6</v>
      </c>
      <c r="C17" s="257"/>
      <c r="D17" s="529">
        <v>0</v>
      </c>
      <c r="E17" s="529">
        <v>0</v>
      </c>
      <c r="F17" s="529">
        <v>0</v>
      </c>
      <c r="G17" s="529">
        <v>0</v>
      </c>
      <c r="H17" s="247"/>
      <c r="I17" s="247"/>
      <c r="J17" s="5" t="s">
        <v>575</v>
      </c>
      <c r="L17" s="18">
        <f>'US TELCO'!D45</f>
        <v>3.3675032319345051E-2</v>
      </c>
      <c r="M17" s="18">
        <f>'US TELCO'!E45</f>
        <v>3.9091509797068692E-2</v>
      </c>
      <c r="N17" s="18">
        <f>'US TELCO'!F45</f>
        <v>4.1026830051589948E-2</v>
      </c>
      <c r="O17" s="18">
        <f>'US TELCO'!G45</f>
        <v>4.3249954546806017E-2</v>
      </c>
      <c r="P17" s="18">
        <f>'US TELCO'!H45</f>
        <v>5.0211107719274395E-2</v>
      </c>
      <c r="R17" s="270"/>
      <c r="S17" s="88"/>
      <c r="T17" s="42"/>
      <c r="U17" s="42"/>
      <c r="V17" s="42"/>
      <c r="W17" s="42"/>
      <c r="X17" s="42"/>
      <c r="Y17" s="42"/>
      <c r="Z17" s="42"/>
      <c r="AA17" s="42"/>
    </row>
    <row r="18" spans="2:27" ht="12.6" thickBot="1">
      <c r="B18" s="41" t="s">
        <v>578</v>
      </c>
      <c r="C18" s="249"/>
      <c r="D18" s="530">
        <f>D11+D12+D13-D14+D15-D16-D17</f>
        <v>312461.63500000001</v>
      </c>
      <c r="E18" s="530">
        <f>E11+E12+E13-E14+E15-E16-E17</f>
        <v>294263.85954521515</v>
      </c>
      <c r="F18" s="530">
        <f>F11+F12+F13-F14+F15-F16-F17</f>
        <v>274818.16006926983</v>
      </c>
      <c r="G18" s="530">
        <f>G11+G12+G13-G14+G15-G16-G17</f>
        <v>254688.31937903602</v>
      </c>
      <c r="H18" s="276">
        <f>IF(D18=0,"nm",IF(G18=0,"nm",(G18/D18)^(1/3)-1))</f>
        <v>-6.5876906491453391E-2</v>
      </c>
      <c r="I18" s="254"/>
      <c r="J18" s="5" t="s">
        <v>36</v>
      </c>
      <c r="L18" s="18">
        <f>'US TELCO'!D46</f>
        <v>5.5790130397661161E-2</v>
      </c>
      <c r="M18" s="18">
        <f>'US TELCO'!E46</f>
        <v>6.9421862290742001E-2</v>
      </c>
      <c r="N18" s="18">
        <f>'US TELCO'!F46</f>
        <v>7.517472335732614E-2</v>
      </c>
      <c r="O18" s="18">
        <f>'US TELCO'!G46</f>
        <v>8.2720474238291056E-2</v>
      </c>
      <c r="P18" s="18">
        <f>'US TELCO'!H46</f>
        <v>0.10171503351667854</v>
      </c>
      <c r="S18" s="88"/>
      <c r="T18" s="42"/>
      <c r="U18" s="42"/>
      <c r="V18" s="42"/>
      <c r="W18" s="42"/>
      <c r="X18" s="42"/>
      <c r="Y18" s="42"/>
      <c r="Z18" s="42"/>
      <c r="AA18" s="42"/>
    </row>
    <row r="19" spans="2:27" ht="12.6" thickTop="1">
      <c r="B19" s="41"/>
      <c r="C19" s="249"/>
      <c r="D19" s="229"/>
      <c r="E19" s="229"/>
      <c r="F19" s="229"/>
      <c r="G19" s="229"/>
      <c r="H19" s="276"/>
      <c r="I19" s="254"/>
      <c r="J19" s="5" t="s">
        <v>576</v>
      </c>
      <c r="L19" s="18">
        <f>'US TELCO'!D47</f>
        <v>7.4827595527539287E-2</v>
      </c>
      <c r="M19" s="18">
        <f>'US TELCO'!E47</f>
        <v>6.4631429127890327E-2</v>
      </c>
      <c r="N19" s="18">
        <f>'US TELCO'!F47</f>
        <v>7.0925110256389118E-2</v>
      </c>
      <c r="O19" s="18">
        <f>'US TELCO'!G47</f>
        <v>7.7083219256119953E-2</v>
      </c>
      <c r="P19" s="18">
        <f>'US TELCO'!H47</f>
        <v>-2.422411565871474E-2</v>
      </c>
      <c r="S19" s="88"/>
      <c r="T19" s="42"/>
      <c r="U19" s="42"/>
      <c r="V19" s="42"/>
      <c r="W19" s="42"/>
      <c r="X19" s="42"/>
      <c r="Y19" s="42"/>
      <c r="Z19" s="42"/>
      <c r="AA19" s="42"/>
    </row>
    <row r="20" spans="2:27">
      <c r="H20" s="277"/>
      <c r="I20" s="17"/>
      <c r="J20" s="5" t="s">
        <v>599</v>
      </c>
      <c r="L20" s="548">
        <f>'US TELCO'!D48</f>
        <v>0.45003493807243083</v>
      </c>
      <c r="M20" s="548">
        <f>'US TELCO'!E48</f>
        <v>0.60483746568122188</v>
      </c>
      <c r="N20" s="548">
        <f>'US TELCO'!F48</f>
        <v>0.57845282021107813</v>
      </c>
      <c r="O20" s="548">
        <f>'US TELCO'!G48</f>
        <v>0.56108132177383385</v>
      </c>
      <c r="P20" s="18" t="str">
        <f>'US TELCO'!H48</f>
        <v>nm</v>
      </c>
      <c r="S20" s="88"/>
      <c r="T20" s="42"/>
      <c r="U20" s="42"/>
      <c r="V20" s="42"/>
      <c r="W20" s="42"/>
      <c r="X20" s="42"/>
      <c r="Y20" s="42"/>
      <c r="Z20" s="42"/>
      <c r="AA20" s="42"/>
    </row>
    <row r="21" spans="2:27" ht="12.6" thickBot="1">
      <c r="B21" s="306" t="s">
        <v>919</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136835</v>
      </c>
      <c r="D23" s="529">
        <v>133974</v>
      </c>
      <c r="E23" s="529">
        <v>135870.33778871945</v>
      </c>
      <c r="F23" s="529">
        <v>138046.45657918762</v>
      </c>
      <c r="G23" s="529">
        <v>140041.2099628571</v>
      </c>
      <c r="H23" s="279">
        <f t="shared" ref="H23:H33" si="3">IF(D23=0,"nm",IF(G23=0,"nm",(G23/D23)^(1/3)-1))</f>
        <v>1.4873182799269635E-2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478</v>
      </c>
      <c r="C24" s="545">
        <v>47870</v>
      </c>
      <c r="D24" s="529">
        <v>47789</v>
      </c>
      <c r="E24" s="529">
        <v>48832.547434623651</v>
      </c>
      <c r="F24" s="529">
        <v>49281.941271859207</v>
      </c>
      <c r="G24" s="529">
        <v>49663.873976115967</v>
      </c>
      <c r="H24" s="279">
        <f t="shared" si="3"/>
        <v>1.2910057608189529E-2</v>
      </c>
      <c r="I24" s="249"/>
      <c r="J24" s="17"/>
      <c r="K24" s="17"/>
      <c r="L24" s="17"/>
      <c r="M24" s="17"/>
      <c r="N24" s="17"/>
      <c r="O24" s="248"/>
      <c r="S24" s="88"/>
      <c r="T24" s="42"/>
      <c r="U24" s="42"/>
      <c r="V24" s="42"/>
      <c r="W24" s="42" t="s">
        <v>33</v>
      </c>
      <c r="X24" s="42" t="s">
        <v>257</v>
      </c>
      <c r="Y24" s="42"/>
      <c r="Z24" s="42"/>
      <c r="AA24" s="42"/>
    </row>
    <row r="25" spans="2:27">
      <c r="B25" s="5" t="s">
        <v>179</v>
      </c>
      <c r="C25" s="544">
        <v>24783</v>
      </c>
      <c r="D25" s="529">
        <v>29022</v>
      </c>
      <c r="E25" s="529">
        <v>31582.050447463589</v>
      </c>
      <c r="F25" s="529">
        <v>32031.941271859207</v>
      </c>
      <c r="G25" s="529">
        <v>32413.873976115967</v>
      </c>
      <c r="H25" s="279">
        <f t="shared" si="3"/>
        <v>3.7531283809789429E-2</v>
      </c>
      <c r="I25" s="248"/>
      <c r="J25" s="247" t="s">
        <v>10</v>
      </c>
      <c r="K25" s="247"/>
      <c r="L25" s="321">
        <v>0</v>
      </c>
      <c r="M25" s="321">
        <v>0</v>
      </c>
      <c r="N25" s="321">
        <v>0</v>
      </c>
      <c r="O25" s="321">
        <v>0</v>
      </c>
      <c r="P25" s="279" t="str">
        <f>IF(L25=0,"nm",IF(O25=0,"nm",(O25/L25)^(1/3)-1))</f>
        <v>nm</v>
      </c>
      <c r="S25" s="88"/>
      <c r="T25" s="42"/>
      <c r="U25" s="42"/>
      <c r="V25" s="147" t="s">
        <v>268</v>
      </c>
      <c r="W25" s="288">
        <f>D37/L9</f>
        <v>0.86479497190890098</v>
      </c>
      <c r="X25" s="288">
        <v>1</v>
      </c>
      <c r="Y25" s="42"/>
      <c r="Z25" s="42"/>
      <c r="AA25" s="42"/>
    </row>
    <row r="26" spans="2:27">
      <c r="B26" s="5" t="s">
        <v>581</v>
      </c>
      <c r="C26" s="544">
        <v>14054</v>
      </c>
      <c r="D26" s="529">
        <v>18708</v>
      </c>
      <c r="E26" s="529">
        <v>18653.28045478485</v>
      </c>
      <c r="F26" s="529">
        <v>19445.699475945301</v>
      </c>
      <c r="G26" s="529">
        <v>20129.840690233817</v>
      </c>
      <c r="H26" s="279">
        <f t="shared" si="3"/>
        <v>2.4717906870642015E-2</v>
      </c>
      <c r="I26" s="249"/>
      <c r="J26" s="249" t="s">
        <v>11</v>
      </c>
      <c r="K26" s="249"/>
      <c r="L26" s="281">
        <f>D11+L25</f>
        <v>198076.63499999998</v>
      </c>
      <c r="M26" s="281">
        <f>E11+M25</f>
        <v>198100.13999999998</v>
      </c>
      <c r="N26" s="281">
        <f>F11+N25</f>
        <v>198100.13999999998</v>
      </c>
      <c r="O26" s="281">
        <f>G11+O25</f>
        <v>198100.13999999998</v>
      </c>
      <c r="P26" s="279">
        <f>IF(L26=0,"nm",IF(O26=0,"nm",(O26/L26)^(1/3)-1))</f>
        <v>3.9553832807737166E-5</v>
      </c>
      <c r="Q26" s="5"/>
      <c r="S26" s="88"/>
      <c r="T26" s="42"/>
      <c r="U26" s="42"/>
      <c r="V26" s="147" t="s">
        <v>180</v>
      </c>
      <c r="W26" s="288">
        <f t="shared" ref="W26:W33" si="5">D38/L10</f>
        <v>0.87057503434931838</v>
      </c>
      <c r="X26" s="288">
        <v>1</v>
      </c>
      <c r="Y26" s="42"/>
      <c r="Z26" s="42"/>
      <c r="AA26" s="42"/>
    </row>
    <row r="27" spans="2:27">
      <c r="B27" s="5" t="s">
        <v>582</v>
      </c>
      <c r="C27" s="545">
        <v>0</v>
      </c>
      <c r="D27" s="529">
        <v>275567.30772825889</v>
      </c>
      <c r="E27" s="529">
        <v>119465.82954521515</v>
      </c>
      <c r="F27" s="529">
        <v>111523.54006926986</v>
      </c>
      <c r="G27" s="529">
        <v>103107.40937903603</v>
      </c>
      <c r="H27" s="279">
        <f t="shared" si="3"/>
        <v>-0.27941138864136561</v>
      </c>
      <c r="I27" s="249"/>
      <c r="J27" s="248"/>
      <c r="K27" s="248"/>
      <c r="L27" s="248"/>
      <c r="M27" s="248"/>
      <c r="N27" s="248"/>
      <c r="O27" s="248"/>
      <c r="Q27" s="41"/>
      <c r="S27" s="88"/>
      <c r="T27" s="42"/>
      <c r="U27" s="42"/>
      <c r="V27" s="147" t="s">
        <v>181</v>
      </c>
      <c r="W27" s="288">
        <f t="shared" si="5"/>
        <v>0.81183712375347516</v>
      </c>
      <c r="X27" s="288">
        <v>1</v>
      </c>
      <c r="Y27" s="42"/>
      <c r="Z27" s="42"/>
      <c r="AA27" s="42"/>
    </row>
    <row r="28" spans="2:27" ht="12.6" thickBot="1">
      <c r="B28" s="5" t="s">
        <v>587</v>
      </c>
      <c r="C28" s="544">
        <v>0</v>
      </c>
      <c r="D28" s="529">
        <v>91915</v>
      </c>
      <c r="E28" s="529">
        <v>91915</v>
      </c>
      <c r="F28" s="529">
        <v>91915</v>
      </c>
      <c r="G28" s="529">
        <v>91915</v>
      </c>
      <c r="H28" s="279">
        <f t="shared" si="3"/>
        <v>0</v>
      </c>
      <c r="I28" s="248"/>
      <c r="J28" s="306" t="s">
        <v>1352</v>
      </c>
      <c r="K28" s="306"/>
      <c r="L28" s="306"/>
      <c r="M28" s="306"/>
      <c r="N28" s="266"/>
      <c r="O28" s="266"/>
      <c r="P28" s="266"/>
      <c r="Q28" s="5"/>
      <c r="S28" s="88"/>
      <c r="T28" s="42"/>
      <c r="U28" s="42"/>
      <c r="V28" s="147" t="s">
        <v>461</v>
      </c>
      <c r="W28" s="288">
        <f t="shared" si="5"/>
        <v>0.86922325373009568</v>
      </c>
      <c r="X28" s="288">
        <v>1</v>
      </c>
      <c r="Y28" s="42"/>
      <c r="Z28" s="42"/>
      <c r="AA28" s="42"/>
    </row>
    <row r="29" spans="2:27" ht="12.6" thickTop="1">
      <c r="B29" s="5" t="s">
        <v>583</v>
      </c>
      <c r="C29" s="544">
        <v>15773.475894572381</v>
      </c>
      <c r="D29" s="529">
        <v>18722.014769959693</v>
      </c>
      <c r="E29" s="529">
        <v>19744.639522485348</v>
      </c>
      <c r="F29" s="529">
        <v>20032.508730959482</v>
      </c>
      <c r="G29" s="529">
        <v>20650.639049504331</v>
      </c>
      <c r="H29" s="279">
        <f t="shared" si="3"/>
        <v>3.322198227270734E-2</v>
      </c>
      <c r="I29" s="252"/>
      <c r="J29" s="249"/>
      <c r="K29" s="249"/>
      <c r="L29" s="249"/>
      <c r="M29" s="249"/>
      <c r="N29" s="249"/>
      <c r="O29" s="251"/>
      <c r="Q29" s="5"/>
      <c r="S29" s="88"/>
      <c r="T29" s="42"/>
      <c r="U29" s="42"/>
      <c r="V29" s="147" t="s">
        <v>525</v>
      </c>
      <c r="W29" s="288">
        <f t="shared" si="5"/>
        <v>0.81864830638295538</v>
      </c>
      <c r="X29" s="288">
        <v>1</v>
      </c>
      <c r="Y29" s="42"/>
      <c r="Z29" s="42"/>
      <c r="AA29" s="42"/>
    </row>
    <row r="30" spans="2:27">
      <c r="B30" s="5" t="s">
        <v>584</v>
      </c>
      <c r="C30" s="545">
        <v>21761.475894572381</v>
      </c>
      <c r="D30" s="529">
        <v>19865.014769959693</v>
      </c>
      <c r="E30" s="529">
        <v>19365.5230623801</v>
      </c>
      <c r="F30" s="529">
        <v>20119.558621533815</v>
      </c>
      <c r="G30" s="529">
        <v>20766.983951021233</v>
      </c>
      <c r="H30" s="279">
        <f t="shared" si="3"/>
        <v>1.4911511178814063E-2</v>
      </c>
      <c r="I30" s="254"/>
      <c r="J30" s="248"/>
      <c r="K30" s="248"/>
      <c r="L30" s="248"/>
      <c r="M30" s="248"/>
      <c r="N30" s="248"/>
      <c r="O30" s="5"/>
      <c r="Q30" s="5"/>
      <c r="S30" s="88"/>
      <c r="T30" s="42"/>
      <c r="U30" s="42"/>
      <c r="V30" s="147" t="s">
        <v>588</v>
      </c>
      <c r="W30" s="288">
        <f t="shared" si="5"/>
        <v>0.98157134624729458</v>
      </c>
      <c r="X30" s="288">
        <v>1</v>
      </c>
      <c r="Y30" s="42"/>
      <c r="Z30" s="42"/>
      <c r="AA30" s="42"/>
    </row>
    <row r="31" spans="2:27">
      <c r="B31" s="5" t="s">
        <v>585</v>
      </c>
      <c r="C31" s="545">
        <v>10805</v>
      </c>
      <c r="D31" s="529">
        <v>11025</v>
      </c>
      <c r="E31" s="529">
        <v>11293.11</v>
      </c>
      <c r="F31" s="529">
        <v>11503.409999999998</v>
      </c>
      <c r="G31" s="529">
        <v>11713.709999999997</v>
      </c>
      <c r="H31" s="279">
        <f t="shared" si="3"/>
        <v>2.0403539933700809E-2</v>
      </c>
      <c r="I31" s="254"/>
      <c r="J31" s="252"/>
      <c r="K31" s="252"/>
      <c r="L31" s="252"/>
      <c r="M31" s="252"/>
      <c r="N31" s="252"/>
      <c r="O31" s="5"/>
      <c r="Q31" s="5"/>
      <c r="S31" s="88"/>
      <c r="T31" s="42"/>
      <c r="U31" s="42"/>
      <c r="V31" s="147" t="s">
        <v>470</v>
      </c>
      <c r="W31" s="288">
        <f t="shared" si="5"/>
        <v>0.79166684298411871</v>
      </c>
      <c r="X31" s="288">
        <v>1</v>
      </c>
      <c r="Y31" s="42"/>
      <c r="Z31" s="42"/>
      <c r="AA31" s="42"/>
    </row>
    <row r="32" spans="2:27">
      <c r="B32" s="5" t="s">
        <v>601</v>
      </c>
      <c r="C32" s="546">
        <v>0</v>
      </c>
      <c r="D32" s="529">
        <v>0</v>
      </c>
      <c r="E32" s="529">
        <v>0</v>
      </c>
      <c r="F32" s="529">
        <v>0</v>
      </c>
      <c r="G32" s="529">
        <v>0</v>
      </c>
      <c r="H32" s="279" t="str">
        <f t="shared" si="3"/>
        <v>nm</v>
      </c>
      <c r="I32" s="254"/>
      <c r="J32" s="254"/>
      <c r="K32" s="254"/>
      <c r="L32" s="254"/>
      <c r="M32" s="254"/>
      <c r="N32" s="254"/>
      <c r="O32" s="251"/>
      <c r="Q32" s="5"/>
      <c r="S32" s="88"/>
      <c r="T32" s="42"/>
      <c r="U32" s="42"/>
      <c r="V32" s="147" t="s">
        <v>528</v>
      </c>
      <c r="W32" s="288">
        <f t="shared" si="5"/>
        <v>0.7731870318728935</v>
      </c>
      <c r="X32" s="288">
        <v>1</v>
      </c>
      <c r="Y32" s="42"/>
      <c r="Z32" s="42"/>
      <c r="AA32" s="42"/>
    </row>
    <row r="33" spans="2:27">
      <c r="B33" s="5" t="s">
        <v>5</v>
      </c>
      <c r="C33" s="545">
        <v>3613</v>
      </c>
      <c r="D33" s="529">
        <v>5524</v>
      </c>
      <c r="E33" s="529">
        <v>6460.9048194658399</v>
      </c>
      <c r="F33" s="529">
        <v>5794.2530164401214</v>
      </c>
      <c r="G33" s="529">
        <v>5316.6060000000007</v>
      </c>
      <c r="H33" s="279">
        <f t="shared" si="3"/>
        <v>-1.2674692745764493E-2</v>
      </c>
      <c r="I33" s="5"/>
      <c r="J33" s="254"/>
      <c r="K33" s="254"/>
      <c r="L33" s="254"/>
      <c r="M33" s="254"/>
      <c r="N33" s="254"/>
      <c r="O33" s="251"/>
      <c r="Q33" s="5"/>
      <c r="S33" s="88"/>
      <c r="T33" s="42"/>
      <c r="U33" s="42"/>
      <c r="V33" s="147" t="s">
        <v>575</v>
      </c>
      <c r="W33" s="288">
        <f t="shared" si="5"/>
        <v>1.6528647871068982</v>
      </c>
      <c r="X33" s="288">
        <v>1</v>
      </c>
      <c r="Y33" s="42"/>
      <c r="Z33" s="42"/>
      <c r="AA33" s="42"/>
    </row>
    <row r="34" spans="2:27">
      <c r="D34" s="5"/>
      <c r="E34" s="5"/>
      <c r="F34" s="5"/>
      <c r="G34" s="5"/>
      <c r="I34" s="49"/>
      <c r="J34" s="254"/>
      <c r="K34" s="254"/>
      <c r="L34" s="254"/>
      <c r="M34" s="254"/>
      <c r="N34" s="254"/>
      <c r="O34" s="251"/>
      <c r="Q34" s="5"/>
      <c r="S34" s="88"/>
      <c r="T34" s="42"/>
      <c r="U34" s="42"/>
      <c r="V34" s="147" t="s">
        <v>576</v>
      </c>
      <c r="W34" s="288">
        <f>D47/L19</f>
        <v>1.2631576134104441</v>
      </c>
      <c r="X34" s="288">
        <v>1</v>
      </c>
      <c r="Y34" s="288"/>
      <c r="Z34" s="288"/>
      <c r="AA34" s="42"/>
    </row>
    <row r="35" spans="2:27" ht="12.6" thickBot="1">
      <c r="B35" s="306" t="s">
        <v>645</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83"/>
      <c r="E36" s="283"/>
      <c r="F36" s="283"/>
      <c r="G36" s="283"/>
      <c r="H36" s="283"/>
      <c r="I36" s="17"/>
      <c r="J36" s="49"/>
      <c r="K36" s="49"/>
      <c r="L36" s="49"/>
      <c r="M36" s="49"/>
      <c r="N36" s="49"/>
      <c r="O36" s="49"/>
      <c r="Q36" s="5"/>
      <c r="S36" s="88"/>
      <c r="T36" s="42"/>
      <c r="U36" s="42"/>
      <c r="V36" s="42"/>
      <c r="W36" s="42"/>
      <c r="X36" s="42"/>
      <c r="Y36" s="288"/>
      <c r="Z36" s="288"/>
      <c r="AA36" s="42"/>
    </row>
    <row r="37" spans="2:27">
      <c r="B37" s="5" t="s">
        <v>268</v>
      </c>
      <c r="C37" s="247"/>
      <c r="D37" s="525">
        <f>D$18/D23</f>
        <v>2.3322557735082929</v>
      </c>
      <c r="E37" s="525">
        <f t="shared" ref="E37:G41" si="7">E$18/E23</f>
        <v>2.1657696914156506</v>
      </c>
      <c r="F37" s="525">
        <f t="shared" si="7"/>
        <v>1.9907657674040029</v>
      </c>
      <c r="G37" s="525">
        <f t="shared" si="7"/>
        <v>1.8186669441558423</v>
      </c>
      <c r="H37" s="17">
        <f t="shared" ref="H37:H45" si="8">H23</f>
        <v>1.4873182799269635E-2</v>
      </c>
      <c r="I37" s="5"/>
      <c r="J37" s="259"/>
      <c r="K37" s="259"/>
      <c r="L37" s="259"/>
      <c r="M37" s="259"/>
      <c r="N37" s="259"/>
      <c r="O37" s="18"/>
      <c r="Q37" s="5"/>
      <c r="R37" s="5"/>
      <c r="S37" s="42"/>
      <c r="T37" s="42"/>
      <c r="U37" s="42"/>
      <c r="V37" s="42"/>
      <c r="W37" s="42"/>
      <c r="X37" s="42"/>
      <c r="Y37" s="42"/>
      <c r="Z37" s="42"/>
      <c r="AA37" s="42"/>
    </row>
    <row r="38" spans="2:27">
      <c r="B38" s="5" t="s">
        <v>180</v>
      </c>
      <c r="C38" s="247"/>
      <c r="D38" s="525">
        <f>D$18/D24</f>
        <v>6.5383589319717927</v>
      </c>
      <c r="E38" s="525">
        <f t="shared" si="7"/>
        <v>6.0259780618484342</v>
      </c>
      <c r="F38" s="525">
        <f t="shared" si="7"/>
        <v>5.5764475379178187</v>
      </c>
      <c r="G38" s="525">
        <f t="shared" si="7"/>
        <v>5.1282410933452169</v>
      </c>
      <c r="H38" s="17">
        <f t="shared" si="8"/>
        <v>1.2910057608189529E-2</v>
      </c>
      <c r="I38" s="259"/>
      <c r="J38" s="17"/>
      <c r="K38" s="17"/>
      <c r="L38" s="17"/>
      <c r="M38" s="17"/>
      <c r="N38" s="17"/>
      <c r="O38" s="5"/>
      <c r="Q38" s="5"/>
      <c r="R38" s="5"/>
      <c r="S38" s="42"/>
      <c r="T38" s="42"/>
      <c r="U38" s="42"/>
      <c r="V38" s="42"/>
      <c r="W38" s="42"/>
      <c r="X38" s="42"/>
      <c r="Y38" s="42"/>
      <c r="Z38" s="42"/>
      <c r="AA38" s="42"/>
    </row>
    <row r="39" spans="2:27">
      <c r="B39" s="5" t="s">
        <v>181</v>
      </c>
      <c r="C39" s="247"/>
      <c r="D39" s="525">
        <f>D$18/D25</f>
        <v>10.766371545723933</v>
      </c>
      <c r="E39" s="525">
        <f t="shared" si="7"/>
        <v>9.3174399817617921</v>
      </c>
      <c r="F39" s="525">
        <f t="shared" si="7"/>
        <v>8.5795037439926833</v>
      </c>
      <c r="G39" s="525">
        <f t="shared" si="7"/>
        <v>7.857385993624276</v>
      </c>
      <c r="H39" s="17">
        <f t="shared" si="8"/>
        <v>3.7531283809789429E-2</v>
      </c>
      <c r="I39" s="17"/>
      <c r="J39" s="5"/>
      <c r="K39" s="5"/>
      <c r="L39" s="5"/>
      <c r="M39" s="5"/>
      <c r="N39" s="5"/>
      <c r="O39" s="5"/>
      <c r="Q39" s="5"/>
      <c r="R39" s="5"/>
      <c r="S39" s="42"/>
      <c r="T39" s="42"/>
      <c r="U39" s="42"/>
      <c r="V39" s="42"/>
      <c r="W39" s="42"/>
      <c r="X39" s="42"/>
      <c r="Y39" s="42"/>
      <c r="Z39" s="42"/>
      <c r="AA39" s="42"/>
    </row>
    <row r="40" spans="2:27">
      <c r="B40" s="5" t="s">
        <v>461</v>
      </c>
      <c r="C40" s="247"/>
      <c r="D40" s="525">
        <f>D$18/D26</f>
        <v>16.70203308744922</v>
      </c>
      <c r="E40" s="525">
        <f t="shared" si="7"/>
        <v>15.775448198428389</v>
      </c>
      <c r="F40" s="525">
        <f t="shared" si="7"/>
        <v>14.132593194152008</v>
      </c>
      <c r="G40" s="525">
        <f t="shared" si="7"/>
        <v>12.652276950338731</v>
      </c>
      <c r="H40" s="17">
        <f t="shared" si="8"/>
        <v>2.4717906870642015E-2</v>
      </c>
      <c r="I40" s="5"/>
      <c r="J40" s="259"/>
      <c r="K40" s="259"/>
      <c r="L40" s="259"/>
      <c r="M40" s="259"/>
      <c r="N40" s="259"/>
      <c r="O40" s="18"/>
      <c r="Q40" s="5"/>
      <c r="R40" s="5"/>
      <c r="S40" s="42"/>
      <c r="T40" s="42"/>
      <c r="U40" s="42"/>
      <c r="V40" s="42"/>
      <c r="W40" s="288"/>
      <c r="X40" s="288"/>
      <c r="Y40" s="42"/>
      <c r="Z40" s="42"/>
      <c r="AA40" s="42"/>
    </row>
    <row r="41" spans="2:27">
      <c r="B41" s="5" t="s">
        <v>525</v>
      </c>
      <c r="C41" s="247"/>
      <c r="D41" s="525">
        <f>D$18/D27</f>
        <v>1.1338849937457862</v>
      </c>
      <c r="E41" s="525">
        <f t="shared" si="7"/>
        <v>2.4631634055145688</v>
      </c>
      <c r="F41" s="525">
        <f t="shared" si="7"/>
        <v>2.4642166120136957</v>
      </c>
      <c r="G41" s="525">
        <f t="shared" si="7"/>
        <v>2.4701262587518724</v>
      </c>
      <c r="H41" s="17">
        <f t="shared" si="8"/>
        <v>-0.27941138864136561</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3.3994629277049451</v>
      </c>
      <c r="E42" s="525">
        <f>E18/E28</f>
        <v>3.2014780998228272</v>
      </c>
      <c r="F42" s="525">
        <f>F18/F28</f>
        <v>2.9899163364986108</v>
      </c>
      <c r="G42" s="525">
        <f>G18/G28</f>
        <v>2.7709113787633797</v>
      </c>
      <c r="H42" s="17">
        <f t="shared" si="8"/>
        <v>0</v>
      </c>
      <c r="I42" s="248"/>
      <c r="J42" s="5"/>
      <c r="K42" s="5"/>
      <c r="L42" s="5"/>
      <c r="M42" s="5"/>
      <c r="N42" s="5"/>
      <c r="O42" s="5"/>
      <c r="Q42" s="5"/>
      <c r="R42" s="5"/>
      <c r="S42" s="42"/>
      <c r="T42" s="42"/>
      <c r="U42" s="42"/>
      <c r="V42" s="42"/>
      <c r="W42" s="288"/>
      <c r="X42" s="288"/>
      <c r="Y42" s="288"/>
      <c r="Z42" s="288"/>
      <c r="AA42" s="42"/>
    </row>
    <row r="43" spans="2:27">
      <c r="B43" s="5" t="s">
        <v>470</v>
      </c>
      <c r="C43" s="247"/>
      <c r="D43" s="525">
        <f>L26/D29</f>
        <v>10.579878150604964</v>
      </c>
      <c r="E43" s="525">
        <f>M26/E29</f>
        <v>10.033109987873013</v>
      </c>
      <c r="F43" s="525">
        <f>N26/F29</f>
        <v>9.8889331666105171</v>
      </c>
      <c r="G43" s="525">
        <f>O26/G29</f>
        <v>9.5929302490401582</v>
      </c>
      <c r="H43" s="17">
        <f t="shared" si="8"/>
        <v>3.322198227270734E-2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9.971129510537077</v>
      </c>
      <c r="E44" s="525">
        <f>E11/E30</f>
        <v>10.229526946516295</v>
      </c>
      <c r="F44" s="525">
        <f>F11/F30</f>
        <v>9.8461474094155754</v>
      </c>
      <c r="G44" s="525">
        <f>G11/G30</f>
        <v>9.5391868394186456</v>
      </c>
      <c r="H44" s="17">
        <f t="shared" si="8"/>
        <v>1.4911511178814063E-2</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5.5660275125332177E-2</v>
      </c>
      <c r="E45" s="248">
        <f>E31/E11</f>
        <v>5.7007077329677816E-2</v>
      </c>
      <c r="F45" s="248">
        <f>F31/F11</f>
        <v>5.8068661637493031E-2</v>
      </c>
      <c r="G45" s="248">
        <f>G31/G11</f>
        <v>5.913024594530826E-2</v>
      </c>
      <c r="H45" s="17">
        <f t="shared" si="8"/>
        <v>2.0403539933700809E-2</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5.5660275125332177E-2</v>
      </c>
      <c r="E46" s="248">
        <f>(E31+E32)/E11</f>
        <v>5.7007077329677816E-2</v>
      </c>
      <c r="F46" s="248">
        <f>(F31+F32)/F11</f>
        <v>5.8068661637493031E-2</v>
      </c>
      <c r="G46" s="248">
        <f>(G31+G32)/G11</f>
        <v>5.913024594530826E-2</v>
      </c>
      <c r="H46" s="279">
        <f>((G31+G32)/(D31+D32))^(1/3)-1</f>
        <v>2.0403539933700809E-2</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9.4519046983808544E-2</v>
      </c>
      <c r="E47" s="248">
        <f>1/E43</f>
        <v>9.9669992774792326E-2</v>
      </c>
      <c r="F47" s="248">
        <f>1/F43</f>
        <v>0.10112314272448007</v>
      </c>
      <c r="G47" s="248">
        <f>1/G43</f>
        <v>0.10424343490875035</v>
      </c>
      <c r="H47" s="17">
        <f>H29</f>
        <v>3.322198227270734E-2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0.58887892865516289</v>
      </c>
      <c r="E48" s="305">
        <f>E31/E29</f>
        <v>0.57195827693583967</v>
      </c>
      <c r="F48" s="305">
        <f>F31/F29</f>
        <v>0.57423711400768862</v>
      </c>
      <c r="G48" s="305">
        <f>G31/G29</f>
        <v>0.56723232496193177</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37">
    <pageSetUpPr fitToPage="1"/>
  </sheetPr>
  <dimension ref="B1:AR165"/>
  <sheetViews>
    <sheetView showGridLines="0" zoomScale="80" zoomScaleNormal="80" workbookViewId="0">
      <selection activeCell="AN51" sqref="AN51"/>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227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266</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146</v>
      </c>
      <c r="C9" s="285">
        <f>Prices!C94</f>
        <v>2330</v>
      </c>
      <c r="D9" s="531">
        <v>0</v>
      </c>
      <c r="E9" s="532">
        <v>0</v>
      </c>
      <c r="F9" s="532">
        <v>0</v>
      </c>
      <c r="G9" s="532">
        <v>0</v>
      </c>
      <c r="H9" s="249"/>
      <c r="I9" s="249"/>
      <c r="J9" s="5" t="s">
        <v>268</v>
      </c>
      <c r="L9" s="525">
        <f>'AGG ASIA CELLULAR'!D37</f>
        <v>2.1528232037771349</v>
      </c>
      <c r="M9" s="525">
        <f>'AGG ASIA CELLULAR'!E37</f>
        <v>2.0259285446531869</v>
      </c>
      <c r="N9" s="525">
        <f>'AGG ASIA CELLULAR'!F37</f>
        <v>1.7973681353247857</v>
      </c>
      <c r="O9" s="525">
        <f>'AGG ASIA CELLULAR'!G37</f>
        <v>1.5836702779450833</v>
      </c>
      <c r="P9" s="286">
        <f>'AGG ASIA CELLULAR'!H37</f>
        <v>4.8440860425680521E-2</v>
      </c>
      <c r="S9" s="88"/>
      <c r="T9" s="42"/>
      <c r="U9" s="42"/>
      <c r="V9" s="42"/>
      <c r="W9" s="42"/>
      <c r="X9" s="42"/>
      <c r="Y9" s="42"/>
      <c r="Z9" s="42"/>
      <c r="AA9" s="42"/>
    </row>
    <row r="10" spans="2:44">
      <c r="B10" s="5" t="s">
        <v>269</v>
      </c>
      <c r="C10" s="5"/>
      <c r="D10" s="527">
        <v>13.128430665</v>
      </c>
      <c r="E10" s="527">
        <v>13.128430665</v>
      </c>
      <c r="F10" s="527">
        <v>13.128430665</v>
      </c>
      <c r="G10" s="527">
        <v>13.128430665</v>
      </c>
      <c r="H10" s="247"/>
      <c r="I10" s="247"/>
      <c r="J10" s="5" t="s">
        <v>180</v>
      </c>
      <c r="L10" s="525">
        <f>'AGG ASIA CELLULAR'!D38</f>
        <v>6.5971631477796224</v>
      </c>
      <c r="M10" s="525">
        <f>'AGG ASIA CELLULAR'!E38</f>
        <v>6.1671369521401216</v>
      </c>
      <c r="N10" s="525">
        <f>'AGG ASIA CELLULAR'!F38</f>
        <v>5.426241032334616</v>
      </c>
      <c r="O10" s="525">
        <f>'AGG ASIA CELLULAR'!G38</f>
        <v>4.7342907723038445</v>
      </c>
      <c r="P10" s="286">
        <f>'AGG ASIA CELLULAR'!H38</f>
        <v>5.7134314823267696E-2</v>
      </c>
      <c r="S10" s="88"/>
      <c r="T10" s="42"/>
      <c r="U10" s="42"/>
      <c r="V10" s="42"/>
      <c r="W10" s="288"/>
      <c r="X10" s="288"/>
      <c r="Y10" s="288"/>
      <c r="Z10" s="288"/>
      <c r="AA10" s="42"/>
    </row>
    <row r="11" spans="2:44">
      <c r="B11" s="41" t="s">
        <v>870</v>
      </c>
      <c r="C11" s="5"/>
      <c r="D11" s="528">
        <f>$C$9*D10</f>
        <v>30589.243449450001</v>
      </c>
      <c r="E11" s="528">
        <f>$C$9*E10</f>
        <v>30589.243449450001</v>
      </c>
      <c r="F11" s="528">
        <f>$C$9*F10</f>
        <v>30589.243449450001</v>
      </c>
      <c r="G11" s="528">
        <f>$C$9*G10</f>
        <v>30589.243449450001</v>
      </c>
      <c r="H11" s="249"/>
      <c r="I11" s="249"/>
      <c r="J11" s="5" t="s">
        <v>181</v>
      </c>
      <c r="L11" s="525">
        <f>'AGG ASIA CELLULAR'!D39</f>
        <v>12.71447069667291</v>
      </c>
      <c r="M11" s="525">
        <f>'AGG ASIA CELLULAR'!E39</f>
        <v>11.09316619048893</v>
      </c>
      <c r="N11" s="525">
        <f>'AGG ASIA CELLULAR'!F39</f>
        <v>9.313579518697237</v>
      </c>
      <c r="O11" s="525">
        <f>'AGG ASIA CELLULAR'!G39</f>
        <v>7.8459665363870101</v>
      </c>
      <c r="P11" s="286">
        <f>'AGG ASIA CELLULAR'!H39</f>
        <v>0.11168057272527809</v>
      </c>
      <c r="S11" s="88"/>
      <c r="T11" s="42"/>
      <c r="U11" s="42"/>
      <c r="V11" s="42"/>
      <c r="W11" s="288"/>
      <c r="X11" s="288"/>
      <c r="Y11" s="288"/>
      <c r="Z11" s="288"/>
      <c r="AA11" s="42"/>
    </row>
    <row r="12" spans="2:44">
      <c r="B12" s="5" t="s">
        <v>24</v>
      </c>
      <c r="C12" s="249"/>
      <c r="D12" s="529">
        <v>44952.006999999998</v>
      </c>
      <c r="E12" s="529">
        <v>39502.918638989329</v>
      </c>
      <c r="F12" s="529">
        <v>33398.532080562713</v>
      </c>
      <c r="G12" s="529">
        <v>26842.561713915304</v>
      </c>
      <c r="H12" s="247"/>
      <c r="I12" s="247"/>
      <c r="J12" s="5" t="s">
        <v>461</v>
      </c>
      <c r="L12" s="525">
        <f>'AGG ASIA CELLULAR'!D40</f>
        <v>16.554440936368788</v>
      </c>
      <c r="M12" s="525">
        <f>'AGG ASIA CELLULAR'!E40</f>
        <v>14.641117401656192</v>
      </c>
      <c r="N12" s="525">
        <f>'AGG ASIA CELLULAR'!F40</f>
        <v>12.331748780606805</v>
      </c>
      <c r="O12" s="525">
        <f>'AGG ASIA CELLULAR'!G40</f>
        <v>10.412155317237897</v>
      </c>
      <c r="P12" s="286">
        <f>'AGG ASIA CELLULAR'!H40</f>
        <v>0.10463983008037903</v>
      </c>
      <c r="S12" s="88"/>
      <c r="T12" s="42"/>
      <c r="U12" s="42"/>
      <c r="V12" s="42"/>
      <c r="W12" s="288"/>
      <c r="X12" s="288"/>
      <c r="Y12" s="288"/>
      <c r="Z12" s="288"/>
      <c r="AA12" s="42"/>
    </row>
    <row r="13" spans="2:44">
      <c r="B13" s="5" t="s">
        <v>524</v>
      </c>
      <c r="C13" s="257"/>
      <c r="D13" s="529">
        <v>0</v>
      </c>
      <c r="E13" s="529">
        <v>0</v>
      </c>
      <c r="F13" s="529">
        <v>0</v>
      </c>
      <c r="G13" s="529">
        <v>0</v>
      </c>
      <c r="H13" s="247"/>
      <c r="I13" s="247"/>
      <c r="J13" s="5" t="s">
        <v>525</v>
      </c>
      <c r="L13" s="525">
        <f>'AGG ASIA CELLULAR'!D41</f>
        <v>1.4828733908908514</v>
      </c>
      <c r="M13" s="525">
        <f>'AGG ASIA CELLULAR'!E41</f>
        <v>1.4828888604579176</v>
      </c>
      <c r="N13" s="525">
        <f>'AGG ASIA CELLULAR'!F41</f>
        <v>1.4113178494942764</v>
      </c>
      <c r="O13" s="525">
        <f>'AGG ASIA CELLULAR'!G41</f>
        <v>1.3297180226461032</v>
      </c>
      <c r="P13" s="286">
        <f>'AGG ASIA CELLULAR'!H41</f>
        <v>-1.8528761652592207E-2</v>
      </c>
      <c r="S13" s="88"/>
      <c r="T13" s="42"/>
      <c r="U13" s="42"/>
      <c r="V13" s="42"/>
      <c r="W13" s="42"/>
      <c r="X13" s="42"/>
      <c r="Y13" s="42"/>
      <c r="Z13" s="42"/>
      <c r="AA13" s="42"/>
    </row>
    <row r="14" spans="2:44">
      <c r="B14" s="5" t="s">
        <v>527</v>
      </c>
      <c r="C14" s="257"/>
      <c r="D14" s="529">
        <v>0</v>
      </c>
      <c r="E14" s="529">
        <f t="shared" ref="E14:G15" si="2">D14</f>
        <v>0</v>
      </c>
      <c r="F14" s="529">
        <f t="shared" si="2"/>
        <v>0</v>
      </c>
      <c r="G14" s="529">
        <f t="shared" si="2"/>
        <v>0</v>
      </c>
      <c r="H14" s="249"/>
      <c r="I14" s="247"/>
      <c r="J14" s="5" t="s">
        <v>588</v>
      </c>
      <c r="L14" s="525">
        <f>'AGG ASIA CELLULAR'!D42</f>
        <v>3.0425565782059985</v>
      </c>
      <c r="M14" s="525">
        <f>'AGG ASIA CELLULAR'!E42</f>
        <v>2.9683504205623694</v>
      </c>
      <c r="N14" s="525">
        <f>'AGG ASIA CELLULAR'!F42</f>
        <v>2.7517080061423012</v>
      </c>
      <c r="O14" s="525">
        <f>'AGG ASIA CELLULAR'!G42</f>
        <v>2.5304965947271518</v>
      </c>
      <c r="P14" s="286">
        <f>'AGG ASIA CELLULAR'!H42</f>
        <v>6.4071344718414913E-3</v>
      </c>
      <c r="S14" s="88"/>
      <c r="T14" s="42"/>
      <c r="U14" s="42"/>
      <c r="V14" s="42"/>
      <c r="W14" s="42"/>
      <c r="X14" s="42"/>
      <c r="Y14" s="42"/>
      <c r="Z14" s="42"/>
      <c r="AA14" s="42"/>
    </row>
    <row r="15" spans="2:44">
      <c r="B15" s="5" t="s">
        <v>526</v>
      </c>
      <c r="C15" s="274"/>
      <c r="D15" s="529">
        <v>0</v>
      </c>
      <c r="E15" s="529">
        <f t="shared" si="2"/>
        <v>0</v>
      </c>
      <c r="F15" s="529">
        <f t="shared" si="2"/>
        <v>0</v>
      </c>
      <c r="G15" s="529">
        <f t="shared" si="2"/>
        <v>0</v>
      </c>
      <c r="H15" s="249"/>
      <c r="I15" s="247"/>
      <c r="J15" s="5" t="s">
        <v>470</v>
      </c>
      <c r="L15" s="525">
        <f>'AGG ASIA CELLULAR'!D43</f>
        <v>19.686221366850614</v>
      </c>
      <c r="M15" s="525">
        <f>'AGG ASIA CELLULAR'!E43</f>
        <v>16.014066999630888</v>
      </c>
      <c r="N15" s="525">
        <f>'AGG ASIA CELLULAR'!F43</f>
        <v>13.483560833528093</v>
      </c>
      <c r="O15" s="525">
        <f>'AGG ASIA CELLULAR'!G43</f>
        <v>11.678988724588283</v>
      </c>
      <c r="P15" s="286">
        <f>'AGG ASIA CELLULAR'!H43</f>
        <v>0.18726558349580835</v>
      </c>
      <c r="S15" s="88"/>
      <c r="T15" s="42"/>
      <c r="U15" s="42"/>
      <c r="V15" s="42"/>
      <c r="W15" s="42"/>
      <c r="X15" s="42"/>
      <c r="Y15" s="42"/>
      <c r="Z15" s="42"/>
      <c r="AA15" s="42"/>
    </row>
    <row r="16" spans="2:44">
      <c r="B16" s="5" t="s">
        <v>529</v>
      </c>
      <c r="C16" s="257"/>
      <c r="D16" s="529">
        <v>0</v>
      </c>
      <c r="E16" s="529">
        <v>0</v>
      </c>
      <c r="F16" s="529">
        <v>1059.603721449555</v>
      </c>
      <c r="G16" s="529">
        <v>2382.1942332962126</v>
      </c>
      <c r="H16" s="247"/>
      <c r="I16" s="247"/>
      <c r="J16" s="5" t="s">
        <v>528</v>
      </c>
      <c r="L16" s="525">
        <f>'AGG ASIA CELLULAR'!D44</f>
        <v>21.397426774947157</v>
      </c>
      <c r="M16" s="525">
        <f>'AGG ASIA CELLULAR'!E44</f>
        <v>17.676092440425204</v>
      </c>
      <c r="N16" s="525">
        <f>'AGG ASIA CELLULAR'!F44</f>
        <v>15.240571861387796</v>
      </c>
      <c r="O16" s="525">
        <f>'AGG ASIA CELLULAR'!G44</f>
        <v>13.480241217588816</v>
      </c>
      <c r="P16" s="286">
        <f>'AGG ASIA CELLULAR'!H44</f>
        <v>0.16409520042823833</v>
      </c>
      <c r="S16" s="88"/>
      <c r="T16" s="42"/>
      <c r="U16" s="42"/>
      <c r="V16" s="42"/>
      <c r="W16" s="42"/>
      <c r="X16" s="42"/>
      <c r="Y16" s="42"/>
      <c r="Z16" s="42"/>
      <c r="AA16" s="42"/>
    </row>
    <row r="17" spans="2:27">
      <c r="B17" s="5" t="s">
        <v>6</v>
      </c>
      <c r="C17" s="257"/>
      <c r="D17" s="529">
        <v>0</v>
      </c>
      <c r="E17" s="529">
        <v>0</v>
      </c>
      <c r="F17" s="529">
        <v>0</v>
      </c>
      <c r="G17" s="529">
        <v>0</v>
      </c>
      <c r="H17" s="247"/>
      <c r="I17" s="247"/>
      <c r="J17" s="5" t="s">
        <v>575</v>
      </c>
      <c r="L17" s="248">
        <f>'AGG ASIA CELLULAR'!D45</f>
        <v>3.9436001622009949E-2</v>
      </c>
      <c r="M17" s="248">
        <f>'AGG ASIA CELLULAR'!E45</f>
        <v>4.3593393058855859E-2</v>
      </c>
      <c r="N17" s="248">
        <f>'AGG ASIA CELLULAR'!F45</f>
        <v>4.8611225969878401E-2</v>
      </c>
      <c r="O17" s="248">
        <f>'AGG ASIA CELLULAR'!G45</f>
        <v>5.5286344105998711E-2</v>
      </c>
      <c r="P17" s="286">
        <f>'AGG ASIA CELLULAR'!H45</f>
        <v>0.11688605650684725</v>
      </c>
      <c r="S17" s="88"/>
      <c r="T17" s="42"/>
      <c r="U17" s="42"/>
      <c r="V17" s="42"/>
      <c r="W17" s="42"/>
      <c r="X17" s="42"/>
      <c r="Y17" s="42"/>
      <c r="Z17" s="42"/>
      <c r="AA17" s="42"/>
    </row>
    <row r="18" spans="2:27" ht="12.6" thickBot="1">
      <c r="B18" s="41" t="s">
        <v>578</v>
      </c>
      <c r="C18" s="249"/>
      <c r="D18" s="530">
        <f>D11+D12+D13-D14+D15-D16-D17</f>
        <v>75541.250449450003</v>
      </c>
      <c r="E18" s="530">
        <f>E11+E12+E13-E14+E15-E16-E17</f>
        <v>70092.162088439334</v>
      </c>
      <c r="F18" s="530">
        <f>F11+F12+F13-F14+F15-F16-F17</f>
        <v>62928.171808563166</v>
      </c>
      <c r="G18" s="530">
        <f>G11+G12+G13-G14+G15-G16-G17</f>
        <v>55049.610930069095</v>
      </c>
      <c r="H18" s="276">
        <f>IF(D18=0,"nm",IF(G18=0,"nm",(G18/D18)^(1/3)-1))</f>
        <v>-0.10010875185236612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576</v>
      </c>
      <c r="L19" s="248">
        <f>'AGG ASIA CELLULAR'!D47</f>
        <v>5.0796949874996715E-2</v>
      </c>
      <c r="M19" s="248">
        <f>'AGG ASIA CELLULAR'!E47</f>
        <v>6.2445099050918745E-2</v>
      </c>
      <c r="N19" s="248">
        <f>'AGG ASIA CELLULAR'!F47</f>
        <v>7.4164385235197625E-2</v>
      </c>
      <c r="O19" s="248">
        <f>'AGG ASIA CELLULAR'!G47</f>
        <v>8.5623851823288133E-2</v>
      </c>
      <c r="P19" s="286">
        <f>'AGG ASIA CELLULAR'!H47</f>
        <v>0.18726558349580835</v>
      </c>
      <c r="S19" s="88"/>
      <c r="T19" s="42"/>
      <c r="U19" s="42"/>
      <c r="V19" s="42"/>
      <c r="W19" s="42"/>
      <c r="X19" s="42"/>
      <c r="Y19" s="42"/>
      <c r="Z19" s="42"/>
      <c r="AA19" s="42"/>
    </row>
    <row r="20" spans="2:27">
      <c r="H20" s="277"/>
      <c r="I20" s="17"/>
      <c r="J20" s="5" t="s">
        <v>599</v>
      </c>
      <c r="L20" s="305">
        <f>'AGG ASIA CELLULAR'!D48</f>
        <v>0.89936152592238483</v>
      </c>
      <c r="M20" s="305">
        <f>'AGG ASIA CELLULAR'!E48</f>
        <v>0.80859311882658458</v>
      </c>
      <c r="N20" s="305">
        <f>'AGG ASIA CELLULAR'!F48</f>
        <v>0.75967032022155045</v>
      </c>
      <c r="O20" s="305">
        <f>'AGG ASIA CELLULAR'!G48</f>
        <v>0.7487162796420388</v>
      </c>
      <c r="P20" s="286" t="str">
        <f>'AGG ASIA CELLULAR'!H48</f>
        <v>nm</v>
      </c>
      <c r="S20" s="88"/>
      <c r="T20" s="42"/>
      <c r="U20" s="42"/>
      <c r="V20" s="42"/>
      <c r="W20" s="42"/>
      <c r="X20" s="42"/>
      <c r="Y20" s="42"/>
      <c r="Z20" s="42"/>
      <c r="AA20" s="42"/>
    </row>
    <row r="21" spans="2:27" ht="12.6" thickBot="1">
      <c r="B21" s="306" t="s">
        <v>931</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579</v>
      </c>
      <c r="C23" s="544">
        <v>29141.994000000002</v>
      </c>
      <c r="D23" s="536">
        <v>32322.651000000005</v>
      </c>
      <c r="E23" s="536">
        <v>34831.63273179438</v>
      </c>
      <c r="F23" s="536">
        <v>36525.351170781083</v>
      </c>
      <c r="G23" s="536">
        <v>38257.578498786577</v>
      </c>
      <c r="H23" s="279">
        <f t="shared" ref="H23:H33" si="4">IF(D23=0,"nm",IF(G23=0,"nm",(G23/D23)^(1/3)-1))</f>
        <v>5.7799851407760672E-2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478</v>
      </c>
      <c r="C24" s="545">
        <v>14235</v>
      </c>
      <c r="D24" s="536">
        <v>15885</v>
      </c>
      <c r="E24" s="536">
        <v>17673.172614048377</v>
      </c>
      <c r="F24" s="536">
        <v>18569.071356133594</v>
      </c>
      <c r="G24" s="536">
        <v>19487.973523328637</v>
      </c>
      <c r="H24" s="279">
        <f t="shared" si="4"/>
        <v>7.0515978419444014E-2</v>
      </c>
      <c r="I24" s="249"/>
      <c r="J24" s="17"/>
      <c r="K24" s="17"/>
      <c r="L24" s="17"/>
      <c r="M24" s="17"/>
      <c r="N24" s="17"/>
      <c r="O24" s="248"/>
      <c r="S24" s="88"/>
      <c r="T24" s="42"/>
      <c r="U24" s="42"/>
      <c r="V24" s="42"/>
      <c r="W24" s="42" t="s">
        <v>353</v>
      </c>
      <c r="X24" s="42" t="s">
        <v>252</v>
      </c>
      <c r="Y24" s="42"/>
      <c r="Z24" s="42"/>
      <c r="AA24" s="42"/>
    </row>
    <row r="25" spans="2:27">
      <c r="B25" s="5" t="s">
        <v>179</v>
      </c>
      <c r="C25" s="544">
        <v>5172</v>
      </c>
      <c r="D25" s="536">
        <v>8727</v>
      </c>
      <c r="E25" s="536">
        <v>9487.7389220766981</v>
      </c>
      <c r="F25" s="536">
        <v>10350.867342707852</v>
      </c>
      <c r="G25" s="536">
        <v>10880.018361101658</v>
      </c>
      <c r="H25" s="279">
        <f t="shared" si="4"/>
        <v>7.6270782791585834E-2</v>
      </c>
      <c r="I25" s="248"/>
      <c r="J25" s="247" t="s">
        <v>10</v>
      </c>
      <c r="K25" s="247"/>
      <c r="L25" s="321">
        <v>0</v>
      </c>
      <c r="M25" s="321">
        <v>0</v>
      </c>
      <c r="N25" s="321">
        <v>0</v>
      </c>
      <c r="O25" s="321">
        <v>0</v>
      </c>
      <c r="P25" s="279" t="str">
        <f>IF(L25=0,"nm",IF(O25=0,"nm",(O25/L25)^(1/3)-1))</f>
        <v>nm</v>
      </c>
      <c r="S25" s="88"/>
      <c r="T25" s="42"/>
      <c r="U25" s="42"/>
      <c r="V25" s="147" t="s">
        <v>268</v>
      </c>
      <c r="W25" s="288">
        <f>D37/L9</f>
        <v>1.0855974906267247</v>
      </c>
      <c r="X25" s="288">
        <v>1</v>
      </c>
      <c r="Y25" s="42"/>
      <c r="Z25" s="42"/>
      <c r="AA25" s="42"/>
    </row>
    <row r="26" spans="2:27">
      <c r="B26" s="5" t="s">
        <v>581</v>
      </c>
      <c r="C26" s="544">
        <v>3879</v>
      </c>
      <c r="D26" s="536">
        <v>6545.25</v>
      </c>
      <c r="E26" s="536">
        <v>7115.8041915575232</v>
      </c>
      <c r="F26" s="536">
        <v>7763.1505070308885</v>
      </c>
      <c r="G26" s="536">
        <v>8160.0137708262437</v>
      </c>
      <c r="H26" s="279">
        <f t="shared" si="4"/>
        <v>7.6270782791585834E-2</v>
      </c>
      <c r="I26" s="249"/>
      <c r="J26" s="249" t="s">
        <v>11</v>
      </c>
      <c r="K26" s="249"/>
      <c r="L26" s="281">
        <f>D11+L25</f>
        <v>30589.243449450001</v>
      </c>
      <c r="M26" s="281">
        <f>E11+M25</f>
        <v>30589.243449450001</v>
      </c>
      <c r="N26" s="281">
        <f>F11+N25</f>
        <v>30589.243449450001</v>
      </c>
      <c r="O26" s="281">
        <f>G11+O25</f>
        <v>30589.243449450001</v>
      </c>
      <c r="P26" s="279">
        <f>IF(L26=0,"nm",IF(O26=0,"nm",(O26/L26)^(1/3)-1))</f>
        <v>0</v>
      </c>
      <c r="Q26" s="5"/>
      <c r="S26" s="88"/>
      <c r="T26" s="42"/>
      <c r="U26" s="42"/>
      <c r="V26" s="147" t="s">
        <v>180</v>
      </c>
      <c r="W26" s="288">
        <f t="shared" ref="W26:W33" si="6">D38/L10</f>
        <v>0.72084140758242732</v>
      </c>
      <c r="X26" s="288">
        <v>1</v>
      </c>
      <c r="Y26" s="42"/>
      <c r="Z26" s="42"/>
      <c r="AA26" s="42"/>
    </row>
    <row r="27" spans="2:27">
      <c r="B27" s="5" t="s">
        <v>582</v>
      </c>
      <c r="C27" s="545">
        <v>64549.885999999999</v>
      </c>
      <c r="D27" s="536">
        <v>71456.782999999996</v>
      </c>
      <c r="E27" s="536">
        <v>66832.169967294612</v>
      </c>
      <c r="F27" s="536">
        <v>61787.387130317555</v>
      </c>
      <c r="G27" s="536">
        <v>56554.007275516808</v>
      </c>
      <c r="H27" s="279">
        <f t="shared" si="4"/>
        <v>-7.50037451352219E-2</v>
      </c>
      <c r="I27" s="249"/>
      <c r="J27" s="248"/>
      <c r="K27" s="248"/>
      <c r="L27" s="248"/>
      <c r="M27" s="248"/>
      <c r="N27" s="248"/>
      <c r="O27" s="248"/>
      <c r="Q27" s="41"/>
      <c r="S27" s="88"/>
      <c r="T27" s="42"/>
      <c r="U27" s="42"/>
      <c r="V27" s="147" t="s">
        <v>181</v>
      </c>
      <c r="W27" s="288">
        <f t="shared" si="6"/>
        <v>0.68080213391369637</v>
      </c>
      <c r="X27" s="288">
        <v>1</v>
      </c>
      <c r="Y27" s="42"/>
      <c r="Z27" s="42"/>
      <c r="AA27" s="42"/>
    </row>
    <row r="28" spans="2:27" ht="12.6" thickBot="1">
      <c r="B28" s="5" t="s">
        <v>587</v>
      </c>
      <c r="C28" s="544">
        <v>60473.629000000001</v>
      </c>
      <c r="D28" s="536">
        <v>63890.453999999998</v>
      </c>
      <c r="E28" s="536">
        <v>59915.440645840223</v>
      </c>
      <c r="F28" s="536">
        <v>55425.31734557281</v>
      </c>
      <c r="G28" s="536">
        <v>50751.081516624836</v>
      </c>
      <c r="H28" s="279">
        <f t="shared" si="4"/>
        <v>-7.3874641728225221E-2</v>
      </c>
      <c r="I28" s="248"/>
      <c r="J28" s="306" t="s">
        <v>1352</v>
      </c>
      <c r="K28" s="306"/>
      <c r="L28" s="306"/>
      <c r="M28" s="306"/>
      <c r="N28" s="266"/>
      <c r="O28" s="266"/>
      <c r="P28" s="266"/>
      <c r="Q28" s="5"/>
      <c r="S28" s="88"/>
      <c r="T28" s="42"/>
      <c r="U28" s="42"/>
      <c r="V28" s="147" t="s">
        <v>461</v>
      </c>
      <c r="W28" s="288">
        <f t="shared" si="6"/>
        <v>0.69717757832272087</v>
      </c>
      <c r="X28" s="288">
        <v>1</v>
      </c>
      <c r="Y28" s="42"/>
      <c r="Z28" s="42"/>
      <c r="AA28" s="42"/>
    </row>
    <row r="29" spans="2:27" ht="12.6" thickTop="1">
      <c r="B29" s="5" t="s">
        <v>583</v>
      </c>
      <c r="C29" s="544">
        <v>2683.7669999999998</v>
      </c>
      <c r="D29" s="536">
        <v>5474.2060000000001</v>
      </c>
      <c r="E29" s="536">
        <v>5981.3843607703438</v>
      </c>
      <c r="F29" s="536">
        <v>6966.7510931665292</v>
      </c>
      <c r="G29" s="536">
        <v>7676.8372026412944</v>
      </c>
      <c r="H29" s="279">
        <f t="shared" si="4"/>
        <v>0.11931862816894312</v>
      </c>
      <c r="I29" s="252"/>
      <c r="J29" s="249"/>
      <c r="K29" s="249"/>
      <c r="L29" s="249"/>
      <c r="M29" s="249"/>
      <c r="N29" s="249"/>
      <c r="O29" s="251"/>
      <c r="Q29" s="5"/>
      <c r="S29" s="88"/>
      <c r="T29" s="42"/>
      <c r="U29" s="42"/>
      <c r="V29" s="147" t="s">
        <v>525</v>
      </c>
      <c r="W29" s="288">
        <f t="shared" si="6"/>
        <v>0.71291316896704837</v>
      </c>
      <c r="X29" s="288">
        <v>1</v>
      </c>
      <c r="Y29" s="42"/>
      <c r="Z29" s="42"/>
      <c r="AA29" s="42"/>
    </row>
    <row r="30" spans="2:27">
      <c r="B30" s="5" t="s">
        <v>584</v>
      </c>
      <c r="C30" s="545">
        <v>1182.4709999999998</v>
      </c>
      <c r="D30" s="536">
        <v>1284.4480000000001</v>
      </c>
      <c r="E30" s="536">
        <v>1648.9506566105767</v>
      </c>
      <c r="F30" s="536">
        <v>2119.20744289911</v>
      </c>
      <c r="G30" s="536">
        <v>2645.1810236933147</v>
      </c>
      <c r="H30" s="279">
        <f t="shared" si="4"/>
        <v>0.27227098780169845</v>
      </c>
      <c r="I30" s="254"/>
      <c r="J30" s="248"/>
      <c r="K30" s="248"/>
      <c r="L30" s="248"/>
      <c r="M30" s="248"/>
      <c r="N30" s="248"/>
      <c r="O30" s="5"/>
      <c r="Q30" s="5"/>
      <c r="S30" s="88"/>
      <c r="T30" s="42"/>
      <c r="U30" s="42"/>
      <c r="V30" s="147" t="s">
        <v>588</v>
      </c>
      <c r="W30" s="288">
        <f t="shared" si="6"/>
        <v>0.38860602740456479</v>
      </c>
      <c r="X30" s="288">
        <v>1</v>
      </c>
      <c r="Y30" s="42"/>
      <c r="Z30" s="42"/>
      <c r="AA30" s="42"/>
    </row>
    <row r="31" spans="2:27">
      <c r="B31" s="5" t="s">
        <v>585</v>
      </c>
      <c r="C31" s="545">
        <v>551.39408792999996</v>
      </c>
      <c r="D31" s="536">
        <v>638.04173031899995</v>
      </c>
      <c r="E31" s="536">
        <v>824.47532830528837</v>
      </c>
      <c r="F31" s="536">
        <v>1059.6037214495548</v>
      </c>
      <c r="G31" s="536">
        <v>1322.5905118466574</v>
      </c>
      <c r="H31" s="279">
        <f t="shared" si="4"/>
        <v>0.27504478570969981</v>
      </c>
      <c r="I31" s="254"/>
      <c r="J31" s="252"/>
      <c r="K31" s="252"/>
      <c r="L31" s="252"/>
      <c r="M31" s="252"/>
      <c r="N31" s="252"/>
      <c r="O31" s="5"/>
      <c r="Q31" s="5"/>
      <c r="S31" s="88"/>
      <c r="T31" s="42"/>
      <c r="U31" s="42"/>
      <c r="V31" s="147" t="s">
        <v>470</v>
      </c>
      <c r="W31" s="288">
        <f t="shared" si="6"/>
        <v>0.28384760570131695</v>
      </c>
      <c r="X31" s="288">
        <v>1</v>
      </c>
      <c r="Y31" s="42"/>
      <c r="Z31" s="42"/>
      <c r="AA31" s="42"/>
    </row>
    <row r="32" spans="2:27">
      <c r="B32" s="5" t="s">
        <v>601</v>
      </c>
      <c r="C32" s="546">
        <v>0</v>
      </c>
      <c r="D32" s="536">
        <v>0</v>
      </c>
      <c r="E32" s="536">
        <v>0</v>
      </c>
      <c r="F32" s="536">
        <v>0</v>
      </c>
      <c r="G32" s="536">
        <v>0</v>
      </c>
      <c r="H32" s="279" t="str">
        <f t="shared" si="4"/>
        <v>nm</v>
      </c>
      <c r="I32" s="254"/>
      <c r="J32" s="254"/>
      <c r="K32" s="254"/>
      <c r="L32" s="254"/>
      <c r="M32" s="254"/>
      <c r="N32" s="254"/>
      <c r="O32" s="251"/>
      <c r="Q32" s="5"/>
      <c r="S32" s="88"/>
      <c r="T32" s="42"/>
      <c r="U32" s="42"/>
      <c r="V32" s="147" t="s">
        <v>528</v>
      </c>
      <c r="W32" s="288">
        <f t="shared" si="6"/>
        <v>1.1129884570258048</v>
      </c>
      <c r="X32" s="288">
        <v>1</v>
      </c>
      <c r="Y32" s="42"/>
      <c r="Z32" s="42"/>
      <c r="AA32" s="42"/>
    </row>
    <row r="33" spans="2:27">
      <c r="B33" s="5" t="s">
        <v>5</v>
      </c>
      <c r="C33" s="545">
        <v>-2664.9569999999999</v>
      </c>
      <c r="D33" s="536">
        <v>-2839.8829999999998</v>
      </c>
      <c r="E33" s="536">
        <v>-2843.7431621806732</v>
      </c>
      <c r="F33" s="536">
        <v>-2518.3902767253976</v>
      </c>
      <c r="G33" s="536">
        <v>-2110.679491767854</v>
      </c>
      <c r="H33" s="279">
        <f t="shared" si="4"/>
        <v>-9.4182693288333064E-2</v>
      </c>
      <c r="I33" s="5"/>
      <c r="J33" s="254"/>
      <c r="K33" s="254"/>
      <c r="L33" s="254"/>
      <c r="M33" s="254"/>
      <c r="N33" s="254"/>
      <c r="O33" s="251"/>
      <c r="Q33" s="5"/>
      <c r="S33" s="88"/>
      <c r="T33" s="42"/>
      <c r="U33" s="42"/>
      <c r="V33" s="147" t="s">
        <v>575</v>
      </c>
      <c r="W33" s="288">
        <f t="shared" si="6"/>
        <v>0.52891693480078894</v>
      </c>
      <c r="X33" s="288">
        <v>1</v>
      </c>
      <c r="Y33" s="42"/>
      <c r="Z33" s="42"/>
      <c r="AA33" s="42"/>
    </row>
    <row r="34" spans="2:27">
      <c r="H34" s="277"/>
      <c r="I34" s="49"/>
      <c r="J34" s="254"/>
      <c r="K34" s="254"/>
      <c r="L34" s="254"/>
      <c r="M34" s="254"/>
      <c r="N34" s="254"/>
      <c r="O34" s="251"/>
      <c r="Q34" s="5"/>
      <c r="S34" s="88"/>
      <c r="T34" s="42"/>
      <c r="U34" s="42"/>
      <c r="V34" s="147" t="s">
        <v>576</v>
      </c>
      <c r="W34" s="288">
        <f>D47/L19</f>
        <v>3.5230172103416137</v>
      </c>
      <c r="X34" s="288">
        <v>1</v>
      </c>
      <c r="Y34" s="288"/>
      <c r="Z34" s="288"/>
      <c r="AA34" s="42"/>
    </row>
    <row r="35" spans="2:27" ht="12.6" thickBot="1">
      <c r="B35" s="306" t="s">
        <v>228</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268</v>
      </c>
      <c r="C37" s="247"/>
      <c r="D37" s="525">
        <f t="shared" ref="D37:G41" si="8">D$18/D23</f>
        <v>2.3370994677834438</v>
      </c>
      <c r="E37" s="525">
        <f t="shared" si="8"/>
        <v>2.0123134229208577</v>
      </c>
      <c r="F37" s="525">
        <f t="shared" si="8"/>
        <v>1.7228628826682808</v>
      </c>
      <c r="G37" s="525">
        <f t="shared" si="8"/>
        <v>1.4389204202198818</v>
      </c>
      <c r="H37" s="17">
        <f t="shared" ref="H37:H45" si="9">H23</f>
        <v>5.7799851407760672E-2</v>
      </c>
      <c r="I37" s="5"/>
      <c r="J37" s="259"/>
      <c r="K37" s="259"/>
      <c r="L37" s="259"/>
      <c r="M37" s="259"/>
      <c r="N37" s="259"/>
      <c r="O37" s="18"/>
      <c r="Q37" s="5"/>
      <c r="R37" s="5"/>
      <c r="S37" s="42"/>
      <c r="T37" s="42"/>
      <c r="U37" s="42"/>
      <c r="V37" s="42"/>
      <c r="W37" s="42"/>
      <c r="X37" s="42"/>
      <c r="Y37" s="42"/>
      <c r="Z37" s="42"/>
      <c r="AA37" s="42"/>
    </row>
    <row r="38" spans="2:27">
      <c r="B38" s="5" t="s">
        <v>180</v>
      </c>
      <c r="C38" s="247"/>
      <c r="D38" s="525">
        <f t="shared" si="8"/>
        <v>4.75550836949638</v>
      </c>
      <c r="E38" s="525">
        <f t="shared" si="8"/>
        <v>3.9660203416291644</v>
      </c>
      <c r="F38" s="525">
        <f t="shared" si="8"/>
        <v>3.3888701595073147</v>
      </c>
      <c r="G38" s="525">
        <f t="shared" si="8"/>
        <v>2.8247991441578253</v>
      </c>
      <c r="H38" s="17">
        <f t="shared" si="9"/>
        <v>7.0515978419444014E-2</v>
      </c>
      <c r="I38" s="259"/>
      <c r="J38" s="17"/>
      <c r="K38" s="17"/>
      <c r="L38" s="17"/>
      <c r="M38" s="17"/>
      <c r="N38" s="17"/>
      <c r="O38" s="5"/>
      <c r="Q38" s="5"/>
      <c r="R38" s="5"/>
      <c r="S38" s="42"/>
      <c r="T38" s="42"/>
      <c r="U38" s="42"/>
      <c r="V38" s="42"/>
      <c r="W38" s="42"/>
      <c r="X38" s="42"/>
      <c r="Y38" s="42"/>
      <c r="Z38" s="42"/>
      <c r="AA38" s="42"/>
    </row>
    <row r="39" spans="2:27">
      <c r="B39" s="5" t="s">
        <v>181</v>
      </c>
      <c r="C39" s="247"/>
      <c r="D39" s="525">
        <f t="shared" si="8"/>
        <v>8.6560387818780793</v>
      </c>
      <c r="E39" s="525">
        <f t="shared" si="8"/>
        <v>7.3876571292812727</v>
      </c>
      <c r="F39" s="525">
        <f t="shared" si="8"/>
        <v>6.0795071296992163</v>
      </c>
      <c r="G39" s="525">
        <f t="shared" si="8"/>
        <v>5.0596983482015956</v>
      </c>
      <c r="H39" s="17">
        <f t="shared" si="9"/>
        <v>7.6270782791585834E-2</v>
      </c>
      <c r="I39" s="17"/>
      <c r="J39" s="5"/>
      <c r="K39" s="5"/>
      <c r="L39" s="5"/>
      <c r="M39" s="5"/>
      <c r="N39" s="5"/>
      <c r="O39" s="5"/>
      <c r="Q39" s="5"/>
      <c r="R39" s="5"/>
      <c r="S39" s="42"/>
      <c r="T39" s="42"/>
      <c r="U39" s="42"/>
      <c r="V39" s="42"/>
      <c r="W39" s="42"/>
      <c r="X39" s="42"/>
      <c r="Y39" s="42"/>
      <c r="Z39" s="42"/>
      <c r="AA39" s="42"/>
    </row>
    <row r="40" spans="2:27">
      <c r="B40" s="5" t="s">
        <v>461</v>
      </c>
      <c r="C40" s="247"/>
      <c r="D40" s="525">
        <f t="shared" si="8"/>
        <v>11.541385042504107</v>
      </c>
      <c r="E40" s="525">
        <f t="shared" si="8"/>
        <v>9.8502095057083636</v>
      </c>
      <c r="F40" s="525">
        <f t="shared" si="8"/>
        <v>8.1060095062656217</v>
      </c>
      <c r="G40" s="525">
        <f t="shared" si="8"/>
        <v>6.746264464268795</v>
      </c>
      <c r="H40" s="17">
        <f t="shared" si="9"/>
        <v>7.6270782791585834E-2</v>
      </c>
      <c r="I40" s="5"/>
      <c r="J40" s="259"/>
      <c r="K40" s="259"/>
      <c r="L40" s="259"/>
      <c r="M40" s="259"/>
      <c r="N40" s="259"/>
      <c r="O40" s="18"/>
      <c r="Q40" s="5"/>
      <c r="R40" s="5"/>
      <c r="S40" s="42"/>
      <c r="T40" s="42"/>
      <c r="U40" s="42"/>
      <c r="V40" s="42"/>
      <c r="W40" s="288"/>
      <c r="X40" s="288"/>
      <c r="Y40" s="42"/>
      <c r="Z40" s="42"/>
      <c r="AA40" s="42"/>
    </row>
    <row r="41" spans="2:27">
      <c r="B41" s="5" t="s">
        <v>525</v>
      </c>
      <c r="C41" s="247"/>
      <c r="D41" s="525">
        <f t="shared" si="8"/>
        <v>1.0571599682769095</v>
      </c>
      <c r="E41" s="525">
        <f t="shared" si="8"/>
        <v>1.0487787860657531</v>
      </c>
      <c r="F41" s="525">
        <f t="shared" si="8"/>
        <v>1.0184630671602855</v>
      </c>
      <c r="G41" s="525">
        <f t="shared" si="8"/>
        <v>0.97339894345384448</v>
      </c>
      <c r="H41" s="17">
        <f t="shared" si="9"/>
        <v>-7.50037451352219E-2</v>
      </c>
      <c r="I41" s="247"/>
      <c r="J41" s="17"/>
      <c r="K41" s="17"/>
      <c r="L41" s="17"/>
      <c r="M41" s="17"/>
      <c r="N41" s="17"/>
      <c r="O41" s="5"/>
      <c r="Q41" s="5"/>
      <c r="R41" s="5"/>
      <c r="S41" s="42"/>
      <c r="T41" s="42"/>
      <c r="U41" s="42"/>
      <c r="V41" s="42"/>
      <c r="W41" s="288"/>
      <c r="X41" s="288"/>
      <c r="Y41" s="288"/>
      <c r="Z41" s="288"/>
      <c r="AA41" s="42"/>
    </row>
    <row r="42" spans="2:27">
      <c r="B42" s="5" t="s">
        <v>588</v>
      </c>
      <c r="C42" s="247"/>
      <c r="D42" s="525">
        <f>D18/D28</f>
        <v>1.182355825010259</v>
      </c>
      <c r="E42" s="525">
        <f>E18/E28</f>
        <v>1.1698513994540012</v>
      </c>
      <c r="F42" s="525">
        <f>F18/F28</f>
        <v>1.135368723578263</v>
      </c>
      <c r="G42" s="525">
        <f>G18/G28</f>
        <v>1.0846982819870776</v>
      </c>
      <c r="H42" s="17">
        <f t="shared" si="9"/>
        <v>-7.3874641728225221E-2</v>
      </c>
      <c r="I42" s="248"/>
      <c r="J42" s="5"/>
      <c r="K42" s="5"/>
      <c r="L42" s="5"/>
      <c r="M42" s="5"/>
      <c r="N42" s="5"/>
      <c r="O42" s="5"/>
      <c r="Q42" s="5"/>
      <c r="R42" s="5"/>
      <c r="S42" s="42"/>
      <c r="T42" s="42"/>
      <c r="U42" s="42"/>
      <c r="V42" s="42"/>
      <c r="W42" s="288"/>
      <c r="X42" s="288"/>
      <c r="Y42" s="288"/>
      <c r="Z42" s="288"/>
      <c r="AA42" s="42"/>
    </row>
    <row r="43" spans="2:27">
      <c r="B43" s="5" t="s">
        <v>470</v>
      </c>
      <c r="C43" s="247"/>
      <c r="D43" s="525">
        <f>L26/D29</f>
        <v>5.587886800286654</v>
      </c>
      <c r="E43" s="525">
        <f>M26/E29</f>
        <v>5.1140742016302072</v>
      </c>
      <c r="F43" s="525">
        <f>N26/F29</f>
        <v>4.3907472852667357</v>
      </c>
      <c r="G43" s="525">
        <f>O26/G29</f>
        <v>3.9846153620302718</v>
      </c>
      <c r="H43" s="17">
        <f t="shared" si="9"/>
        <v>0.11931862816894312</v>
      </c>
      <c r="I43" s="247"/>
      <c r="J43" s="247"/>
      <c r="K43" s="247"/>
      <c r="L43" s="247"/>
      <c r="M43" s="247"/>
      <c r="N43" s="247"/>
      <c r="O43" s="18"/>
      <c r="Q43" s="5"/>
      <c r="R43" s="5"/>
      <c r="S43" s="42"/>
      <c r="T43" s="42"/>
      <c r="U43" s="42"/>
      <c r="V43" s="42"/>
      <c r="W43" s="288"/>
      <c r="X43" s="288"/>
      <c r="Y43" s="288"/>
      <c r="Z43" s="288"/>
      <c r="AA43" s="42"/>
    </row>
    <row r="44" spans="2:27">
      <c r="B44" s="5" t="s">
        <v>528</v>
      </c>
      <c r="C44" s="69"/>
      <c r="D44" s="525">
        <f>D11/D30</f>
        <v>23.815089010571079</v>
      </c>
      <c r="E44" s="525">
        <f>E11/E30</f>
        <v>18.550733053665951</v>
      </c>
      <c r="F44" s="525">
        <f>F11/F30</f>
        <v>14.434284643509661</v>
      </c>
      <c r="G44" s="525">
        <f>G11/G30</f>
        <v>11.564139911581549</v>
      </c>
      <c r="H44" s="17">
        <f t="shared" si="9"/>
        <v>0.27227098780169845</v>
      </c>
      <c r="I44" s="247"/>
      <c r="J44" s="248"/>
      <c r="K44" s="248"/>
      <c r="L44" s="248"/>
      <c r="M44" s="248"/>
      <c r="N44" s="248"/>
      <c r="O44" s="248"/>
      <c r="Q44" s="5"/>
      <c r="R44" s="5"/>
      <c r="S44" s="42"/>
      <c r="T44" s="42"/>
      <c r="U44" s="42"/>
      <c r="V44" s="42"/>
      <c r="W44" s="325"/>
      <c r="X44" s="325"/>
      <c r="Y44" s="288"/>
      <c r="Z44" s="288"/>
      <c r="AA44" s="42"/>
    </row>
    <row r="45" spans="2:27">
      <c r="B45" s="5" t="s">
        <v>575</v>
      </c>
      <c r="C45" s="247"/>
      <c r="D45" s="248">
        <f>D31/D11</f>
        <v>2.0858369098712443E-2</v>
      </c>
      <c r="E45" s="248">
        <f>E31/E11</f>
        <v>2.6953112772068657E-2</v>
      </c>
      <c r="F45" s="248">
        <f>F31/F11</f>
        <v>3.4639749204670396E-2</v>
      </c>
      <c r="G45" s="248">
        <f>G31/G11</f>
        <v>4.323711091555086E-2</v>
      </c>
      <c r="H45" s="17">
        <f t="shared" si="9"/>
        <v>0.27504478570969981</v>
      </c>
      <c r="I45" s="248"/>
      <c r="J45" s="247"/>
      <c r="K45" s="247"/>
      <c r="L45" s="247"/>
      <c r="M45" s="247"/>
      <c r="N45" s="247"/>
      <c r="O45" s="248"/>
      <c r="Q45" s="5"/>
      <c r="R45" s="5"/>
      <c r="S45" s="42"/>
      <c r="T45" s="42"/>
      <c r="U45" s="42"/>
      <c r="V45" s="42"/>
      <c r="W45" s="42"/>
      <c r="X45" s="42"/>
      <c r="Y45" s="325"/>
      <c r="Z45" s="325"/>
      <c r="AA45" s="42"/>
    </row>
    <row r="46" spans="2:27">
      <c r="B46" s="5" t="s">
        <v>600</v>
      </c>
      <c r="C46" s="247"/>
      <c r="D46" s="248">
        <f>(D31+D32)/D11</f>
        <v>2.0858369098712443E-2</v>
      </c>
      <c r="E46" s="248">
        <f>(E31+E32)/E11</f>
        <v>2.6953112772068657E-2</v>
      </c>
      <c r="F46" s="248">
        <f>(F31+F32)/F11</f>
        <v>3.4639749204670396E-2</v>
      </c>
      <c r="G46" s="248">
        <f>(G31+G32)/G11</f>
        <v>4.323711091555086E-2</v>
      </c>
      <c r="H46" s="279">
        <f>((G31+G32)/(D31+D32))^(1/3)-1</f>
        <v>0.27504478570969981</v>
      </c>
      <c r="I46" s="247"/>
      <c r="J46" s="247"/>
      <c r="K46" s="247"/>
      <c r="L46" s="247"/>
      <c r="M46" s="247"/>
      <c r="N46" s="247"/>
      <c r="O46" s="18"/>
      <c r="Q46" s="5"/>
      <c r="R46" s="5"/>
      <c r="S46" s="42"/>
      <c r="T46" s="42"/>
      <c r="U46" s="42"/>
      <c r="V46" s="42"/>
      <c r="W46" s="42"/>
      <c r="X46" s="42"/>
      <c r="Y46" s="42"/>
      <c r="Z46" s="42"/>
      <c r="AA46" s="326"/>
    </row>
    <row r="47" spans="2:27">
      <c r="B47" s="5" t="s">
        <v>576</v>
      </c>
      <c r="C47" s="5"/>
      <c r="D47" s="248">
        <f>1/D43</f>
        <v>0.17895852864247372</v>
      </c>
      <c r="E47" s="248">
        <f>1/E43</f>
        <v>0.19553881319931402</v>
      </c>
      <c r="F47" s="248">
        <f>1/F43</f>
        <v>0.22775166390366519</v>
      </c>
      <c r="G47" s="248">
        <f>1/G43</f>
        <v>0.2509652523877417</v>
      </c>
      <c r="H47" s="17">
        <f>H29</f>
        <v>0.11931862816894312</v>
      </c>
      <c r="I47" s="17"/>
      <c r="J47" s="248"/>
      <c r="K47" s="248"/>
      <c r="L47" s="248"/>
      <c r="M47" s="248"/>
      <c r="N47" s="248"/>
      <c r="O47" s="248"/>
      <c r="Q47" s="5"/>
      <c r="R47" s="5"/>
      <c r="S47" s="42"/>
      <c r="T47" s="42"/>
      <c r="U47" s="42"/>
      <c r="V47" s="42"/>
      <c r="W47" s="42"/>
      <c r="X47" s="42"/>
      <c r="Y47" s="42"/>
      <c r="Z47" s="42"/>
      <c r="AA47" s="326"/>
    </row>
    <row r="48" spans="2:27">
      <c r="B48" s="5" t="s">
        <v>613</v>
      </c>
      <c r="C48" s="5"/>
      <c r="D48" s="305">
        <f>D31/D29</f>
        <v>0.11655420536220229</v>
      </c>
      <c r="E48" s="305">
        <f>E31/E29</f>
        <v>0.13784021868126595</v>
      </c>
      <c r="F48" s="305">
        <f>F31/F29</f>
        <v>0.1520943847827271</v>
      </c>
      <c r="G48" s="305">
        <f>G31/G29</f>
        <v>0.17228325636391073</v>
      </c>
      <c r="H48" s="279" t="s">
        <v>602</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4">
    <pageSetUpPr fitToPage="1"/>
  </sheetPr>
  <dimension ref="B1:S131"/>
  <sheetViews>
    <sheetView showGridLines="0" zoomScale="80" zoomScaleNormal="80" workbookViewId="0"/>
  </sheetViews>
  <sheetFormatPr defaultColWidth="8.88671875" defaultRowHeight="12"/>
  <cols>
    <col min="1" max="1" width="2.33203125" style="39" customWidth="1"/>
    <col min="2" max="2" width="31.109375" style="39" customWidth="1"/>
    <col min="3" max="11" width="10" style="39" customWidth="1"/>
    <col min="12" max="12" width="10" style="168" customWidth="1"/>
    <col min="13" max="19" width="9.109375" style="239" customWidth="1"/>
    <col min="20" max="16384" width="8.88671875" style="39"/>
  </cols>
  <sheetData>
    <row r="1" spans="2:19" s="80" customFormat="1">
      <c r="L1" s="337"/>
      <c r="M1" s="338"/>
      <c r="N1" s="338"/>
      <c r="O1" s="338"/>
      <c r="P1" s="338"/>
      <c r="Q1" s="338"/>
      <c r="R1" s="338"/>
      <c r="S1" s="338"/>
    </row>
    <row r="2" spans="2:19" s="80" customFormat="1">
      <c r="L2" s="337"/>
      <c r="M2" s="338"/>
      <c r="N2" s="338"/>
      <c r="O2" s="338"/>
      <c r="P2" s="338"/>
      <c r="Q2" s="338"/>
      <c r="R2" s="338"/>
      <c r="S2" s="338"/>
    </row>
    <row r="3" spans="2:19" s="80" customFormat="1">
      <c r="C3" s="337"/>
      <c r="D3" s="337"/>
      <c r="E3" s="337"/>
      <c r="F3" s="337"/>
      <c r="G3" s="337"/>
      <c r="H3" s="339"/>
      <c r="I3" s="337"/>
      <c r="J3" s="337"/>
      <c r="K3" s="337"/>
      <c r="L3" s="337"/>
      <c r="M3" s="338"/>
      <c r="N3" s="338"/>
      <c r="O3" s="338"/>
      <c r="P3" s="338"/>
      <c r="Q3" s="338"/>
      <c r="R3" s="338"/>
      <c r="S3" s="338"/>
    </row>
    <row r="4" spans="2:19" s="172" customFormat="1" ht="21">
      <c r="B4" s="341" t="s">
        <v>1440</v>
      </c>
      <c r="C4" s="342"/>
      <c r="D4" s="342"/>
      <c r="E4" s="342"/>
      <c r="F4" s="342"/>
      <c r="G4" s="342"/>
      <c r="H4" s="343"/>
      <c r="I4" s="342"/>
      <c r="J4" s="342"/>
      <c r="K4" s="342"/>
      <c r="L4" s="342"/>
      <c r="M4" s="344"/>
      <c r="N4" s="344"/>
      <c r="O4" s="344"/>
      <c r="P4" s="344"/>
      <c r="Q4" s="344"/>
      <c r="R4" s="344"/>
      <c r="S4" s="344"/>
    </row>
    <row r="5" spans="2:19" s="80" customFormat="1">
      <c r="C5" s="339"/>
      <c r="D5" s="339"/>
      <c r="E5" s="339"/>
      <c r="F5" s="339"/>
      <c r="G5" s="339"/>
      <c r="H5" s="339"/>
      <c r="I5" s="339"/>
      <c r="J5" s="339"/>
      <c r="K5" s="339"/>
      <c r="L5" s="340"/>
      <c r="M5" s="338"/>
      <c r="N5" s="338"/>
      <c r="O5" s="338"/>
      <c r="P5" s="338"/>
      <c r="Q5" s="338"/>
      <c r="R5" s="338"/>
      <c r="S5" s="338"/>
    </row>
    <row r="6" spans="2:19">
      <c r="B6" s="5"/>
      <c r="I6" s="5"/>
      <c r="J6" s="5"/>
      <c r="K6" s="5"/>
    </row>
    <row r="7" spans="2:19" ht="12.6" thickBot="1">
      <c r="B7" s="346" t="s">
        <v>262</v>
      </c>
      <c r="C7" s="336"/>
      <c r="D7" s="336"/>
      <c r="E7" s="336"/>
      <c r="F7" s="336"/>
      <c r="G7" s="336"/>
      <c r="H7" s="336"/>
      <c r="I7" s="336"/>
      <c r="J7" s="336"/>
      <c r="K7" s="336"/>
      <c r="L7" s="5"/>
      <c r="M7" s="5"/>
      <c r="N7" s="5"/>
      <c r="O7" s="5"/>
      <c r="P7" s="5"/>
      <c r="Q7" s="5"/>
      <c r="R7" s="5"/>
      <c r="S7" s="5"/>
    </row>
    <row r="8" spans="2:19">
      <c r="B8" s="347"/>
      <c r="K8" s="277" t="s">
        <v>460</v>
      </c>
      <c r="L8" s="5"/>
      <c r="M8" s="5"/>
      <c r="N8" s="5"/>
      <c r="O8" s="5"/>
      <c r="P8" s="5"/>
      <c r="Q8" s="5"/>
      <c r="R8" s="5"/>
      <c r="S8" s="5"/>
    </row>
    <row r="9" spans="2:19" ht="12.6" thickBot="1">
      <c r="B9" s="306" t="s">
        <v>266</v>
      </c>
      <c r="C9" s="265"/>
      <c r="D9" s="265"/>
      <c r="E9" s="265"/>
      <c r="F9" s="265"/>
      <c r="G9" s="265" t="str">
        <f>ADVANCED!D5</f>
        <v>2023E</v>
      </c>
      <c r="H9" s="265" t="str">
        <f>ADVANCED!E5</f>
        <v>2024E</v>
      </c>
      <c r="I9" s="265" t="str">
        <f>ADVANCED!F5</f>
        <v>2025E</v>
      </c>
      <c r="J9" s="265" t="str">
        <f>ADVANCED!G5</f>
        <v>2026E</v>
      </c>
      <c r="K9" s="265" t="str">
        <f>ADVANCED!H5</f>
        <v>23E-26E</v>
      </c>
      <c r="L9" s="5"/>
      <c r="M9" s="5"/>
      <c r="N9" s="5"/>
      <c r="O9" s="5"/>
      <c r="P9" s="5"/>
      <c r="Q9" s="5"/>
      <c r="R9" s="5"/>
      <c r="S9" s="5"/>
    </row>
    <row r="10" spans="2:19" ht="12.6" thickTop="1">
      <c r="B10" s="5"/>
      <c r="F10" s="5"/>
      <c r="G10" s="5"/>
      <c r="H10" s="5"/>
      <c r="I10" s="5"/>
      <c r="J10" s="5"/>
      <c r="K10" s="5"/>
      <c r="L10" s="5"/>
      <c r="M10" s="5"/>
      <c r="N10" s="5"/>
      <c r="O10" s="5"/>
      <c r="P10" s="5"/>
      <c r="Q10" s="5"/>
      <c r="R10" s="5"/>
      <c r="S10" s="5"/>
    </row>
    <row r="11" spans="2:19">
      <c r="B11" s="41" t="s">
        <v>1388</v>
      </c>
      <c r="C11" s="267">
        <f>Prices!C24</f>
        <v>20.29</v>
      </c>
      <c r="G11" s="5"/>
      <c r="H11" s="249"/>
      <c r="I11" s="249"/>
      <c r="J11" s="249"/>
      <c r="K11" s="249"/>
      <c r="L11" s="5"/>
      <c r="M11" s="5"/>
      <c r="N11" s="5"/>
      <c r="O11" s="5"/>
      <c r="P11" s="5"/>
      <c r="Q11" s="5"/>
      <c r="R11" s="5"/>
      <c r="S11" s="5"/>
    </row>
    <row r="12" spans="2:19">
      <c r="B12" s="5" t="s">
        <v>269</v>
      </c>
      <c r="F12" s="5"/>
      <c r="G12" s="332">
        <f>SUM(LBTY!D9:D10)</f>
        <v>382.60299999999995</v>
      </c>
      <c r="H12" s="332">
        <f>SUM(LBTY!E9:E10)</f>
        <v>347.49374499999999</v>
      </c>
      <c r="I12" s="332">
        <f>SUM(LBTY!F9:F10)</f>
        <v>315.89541550000001</v>
      </c>
      <c r="J12" s="332">
        <f>SUM(LBTY!G9:G10)</f>
        <v>287.45691895000004</v>
      </c>
      <c r="K12" s="247"/>
      <c r="L12" s="348"/>
      <c r="M12" s="5"/>
      <c r="N12" s="5"/>
      <c r="O12" s="5"/>
      <c r="P12" s="5"/>
      <c r="Q12" s="5"/>
      <c r="R12" s="5"/>
      <c r="S12" s="5"/>
    </row>
    <row r="13" spans="2:19">
      <c r="B13" s="41" t="s">
        <v>270</v>
      </c>
      <c r="F13" s="5"/>
      <c r="G13" s="271">
        <f>$C$11*G12</f>
        <v>7763.0148699999991</v>
      </c>
      <c r="H13" s="271">
        <f t="shared" ref="H13:J13" si="0">$C$11*H12</f>
        <v>7050.6480860499996</v>
      </c>
      <c r="I13" s="271">
        <f t="shared" si="0"/>
        <v>6409.5179804950003</v>
      </c>
      <c r="J13" s="271">
        <f t="shared" si="0"/>
        <v>5832.5008854955004</v>
      </c>
      <c r="K13" s="249"/>
      <c r="L13" s="348"/>
      <c r="M13" s="5"/>
      <c r="N13" s="5"/>
      <c r="O13" s="5"/>
      <c r="P13" s="5"/>
      <c r="Q13" s="5"/>
      <c r="R13" s="5"/>
      <c r="S13" s="5"/>
    </row>
    <row r="14" spans="2:19">
      <c r="B14" s="5" t="s">
        <v>751</v>
      </c>
      <c r="F14" s="249"/>
      <c r="G14" s="322">
        <v>27923.40256755842</v>
      </c>
      <c r="H14" s="322">
        <v>28017.799797751035</v>
      </c>
      <c r="I14" s="322">
        <v>28197.218518980626</v>
      </c>
      <c r="J14" s="322">
        <v>28090.901770577555</v>
      </c>
      <c r="K14" s="247"/>
      <c r="L14" s="348"/>
      <c r="M14" s="5"/>
      <c r="N14" s="5"/>
      <c r="O14" s="5"/>
      <c r="P14" s="5"/>
      <c r="Q14" s="5"/>
      <c r="R14" s="5"/>
      <c r="S14" s="5"/>
    </row>
    <row r="15" spans="2:19">
      <c r="B15" s="5" t="s">
        <v>524</v>
      </c>
      <c r="F15" s="257"/>
      <c r="G15" s="322">
        <v>0</v>
      </c>
      <c r="H15" s="322">
        <v>0</v>
      </c>
      <c r="I15" s="322">
        <v>0</v>
      </c>
      <c r="J15" s="322">
        <v>0</v>
      </c>
      <c r="K15" s="247"/>
      <c r="L15" s="348"/>
      <c r="M15" s="5"/>
      <c r="N15" s="5"/>
      <c r="O15" s="5"/>
      <c r="P15" s="5"/>
      <c r="Q15" s="5"/>
      <c r="R15" s="5"/>
      <c r="S15" s="5"/>
    </row>
    <row r="16" spans="2:19">
      <c r="B16" s="5" t="s">
        <v>527</v>
      </c>
      <c r="F16" s="257"/>
      <c r="G16" s="322">
        <v>2993.8</v>
      </c>
      <c r="H16" s="322">
        <v>2993.8</v>
      </c>
      <c r="I16" s="322">
        <v>2993.8</v>
      </c>
      <c r="J16" s="322">
        <v>2993.8</v>
      </c>
      <c r="K16" s="247"/>
      <c r="L16" s="348"/>
      <c r="M16" s="5"/>
      <c r="N16" s="5"/>
      <c r="O16" s="5"/>
      <c r="P16" s="5"/>
      <c r="Q16" s="5"/>
      <c r="R16" s="5"/>
      <c r="S16" s="5"/>
    </row>
    <row r="17" spans="2:19">
      <c r="B17" s="5" t="s">
        <v>526</v>
      </c>
      <c r="F17" s="274"/>
      <c r="G17" s="322">
        <v>0</v>
      </c>
      <c r="H17" s="322">
        <v>0</v>
      </c>
      <c r="I17" s="322">
        <v>0</v>
      </c>
      <c r="J17" s="322">
        <v>0</v>
      </c>
      <c r="K17" s="247"/>
      <c r="L17" s="348"/>
      <c r="M17" s="5"/>
      <c r="N17" s="5"/>
      <c r="O17" s="5"/>
      <c r="P17" s="5"/>
      <c r="Q17" s="5"/>
      <c r="R17" s="5"/>
      <c r="S17" s="5"/>
    </row>
    <row r="18" spans="2:19">
      <c r="B18" s="5" t="s">
        <v>529</v>
      </c>
      <c r="F18" s="257"/>
      <c r="G18" s="322">
        <v>0</v>
      </c>
      <c r="H18" s="322">
        <v>0</v>
      </c>
      <c r="I18" s="322">
        <v>0</v>
      </c>
      <c r="J18" s="322">
        <v>0</v>
      </c>
      <c r="K18" s="247"/>
      <c r="L18" s="348"/>
      <c r="M18" s="5"/>
      <c r="N18" s="5"/>
      <c r="O18" s="5"/>
      <c r="P18" s="5"/>
      <c r="Q18" s="5"/>
      <c r="R18" s="5"/>
      <c r="S18" s="5"/>
    </row>
    <row r="19" spans="2:19">
      <c r="B19" s="5" t="s">
        <v>6</v>
      </c>
      <c r="F19" s="257"/>
      <c r="G19" s="322">
        <v>146.80063999999999</v>
      </c>
      <c r="H19" s="322">
        <v>146.80063999999999</v>
      </c>
      <c r="I19" s="322">
        <v>146.80063999999999</v>
      </c>
      <c r="J19" s="322">
        <v>146.80063999999999</v>
      </c>
      <c r="K19" s="247"/>
      <c r="L19" s="348"/>
      <c r="M19" s="5"/>
      <c r="N19" s="5"/>
      <c r="O19" s="5"/>
      <c r="P19" s="5"/>
      <c r="Q19" s="5"/>
      <c r="R19" s="5"/>
      <c r="S19" s="5"/>
    </row>
    <row r="20" spans="2:19" ht="12.6" thickBot="1">
      <c r="B20" s="41" t="s">
        <v>578</v>
      </c>
      <c r="F20" s="249"/>
      <c r="G20" s="275">
        <f>G13+G14+G15-G16+G17-G18-G19</f>
        <v>32545.816797558418</v>
      </c>
      <c r="H20" s="275">
        <f t="shared" ref="H20:J20" si="1">H13+H14+H15-H16+H17-H18-H19</f>
        <v>31927.847243801032</v>
      </c>
      <c r="I20" s="275">
        <f t="shared" si="1"/>
        <v>31466.135859475628</v>
      </c>
      <c r="J20" s="275">
        <f t="shared" si="1"/>
        <v>30782.802016073056</v>
      </c>
      <c r="K20" s="276">
        <f>IF(G20=0,"nm",IF(J20=0,"nm",(J20/G20)^(1/3)-1))</f>
        <v>-1.8392974829649855E-2</v>
      </c>
      <c r="L20" s="348"/>
      <c r="M20" s="5"/>
      <c r="N20" s="5"/>
      <c r="O20" s="5"/>
      <c r="P20" s="5"/>
      <c r="Q20" s="5"/>
      <c r="R20" s="5"/>
      <c r="S20" s="5"/>
    </row>
    <row r="21" spans="2:19" ht="12.6" thickTop="1">
      <c r="I21" s="5"/>
      <c r="J21" s="5"/>
      <c r="K21" s="5"/>
      <c r="L21" s="5"/>
      <c r="M21" s="5"/>
      <c r="N21" s="5"/>
      <c r="O21" s="5"/>
      <c r="P21" s="5"/>
      <c r="Q21" s="5"/>
      <c r="R21" s="5"/>
      <c r="S21" s="5"/>
    </row>
    <row r="22" spans="2:19">
      <c r="I22" s="5"/>
      <c r="J22" s="5"/>
      <c r="K22" s="5"/>
      <c r="L22" s="5"/>
      <c r="M22" s="5"/>
      <c r="N22" s="5"/>
      <c r="O22" s="5"/>
      <c r="P22" s="5"/>
      <c r="Q22" s="5"/>
      <c r="R22" s="5"/>
      <c r="S22" s="5"/>
    </row>
    <row r="23" spans="2:19">
      <c r="K23" s="277" t="s">
        <v>460</v>
      </c>
      <c r="L23" s="5"/>
      <c r="M23" s="5"/>
      <c r="N23" s="5"/>
      <c r="O23" s="5"/>
      <c r="P23" s="5"/>
      <c r="Q23" s="5"/>
      <c r="R23" s="5"/>
      <c r="S23" s="5"/>
    </row>
    <row r="24" spans="2:19" ht="12.6" thickBot="1">
      <c r="B24" s="306" t="s">
        <v>428</v>
      </c>
      <c r="C24" s="265"/>
      <c r="D24" s="265"/>
      <c r="E24" s="265"/>
      <c r="F24" s="265"/>
      <c r="G24" s="265" t="str">
        <f>ADVANCED!D5</f>
        <v>2023E</v>
      </c>
      <c r="H24" s="265" t="str">
        <f>ADVANCED!E5</f>
        <v>2024E</v>
      </c>
      <c r="I24" s="265" t="str">
        <f>ADVANCED!F5</f>
        <v>2025E</v>
      </c>
      <c r="J24" s="265" t="str">
        <f>ADVANCED!G5</f>
        <v>2026E</v>
      </c>
      <c r="K24" s="265" t="str">
        <f>ADVANCED!H5</f>
        <v>23E-26E</v>
      </c>
      <c r="L24" s="5"/>
      <c r="M24" s="5"/>
      <c r="N24" s="5"/>
      <c r="O24" s="5"/>
      <c r="P24" s="5"/>
      <c r="Q24" s="5"/>
      <c r="R24" s="5"/>
      <c r="S24" s="5"/>
    </row>
    <row r="25" spans="2:19" ht="12.6" thickTop="1">
      <c r="B25" s="5"/>
      <c r="C25" s="257"/>
      <c r="G25" s="17"/>
      <c r="H25" s="17"/>
      <c r="I25" s="17"/>
      <c r="J25" s="17"/>
      <c r="K25" s="17"/>
      <c r="L25" s="5"/>
      <c r="M25" s="5"/>
      <c r="N25" s="5"/>
      <c r="O25" s="5"/>
      <c r="P25" s="5"/>
      <c r="Q25" s="5"/>
      <c r="R25" s="5"/>
      <c r="S25" s="5"/>
    </row>
    <row r="26" spans="2:19">
      <c r="B26" s="5" t="s">
        <v>478</v>
      </c>
      <c r="C26" s="247"/>
      <c r="F26" s="102">
        <v>5414.0887971297061</v>
      </c>
      <c r="G26" s="322">
        <v>5123.8707835422038</v>
      </c>
      <c r="H26" s="322">
        <v>5487.1573188436214</v>
      </c>
      <c r="I26" s="322">
        <v>5574.1570829966131</v>
      </c>
      <c r="J26" s="322">
        <v>5679.7047809259029</v>
      </c>
      <c r="K26" s="279">
        <f>IF(G26=0,"nm",IF(J26=0,"nm",(J26/G26)^(1/3)-1))</f>
        <v>3.4925762185926246E-2</v>
      </c>
      <c r="L26" s="5"/>
      <c r="M26" s="5"/>
      <c r="N26" s="5"/>
      <c r="O26" s="5"/>
      <c r="P26" s="5"/>
      <c r="Q26" s="5"/>
      <c r="R26" s="5"/>
      <c r="S26" s="5"/>
    </row>
    <row r="27" spans="2:19">
      <c r="B27" s="5" t="s">
        <v>179</v>
      </c>
      <c r="C27" s="247"/>
      <c r="F27" s="102">
        <v>1934.0867747100001</v>
      </c>
      <c r="G27" s="322">
        <v>1737.4336839150078</v>
      </c>
      <c r="H27" s="322">
        <v>1721.5270770336256</v>
      </c>
      <c r="I27" s="322">
        <v>1780.7881522737352</v>
      </c>
      <c r="J27" s="322">
        <v>2105.385113948827</v>
      </c>
      <c r="K27" s="279">
        <f>IF(G27=0,"nm",IF(J27=0,"nm",(J27/G27)^(1/3)-1))</f>
        <v>6.6124123370717713E-2</v>
      </c>
      <c r="L27" s="5"/>
      <c r="M27" s="5"/>
      <c r="N27" s="5"/>
      <c r="O27" s="5"/>
      <c r="P27" s="5"/>
      <c r="Q27" s="5"/>
      <c r="R27" s="5"/>
      <c r="S27" s="5"/>
    </row>
    <row r="28" spans="2:19">
      <c r="B28" s="5" t="s">
        <v>581</v>
      </c>
      <c r="C28" s="247"/>
      <c r="F28" s="102">
        <v>1566.6102875151003</v>
      </c>
      <c r="G28" s="322">
        <v>1389.9469471320062</v>
      </c>
      <c r="H28" s="322">
        <v>1377.2216616269006</v>
      </c>
      <c r="I28" s="322">
        <v>1424.6305218189882</v>
      </c>
      <c r="J28" s="322">
        <v>1684.3080911590616</v>
      </c>
      <c r="K28" s="279">
        <f>IF(G28=0,"nm",IF(J28=0,"nm",(J28/G28)^(1/3)-1))</f>
        <v>6.6124123370717713E-2</v>
      </c>
      <c r="L28" s="5"/>
      <c r="M28" s="5"/>
      <c r="N28" s="5"/>
      <c r="O28" s="5"/>
      <c r="P28" s="5"/>
      <c r="Q28" s="5"/>
      <c r="R28" s="5"/>
      <c r="S28" s="5"/>
    </row>
    <row r="29" spans="2:19">
      <c r="B29" s="5"/>
      <c r="C29" s="247"/>
      <c r="G29" s="279"/>
      <c r="H29" s="279"/>
      <c r="I29" s="279"/>
      <c r="J29" s="279"/>
      <c r="K29" s="279"/>
      <c r="L29" s="5"/>
      <c r="M29" s="5"/>
      <c r="N29" s="5"/>
      <c r="O29" s="5"/>
      <c r="P29" s="5"/>
      <c r="Q29" s="5"/>
      <c r="R29" s="5"/>
      <c r="S29" s="5"/>
    </row>
    <row r="30" spans="2:19">
      <c r="B30" s="5"/>
      <c r="C30" s="247"/>
      <c r="G30" s="17"/>
      <c r="H30" s="17"/>
      <c r="I30" s="17"/>
      <c r="J30" s="17"/>
      <c r="K30" s="277" t="s">
        <v>460</v>
      </c>
      <c r="L30" s="5"/>
      <c r="M30" s="5"/>
      <c r="N30" s="5"/>
      <c r="O30" s="5"/>
      <c r="P30" s="5"/>
      <c r="Q30" s="5"/>
      <c r="R30" s="5"/>
      <c r="S30" s="5"/>
    </row>
    <row r="31" spans="2:19" ht="12.6" thickBot="1">
      <c r="B31" s="306" t="s">
        <v>429</v>
      </c>
      <c r="C31" s="265"/>
      <c r="D31" s="265"/>
      <c r="E31" s="265"/>
      <c r="F31" s="265"/>
      <c r="G31" s="265" t="str">
        <f>ADVANCED!D5</f>
        <v>2023E</v>
      </c>
      <c r="H31" s="265" t="str">
        <f>ADVANCED!E5</f>
        <v>2024E</v>
      </c>
      <c r="I31" s="265" t="str">
        <f>ADVANCED!F5</f>
        <v>2025E</v>
      </c>
      <c r="J31" s="265" t="str">
        <f>ADVANCED!G5</f>
        <v>2026E</v>
      </c>
      <c r="K31" s="265" t="str">
        <f>ADVANCED!H5</f>
        <v>23E-26E</v>
      </c>
      <c r="L31" s="5"/>
      <c r="M31" s="5"/>
      <c r="N31" s="5"/>
      <c r="O31" s="5"/>
      <c r="P31" s="5"/>
      <c r="Q31" s="5"/>
      <c r="R31" s="5"/>
      <c r="S31" s="5"/>
    </row>
    <row r="32" spans="2:19" ht="12.6" thickTop="1">
      <c r="B32" s="41"/>
      <c r="C32" s="249"/>
      <c r="G32" s="254"/>
      <c r="H32" s="254"/>
      <c r="I32" s="254"/>
      <c r="J32" s="254"/>
      <c r="K32" s="254"/>
      <c r="L32" s="5"/>
      <c r="M32" s="5"/>
      <c r="N32" s="5"/>
      <c r="O32" s="5"/>
      <c r="P32" s="5"/>
      <c r="Q32" s="5"/>
      <c r="R32" s="5"/>
      <c r="S32" s="5"/>
    </row>
    <row r="33" spans="2:19">
      <c r="B33" s="41" t="s">
        <v>180</v>
      </c>
      <c r="C33" s="247"/>
      <c r="G33" s="268">
        <f t="shared" ref="G33:J33" si="2">G$20/G26</f>
        <v>6.3518028015255759</v>
      </c>
      <c r="H33" s="268">
        <f t="shared" si="2"/>
        <v>5.8186498743450636</v>
      </c>
      <c r="I33" s="268">
        <f t="shared" si="2"/>
        <v>5.6450034311842066</v>
      </c>
      <c r="J33" s="268">
        <f t="shared" si="2"/>
        <v>5.4197890917588953</v>
      </c>
      <c r="K33" s="17">
        <f>K26</f>
        <v>3.4925762185926246E-2</v>
      </c>
      <c r="L33" s="5"/>
      <c r="M33" s="5"/>
      <c r="N33" s="5"/>
      <c r="O33" s="5"/>
      <c r="P33" s="5"/>
      <c r="Q33" s="5"/>
      <c r="R33" s="5"/>
      <c r="S33" s="5"/>
    </row>
    <row r="34" spans="2:19">
      <c r="B34" s="41" t="s">
        <v>181</v>
      </c>
      <c r="C34" s="249"/>
      <c r="G34" s="268">
        <f t="shared" ref="G34:J34" si="3">G$20/G27</f>
        <v>18.732120309894086</v>
      </c>
      <c r="H34" s="268">
        <f t="shared" si="3"/>
        <v>18.546235879609927</v>
      </c>
      <c r="I34" s="268">
        <f t="shared" si="3"/>
        <v>17.66978055154917</v>
      </c>
      <c r="J34" s="268">
        <f t="shared" si="3"/>
        <v>14.620983976816156</v>
      </c>
      <c r="K34" s="17">
        <f>K27</f>
        <v>6.6124123370717713E-2</v>
      </c>
      <c r="L34" s="5"/>
      <c r="M34" s="5"/>
      <c r="N34" s="5"/>
      <c r="O34" s="5"/>
      <c r="P34" s="5"/>
      <c r="Q34" s="5"/>
      <c r="R34" s="5"/>
      <c r="S34" s="5"/>
    </row>
    <row r="35" spans="2:19">
      <c r="B35" s="41" t="s">
        <v>461</v>
      </c>
      <c r="C35" s="247"/>
      <c r="G35" s="268">
        <f t="shared" ref="G35:J35" si="4">G$20/G28</f>
        <v>23.415150387367607</v>
      </c>
      <c r="H35" s="268">
        <f t="shared" si="4"/>
        <v>23.182794849512408</v>
      </c>
      <c r="I35" s="268">
        <f t="shared" si="4"/>
        <v>22.087225689436462</v>
      </c>
      <c r="J35" s="268">
        <f t="shared" si="4"/>
        <v>18.276229971020193</v>
      </c>
      <c r="K35" s="17">
        <f>K28</f>
        <v>6.6124123370717713E-2</v>
      </c>
      <c r="L35" s="5"/>
      <c r="M35" s="5"/>
      <c r="N35" s="5"/>
      <c r="O35" s="5"/>
      <c r="P35" s="5"/>
      <c r="Q35" s="5"/>
      <c r="R35" s="5"/>
      <c r="S35" s="5"/>
    </row>
    <row r="36" spans="2:19">
      <c r="B36" s="41"/>
      <c r="C36" s="5"/>
      <c r="G36" s="250"/>
      <c r="H36" s="250"/>
      <c r="I36" s="250"/>
      <c r="J36" s="250"/>
      <c r="K36" s="17"/>
      <c r="L36" s="5"/>
      <c r="M36" s="5"/>
      <c r="N36" s="5"/>
      <c r="O36" s="5"/>
      <c r="P36" s="5"/>
      <c r="Q36" s="5"/>
      <c r="R36" s="5"/>
      <c r="S36" s="5"/>
    </row>
    <row r="37" spans="2:19">
      <c r="B37" s="41"/>
      <c r="C37" s="5"/>
      <c r="G37" s="250"/>
      <c r="H37" s="331"/>
      <c r="I37" s="250"/>
      <c r="J37" s="250"/>
      <c r="K37" s="17"/>
      <c r="L37" s="5"/>
      <c r="M37" s="5"/>
      <c r="N37" s="5"/>
      <c r="O37" s="5"/>
      <c r="P37" s="5"/>
      <c r="Q37" s="5"/>
      <c r="R37" s="5"/>
      <c r="S37" s="5"/>
    </row>
    <row r="38" spans="2:19">
      <c r="B38" s="5"/>
      <c r="C38" s="5"/>
      <c r="D38" s="5"/>
      <c r="E38" s="5"/>
      <c r="F38" s="5"/>
      <c r="G38" s="254"/>
      <c r="H38" s="254"/>
      <c r="I38" s="254"/>
      <c r="J38" s="254"/>
      <c r="K38" s="5"/>
      <c r="L38" s="5"/>
      <c r="M38" s="5"/>
      <c r="N38" s="5"/>
      <c r="O38" s="5"/>
      <c r="P38" s="5"/>
      <c r="Q38" s="5"/>
      <c r="R38" s="5"/>
      <c r="S38" s="5"/>
    </row>
    <row r="39" spans="2:19">
      <c r="B39" s="41"/>
      <c r="C39" s="249"/>
      <c r="D39" s="249"/>
      <c r="E39" s="249"/>
      <c r="F39" s="249"/>
      <c r="G39" s="254"/>
      <c r="H39" s="254"/>
      <c r="I39" s="254"/>
      <c r="J39" s="254"/>
      <c r="K39" s="249"/>
      <c r="L39" s="5"/>
      <c r="M39" s="5"/>
      <c r="N39" s="5"/>
      <c r="O39" s="5"/>
      <c r="P39" s="5"/>
      <c r="Q39" s="5"/>
      <c r="R39" s="5"/>
      <c r="S39" s="5"/>
    </row>
    <row r="40" spans="2:19">
      <c r="B40" s="5"/>
      <c r="C40" s="5"/>
      <c r="D40" s="5"/>
      <c r="E40" s="5"/>
      <c r="F40" s="5"/>
      <c r="G40" s="254"/>
      <c r="H40" s="254"/>
      <c r="I40" s="254"/>
      <c r="J40" s="254"/>
      <c r="K40" s="5"/>
      <c r="L40" s="5"/>
      <c r="M40" s="5"/>
      <c r="N40" s="5"/>
      <c r="O40" s="5"/>
      <c r="P40" s="5"/>
      <c r="Q40" s="5"/>
      <c r="R40" s="5"/>
      <c r="S40" s="5"/>
    </row>
    <row r="41" spans="2:19" ht="12.6" thickBot="1">
      <c r="B41" s="346" t="s">
        <v>198</v>
      </c>
      <c r="C41" s="336"/>
      <c r="D41" s="336"/>
      <c r="E41" s="336"/>
      <c r="F41" s="336"/>
      <c r="G41" s="336"/>
      <c r="H41" s="336"/>
      <c r="I41" s="336"/>
      <c r="J41" s="336"/>
      <c r="K41" s="336"/>
      <c r="L41" s="5"/>
      <c r="M41" s="5"/>
      <c r="N41" s="5"/>
      <c r="O41" s="5"/>
      <c r="P41" s="5"/>
      <c r="Q41" s="5"/>
      <c r="R41" s="5"/>
      <c r="S41" s="5"/>
    </row>
    <row r="42" spans="2:19">
      <c r="B42" s="347"/>
      <c r="K42" s="277" t="s">
        <v>460</v>
      </c>
      <c r="L42" s="5"/>
      <c r="M42" s="5"/>
      <c r="N42" s="5"/>
      <c r="O42" s="5"/>
      <c r="P42" s="5"/>
      <c r="Q42" s="5"/>
      <c r="R42" s="5"/>
      <c r="S42" s="5"/>
    </row>
    <row r="43" spans="2:19" ht="12.6" thickBot="1">
      <c r="B43" s="306" t="s">
        <v>266</v>
      </c>
      <c r="C43" s="265"/>
      <c r="D43" s="265"/>
      <c r="E43" s="265"/>
      <c r="F43" s="265"/>
      <c r="G43" s="265" t="str">
        <f>ADVANCED!D5</f>
        <v>2023E</v>
      </c>
      <c r="H43" s="265" t="str">
        <f>ADVANCED!E5</f>
        <v>2024E</v>
      </c>
      <c r="I43" s="265" t="str">
        <f>ADVANCED!F5</f>
        <v>2025E</v>
      </c>
      <c r="J43" s="265" t="str">
        <f>ADVANCED!G5</f>
        <v>2026E</v>
      </c>
      <c r="K43" s="265" t="str">
        <f>ADVANCED!H5</f>
        <v>23E-26E</v>
      </c>
      <c r="L43" s="5"/>
      <c r="M43" s="5"/>
      <c r="N43" s="5"/>
      <c r="O43" s="5"/>
      <c r="P43" s="5"/>
      <c r="Q43" s="5"/>
      <c r="R43" s="5"/>
      <c r="S43" s="5"/>
    </row>
    <row r="44" spans="2:19" ht="12.6" thickTop="1">
      <c r="B44" s="5"/>
      <c r="F44" s="5"/>
      <c r="G44" s="5"/>
      <c r="H44" s="5"/>
      <c r="I44" s="5"/>
      <c r="J44" s="5"/>
      <c r="K44" s="5"/>
      <c r="L44" s="5"/>
      <c r="M44" s="5"/>
      <c r="N44" s="5"/>
      <c r="O44" s="5"/>
      <c r="P44" s="5"/>
      <c r="Q44" s="5"/>
      <c r="R44" s="5"/>
      <c r="S44" s="5"/>
    </row>
    <row r="45" spans="2:19">
      <c r="B45" s="41" t="s">
        <v>199</v>
      </c>
      <c r="C45" s="267">
        <f>Prices!$C$58</f>
        <v>3.13</v>
      </c>
      <c r="G45" s="5">
        <v>0</v>
      </c>
      <c r="H45" s="249">
        <v>0</v>
      </c>
      <c r="I45" s="249">
        <v>0</v>
      </c>
      <c r="J45" s="249">
        <v>0</v>
      </c>
      <c r="K45" s="249">
        <v>36152.698909647115</v>
      </c>
      <c r="L45" s="5"/>
      <c r="M45" s="5"/>
      <c r="N45" s="5"/>
      <c r="O45" s="5"/>
      <c r="P45" s="5"/>
      <c r="Q45" s="5"/>
      <c r="R45" s="5"/>
      <c r="S45" s="5"/>
    </row>
    <row r="46" spans="2:19">
      <c r="B46" s="5" t="s">
        <v>269</v>
      </c>
      <c r="F46" s="5"/>
      <c r="G46" s="319">
        <v>16555.546999999999</v>
      </c>
      <c r="H46" s="319">
        <v>16555.546999999999</v>
      </c>
      <c r="I46" s="319">
        <v>16555.546999999999</v>
      </c>
      <c r="J46" s="319">
        <v>16555.546999999999</v>
      </c>
      <c r="K46" s="247"/>
      <c r="L46" s="5"/>
      <c r="M46" s="5"/>
      <c r="N46" s="5"/>
      <c r="O46" s="5"/>
      <c r="P46" s="5"/>
      <c r="Q46" s="5"/>
      <c r="R46" s="5"/>
      <c r="S46" s="5"/>
    </row>
    <row r="47" spans="2:19">
      <c r="B47" s="41" t="s">
        <v>270</v>
      </c>
      <c r="F47" s="5"/>
      <c r="G47" s="271">
        <f>$C$45*G46</f>
        <v>51818.862109999995</v>
      </c>
      <c r="H47" s="271">
        <f>$C$45*H46</f>
        <v>51818.862109999995</v>
      </c>
      <c r="I47" s="271">
        <f>$C$45*I46</f>
        <v>51818.862109999995</v>
      </c>
      <c r="J47" s="271">
        <f>$C$45*J46</f>
        <v>51818.862109999995</v>
      </c>
      <c r="K47" s="249"/>
      <c r="L47" s="5"/>
      <c r="M47" s="5"/>
      <c r="N47" s="5"/>
      <c r="O47" s="5"/>
      <c r="P47" s="5"/>
      <c r="Q47" s="5"/>
      <c r="R47" s="5"/>
      <c r="S47" s="5"/>
    </row>
    <row r="48" spans="2:19">
      <c r="B48" s="5" t="s">
        <v>751</v>
      </c>
      <c r="F48" s="249"/>
      <c r="G48" s="320">
        <v>20940.032965407041</v>
      </c>
      <c r="H48" s="320">
        <v>18045.931711796675</v>
      </c>
      <c r="I48" s="320">
        <v>15571.932278168093</v>
      </c>
      <c r="J48" s="320">
        <v>12926.592308216448</v>
      </c>
      <c r="K48" s="247"/>
      <c r="L48" s="5"/>
      <c r="M48" s="5"/>
      <c r="N48" s="5"/>
      <c r="O48" s="5"/>
      <c r="P48" s="5"/>
      <c r="Q48" s="5"/>
      <c r="R48" s="5"/>
      <c r="S48" s="5"/>
    </row>
    <row r="49" spans="2:19">
      <c r="B49" s="5" t="s">
        <v>524</v>
      </c>
      <c r="F49" s="257"/>
      <c r="G49" s="320">
        <v>0</v>
      </c>
      <c r="H49" s="320">
        <v>0</v>
      </c>
      <c r="I49" s="320">
        <v>0</v>
      </c>
      <c r="J49" s="320">
        <v>0</v>
      </c>
      <c r="K49" s="247"/>
      <c r="L49" s="5"/>
      <c r="M49" s="5"/>
      <c r="N49" s="5"/>
      <c r="O49" s="5"/>
      <c r="P49" s="5"/>
      <c r="Q49" s="5"/>
      <c r="R49" s="5"/>
      <c r="S49" s="5"/>
    </row>
    <row r="50" spans="2:19">
      <c r="B50" s="5" t="s">
        <v>527</v>
      </c>
      <c r="F50" s="257"/>
      <c r="G50" s="228">
        <v>0</v>
      </c>
      <c r="H50" s="228">
        <v>0</v>
      </c>
      <c r="I50" s="228">
        <v>0</v>
      </c>
      <c r="J50" s="228">
        <v>0</v>
      </c>
      <c r="K50" s="247"/>
      <c r="L50" s="5"/>
      <c r="M50" s="5"/>
      <c r="N50" s="5"/>
      <c r="O50" s="5"/>
      <c r="P50" s="5"/>
      <c r="Q50" s="5"/>
      <c r="R50" s="5"/>
      <c r="S50" s="5"/>
    </row>
    <row r="51" spans="2:19">
      <c r="B51" s="5" t="s">
        <v>526</v>
      </c>
      <c r="F51" s="274"/>
      <c r="G51" s="228">
        <v>0</v>
      </c>
      <c r="H51" s="228">
        <v>0</v>
      </c>
      <c r="I51" s="228">
        <v>0</v>
      </c>
      <c r="J51" s="228">
        <v>0</v>
      </c>
      <c r="K51" s="247"/>
      <c r="L51" s="5"/>
      <c r="M51" s="5"/>
      <c r="N51" s="5"/>
      <c r="O51" s="5"/>
      <c r="P51" s="5"/>
      <c r="Q51" s="5"/>
      <c r="R51" s="5"/>
      <c r="S51" s="5"/>
    </row>
    <row r="52" spans="2:19">
      <c r="B52" s="5" t="s">
        <v>529</v>
      </c>
      <c r="F52" s="257"/>
      <c r="G52" s="320">
        <v>0</v>
      </c>
      <c r="H52" s="320">
        <v>1993.7381433939368</v>
      </c>
      <c r="I52" s="320">
        <v>4446.9844039645504</v>
      </c>
      <c r="J52" s="320">
        <v>7381.3199121186608</v>
      </c>
      <c r="K52" s="247"/>
      <c r="L52" s="5"/>
    </row>
    <row r="53" spans="2:19">
      <c r="B53" s="5" t="s">
        <v>6</v>
      </c>
      <c r="F53" s="257"/>
      <c r="G53" s="320">
        <v>0</v>
      </c>
      <c r="H53" s="320">
        <v>0</v>
      </c>
      <c r="I53" s="320">
        <v>0</v>
      </c>
      <c r="J53" s="320">
        <v>0</v>
      </c>
      <c r="K53" s="247"/>
      <c r="L53" s="5"/>
    </row>
    <row r="54" spans="2:19" ht="12.6" thickBot="1">
      <c r="B54" s="41" t="s">
        <v>578</v>
      </c>
      <c r="F54" s="249"/>
      <c r="G54" s="275">
        <f>G47+G48+G49-G50+G51-G52-G53</f>
        <v>72758.895075407039</v>
      </c>
      <c r="H54" s="275">
        <f>H47+H48+H49-H50+H51-H52-H53</f>
        <v>67871.055678402743</v>
      </c>
      <c r="I54" s="275">
        <f>I47+I48+I49-I50+I51-I52-I53</f>
        <v>62943.80998420353</v>
      </c>
      <c r="J54" s="275">
        <f>J47+J48+J49-J50+J51-J52-J53</f>
        <v>57364.134506097776</v>
      </c>
      <c r="K54" s="276">
        <f>IF(G54=0,"nm",IF(J54=0,"nm",(J54/G54)^(1/3)-1))</f>
        <v>-7.6185481153062229E-2</v>
      </c>
      <c r="L54" s="5"/>
    </row>
    <row r="55" spans="2:19" ht="12.6" thickTop="1">
      <c r="I55" s="5"/>
      <c r="J55" s="5"/>
      <c r="K55" s="5"/>
      <c r="L55" s="5"/>
    </row>
    <row r="56" spans="2:19">
      <c r="I56" s="5"/>
      <c r="J56" s="5"/>
      <c r="K56" s="5"/>
      <c r="L56" s="5"/>
    </row>
    <row r="57" spans="2:19">
      <c r="K57" s="277" t="s">
        <v>460</v>
      </c>
      <c r="L57" s="5"/>
    </row>
    <row r="58" spans="2:19" ht="12.6" thickBot="1">
      <c r="B58" s="306" t="s">
        <v>570</v>
      </c>
      <c r="C58" s="265"/>
      <c r="D58" s="265"/>
      <c r="E58" s="265"/>
      <c r="F58" s="265"/>
      <c r="G58" s="265" t="str">
        <f>ADVANCED!D5</f>
        <v>2023E</v>
      </c>
      <c r="H58" s="265" t="str">
        <f>ADVANCED!E5</f>
        <v>2024E</v>
      </c>
      <c r="I58" s="265" t="str">
        <f>ADVANCED!F5</f>
        <v>2025E</v>
      </c>
      <c r="J58" s="265" t="str">
        <f>ADVANCED!G5</f>
        <v>2026E</v>
      </c>
      <c r="K58" s="265" t="str">
        <f>ADVANCED!H5</f>
        <v>23E-26E</v>
      </c>
      <c r="L58" s="5"/>
    </row>
    <row r="59" spans="2:19" ht="12.6" thickTop="1">
      <c r="B59" s="5"/>
      <c r="C59" s="257"/>
      <c r="G59" s="17"/>
      <c r="H59" s="17"/>
      <c r="I59" s="17"/>
      <c r="J59" s="17"/>
      <c r="K59" s="17"/>
      <c r="L59" s="5"/>
    </row>
    <row r="60" spans="2:19">
      <c r="B60" s="5" t="s">
        <v>478</v>
      </c>
      <c r="C60" s="247"/>
      <c r="F60" s="102">
        <v>10743.222652511426</v>
      </c>
      <c r="G60" s="322">
        <v>11365.504896144612</v>
      </c>
      <c r="H60" s="322">
        <v>12160.717457297642</v>
      </c>
      <c r="I60" s="322">
        <v>12927.705037247972</v>
      </c>
      <c r="J60" s="322">
        <v>13671.813065213368</v>
      </c>
      <c r="K60" s="279">
        <f>IF(G60=0,"nm",IF(J60=0,"nm",(J60/G60)^(1/3)-1))</f>
        <v>6.3520321580009309E-2</v>
      </c>
      <c r="L60" s="5"/>
    </row>
    <row r="61" spans="2:19">
      <c r="B61" s="5" t="s">
        <v>179</v>
      </c>
      <c r="C61" s="247"/>
      <c r="F61" s="102">
        <v>5144.7257266621918</v>
      </c>
      <c r="G61" s="322">
        <v>5999.9668919542291</v>
      </c>
      <c r="H61" s="322">
        <v>7028.1598353357913</v>
      </c>
      <c r="I61" s="322">
        <v>7910.6603041938279</v>
      </c>
      <c r="J61" s="322">
        <v>8615.9775489313943</v>
      </c>
      <c r="K61" s="279">
        <f>IF(G61=0,"nm",IF(J61=0,"nm",(J61/G61)^(1/3)-1))</f>
        <v>0.12819776463667343</v>
      </c>
      <c r="L61" s="5"/>
    </row>
    <row r="62" spans="2:19">
      <c r="B62" s="5" t="s">
        <v>581</v>
      </c>
      <c r="C62" s="247"/>
      <c r="F62" s="102">
        <v>4142.3070940310163</v>
      </c>
      <c r="G62" s="322">
        <v>4810.4725755495256</v>
      </c>
      <c r="H62" s="322">
        <v>5546.1786398951908</v>
      </c>
      <c r="I62" s="322">
        <v>6211.6242865899558</v>
      </c>
      <c r="J62" s="322">
        <v>7150.4301366448799</v>
      </c>
      <c r="K62" s="279">
        <f>IF(G62=0,"nm",IF(J62=0,"nm",(J62/G62)^(1/3)-1))</f>
        <v>0.14125179832231338</v>
      </c>
      <c r="L62" s="5"/>
    </row>
    <row r="63" spans="2:19">
      <c r="B63" s="5"/>
      <c r="C63" s="247"/>
      <c r="G63" s="279"/>
      <c r="H63" s="279"/>
      <c r="I63" s="279"/>
      <c r="J63" s="279"/>
      <c r="K63" s="279"/>
      <c r="L63" s="5"/>
    </row>
    <row r="64" spans="2:19">
      <c r="B64" s="5"/>
      <c r="C64" s="247"/>
      <c r="G64" s="17"/>
      <c r="H64" s="17"/>
      <c r="I64" s="17"/>
      <c r="J64" s="17"/>
      <c r="K64" s="277" t="s">
        <v>460</v>
      </c>
      <c r="L64" s="5"/>
    </row>
    <row r="65" spans="2:12" ht="12.6" thickBot="1">
      <c r="B65" s="306" t="s">
        <v>244</v>
      </c>
      <c r="C65" s="265"/>
      <c r="D65" s="265"/>
      <c r="E65" s="265"/>
      <c r="F65" s="265"/>
      <c r="G65" s="265" t="str">
        <f>ADVANCED!D5</f>
        <v>2023E</v>
      </c>
      <c r="H65" s="265" t="str">
        <f>ADVANCED!E5</f>
        <v>2024E</v>
      </c>
      <c r="I65" s="265" t="str">
        <f>ADVANCED!F5</f>
        <v>2025E</v>
      </c>
      <c r="J65" s="265" t="str">
        <f>ADVANCED!G5</f>
        <v>2026E</v>
      </c>
      <c r="K65" s="265" t="str">
        <f>ADVANCED!H5</f>
        <v>23E-26E</v>
      </c>
      <c r="L65" s="5"/>
    </row>
    <row r="66" spans="2:12" ht="12.6" thickTop="1">
      <c r="B66" s="41"/>
      <c r="C66" s="249"/>
      <c r="G66" s="254"/>
      <c r="H66" s="254"/>
      <c r="I66" s="254"/>
      <c r="J66" s="254"/>
      <c r="K66" s="254"/>
      <c r="L66" s="5"/>
    </row>
    <row r="67" spans="2:12">
      <c r="B67" s="41" t="s">
        <v>180</v>
      </c>
      <c r="C67" s="247"/>
      <c r="G67" s="268">
        <f t="shared" ref="G67:J69" si="5">G$54/G60</f>
        <v>6.4017301246412899</v>
      </c>
      <c r="H67" s="268">
        <f t="shared" si="5"/>
        <v>5.5811719922555509</v>
      </c>
      <c r="I67" s="268">
        <f t="shared" si="5"/>
        <v>4.868908271255151</v>
      </c>
      <c r="J67" s="268">
        <f t="shared" si="5"/>
        <v>4.1957957026237711</v>
      </c>
      <c r="K67" s="17">
        <f>K60</f>
        <v>6.3520321580009309E-2</v>
      </c>
      <c r="L67" s="5"/>
    </row>
    <row r="68" spans="2:12">
      <c r="B68" s="41" t="s">
        <v>181</v>
      </c>
      <c r="C68" s="249"/>
      <c r="G68" s="268">
        <f t="shared" si="5"/>
        <v>12.126549426960086</v>
      </c>
      <c r="H68" s="268">
        <f t="shared" si="5"/>
        <v>9.6570165261701106</v>
      </c>
      <c r="I68" s="268">
        <f t="shared" si="5"/>
        <v>7.9568338879162761</v>
      </c>
      <c r="J68" s="268">
        <f t="shared" si="5"/>
        <v>6.6578788280631516</v>
      </c>
      <c r="K68" s="17">
        <f>K61</f>
        <v>0.12819776463667343</v>
      </c>
      <c r="L68" s="5"/>
    </row>
    <row r="69" spans="2:12">
      <c r="B69" s="41" t="s">
        <v>461</v>
      </c>
      <c r="C69" s="247"/>
      <c r="G69" s="268">
        <f t="shared" si="5"/>
        <v>15.125103393214005</v>
      </c>
      <c r="H69" s="268">
        <f t="shared" si="5"/>
        <v>12.237444930133973</v>
      </c>
      <c r="I69" s="268">
        <f t="shared" si="5"/>
        <v>10.133228778838182</v>
      </c>
      <c r="J69" s="268">
        <f t="shared" si="5"/>
        <v>8.0224732512405392</v>
      </c>
      <c r="K69" s="17">
        <f>K62</f>
        <v>0.14125179832231338</v>
      </c>
      <c r="L69" s="5"/>
    </row>
    <row r="70" spans="2:12">
      <c r="B70" s="41"/>
      <c r="C70" s="5"/>
      <c r="G70" s="250"/>
      <c r="H70" s="250"/>
      <c r="I70" s="250"/>
      <c r="J70" s="250"/>
      <c r="K70" s="17"/>
      <c r="L70" s="5"/>
    </row>
    <row r="71" spans="2:12">
      <c r="B71" s="41"/>
      <c r="C71" s="5"/>
      <c r="G71" s="250"/>
      <c r="H71" s="250"/>
      <c r="I71" s="250"/>
      <c r="J71" s="250"/>
      <c r="K71" s="17"/>
      <c r="L71" s="5"/>
    </row>
    <row r="72" spans="2:12">
      <c r="B72" s="5"/>
      <c r="C72" s="5"/>
      <c r="D72" s="5"/>
      <c r="E72" s="5"/>
      <c r="F72" s="5"/>
      <c r="G72" s="5"/>
      <c r="H72" s="5"/>
      <c r="I72" s="5"/>
      <c r="J72" s="5"/>
      <c r="K72" s="5"/>
      <c r="L72" s="5"/>
    </row>
    <row r="73" spans="2:12">
      <c r="B73" s="5"/>
      <c r="C73" s="5"/>
      <c r="D73" s="5"/>
      <c r="E73" s="5"/>
      <c r="F73" s="5"/>
      <c r="G73" s="5"/>
      <c r="H73" s="5"/>
      <c r="I73" s="5"/>
      <c r="J73" s="5"/>
      <c r="K73" s="5"/>
      <c r="L73" s="5"/>
    </row>
    <row r="74" spans="2:12">
      <c r="B74" s="5"/>
      <c r="C74" s="5"/>
      <c r="D74" s="5"/>
      <c r="E74" s="5"/>
      <c r="F74" s="5"/>
      <c r="G74" s="5"/>
      <c r="H74" s="5"/>
      <c r="I74" s="5"/>
      <c r="J74" s="5"/>
      <c r="K74" s="5"/>
      <c r="L74" s="5"/>
    </row>
    <row r="75" spans="2:12">
      <c r="B75" s="5"/>
      <c r="C75" s="259"/>
      <c r="D75" s="248"/>
      <c r="E75" s="248"/>
      <c r="F75" s="248"/>
      <c r="G75" s="248"/>
      <c r="H75" s="248"/>
      <c r="I75" s="248"/>
      <c r="J75" s="248"/>
      <c r="K75" s="248"/>
    </row>
    <row r="76" spans="2:12">
      <c r="B76" s="5"/>
      <c r="C76" s="259"/>
      <c r="D76" s="247"/>
      <c r="E76" s="247"/>
      <c r="F76" s="247"/>
      <c r="G76" s="247"/>
      <c r="H76" s="247"/>
      <c r="I76" s="247"/>
      <c r="J76" s="247"/>
      <c r="K76" s="247"/>
    </row>
    <row r="77" spans="2:12">
      <c r="B77" s="41"/>
      <c r="C77" s="249"/>
      <c r="D77" s="249"/>
      <c r="E77" s="249"/>
      <c r="F77" s="249"/>
      <c r="G77" s="249"/>
      <c r="H77" s="249"/>
      <c r="I77" s="249"/>
      <c r="J77" s="249"/>
      <c r="K77" s="249"/>
    </row>
    <row r="78" spans="2:12">
      <c r="B78" s="41"/>
      <c r="C78" s="257"/>
      <c r="D78" s="248"/>
      <c r="E78" s="248"/>
      <c r="F78" s="248"/>
      <c r="G78" s="248"/>
      <c r="H78" s="248"/>
      <c r="I78" s="248"/>
      <c r="J78" s="248"/>
      <c r="K78" s="248"/>
    </row>
    <row r="79" spans="2:12">
      <c r="B79" s="41"/>
      <c r="C79" s="5"/>
      <c r="D79" s="5"/>
      <c r="E79" s="5"/>
      <c r="F79" s="5"/>
      <c r="G79" s="5"/>
      <c r="H79" s="5"/>
      <c r="I79" s="5"/>
      <c r="J79" s="5"/>
      <c r="K79" s="5"/>
    </row>
    <row r="80" spans="2:12">
      <c r="B80" s="5"/>
      <c r="C80" s="259"/>
      <c r="D80" s="259"/>
      <c r="E80" s="259"/>
      <c r="F80" s="259"/>
      <c r="G80" s="259"/>
      <c r="H80" s="259"/>
      <c r="I80" s="259"/>
      <c r="J80" s="259"/>
      <c r="K80" s="259"/>
    </row>
    <row r="81" spans="2:19" s="5" customFormat="1">
      <c r="C81" s="259"/>
      <c r="D81" s="259"/>
      <c r="E81" s="259"/>
      <c r="F81" s="259"/>
      <c r="G81" s="259"/>
      <c r="H81" s="259"/>
      <c r="I81" s="259"/>
      <c r="J81" s="259"/>
      <c r="K81" s="259"/>
      <c r="L81" s="168"/>
      <c r="M81" s="239"/>
      <c r="N81" s="239"/>
      <c r="O81" s="239"/>
      <c r="P81" s="239"/>
      <c r="Q81" s="239"/>
      <c r="R81" s="239"/>
      <c r="S81" s="239"/>
    </row>
    <row r="82" spans="2:19">
      <c r="B82" s="5"/>
      <c r="C82" s="247"/>
      <c r="D82" s="247"/>
      <c r="E82" s="247"/>
      <c r="F82" s="247"/>
      <c r="G82" s="247"/>
      <c r="H82" s="247"/>
      <c r="I82" s="247"/>
      <c r="J82" s="247"/>
      <c r="K82" s="247"/>
    </row>
    <row r="83" spans="2:19">
      <c r="B83" s="5"/>
      <c r="C83" s="5"/>
      <c r="D83" s="5"/>
      <c r="E83" s="5"/>
      <c r="F83" s="5"/>
      <c r="G83" s="5"/>
      <c r="H83" s="5"/>
      <c r="I83" s="5"/>
      <c r="J83" s="5"/>
      <c r="K83" s="5"/>
    </row>
    <row r="84" spans="2:19">
      <c r="B84" s="5"/>
      <c r="C84" s="259"/>
      <c r="D84" s="247"/>
      <c r="E84" s="247"/>
      <c r="F84" s="247"/>
      <c r="G84" s="247"/>
      <c r="H84" s="247"/>
      <c r="I84" s="247"/>
      <c r="J84" s="247"/>
      <c r="K84" s="247"/>
    </row>
    <row r="85" spans="2:19" s="5" customFormat="1">
      <c r="C85" s="259"/>
      <c r="L85" s="168"/>
      <c r="M85" s="239"/>
      <c r="N85" s="239"/>
      <c r="O85" s="239"/>
      <c r="P85" s="239"/>
      <c r="Q85" s="239"/>
      <c r="R85" s="239"/>
      <c r="S85" s="239"/>
    </row>
    <row r="86" spans="2:19" s="5" customFormat="1">
      <c r="C86" s="259"/>
      <c r="D86" s="259"/>
      <c r="E86" s="259"/>
      <c r="F86" s="259"/>
      <c r="G86" s="259"/>
      <c r="H86" s="259"/>
      <c r="I86" s="259"/>
      <c r="J86" s="259"/>
      <c r="K86" s="259"/>
      <c r="L86" s="168"/>
      <c r="M86" s="239"/>
      <c r="N86" s="239"/>
      <c r="O86" s="239"/>
      <c r="P86" s="239"/>
      <c r="Q86" s="239"/>
      <c r="R86" s="239"/>
      <c r="S86" s="239"/>
    </row>
    <row r="87" spans="2:19">
      <c r="B87" s="5"/>
      <c r="C87" s="247"/>
      <c r="D87" s="247"/>
      <c r="E87" s="247"/>
      <c r="F87" s="247"/>
      <c r="G87" s="247"/>
      <c r="H87" s="247"/>
      <c r="I87" s="247"/>
      <c r="J87" s="247"/>
      <c r="K87" s="247"/>
    </row>
    <row r="88" spans="2:19">
      <c r="B88" s="41"/>
      <c r="C88" s="249"/>
      <c r="D88" s="249"/>
      <c r="E88" s="249"/>
      <c r="F88" s="249"/>
      <c r="G88" s="249"/>
      <c r="H88" s="249"/>
      <c r="I88" s="249"/>
      <c r="J88" s="249"/>
      <c r="K88" s="249"/>
    </row>
    <row r="89" spans="2:19">
      <c r="B89" s="5"/>
      <c r="C89" s="249"/>
      <c r="D89" s="249"/>
      <c r="E89" s="249"/>
      <c r="F89" s="249"/>
      <c r="G89" s="249"/>
      <c r="H89" s="249"/>
      <c r="I89" s="249"/>
      <c r="J89" s="249"/>
      <c r="K89" s="249"/>
    </row>
    <row r="90" spans="2:19">
      <c r="B90" s="5"/>
      <c r="C90" s="247"/>
      <c r="D90" s="247"/>
      <c r="E90" s="247"/>
      <c r="F90" s="247"/>
      <c r="G90" s="247"/>
      <c r="H90" s="247"/>
      <c r="I90" s="247"/>
      <c r="J90" s="247"/>
      <c r="K90" s="247"/>
    </row>
    <row r="91" spans="2:19">
      <c r="B91" s="5"/>
      <c r="C91" s="5"/>
      <c r="D91" s="5"/>
      <c r="E91" s="5"/>
      <c r="F91" s="5"/>
      <c r="G91" s="5"/>
      <c r="H91" s="5"/>
      <c r="I91" s="5"/>
      <c r="J91" s="5"/>
      <c r="K91" s="5"/>
    </row>
    <row r="92" spans="2:19">
      <c r="B92" s="5"/>
      <c r="C92" s="5"/>
      <c r="D92" s="5"/>
      <c r="E92" s="5"/>
      <c r="F92" s="5"/>
      <c r="G92" s="5"/>
      <c r="H92" s="5"/>
      <c r="I92" s="5"/>
      <c r="J92" s="5"/>
      <c r="K92" s="5"/>
    </row>
    <row r="93" spans="2:19">
      <c r="B93" s="5"/>
      <c r="C93" s="5"/>
      <c r="D93" s="5"/>
      <c r="E93" s="5"/>
      <c r="F93" s="5"/>
      <c r="G93" s="5"/>
      <c r="H93" s="5"/>
      <c r="I93" s="5"/>
      <c r="J93" s="5"/>
      <c r="K93" s="5"/>
    </row>
    <row r="94" spans="2:19">
      <c r="B94" s="5"/>
      <c r="C94" s="5"/>
      <c r="D94" s="5"/>
      <c r="E94" s="5"/>
      <c r="F94" s="5"/>
      <c r="G94" s="5"/>
      <c r="H94" s="5"/>
      <c r="I94" s="5"/>
      <c r="J94" s="5"/>
      <c r="K94" s="5"/>
    </row>
    <row r="95" spans="2:19">
      <c r="B95" s="242"/>
      <c r="C95" s="49"/>
      <c r="D95" s="49"/>
      <c r="E95" s="49"/>
      <c r="F95" s="49"/>
      <c r="G95" s="49"/>
      <c r="H95" s="49"/>
      <c r="I95" s="49"/>
      <c r="J95" s="49"/>
      <c r="K95" s="49"/>
    </row>
    <row r="96" spans="2:19">
      <c r="B96" s="5"/>
      <c r="C96" s="5"/>
      <c r="D96" s="5"/>
      <c r="E96" s="5"/>
      <c r="F96" s="5"/>
      <c r="G96" s="5"/>
      <c r="H96" s="5"/>
      <c r="I96" s="5"/>
      <c r="J96" s="5"/>
      <c r="K96" s="5"/>
    </row>
    <row r="97" spans="2:11">
      <c r="B97" s="41"/>
      <c r="C97" s="254"/>
      <c r="D97" s="254"/>
      <c r="E97" s="254"/>
      <c r="F97" s="254"/>
      <c r="G97" s="254"/>
      <c r="H97" s="254"/>
      <c r="I97" s="254"/>
      <c r="J97" s="254"/>
      <c r="K97" s="254"/>
    </row>
    <row r="98" spans="2:11">
      <c r="B98" s="41"/>
      <c r="C98" s="254"/>
      <c r="D98" s="249"/>
      <c r="E98" s="249"/>
      <c r="F98" s="249"/>
      <c r="G98" s="249"/>
      <c r="H98" s="249"/>
      <c r="I98" s="249"/>
      <c r="J98" s="249"/>
      <c r="K98" s="249"/>
    </row>
    <row r="99" spans="2:11">
      <c r="B99" s="41"/>
      <c r="C99" s="254"/>
      <c r="D99" s="254"/>
      <c r="E99" s="254"/>
      <c r="F99" s="254"/>
      <c r="G99" s="254"/>
      <c r="H99" s="254"/>
      <c r="I99" s="254"/>
      <c r="J99" s="254"/>
      <c r="K99" s="254"/>
    </row>
    <row r="100" spans="2:11">
      <c r="B100" s="41"/>
      <c r="C100" s="254"/>
      <c r="D100" s="254"/>
      <c r="E100" s="254"/>
      <c r="F100" s="254"/>
      <c r="G100" s="254"/>
      <c r="H100" s="254"/>
      <c r="I100" s="254"/>
      <c r="J100" s="254"/>
      <c r="K100" s="254"/>
    </row>
    <row r="101" spans="2:11">
      <c r="B101" s="41"/>
      <c r="C101" s="254"/>
      <c r="D101" s="254"/>
      <c r="E101" s="254"/>
      <c r="F101" s="254"/>
      <c r="G101" s="254"/>
      <c r="H101" s="254"/>
      <c r="I101" s="254"/>
      <c r="J101" s="254"/>
      <c r="K101" s="254"/>
    </row>
    <row r="102" spans="2:11">
      <c r="B102" s="41"/>
      <c r="C102" s="254"/>
      <c r="D102" s="254"/>
      <c r="E102" s="254"/>
      <c r="F102" s="254"/>
      <c r="G102" s="254"/>
      <c r="H102" s="254"/>
      <c r="I102" s="254"/>
      <c r="J102" s="254"/>
      <c r="K102" s="254"/>
    </row>
    <row r="103" spans="2:11">
      <c r="B103" s="41"/>
      <c r="C103" s="254"/>
      <c r="D103" s="254"/>
      <c r="E103" s="254"/>
      <c r="F103" s="254"/>
      <c r="G103" s="254"/>
      <c r="H103" s="254"/>
      <c r="I103" s="254"/>
      <c r="J103" s="254"/>
      <c r="K103" s="254"/>
    </row>
    <row r="104" spans="2:11">
      <c r="B104" s="41"/>
      <c r="C104" s="254"/>
      <c r="D104" s="254"/>
      <c r="E104" s="254"/>
      <c r="F104" s="254"/>
      <c r="G104" s="254"/>
      <c r="H104" s="254"/>
      <c r="I104" s="254"/>
      <c r="J104" s="254"/>
      <c r="K104" s="254"/>
    </row>
    <row r="105" spans="2:11">
      <c r="B105" s="41"/>
      <c r="C105" s="254"/>
      <c r="D105" s="254"/>
      <c r="E105" s="254"/>
      <c r="F105" s="254"/>
      <c r="G105" s="254"/>
      <c r="H105" s="254"/>
      <c r="I105" s="254"/>
      <c r="J105" s="254"/>
      <c r="K105" s="254"/>
    </row>
    <row r="106" spans="2:11">
      <c r="B106" s="41"/>
      <c r="C106" s="254"/>
      <c r="D106" s="254"/>
      <c r="E106" s="254"/>
      <c r="F106" s="254"/>
      <c r="G106" s="254"/>
      <c r="H106" s="254"/>
      <c r="I106" s="254"/>
      <c r="J106" s="254"/>
      <c r="K106" s="254"/>
    </row>
    <row r="107" spans="2:11">
      <c r="B107" s="5"/>
      <c r="C107" s="5"/>
      <c r="D107" s="18"/>
      <c r="E107" s="18"/>
      <c r="F107" s="18"/>
      <c r="G107" s="18"/>
      <c r="H107" s="18"/>
      <c r="I107" s="18"/>
      <c r="J107" s="18"/>
      <c r="K107" s="18"/>
    </row>
    <row r="108" spans="2:11">
      <c r="B108" s="5"/>
      <c r="C108" s="5"/>
      <c r="D108" s="5"/>
      <c r="E108" s="5"/>
      <c r="F108" s="5"/>
      <c r="G108" s="5"/>
      <c r="H108" s="5"/>
      <c r="I108" s="5"/>
      <c r="J108" s="5"/>
      <c r="K108" s="5"/>
    </row>
    <row r="109" spans="2:11">
      <c r="B109" s="41"/>
      <c r="C109" s="254"/>
      <c r="D109" s="254"/>
      <c r="E109" s="254"/>
      <c r="F109" s="254"/>
      <c r="G109" s="254"/>
      <c r="H109" s="254"/>
      <c r="I109" s="254"/>
      <c r="J109" s="254"/>
      <c r="K109" s="254"/>
    </row>
    <row r="110" spans="2:11">
      <c r="B110" s="5"/>
      <c r="C110" s="259"/>
      <c r="D110" s="18"/>
      <c r="E110" s="18"/>
      <c r="F110" s="18"/>
      <c r="G110" s="18"/>
      <c r="H110" s="18"/>
      <c r="I110" s="18"/>
      <c r="J110" s="18"/>
      <c r="K110" s="18"/>
    </row>
    <row r="111" spans="2:11">
      <c r="B111" s="5"/>
      <c r="C111" s="5"/>
      <c r="D111" s="5"/>
      <c r="E111" s="5"/>
      <c r="F111" s="5"/>
      <c r="G111" s="5"/>
      <c r="H111" s="5"/>
      <c r="I111" s="5"/>
      <c r="J111" s="5"/>
      <c r="K111" s="5"/>
    </row>
    <row r="112" spans="2:11">
      <c r="B112" s="41"/>
      <c r="C112" s="5"/>
      <c r="D112" s="5"/>
      <c r="E112" s="5"/>
      <c r="F112" s="5"/>
      <c r="G112" s="5"/>
      <c r="H112" s="5"/>
      <c r="I112" s="5"/>
      <c r="J112" s="5"/>
      <c r="K112" s="5"/>
    </row>
    <row r="113" spans="2:11">
      <c r="B113" s="5"/>
      <c r="C113" s="17"/>
      <c r="D113" s="17"/>
      <c r="E113" s="17"/>
      <c r="F113" s="17"/>
      <c r="G113" s="17"/>
      <c r="H113" s="17"/>
      <c r="I113" s="17"/>
      <c r="J113" s="17"/>
      <c r="K113" s="17"/>
    </row>
    <row r="114" spans="2:11">
      <c r="B114" s="5"/>
      <c r="C114" s="17"/>
      <c r="D114" s="17"/>
      <c r="E114" s="17"/>
      <c r="F114" s="17"/>
      <c r="G114" s="17"/>
      <c r="H114" s="17"/>
      <c r="I114" s="17"/>
      <c r="J114" s="17"/>
      <c r="K114" s="17"/>
    </row>
    <row r="115" spans="2:11">
      <c r="B115" s="5"/>
      <c r="C115" s="5"/>
      <c r="D115" s="17"/>
      <c r="E115" s="17"/>
      <c r="F115" s="17"/>
      <c r="G115" s="17"/>
      <c r="H115" s="17"/>
      <c r="I115" s="17"/>
      <c r="J115" s="17"/>
      <c r="K115" s="17"/>
    </row>
    <row r="116" spans="2:11">
      <c r="B116" s="5"/>
      <c r="C116" s="5"/>
      <c r="D116" s="17"/>
      <c r="E116" s="17"/>
      <c r="F116" s="17"/>
      <c r="G116" s="17"/>
      <c r="H116" s="17"/>
      <c r="I116" s="17"/>
      <c r="J116" s="17"/>
      <c r="K116" s="17"/>
    </row>
    <row r="117" spans="2:11">
      <c r="B117" s="5"/>
      <c r="C117" s="5"/>
      <c r="D117" s="17"/>
      <c r="E117" s="17"/>
      <c r="F117" s="17"/>
      <c r="G117" s="17"/>
      <c r="H117" s="17"/>
      <c r="I117" s="17"/>
      <c r="J117" s="17"/>
      <c r="K117" s="17"/>
    </row>
    <row r="118" spans="2:11">
      <c r="B118" s="5"/>
      <c r="C118" s="17"/>
      <c r="D118" s="17"/>
      <c r="E118" s="17"/>
      <c r="F118" s="17"/>
      <c r="G118" s="17"/>
      <c r="H118" s="17"/>
      <c r="I118" s="17"/>
      <c r="J118" s="17"/>
      <c r="K118" s="17"/>
    </row>
    <row r="119" spans="2:11">
      <c r="B119" s="5"/>
      <c r="C119" s="5"/>
      <c r="D119" s="5"/>
      <c r="E119" s="5"/>
      <c r="F119" s="5"/>
      <c r="G119" s="5"/>
      <c r="H119" s="5"/>
      <c r="I119" s="5"/>
      <c r="J119" s="5"/>
      <c r="K119" s="5"/>
    </row>
    <row r="120" spans="2:11">
      <c r="B120" s="5"/>
      <c r="C120" s="5"/>
      <c r="D120" s="5"/>
      <c r="E120" s="5"/>
      <c r="F120" s="5"/>
      <c r="G120" s="5"/>
      <c r="H120" s="5"/>
      <c r="I120" s="5"/>
      <c r="J120" s="5"/>
      <c r="K120" s="5"/>
    </row>
    <row r="121" spans="2:11">
      <c r="B121" s="5"/>
      <c r="C121" s="5"/>
      <c r="D121" s="5"/>
      <c r="E121" s="5"/>
      <c r="F121" s="5"/>
      <c r="G121" s="5"/>
      <c r="H121" s="5"/>
      <c r="I121" s="5"/>
      <c r="J121" s="5"/>
      <c r="K121" s="5"/>
    </row>
    <row r="122" spans="2:11">
      <c r="B122" s="5"/>
      <c r="C122" s="5"/>
      <c r="D122" s="5"/>
      <c r="E122" s="5"/>
      <c r="F122" s="5"/>
      <c r="G122" s="5"/>
      <c r="H122" s="5"/>
      <c r="I122" s="5"/>
      <c r="J122" s="5"/>
      <c r="K122" s="5"/>
    </row>
    <row r="123" spans="2:11">
      <c r="B123" s="5"/>
      <c r="C123" s="5"/>
      <c r="D123" s="5"/>
      <c r="E123" s="5"/>
      <c r="F123" s="5"/>
      <c r="G123" s="5"/>
      <c r="H123" s="5"/>
      <c r="I123" s="5"/>
      <c r="J123" s="5"/>
      <c r="K123" s="5"/>
    </row>
    <row r="124" spans="2:11">
      <c r="B124" s="5"/>
      <c r="C124" s="5"/>
      <c r="D124" s="5"/>
      <c r="E124" s="5"/>
      <c r="F124" s="5"/>
      <c r="G124" s="5"/>
      <c r="H124" s="5"/>
      <c r="I124" s="5"/>
      <c r="J124" s="5"/>
      <c r="K124" s="5"/>
    </row>
    <row r="125" spans="2:11">
      <c r="B125" s="5"/>
      <c r="C125" s="5"/>
      <c r="D125" s="5"/>
      <c r="E125" s="5"/>
      <c r="F125" s="5"/>
      <c r="G125" s="5"/>
      <c r="H125" s="5"/>
      <c r="I125" s="5"/>
      <c r="J125" s="5"/>
      <c r="K125" s="5"/>
    </row>
    <row r="126" spans="2:11">
      <c r="B126" s="5"/>
      <c r="C126" s="5"/>
      <c r="D126" s="5"/>
      <c r="E126" s="5"/>
      <c r="F126" s="5"/>
      <c r="G126" s="5"/>
      <c r="H126" s="5"/>
      <c r="I126" s="5"/>
      <c r="J126" s="5"/>
      <c r="K126" s="5"/>
    </row>
    <row r="127" spans="2:11">
      <c r="B127" s="5"/>
      <c r="C127" s="5"/>
      <c r="D127" s="5"/>
      <c r="E127" s="5"/>
      <c r="F127" s="5"/>
      <c r="G127" s="5"/>
      <c r="H127" s="5"/>
      <c r="I127" s="5"/>
      <c r="J127" s="5"/>
      <c r="K127" s="5"/>
    </row>
    <row r="128" spans="2:11">
      <c r="B128" s="5"/>
      <c r="C128" s="5"/>
      <c r="D128" s="5"/>
      <c r="E128" s="5"/>
      <c r="F128" s="5"/>
      <c r="G128" s="5"/>
      <c r="H128" s="5"/>
      <c r="I128" s="5"/>
      <c r="J128" s="5"/>
      <c r="K128" s="5"/>
    </row>
    <row r="131" spans="3:3">
      <c r="C131" s="263"/>
    </row>
  </sheetData>
  <phoneticPr fontId="7" type="noConversion"/>
  <pageMargins left="0.75" right="0.75" top="1" bottom="1" header="0.5" footer="0.5"/>
  <pageSetup scale="33"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85">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709</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354</v>
      </c>
      <c r="C11" s="5"/>
      <c r="D11" s="271">
        <f>ATT!D11+VZN!D11+TMUS!D11</f>
        <v>591179.83351016999</v>
      </c>
      <c r="E11" s="271">
        <f>ATT!E11+VZN!E11+TMUS!E11</f>
        <v>575217.23046077229</v>
      </c>
      <c r="F11" s="271">
        <f>ATT!F11+VZN!F11+TMUS!F11</f>
        <v>553367.3932753714</v>
      </c>
      <c r="G11" s="271">
        <f>ATT!G11+VZN!G11+TMUS!G11</f>
        <v>533177.4813234933</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49"/>
      <c r="D12" s="228">
        <f>ATT!D12+VZN!D12+TMUS!D12</f>
        <v>322344</v>
      </c>
      <c r="E12" s="228">
        <f>ATT!E12+VZN!E12+TMUS!E12</f>
        <v>312847.87885760178</v>
      </c>
      <c r="F12" s="228">
        <f>ATT!F12+VZN!F12+TMUS!F12</f>
        <v>300416.97928856406</v>
      </c>
      <c r="G12" s="228">
        <f>ATT!G12+VZN!G12+TMUS!G12</f>
        <v>286834.0495875589</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57"/>
      <c r="D13" s="228">
        <f>ATT!D13+VZN!D13+TMUS!D13</f>
        <v>0</v>
      </c>
      <c r="E13" s="228">
        <f>ATT!E13+VZN!E13+TMUS!E13</f>
        <v>0</v>
      </c>
      <c r="F13" s="228">
        <f>ATT!F13+VZN!F13+TMUS!F13</f>
        <v>0</v>
      </c>
      <c r="G13" s="228">
        <f>ATT!G13+VZN!G13+TMUS!G13</f>
        <v>0</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74"/>
      <c r="D14" s="228">
        <f>ATT!D14+VZN!D14+TMUS!D14</f>
        <v>12853</v>
      </c>
      <c r="E14" s="228">
        <f>ATT!E14+VZN!E14+TMUS!E14</f>
        <v>12853</v>
      </c>
      <c r="F14" s="228">
        <f>ATT!F14+VZN!F14+TMUS!F14</f>
        <v>12853</v>
      </c>
      <c r="G14" s="228">
        <f>ATT!G14+VZN!G14+TMUS!G14</f>
        <v>12853</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57"/>
      <c r="D15" s="228">
        <f>ATT!D15+VZN!D15+TMUS!D15</f>
        <v>22587</v>
      </c>
      <c r="E15" s="228">
        <f>ATT!E15+VZN!E15+TMUS!E15</f>
        <v>22587</v>
      </c>
      <c r="F15" s="228">
        <f>ATT!F15+VZN!F15+TMUS!F15</f>
        <v>22587</v>
      </c>
      <c r="G15" s="228">
        <f>ATT!G15+VZN!G15+TMUS!G15</f>
        <v>22587</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57"/>
      <c r="D16" s="228">
        <f>ATT!D16+VZN!D16+TMUS!D16</f>
        <v>19908</v>
      </c>
      <c r="E16" s="228">
        <f>ATT!E16+VZN!E16+TMUS!E16</f>
        <v>42394.11</v>
      </c>
      <c r="F16" s="228">
        <f>ATT!F16+VZN!F16+TMUS!F16</f>
        <v>65097.02</v>
      </c>
      <c r="G16" s="228">
        <f>ATT!G16+VZN!G16+TMUS!G16</f>
        <v>88156.921832621592</v>
      </c>
      <c r="H16" s="247"/>
      <c r="I16" s="247"/>
      <c r="J16" s="5" t="s">
        <v>528</v>
      </c>
      <c r="L16" s="64">
        <f>'AGG DM'!D44</f>
        <v>15.638044643718967</v>
      </c>
      <c r="M16" s="64">
        <f>'AGG DM'!E44</f>
        <v>14.220962153693332</v>
      </c>
      <c r="N16" s="64">
        <f>'AGG DM'!F44</f>
        <v>12.502249176356969</v>
      </c>
      <c r="O16" s="64">
        <f>'AGG DM'!G44</f>
        <v>11.233113481631298</v>
      </c>
      <c r="P16" s="17">
        <f>'AGG DM'!H44</f>
        <v>8.8584802895584236E-2</v>
      </c>
      <c r="S16" s="88"/>
      <c r="T16" s="88"/>
      <c r="U16" s="88"/>
      <c r="V16" s="42"/>
      <c r="W16" s="42"/>
      <c r="X16" s="42"/>
      <c r="Y16" s="42"/>
      <c r="Z16" s="42"/>
      <c r="AA16" s="42"/>
    </row>
    <row r="17" spans="2:27">
      <c r="B17" s="5" t="s">
        <v>6</v>
      </c>
      <c r="C17" s="257"/>
      <c r="D17" s="228">
        <f>ATT!D17+VZN!D17+TMUS!D17</f>
        <v>0</v>
      </c>
      <c r="E17" s="228">
        <f>ATT!E17+VZN!E17+TMUS!E17</f>
        <v>0</v>
      </c>
      <c r="F17" s="228">
        <f>ATT!F17+VZN!F17+TMUS!F17</f>
        <v>0</v>
      </c>
      <c r="G17" s="228">
        <f>ATT!G17+VZN!G17+TMUS!G17</f>
        <v>0</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355</v>
      </c>
      <c r="C18" s="249"/>
      <c r="D18" s="275">
        <f>ATT!D18+VZN!D18+TMUS!D18</f>
        <v>903349.83351016999</v>
      </c>
      <c r="E18" s="275">
        <f>ATT!E18+VZN!E18+TMUS!E18</f>
        <v>855404.9993183742</v>
      </c>
      <c r="F18" s="275">
        <f>ATT!F18+VZN!F18+TMUS!F18</f>
        <v>798421.35256393533</v>
      </c>
      <c r="G18" s="275">
        <f>ATT!G18+VZN!G18+TMUS!G18</f>
        <v>741588.60907843057</v>
      </c>
      <c r="H18" s="276">
        <f>IF(D18=0,"nm",IF(G18=0,"nm",(G18/D18)^(1/3)-1))</f>
        <v>-6.3655435303491936E-2</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88"/>
      <c r="T18" s="42"/>
      <c r="U18" s="42"/>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'AGG DM'!H47</f>
        <v>6.900159277298723E-2</v>
      </c>
      <c r="S19" s="88"/>
      <c r="T19" s="42"/>
      <c r="U19" s="42"/>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'AGG DM'!H48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P21" s="277"/>
      <c r="S21" s="42"/>
      <c r="T21" s="42"/>
      <c r="U21" s="42"/>
      <c r="V21" s="42"/>
      <c r="W21" s="42"/>
      <c r="X21" s="42"/>
      <c r="Y21" s="42"/>
      <c r="Z21" s="42"/>
      <c r="AA21" s="42"/>
    </row>
    <row r="22" spans="2:27" ht="12.6" thickTop="1">
      <c r="B22" s="5"/>
      <c r="C22" s="257"/>
      <c r="D22" s="17"/>
      <c r="E22" s="17"/>
      <c r="F22" s="17"/>
      <c r="G22" s="17"/>
      <c r="H22" s="17"/>
      <c r="I22" s="247"/>
      <c r="S22" s="42"/>
      <c r="T22" s="42"/>
      <c r="U22" s="42"/>
      <c r="V22" s="42"/>
      <c r="W22" s="42"/>
      <c r="X22" s="42"/>
      <c r="Y22" s="42"/>
      <c r="Z22" s="42"/>
      <c r="AA22" s="42"/>
    </row>
    <row r="23" spans="2:27" ht="12.6" thickBot="1">
      <c r="B23" s="5" t="s">
        <v>579</v>
      </c>
      <c r="C23" s="365">
        <f>ATT!C23+VZN!C23+TMUS!C23</f>
        <v>337147</v>
      </c>
      <c r="D23" s="228">
        <f>ATT!D23+VZN!D23+TMUS!D23</f>
        <v>334960</v>
      </c>
      <c r="E23" s="228">
        <f>ATT!E23+VZN!E23+TMUS!E23</f>
        <v>340165.7512913621</v>
      </c>
      <c r="F23" s="228">
        <f>ATT!F23+VZN!F23+TMUS!F23</f>
        <v>347141.35079817532</v>
      </c>
      <c r="G23" s="228">
        <f>ATT!G23+VZN!G23+TMUS!G23</f>
        <v>353992.90051245439</v>
      </c>
      <c r="H23" s="279">
        <f t="shared" ref="H23:H33" si="0">IF(D23=0,"nm",IF(G23=0,"nm",(G23/D23)^(1/3)-1))</f>
        <v>1.8592642260168768E-2</v>
      </c>
      <c r="I23" s="249"/>
      <c r="J23" s="306" t="s">
        <v>9</v>
      </c>
      <c r="K23" s="306"/>
      <c r="L23" s="265" t="str">
        <f>L5</f>
        <v>2023E</v>
      </c>
      <c r="M23" s="265" t="str">
        <f>M5</f>
        <v>2024E</v>
      </c>
      <c r="N23" s="265" t="str">
        <f>N5</f>
        <v>2025E</v>
      </c>
      <c r="O23" s="265" t="str">
        <f>O5</f>
        <v>2026E</v>
      </c>
      <c r="P23" s="282" t="str">
        <f>P5</f>
        <v>23E-26E</v>
      </c>
      <c r="S23" s="42"/>
      <c r="T23" s="42"/>
      <c r="U23" s="42"/>
      <c r="V23" s="42"/>
      <c r="W23" s="42" t="s">
        <v>484</v>
      </c>
      <c r="X23" s="42" t="s">
        <v>605</v>
      </c>
      <c r="Y23" s="42"/>
      <c r="Z23" s="42"/>
      <c r="AA23" s="42"/>
    </row>
    <row r="24" spans="2:27" ht="12.6" thickTop="1">
      <c r="B24" s="5" t="s">
        <v>478</v>
      </c>
      <c r="C24" s="365">
        <f>ATT!C24+VZN!C24+TMUS!C24</f>
        <v>115726</v>
      </c>
      <c r="D24" s="228">
        <f>ATT!D24+VZN!D24+TMUS!D24</f>
        <v>120280</v>
      </c>
      <c r="E24" s="228">
        <f>ATT!E24+VZN!E24+TMUS!E24</f>
        <v>125134.71132129882</v>
      </c>
      <c r="F24" s="228">
        <f>ATT!F24+VZN!F24+TMUS!F24</f>
        <v>128681.37167179203</v>
      </c>
      <c r="G24" s="228">
        <f>ATT!G24+VZN!G24+TMUS!G24</f>
        <v>131886.7227384494</v>
      </c>
      <c r="H24" s="279">
        <f t="shared" si="0"/>
        <v>3.1183334923203576E-2</v>
      </c>
      <c r="I24" s="248"/>
      <c r="J24" s="17"/>
      <c r="K24" s="17"/>
      <c r="L24" s="17"/>
      <c r="M24" s="17"/>
      <c r="N24" s="17"/>
      <c r="O24" s="248"/>
      <c r="S24" s="42"/>
      <c r="T24" s="42"/>
      <c r="U24" s="42"/>
      <c r="V24" s="147" t="s">
        <v>268</v>
      </c>
      <c r="W24" s="288">
        <f t="shared" ref="W24:W31" si="1">E37/M9</f>
        <v>1.0587476725909186</v>
      </c>
      <c r="X24" s="288">
        <v>1</v>
      </c>
      <c r="Y24" s="42"/>
      <c r="Z24" s="42"/>
      <c r="AA24" s="42"/>
    </row>
    <row r="25" spans="2:27">
      <c r="B25" s="5" t="s">
        <v>179</v>
      </c>
      <c r="C25" s="365">
        <f>ATT!C25+VZN!C25+TMUS!C25</f>
        <v>54346</v>
      </c>
      <c r="D25" s="228">
        <f>ATT!D25+VZN!D25+TMUS!D25</f>
        <v>68117</v>
      </c>
      <c r="E25" s="228">
        <f>ATT!E25+VZN!E25+TMUS!E25</f>
        <v>77324.246963181198</v>
      </c>
      <c r="F25" s="228">
        <f>ATT!F25+VZN!F25+TMUS!F25</f>
        <v>81303.468528989673</v>
      </c>
      <c r="G25" s="228">
        <f>ATT!G25+VZN!G25+TMUS!G25</f>
        <v>84479.051375315044</v>
      </c>
      <c r="H25" s="279">
        <f t="shared" si="0"/>
        <v>7.4396303115465079E-2</v>
      </c>
      <c r="I25" s="249"/>
      <c r="J25" s="247" t="s">
        <v>10</v>
      </c>
      <c r="K25" s="247"/>
      <c r="L25" s="332">
        <f>ATT!L25+VZN!L25+TMUS!L25</f>
        <v>0</v>
      </c>
      <c r="M25" s="332">
        <f>ATT!M25+VZN!M25+TMUS!M25</f>
        <v>0</v>
      </c>
      <c r="N25" s="332">
        <f>ATT!N25+VZN!N25+TMUS!N25</f>
        <v>0</v>
      </c>
      <c r="O25" s="332">
        <f>ATT!O25+VZN!O25+TMUS!O25</f>
        <v>0</v>
      </c>
      <c r="P25" s="349" t="str">
        <f>IF(L25=0,"nm",IF(O25=0,"nm",(O25/L25)^(1/3)-1))</f>
        <v>nm</v>
      </c>
      <c r="Q25" s="5"/>
      <c r="S25" s="42"/>
      <c r="T25" s="42"/>
      <c r="U25" s="42"/>
      <c r="V25" s="147" t="s">
        <v>180</v>
      </c>
      <c r="W25" s="288">
        <f t="shared" si="1"/>
        <v>0.96779514806040301</v>
      </c>
      <c r="X25" s="288">
        <v>1</v>
      </c>
      <c r="Y25" s="42"/>
      <c r="Z25" s="42"/>
      <c r="AA25" s="42"/>
    </row>
    <row r="26" spans="2:27">
      <c r="B26" s="5" t="s">
        <v>581</v>
      </c>
      <c r="C26" s="365">
        <f>ATT!C26+VZN!C26+TMUS!C26</f>
        <v>33199</v>
      </c>
      <c r="D26" s="228">
        <f>ATT!D26+VZN!D26+TMUS!D26</f>
        <v>47013</v>
      </c>
      <c r="E26" s="228">
        <f>ATT!E26+VZN!E26+TMUS!E26</f>
        <v>51174.737600327644</v>
      </c>
      <c r="F26" s="228">
        <f>ATT!F26+VZN!F26+TMUS!F26</f>
        <v>53917.140273478486</v>
      </c>
      <c r="G26" s="228">
        <f>ATT!G26+VZN!G26+TMUS!G26</f>
        <v>56707.362426462743</v>
      </c>
      <c r="H26" s="279">
        <f t="shared" si="0"/>
        <v>6.4487323949837583E-2</v>
      </c>
      <c r="I26" s="249"/>
      <c r="J26" s="249" t="s">
        <v>11</v>
      </c>
      <c r="K26" s="249"/>
      <c r="L26" s="229">
        <f>ATT!L26+VZN!L26+TMUS!L26</f>
        <v>591179.83351016999</v>
      </c>
      <c r="M26" s="229">
        <f>ATT!M26+VZN!M26+TMUS!M26</f>
        <v>575217.23046077229</v>
      </c>
      <c r="N26" s="229">
        <f>ATT!N26+VZN!N26+TMUS!N26</f>
        <v>553367.3932753714</v>
      </c>
      <c r="O26" s="229">
        <f>ATT!O26+VZN!O26+TMUS!O26</f>
        <v>533177.4813234933</v>
      </c>
      <c r="P26" s="349">
        <f>IF(L26=0,"nm",IF(O26=0,"nm",(O26/L26)^(1/3)-1))</f>
        <v>-3.3836271439161902E-2</v>
      </c>
      <c r="Q26" s="41"/>
      <c r="S26" s="42"/>
      <c r="T26" s="42"/>
      <c r="U26" s="42"/>
      <c r="V26" s="147" t="s">
        <v>181</v>
      </c>
      <c r="W26" s="288">
        <f t="shared" si="1"/>
        <v>0.87572994329783493</v>
      </c>
      <c r="X26" s="288">
        <v>1</v>
      </c>
      <c r="Y26" s="42"/>
      <c r="Z26" s="42"/>
      <c r="AA26" s="42"/>
    </row>
    <row r="27" spans="2:27">
      <c r="B27" s="5" t="s">
        <v>582</v>
      </c>
      <c r="C27" s="365">
        <f>ATT!C27+VZN!C27+TMUS!C27</f>
        <v>375124</v>
      </c>
      <c r="D27" s="228">
        <f>ATT!D27+VZN!D27+TMUS!D27</f>
        <v>652205.30772825889</v>
      </c>
      <c r="E27" s="228">
        <f>ATT!E27+VZN!E27+TMUS!E27</f>
        <v>495811.82490653248</v>
      </c>
      <c r="F27" s="228">
        <f>ATT!F27+VZN!F27+TMUS!F27</f>
        <v>485207.83221200632</v>
      </c>
      <c r="G27" s="228">
        <f>ATT!G27+VZN!G27+TMUS!G27</f>
        <v>473627.19137525291</v>
      </c>
      <c r="H27" s="279">
        <f t="shared" si="0"/>
        <v>-0.10115646387707644</v>
      </c>
      <c r="I27" s="248"/>
      <c r="J27" s="248"/>
      <c r="K27" s="248"/>
      <c r="L27" s="248"/>
      <c r="M27" s="248"/>
      <c r="N27" s="248"/>
      <c r="O27" s="248"/>
      <c r="Q27" s="5"/>
      <c r="S27" s="42"/>
      <c r="T27" s="42"/>
      <c r="U27" s="42"/>
      <c r="V27" s="147" t="s">
        <v>461</v>
      </c>
      <c r="W27" s="288">
        <f t="shared" si="1"/>
        <v>0.93017632825807639</v>
      </c>
      <c r="X27" s="288">
        <v>1</v>
      </c>
      <c r="Y27" s="42"/>
      <c r="Z27" s="42"/>
      <c r="AA27" s="42"/>
    </row>
    <row r="28" spans="2:27" ht="12.6" thickBot="1">
      <c r="B28" s="5" t="s">
        <v>587</v>
      </c>
      <c r="C28" s="365">
        <f>ATT!C28+VZN!C28+TMUS!C28</f>
        <v>169531</v>
      </c>
      <c r="D28" s="228">
        <f>ATT!D28+VZN!D28+TMUS!D28</f>
        <v>260836</v>
      </c>
      <c r="E28" s="228">
        <f>ATT!E28+VZN!E28+TMUS!E28</f>
        <v>258225.24825795859</v>
      </c>
      <c r="F28" s="228">
        <f>ATT!F28+VZN!F28+TMUS!F28</f>
        <v>254885.00762352638</v>
      </c>
      <c r="G28" s="228">
        <f>ATT!G28+VZN!G28+TMUS!G28</f>
        <v>251323.80447610852</v>
      </c>
      <c r="H28" s="279">
        <f t="shared" si="0"/>
        <v>-1.2306873951881125E-2</v>
      </c>
      <c r="I28" s="252"/>
      <c r="J28" s="306" t="s">
        <v>747</v>
      </c>
      <c r="K28" s="306"/>
      <c r="L28" s="306"/>
      <c r="M28" s="306"/>
      <c r="N28" s="266"/>
      <c r="O28" s="266"/>
      <c r="P28" s="266"/>
      <c r="Q28" s="5"/>
      <c r="S28" s="42"/>
      <c r="T28" s="42"/>
      <c r="U28" s="42"/>
      <c r="V28" s="147" t="s">
        <v>525</v>
      </c>
      <c r="W28" s="288">
        <f t="shared" si="1"/>
        <v>1.1335066736938071</v>
      </c>
      <c r="X28" s="288">
        <v>1</v>
      </c>
      <c r="Y28" s="42"/>
      <c r="Z28" s="42"/>
      <c r="AA28" s="42"/>
    </row>
    <row r="29" spans="2:27" ht="12.6" thickTop="1">
      <c r="B29" s="5" t="s">
        <v>583</v>
      </c>
      <c r="C29" s="365">
        <f>ATT!C29+VZN!C29+TMUS!C29</f>
        <v>37031.876048097074</v>
      </c>
      <c r="D29" s="228">
        <f>ATT!D29+VZN!D29+TMUS!D29</f>
        <v>44236.565465937019</v>
      </c>
      <c r="E29" s="228">
        <f>ATT!E29+VZN!E29+TMUS!E29</f>
        <v>37177.111663666765</v>
      </c>
      <c r="F29" s="228">
        <f>ATT!F29+VZN!F29+TMUS!F29</f>
        <v>39247.643380346351</v>
      </c>
      <c r="G29" s="228">
        <f>ATT!G29+VZN!G29+TMUS!G29</f>
        <v>41099.036695284631</v>
      </c>
      <c r="H29" s="279">
        <f t="shared" si="0"/>
        <v>-2.422411565871474E-2</v>
      </c>
      <c r="I29" s="254"/>
      <c r="J29" s="249"/>
      <c r="K29" s="249"/>
      <c r="L29" s="249"/>
      <c r="M29" s="249"/>
      <c r="N29" s="249"/>
      <c r="O29" s="251"/>
      <c r="Q29" s="5"/>
      <c r="S29" s="42"/>
      <c r="T29" s="42"/>
      <c r="U29" s="42"/>
      <c r="V29" s="147" t="s">
        <v>588</v>
      </c>
      <c r="W29" s="288">
        <f t="shared" si="1"/>
        <v>0.94284666032243225</v>
      </c>
      <c r="X29" s="288">
        <v>1</v>
      </c>
      <c r="Y29" s="42"/>
      <c r="Z29" s="42"/>
      <c r="AA29" s="42"/>
    </row>
    <row r="30" spans="2:27">
      <c r="B30" s="5" t="s">
        <v>584</v>
      </c>
      <c r="C30" s="365">
        <f>ATT!C30+VZN!C30+TMUS!C30</f>
        <v>42768.759699450507</v>
      </c>
      <c r="D30" s="228">
        <f>ATT!D30+VZN!D30+TMUS!D30</f>
        <v>45841.605034996603</v>
      </c>
      <c r="E30" s="228">
        <f>ATT!E30+VZN!E30+TMUS!E30</f>
        <v>45894.285903548895</v>
      </c>
      <c r="F30" s="228">
        <f>ATT!F30+VZN!F30+TMUS!F30</f>
        <v>48633.501393522689</v>
      </c>
      <c r="G30" s="228">
        <f>ATT!G30+VZN!G30+TMUS!G30</f>
        <v>51560.401211568511</v>
      </c>
      <c r="H30" s="279">
        <f t="shared" si="0"/>
        <v>3.9965241834319487E-2</v>
      </c>
      <c r="I30" s="254"/>
      <c r="J30" s="248"/>
      <c r="K30" s="248"/>
      <c r="L30" s="248"/>
      <c r="M30" s="248"/>
      <c r="N30" s="248"/>
      <c r="O30" s="5"/>
      <c r="Q30" s="5"/>
      <c r="S30" s="42"/>
      <c r="T30" s="42"/>
      <c r="U30" s="42"/>
      <c r="V30" s="147" t="s">
        <v>470</v>
      </c>
      <c r="W30" s="288">
        <f t="shared" si="1"/>
        <v>1.2206033800558882</v>
      </c>
      <c r="X30" s="288">
        <v>1</v>
      </c>
      <c r="Y30" s="42"/>
      <c r="Z30" s="42"/>
      <c r="AA30" s="42"/>
    </row>
    <row r="31" spans="2:27">
      <c r="B31" s="5" t="s">
        <v>585</v>
      </c>
      <c r="C31" s="365">
        <f>ATT!C31+VZN!C31+TMUS!C31</f>
        <v>20668</v>
      </c>
      <c r="D31" s="228">
        <f>ATT!D31+VZN!D31+TMUS!D31</f>
        <v>19908</v>
      </c>
      <c r="E31" s="228">
        <f>ATT!E31+VZN!E31+TMUS!E31</f>
        <v>22486.11</v>
      </c>
      <c r="F31" s="228">
        <f>ATT!F31+VZN!F31+TMUS!F31</f>
        <v>22702.91</v>
      </c>
      <c r="G31" s="228">
        <f>ATT!G31+VZN!G31+TMUS!G31</f>
        <v>23059.901832621599</v>
      </c>
      <c r="H31" s="279">
        <f t="shared" si="0"/>
        <v>5.0211107719274395E-2</v>
      </c>
      <c r="I31" s="254"/>
      <c r="J31" s="252"/>
      <c r="K31" s="252"/>
      <c r="L31" s="252"/>
      <c r="M31" s="252"/>
      <c r="N31" s="252"/>
      <c r="O31" s="5"/>
      <c r="Q31" s="5"/>
      <c r="S31" s="42"/>
      <c r="T31" s="42"/>
      <c r="U31" s="42"/>
      <c r="V31" s="147" t="s">
        <v>528</v>
      </c>
      <c r="W31" s="288">
        <f t="shared" si="1"/>
        <v>0.88134163989346148</v>
      </c>
      <c r="X31" s="288">
        <v>1</v>
      </c>
      <c r="Y31" s="42"/>
      <c r="Z31" s="42"/>
      <c r="AA31" s="42"/>
    </row>
    <row r="32" spans="2:27">
      <c r="B32" s="5" t="s">
        <v>601</v>
      </c>
      <c r="C32" s="365">
        <f>ATT!C32+VZN!C32+TMUS!C32</f>
        <v>3000</v>
      </c>
      <c r="D32" s="228">
        <f>ATT!D32+VZN!D32+TMUS!D32</f>
        <v>13074</v>
      </c>
      <c r="E32" s="228">
        <f>ATT!E32+VZN!E32+TMUS!E32</f>
        <v>17446.541360309737</v>
      </c>
      <c r="F32" s="228">
        <f>ATT!F32+VZN!F32+TMUS!F32</f>
        <v>18896.330704440748</v>
      </c>
      <c r="G32" s="228">
        <f>ATT!G32+VZN!G32+TMUS!G32</f>
        <v>21044.792275635336</v>
      </c>
      <c r="H32" s="279">
        <f t="shared" si="0"/>
        <v>0.17195801699036917</v>
      </c>
      <c r="I32" s="5"/>
      <c r="J32" s="254"/>
      <c r="K32" s="254"/>
      <c r="L32" s="254"/>
      <c r="M32" s="254"/>
      <c r="N32" s="254"/>
      <c r="O32" s="251"/>
      <c r="Q32" s="5"/>
      <c r="S32" s="42"/>
      <c r="T32" s="42"/>
      <c r="U32" s="42"/>
      <c r="V32" s="147" t="s">
        <v>575</v>
      </c>
      <c r="W32" s="288">
        <f>M17/E45</f>
        <v>1.000281554817203</v>
      </c>
      <c r="X32" s="288">
        <v>1</v>
      </c>
      <c r="Y32" s="42"/>
      <c r="Z32" s="42"/>
      <c r="AA32" s="42"/>
    </row>
    <row r="33" spans="2:42">
      <c r="B33" s="5" t="s">
        <v>5</v>
      </c>
      <c r="C33" s="365">
        <f>ATT!C33+VZN!C33+TMUS!C33</f>
        <v>13118</v>
      </c>
      <c r="D33" s="228">
        <f>ATT!D33+VZN!D33+TMUS!D33</f>
        <v>15495</v>
      </c>
      <c r="E33" s="228">
        <f>ATT!E33+VZN!E33+TMUS!E33</f>
        <v>16960.741441973645</v>
      </c>
      <c r="F33" s="228">
        <f>ATT!F33+VZN!F33+TMUS!F33</f>
        <v>15946.921112285698</v>
      </c>
      <c r="G33" s="228">
        <f>ATT!G33+VZN!G33+TMUS!G33</f>
        <v>14768.81352413057</v>
      </c>
      <c r="H33" s="279">
        <f t="shared" si="0"/>
        <v>-1.5872557926979169E-2</v>
      </c>
      <c r="I33" s="49"/>
      <c r="J33" s="254"/>
      <c r="K33" s="254"/>
      <c r="L33" s="254"/>
      <c r="M33" s="254"/>
      <c r="N33" s="254"/>
      <c r="O33" s="251"/>
      <c r="Q33" s="5"/>
      <c r="S33" s="42"/>
      <c r="T33" s="42"/>
      <c r="U33" s="42"/>
      <c r="V33" s="147" t="s">
        <v>261</v>
      </c>
      <c r="W33" s="288">
        <f>N19/F47</f>
        <v>1.2438716156543623</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710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2.6968886837537913</v>
      </c>
      <c r="E37" s="64">
        <f t="shared" si="2"/>
        <v>2.5146711450844865</v>
      </c>
      <c r="F37" s="64">
        <f t="shared" si="2"/>
        <v>2.2999891851781435</v>
      </c>
      <c r="G37" s="64">
        <f t="shared" si="2"/>
        <v>2.0949250903192609</v>
      </c>
      <c r="H37" s="17">
        <f t="shared" ref="H37:H45" si="3">H23</f>
        <v>1.8592642260168768E-2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7.5103910335065676</v>
      </c>
      <c r="E38" s="64">
        <f t="shared" si="2"/>
        <v>6.8358730386328723</v>
      </c>
      <c r="F38" s="64">
        <f t="shared" si="2"/>
        <v>6.2046381864839537</v>
      </c>
      <c r="G38" s="64">
        <f t="shared" si="2"/>
        <v>5.6229208951465788</v>
      </c>
      <c r="H38" s="17">
        <f t="shared" si="3"/>
        <v>3.1183334923203576E-2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13.261738384106318</v>
      </c>
      <c r="E39" s="64">
        <f t="shared" si="2"/>
        <v>11.062571352627396</v>
      </c>
      <c r="F39" s="64">
        <f t="shared" si="2"/>
        <v>9.820261878240153</v>
      </c>
      <c r="G39" s="64">
        <f t="shared" si="2"/>
        <v>8.7783728274098998</v>
      </c>
      <c r="H39" s="17">
        <f t="shared" si="3"/>
        <v>7.4396303115465079E-2</v>
      </c>
      <c r="I39" s="5"/>
      <c r="J39" s="5"/>
      <c r="K39" s="5"/>
      <c r="L39" s="5"/>
      <c r="M39" s="5"/>
      <c r="N39" s="5"/>
      <c r="O39" s="5"/>
      <c r="Q39" s="5"/>
      <c r="R39" s="5"/>
      <c r="S39" s="42"/>
      <c r="T39" s="42"/>
      <c r="U39" s="42"/>
      <c r="V39" s="42"/>
      <c r="W39" s="288"/>
      <c r="X39" s="288"/>
      <c r="Y39" s="42"/>
      <c r="Z39" s="42"/>
      <c r="AA39" s="42"/>
    </row>
    <row r="40" spans="2:42">
      <c r="B40" s="5" t="s">
        <v>461</v>
      </c>
      <c r="C40" s="247"/>
      <c r="D40" s="64">
        <f t="shared" si="2"/>
        <v>19.214894465576968</v>
      </c>
      <c r="E40" s="64">
        <f t="shared" si="2"/>
        <v>16.71537636399913</v>
      </c>
      <c r="F40" s="64">
        <f t="shared" si="2"/>
        <v>14.808303046381596</v>
      </c>
      <c r="G40" s="64">
        <f t="shared" si="2"/>
        <v>13.077466088113542</v>
      </c>
      <c r="H40" s="17">
        <f t="shared" si="3"/>
        <v>6.4487323949837583E-2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1.3850697361796853</v>
      </c>
      <c r="E41" s="64">
        <f t="shared" si="2"/>
        <v>1.725261392221999</v>
      </c>
      <c r="F41" s="64">
        <f t="shared" si="2"/>
        <v>1.6455244527361086</v>
      </c>
      <c r="G41" s="64">
        <f t="shared" si="2"/>
        <v>1.56576442945581</v>
      </c>
      <c r="H41" s="17">
        <f t="shared" si="3"/>
        <v>-0.10115646387707644</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3.4632866380030749</v>
      </c>
      <c r="E42" s="64">
        <f>E18/E28</f>
        <v>3.3126311431167741</v>
      </c>
      <c r="F42" s="64">
        <f>F18/F28</f>
        <v>3.1324767196320553</v>
      </c>
      <c r="G42" s="64">
        <f>G18/G28</f>
        <v>2.9507296796827212</v>
      </c>
      <c r="H42" s="17">
        <f t="shared" si="3"/>
        <v>-1.2306873951881125E-2</v>
      </c>
      <c r="I42" s="247"/>
      <c r="J42" s="5"/>
      <c r="K42" s="5"/>
      <c r="L42" s="5"/>
      <c r="M42" s="5"/>
      <c r="N42" s="5"/>
      <c r="O42" s="5"/>
      <c r="Q42" s="5"/>
      <c r="R42" s="5"/>
      <c r="S42" s="42"/>
      <c r="T42" s="42"/>
      <c r="U42" s="42"/>
      <c r="V42" s="42"/>
      <c r="W42" s="288"/>
      <c r="X42" s="288"/>
      <c r="Y42" s="288"/>
      <c r="Z42" s="288"/>
      <c r="AA42" s="42"/>
    </row>
    <row r="43" spans="2:42">
      <c r="B43" s="5" t="s">
        <v>470</v>
      </c>
      <c r="C43" s="247"/>
      <c r="D43" s="64">
        <f>L26/D29</f>
        <v>13.364053634891468</v>
      </c>
      <c r="E43" s="64">
        <f>M26/E29</f>
        <v>15.472348569319676</v>
      </c>
      <c r="F43" s="64">
        <f>N26/F29</f>
        <v>14.099378857291484</v>
      </c>
      <c r="G43" s="64">
        <f>O26/G29</f>
        <v>12.972992171971411</v>
      </c>
      <c r="H43" s="17">
        <f t="shared" si="3"/>
        <v>-2.422411565871474E-2</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12.896141683059501</v>
      </c>
      <c r="E44" s="64">
        <f>E11/E30</f>
        <v>12.533526105398932</v>
      </c>
      <c r="F44" s="64">
        <f>F11/F30</f>
        <v>11.378316950649831</v>
      </c>
      <c r="G44" s="64">
        <f>G11/G30</f>
        <v>10.34083266993402</v>
      </c>
      <c r="H44" s="17">
        <f t="shared" si="3"/>
        <v>3.9965241834319487E-2</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3.3675032319345051E-2</v>
      </c>
      <c r="E45" s="248">
        <f>E31/E11</f>
        <v>3.9091509797068692E-2</v>
      </c>
      <c r="F45" s="248">
        <f>F31/F11</f>
        <v>4.1026830051589948E-2</v>
      </c>
      <c r="G45" s="248">
        <f>G31/G11</f>
        <v>4.3249954546806017E-2</v>
      </c>
      <c r="H45" s="17">
        <f t="shared" si="3"/>
        <v>5.0211107719274395E-2</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5.5790130397661161E-2</v>
      </c>
      <c r="E46" s="248">
        <f>(E31+E32)/E11</f>
        <v>6.9421862290742001E-2</v>
      </c>
      <c r="F46" s="248">
        <f>(F31+F32)/F11</f>
        <v>7.517472335732614E-2</v>
      </c>
      <c r="G46" s="248">
        <f>(G31+G32)/G11</f>
        <v>8.2720474238291056E-2</v>
      </c>
      <c r="H46" s="279">
        <f>((G31+G32)/(D31+D32))^(1/3)-1</f>
        <v>0.10171503351667854</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7.4827595527539287E-2</v>
      </c>
      <c r="E47" s="248">
        <f>1/E43</f>
        <v>6.4631429127890327E-2</v>
      </c>
      <c r="F47" s="248">
        <f>1/F43</f>
        <v>7.0925110256389118E-2</v>
      </c>
      <c r="G47" s="248">
        <f>1/G43</f>
        <v>7.7083219256119953E-2</v>
      </c>
      <c r="H47" s="17">
        <f>H29</f>
        <v>-2.422411565871474E-2</v>
      </c>
      <c r="I47" s="247"/>
      <c r="J47" s="248"/>
      <c r="K47" s="248"/>
      <c r="L47" s="248"/>
      <c r="M47" s="248"/>
      <c r="N47" s="248"/>
      <c r="O47" s="248"/>
      <c r="Q47" s="5"/>
      <c r="R47" s="5"/>
      <c r="S47" s="5"/>
      <c r="T47" s="5"/>
      <c r="U47" s="5"/>
      <c r="AA47" s="303"/>
      <c r="AB47" s="303"/>
    </row>
    <row r="48" spans="2:42">
      <c r="B48" s="5" t="s">
        <v>613</v>
      </c>
      <c r="C48" s="5"/>
      <c r="D48" s="305">
        <f>D31/D29</f>
        <v>0.45003493807243083</v>
      </c>
      <c r="E48" s="305">
        <f>E31/E29</f>
        <v>0.60483746568122188</v>
      </c>
      <c r="F48" s="305">
        <f>F31/F29</f>
        <v>0.57845282021107813</v>
      </c>
      <c r="G48" s="305">
        <f>G31/G29</f>
        <v>0.56108132177383385</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78"/>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86">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1611</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266</v>
      </c>
      <c r="C7" s="265"/>
      <c r="D7" s="265"/>
      <c r="E7" s="265"/>
      <c r="F7" s="265"/>
      <c r="G7" s="265"/>
      <c r="H7" s="265"/>
      <c r="I7" s="49"/>
      <c r="J7" s="306" t="s">
        <v>196</v>
      </c>
      <c r="K7" s="306"/>
      <c r="L7" s="306"/>
      <c r="M7" s="306"/>
      <c r="N7" s="266"/>
      <c r="O7" s="266"/>
      <c r="P7" s="266"/>
    </row>
    <row r="8" spans="2:63" ht="12.6" thickTop="1">
      <c r="B8" s="5"/>
      <c r="C8" s="5"/>
      <c r="D8" s="5"/>
      <c r="E8" s="5"/>
      <c r="F8" s="5"/>
      <c r="G8" s="5"/>
      <c r="H8" s="5"/>
      <c r="I8" s="5"/>
      <c r="J8" s="5"/>
      <c r="K8" s="5"/>
      <c r="L8" s="5"/>
      <c r="M8" s="5"/>
      <c r="N8" s="5"/>
    </row>
    <row r="9" spans="2:63">
      <c r="B9" s="41" t="s">
        <v>495</v>
      </c>
      <c r="C9" s="287"/>
      <c r="D9" s="5"/>
      <c r="E9" s="249"/>
      <c r="F9" s="249"/>
      <c r="G9" s="249"/>
      <c r="H9" s="249"/>
      <c r="I9" s="249"/>
      <c r="J9" s="5" t="s">
        <v>268</v>
      </c>
      <c r="L9" s="64">
        <f>'AGG DM'!D37</f>
        <v>2.5038932049878952</v>
      </c>
      <c r="M9" s="64">
        <f>'AGG DM'!E37</f>
        <v>2.3751373534835727</v>
      </c>
      <c r="N9" s="64">
        <f>'AGG DM'!F37</f>
        <v>2.224221292978434</v>
      </c>
      <c r="O9" s="64">
        <f>'AGG DM'!G37</f>
        <v>2.0739026532457836</v>
      </c>
      <c r="P9" s="17">
        <f>'AGG DM'!H37</f>
        <v>2.0555376527773284E-2</v>
      </c>
    </row>
    <row r="10" spans="2:63">
      <c r="B10" s="5" t="s">
        <v>269</v>
      </c>
      <c r="C10" s="5"/>
      <c r="D10" s="332"/>
      <c r="E10" s="332"/>
      <c r="F10" s="332"/>
      <c r="G10" s="332"/>
      <c r="H10" s="247"/>
      <c r="I10" s="247"/>
      <c r="J10" s="5" t="s">
        <v>180</v>
      </c>
      <c r="L10" s="64">
        <f>'AGG DM'!D38</f>
        <v>7.500236481428364</v>
      </c>
      <c r="M10" s="64">
        <f>'AGG DM'!E38</f>
        <v>7.0633470857266838</v>
      </c>
      <c r="N10" s="64">
        <f>'AGG DM'!F38</f>
        <v>6.4875866017102481</v>
      </c>
      <c r="O10" s="64">
        <f>'AGG DM'!G38</f>
        <v>5.9712167743849367</v>
      </c>
      <c r="P10" s="17">
        <f>'AGG DM'!H38</f>
        <v>3.4105393529800354E-2</v>
      </c>
      <c r="W10" s="10"/>
      <c r="X10" s="10"/>
      <c r="Y10" s="10"/>
      <c r="Z10" s="10"/>
    </row>
    <row r="11" spans="2:63">
      <c r="B11" s="41" t="s">
        <v>354</v>
      </c>
      <c r="C11" s="5"/>
      <c r="D11" s="271">
        <f>ATCUS!D11+CHTR!D11+CMCSA!D11+FYBR!D11+SATS!D11</f>
        <v>235535.20429479322</v>
      </c>
      <c r="E11" s="271">
        <f>ATCUS!E11+CHTR!E11+CMCSA!E11+FYBR!E11+SATS!E11</f>
        <v>221590.46595523553</v>
      </c>
      <c r="F11" s="271">
        <f>ATCUS!F11+CHTR!F11+CMCSA!F11+FYBR!F11+SATS!F11</f>
        <v>210335.13862115669</v>
      </c>
      <c r="G11" s="271">
        <f>ATCUS!G11+CHTR!G11+CMCSA!G11+FYBR!G11+SATS!G11</f>
        <v>195284.88641406919</v>
      </c>
      <c r="H11" s="249"/>
      <c r="I11" s="249"/>
      <c r="J11" s="5" t="s">
        <v>181</v>
      </c>
      <c r="L11" s="64">
        <f>'AGG DM'!D39</f>
        <v>14.453886920086703</v>
      </c>
      <c r="M11" s="64">
        <f>'AGG DM'!E39</f>
        <v>12.632400476073508</v>
      </c>
      <c r="N11" s="64">
        <f>'AGG DM'!F39</f>
        <v>11.148641561230297</v>
      </c>
      <c r="O11" s="64">
        <f>'AGG DM'!G39</f>
        <v>9.8551520159775166</v>
      </c>
      <c r="P11" s="17">
        <f>'AGG DM'!H39</f>
        <v>8.8933115291126796E-2</v>
      </c>
      <c r="W11" s="10"/>
      <c r="X11" s="10"/>
      <c r="Y11" s="10"/>
      <c r="Z11" s="10"/>
    </row>
    <row r="12" spans="2:63">
      <c r="B12" s="5" t="s">
        <v>225</v>
      </c>
      <c r="C12" s="249"/>
      <c r="D12" s="228">
        <f>ATCUS!D12+CHTR!D12+CMCSA!D12+FYBR!D12+SATS!D12</f>
        <v>238416.04240435455</v>
      </c>
      <c r="E12" s="228">
        <f>ATCUS!E12+CHTR!E12+CMCSA!E12+FYBR!E12+SATS!E12</f>
        <v>247578.41974590163</v>
      </c>
      <c r="F12" s="228">
        <f>ATCUS!F12+CHTR!F12+CMCSA!F12+FYBR!F12+SATS!F12</f>
        <v>251496.67330499119</v>
      </c>
      <c r="G12" s="228">
        <f>ATCUS!G12+CHTR!G12+CMCSA!G12+FYBR!G12+SATS!G12</f>
        <v>255927.45199979463</v>
      </c>
      <c r="H12" s="247"/>
      <c r="I12" s="247"/>
      <c r="J12" s="5" t="s">
        <v>461</v>
      </c>
      <c r="L12" s="64">
        <f>'AGG DM'!D40</f>
        <v>20.489606542550682</v>
      </c>
      <c r="M12" s="64">
        <f>'AGG DM'!E40</f>
        <v>17.970115833093388</v>
      </c>
      <c r="N12" s="64">
        <f>'AGG DM'!F40</f>
        <v>15.895235275753445</v>
      </c>
      <c r="O12" s="64">
        <f>'AGG DM'!G40</f>
        <v>13.994564037458879</v>
      </c>
      <c r="P12" s="17">
        <f>'AGG DM'!H40</f>
        <v>8.8308894519717684E-2</v>
      </c>
      <c r="W12" s="10"/>
      <c r="X12" s="10"/>
      <c r="Y12" s="10"/>
      <c r="Z12" s="10"/>
    </row>
    <row r="13" spans="2:63">
      <c r="B13" s="5" t="s">
        <v>524</v>
      </c>
      <c r="C13" s="257"/>
      <c r="D13" s="228">
        <f>ATCUS!D13+CHTR!D13+CMCSA!D13+FYBR!D13+SATS!D13</f>
        <v>1333.7951000000005</v>
      </c>
      <c r="E13" s="228">
        <f>ATCUS!E13+CHTR!E13+CMCSA!E13+FYBR!E13+SATS!E13</f>
        <v>1333.7951000000005</v>
      </c>
      <c r="F13" s="228">
        <f>ATCUS!F13+CHTR!F13+CMCSA!F13+FYBR!F13+SATS!F13</f>
        <v>1333.7951000000005</v>
      </c>
      <c r="G13" s="228">
        <f>ATCUS!G13+CHTR!G13+CMCSA!G13+FYBR!G13+SATS!G13</f>
        <v>1333.7951000000005</v>
      </c>
      <c r="H13" s="247"/>
      <c r="I13" s="247"/>
      <c r="J13" s="5" t="s">
        <v>525</v>
      </c>
      <c r="L13" s="64">
        <f>'AGG DM'!D41</f>
        <v>1.4470918356278057</v>
      </c>
      <c r="M13" s="64">
        <f>'AGG DM'!E41</f>
        <v>1.522056669150271</v>
      </c>
      <c r="N13" s="64">
        <f>'AGG DM'!F41</f>
        <v>1.4505018131011718</v>
      </c>
      <c r="O13" s="64">
        <f>'AGG DM'!G41</f>
        <v>1.3783663643110371</v>
      </c>
      <c r="P13" s="17">
        <f>'AGG DM'!H41</f>
        <v>-2.5897691811048396E-2</v>
      </c>
    </row>
    <row r="14" spans="2:63">
      <c r="B14" s="5" t="s">
        <v>527</v>
      </c>
      <c r="C14" s="274"/>
      <c r="D14" s="228">
        <f>ATCUS!D14+CHTR!D14+CMCSA!D14+FYBR!D14+SATS!D14</f>
        <v>8118.4549999999999</v>
      </c>
      <c r="E14" s="228">
        <f>ATCUS!E14+CHTR!E14+CMCSA!E14+FYBR!E14+SATS!E14</f>
        <v>9306.0924151455001</v>
      </c>
      <c r="F14" s="228">
        <f>ATCUS!F14+CHTR!F14+CMCSA!F14+FYBR!F14+SATS!F14</f>
        <v>9249.8691550090716</v>
      </c>
      <c r="G14" s="228">
        <f>ATCUS!G14+CHTR!G14+CMCSA!G14+FYBR!G14+SATS!G14</f>
        <v>9729.3779421129984</v>
      </c>
      <c r="H14" s="247"/>
      <c r="I14" s="247"/>
      <c r="J14" s="5" t="s">
        <v>588</v>
      </c>
      <c r="L14" s="64">
        <f>'AGG DM'!D42</f>
        <v>3.5695190289450349</v>
      </c>
      <c r="M14" s="64">
        <f>'AGG DM'!E42</f>
        <v>3.5134357287577695</v>
      </c>
      <c r="N14" s="64">
        <f>'AGG DM'!F42</f>
        <v>3.3883975097562629</v>
      </c>
      <c r="O14" s="64">
        <f>'AGG DM'!G42</f>
        <v>3.2746189474746648</v>
      </c>
      <c r="P14" s="17">
        <f>'AGG DM'!H42</f>
        <v>-1.3621174796897284E-2</v>
      </c>
    </row>
    <row r="15" spans="2:63">
      <c r="B15" s="5" t="s">
        <v>526</v>
      </c>
      <c r="C15" s="257"/>
      <c r="D15" s="228">
        <f>ATCUS!D15+CHTR!D15+CMCSA!D15+FYBR!D15+SATS!D15</f>
        <v>529.053</v>
      </c>
      <c r="E15" s="228">
        <f>ATCUS!E15+CHTR!E15+CMCSA!E15+FYBR!E15+SATS!E15</f>
        <v>529.053</v>
      </c>
      <c r="F15" s="228">
        <f>ATCUS!F15+CHTR!F15+CMCSA!F15+FYBR!F15+SATS!F15</f>
        <v>529.053</v>
      </c>
      <c r="G15" s="228">
        <f>ATCUS!G15+CHTR!G15+CMCSA!G15+FYBR!G15+SATS!G15</f>
        <v>529.053</v>
      </c>
      <c r="H15" s="247"/>
      <c r="I15" s="247"/>
      <c r="J15" s="5" t="s">
        <v>470</v>
      </c>
      <c r="L15" s="64">
        <f>'AGG DM'!D43</f>
        <v>13.472849274436808</v>
      </c>
      <c r="M15" s="64">
        <f>'AGG DM'!E43</f>
        <v>12.67598371603005</v>
      </c>
      <c r="N15" s="64">
        <f>'AGG DM'!F43</f>
        <v>11.33507564594939</v>
      </c>
      <c r="O15" s="64">
        <f>'AGG DM'!G43</f>
        <v>10.145214955002531</v>
      </c>
      <c r="P15" s="17">
        <f>'AGG DM'!H43</f>
        <v>6.900159277298723E-2</v>
      </c>
      <c r="S15" s="88"/>
      <c r="T15" s="88"/>
      <c r="U15" s="88"/>
      <c r="V15" s="42"/>
      <c r="W15" s="42"/>
      <c r="X15" s="42"/>
      <c r="Y15" s="42"/>
      <c r="Z15" s="42"/>
      <c r="AA15" s="42"/>
    </row>
    <row r="16" spans="2:63">
      <c r="B16" s="5" t="s">
        <v>529</v>
      </c>
      <c r="C16" s="257"/>
      <c r="D16" s="228">
        <f>ATCUS!D16+CHTR!D16+CMCSA!D16+FYBR!D16+SATS!D16</f>
        <v>38433.292988797475</v>
      </c>
      <c r="E16" s="228">
        <f>ATCUS!E16+CHTR!E16+CMCSA!E16+FYBR!E16+SATS!E16</f>
        <v>43462.775931233882</v>
      </c>
      <c r="F16" s="228">
        <f>ATCUS!F16+CHTR!F16+CMCSA!F16+FYBR!F16+SATS!F16</f>
        <v>48451.138234841863</v>
      </c>
      <c r="G16" s="228">
        <f>ATCUS!G16+CHTR!G16+CMCSA!G16+FYBR!G16+SATS!G16</f>
        <v>53338.570892380587</v>
      </c>
      <c r="H16" s="247"/>
      <c r="I16" s="247"/>
      <c r="J16" s="5" t="s">
        <v>528</v>
      </c>
      <c r="L16" s="64">
        <f>'AGG DM'!D44</f>
        <v>15.638044643718967</v>
      </c>
      <c r="M16" s="64">
        <f>'AGG DM'!E44</f>
        <v>14.220962153693332</v>
      </c>
      <c r="N16" s="64">
        <f>'AGG DM'!F44</f>
        <v>12.502249176356969</v>
      </c>
      <c r="O16" s="64">
        <f>'AGG DM'!G44</f>
        <v>11.233113481631298</v>
      </c>
      <c r="P16" s="17">
        <f>'AGG DM'!H44</f>
        <v>8.8584802895584236E-2</v>
      </c>
      <c r="S16" s="88"/>
      <c r="T16" s="88"/>
      <c r="U16" s="88"/>
      <c r="V16" s="42"/>
      <c r="W16" s="42"/>
      <c r="X16" s="42"/>
      <c r="Y16" s="42"/>
      <c r="Z16" s="42"/>
      <c r="AA16" s="42"/>
    </row>
    <row r="17" spans="2:27">
      <c r="B17" s="5" t="s">
        <v>6</v>
      </c>
      <c r="C17" s="257"/>
      <c r="D17" s="228">
        <f>ATCUS!D17+CHTR!D17+CMCSA!D17+FYBR!D17+SATS!D17</f>
        <v>0</v>
      </c>
      <c r="E17" s="228">
        <f>ATCUS!E17+CHTR!E17+CMCSA!E17+FYBR!E17+SATS!E17</f>
        <v>0</v>
      </c>
      <c r="F17" s="228">
        <f>ATCUS!F17+CHTR!F17+CMCSA!F17+FYBR!F17+SATS!F17</f>
        <v>0</v>
      </c>
      <c r="G17" s="228">
        <f>ATCUS!G17+CHTR!G17+CMCSA!G17+FYBR!G17+SATS!G17</f>
        <v>0</v>
      </c>
      <c r="H17" s="247"/>
      <c r="I17" s="247"/>
      <c r="J17" s="5" t="s">
        <v>575</v>
      </c>
      <c r="L17" s="248">
        <f>'AGG DM'!D45</f>
        <v>3.4882136259379262E-2</v>
      </c>
      <c r="M17" s="248">
        <f>'AGG DM'!E45</f>
        <v>3.9102516199963799E-2</v>
      </c>
      <c r="N17" s="248">
        <f>'AGG DM'!F45</f>
        <v>4.1707724632137386E-2</v>
      </c>
      <c r="O17" s="248">
        <f>'AGG DM'!G45</f>
        <v>4.4771308784022613E-2</v>
      </c>
      <c r="P17" s="17">
        <f>'AGG DM'!H45</f>
        <v>5.9498643383417704E-2</v>
      </c>
      <c r="S17" s="88"/>
      <c r="T17" s="88"/>
      <c r="U17" s="88"/>
      <c r="V17" s="42"/>
      <c r="W17" s="42"/>
      <c r="X17" s="42"/>
      <c r="Y17" s="42"/>
      <c r="Z17" s="42"/>
      <c r="AA17" s="42"/>
    </row>
    <row r="18" spans="2:27" ht="12.6" thickBot="1">
      <c r="B18" s="41" t="s">
        <v>355</v>
      </c>
      <c r="C18" s="249"/>
      <c r="D18" s="275">
        <f>ATCUS!D18+CHTR!D18+CMCSA!D18+FYBR!D18+SATS!D18</f>
        <v>429262.34681035031</v>
      </c>
      <c r="E18" s="275">
        <f>ATCUS!E18+CHTR!E18+CMCSA!E18+FYBR!E18+SATS!E18</f>
        <v>418262.86545475776</v>
      </c>
      <c r="F18" s="275">
        <f>ATCUS!F18+CHTR!F18+CMCSA!F18+FYBR!F18+SATS!F18</f>
        <v>405993.65263629693</v>
      </c>
      <c r="G18" s="275">
        <f>ATCUS!G18+CHTR!G18+CMCSA!G18+FYBR!G18+SATS!G18</f>
        <v>390007.23767937021</v>
      </c>
      <c r="H18" s="276">
        <f>IF(D18=0,"nm",IF(G18=0,"nm",(G18/D18)^(1/3)-1))</f>
        <v>-3.1462091372846723E-2</v>
      </c>
      <c r="I18" s="254"/>
      <c r="J18" s="5" t="s">
        <v>36</v>
      </c>
      <c r="L18" s="248">
        <f>'AGG DM'!D46</f>
        <v>4.9537113673955142E-2</v>
      </c>
      <c r="M18" s="248">
        <f>'AGG DM'!E46</f>
        <v>6.8248269218785032E-2</v>
      </c>
      <c r="N18" s="248">
        <f>'AGG DM'!F46</f>
        <v>7.1823615864644294E-2</v>
      </c>
      <c r="O18" s="248">
        <f>'AGG DM'!G46</f>
        <v>8.2018272205497789E-2</v>
      </c>
      <c r="P18" s="17">
        <f>'AGG DM'!H46</f>
        <v>0.1533509355908349</v>
      </c>
      <c r="S18" s="88"/>
      <c r="T18" s="42"/>
      <c r="U18" s="42"/>
      <c r="V18" s="42"/>
      <c r="W18" s="42"/>
      <c r="X18" s="42"/>
      <c r="Y18" s="42"/>
      <c r="Z18" s="42"/>
      <c r="AA18" s="42"/>
    </row>
    <row r="19" spans="2:27" ht="12.6" thickTop="1">
      <c r="B19" s="41"/>
      <c r="C19" s="249"/>
      <c r="D19" s="229"/>
      <c r="E19" s="229"/>
      <c r="F19" s="229"/>
      <c r="G19" s="229"/>
      <c r="H19" s="276"/>
      <c r="I19" s="17"/>
      <c r="J19" s="5" t="s">
        <v>576</v>
      </c>
      <c r="L19" s="248">
        <f>'AGG DM'!D47</f>
        <v>7.4223349466054356E-2</v>
      </c>
      <c r="M19" s="248">
        <f>'AGG DM'!E47</f>
        <v>7.8889340851345524E-2</v>
      </c>
      <c r="N19" s="248">
        <f>'AGG DM'!F47</f>
        <v>8.8221731485078517E-2</v>
      </c>
      <c r="O19" s="248">
        <f>'AGG DM'!G47</f>
        <v>9.8568635995919168E-2</v>
      </c>
      <c r="P19" s="17">
        <f>'AGG DM'!H47</f>
        <v>6.900159277298723E-2</v>
      </c>
      <c r="S19" s="88"/>
      <c r="T19" s="42"/>
      <c r="U19" s="42"/>
      <c r="V19" s="42"/>
      <c r="W19" s="42"/>
      <c r="X19" s="42"/>
      <c r="Y19" s="42"/>
      <c r="Z19" s="42"/>
      <c r="AA19" s="42"/>
    </row>
    <row r="20" spans="2:27">
      <c r="H20" s="277"/>
      <c r="I20" s="49"/>
      <c r="J20" s="5" t="s">
        <v>599</v>
      </c>
      <c r="L20" s="248">
        <f>'AGG DM'!D48</f>
        <v>0.47186757365831361</v>
      </c>
      <c r="M20" s="248">
        <f>'AGG DM'!E48</f>
        <v>0.49732621098063601</v>
      </c>
      <c r="N20" s="248">
        <f>'AGG DM'!F48</f>
        <v>0.47548344156280636</v>
      </c>
      <c r="O20" s="248">
        <f>'AGG DM'!G48</f>
        <v>0.45939502956863965</v>
      </c>
      <c r="P20" s="17" t="str">
        <f>'AGG DM'!H48</f>
        <v>nm</v>
      </c>
      <c r="S20" s="42"/>
      <c r="T20" s="42"/>
      <c r="U20" s="42"/>
      <c r="V20" s="42"/>
      <c r="W20" s="42"/>
      <c r="X20" s="42"/>
      <c r="Y20" s="42"/>
      <c r="Z20" s="42"/>
      <c r="AA20" s="42"/>
    </row>
    <row r="21" spans="2:27" ht="12.6" thickBot="1">
      <c r="B21" s="306" t="s">
        <v>477</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579</v>
      </c>
      <c r="C23" s="366">
        <f>ATCUS!C23+CHTR!C23+CMCSA!C23+FYBR!C23+SATS!C23</f>
        <v>209564.15901799998</v>
      </c>
      <c r="D23" s="350">
        <f>ATCUS!D23+CHTR!D23+CMCSA!D23+FYBR!D23+SATS!D23</f>
        <v>208218.13090979328</v>
      </c>
      <c r="E23" s="350">
        <f>ATCUS!E23+CHTR!E23+CMCSA!E23+FYBR!E23+SATS!E23</f>
        <v>207616.85676241035</v>
      </c>
      <c r="F23" s="350">
        <f>ATCUS!F23+CHTR!F23+CMCSA!F23+FYBR!F23+SATS!F23</f>
        <v>208628.7194004748</v>
      </c>
      <c r="G23" s="350">
        <f>ATCUS!G23+CHTR!G23+CMCSA!G23+FYBR!G23+SATS!G23</f>
        <v>212510.62371800057</v>
      </c>
      <c r="H23" s="279">
        <f t="shared" ref="H23:H33" si="0">IF(D23=0,"nm",IF(G23=0,"nm",(G23/D23)^(1/3)-1))</f>
        <v>6.8251004257615655E-3</v>
      </c>
      <c r="I23" s="249"/>
      <c r="J23" s="306" t="s">
        <v>9</v>
      </c>
      <c r="K23" s="306"/>
      <c r="L23" s="265" t="str">
        <f>L5</f>
        <v>2023E</v>
      </c>
      <c r="M23" s="265" t="str">
        <f>M5</f>
        <v>2024E</v>
      </c>
      <c r="N23" s="265" t="str">
        <f>N5</f>
        <v>2025E</v>
      </c>
      <c r="O23" s="265" t="str">
        <f>O5</f>
        <v>2026E</v>
      </c>
      <c r="P23" s="282" t="str">
        <f>P5</f>
        <v>23E-26E</v>
      </c>
      <c r="S23" s="42"/>
      <c r="T23" s="42"/>
      <c r="U23" s="42"/>
      <c r="V23" s="42"/>
      <c r="W23" s="42" t="s">
        <v>485</v>
      </c>
      <c r="X23" s="42" t="s">
        <v>605</v>
      </c>
      <c r="Y23" s="42"/>
      <c r="Z23" s="42"/>
      <c r="AA23" s="42"/>
    </row>
    <row r="24" spans="2:27" ht="12.6" thickTop="1">
      <c r="B24" s="5" t="s">
        <v>478</v>
      </c>
      <c r="C24" s="366">
        <f>ATCUS!C24+CHTR!C24+CMCSA!C24+FYBR!C24+SATS!C24</f>
        <v>67436.252045000001</v>
      </c>
      <c r="D24" s="350">
        <f>ATCUS!D24+CHTR!D24+CMCSA!D24+FYBR!D24+SATS!D24</f>
        <v>66872.293041194163</v>
      </c>
      <c r="E24" s="350">
        <f>ATCUS!E24+CHTR!E24+CMCSA!E24+FYBR!E24+SATS!E24</f>
        <v>67880.889862383236</v>
      </c>
      <c r="F24" s="350">
        <f>ATCUS!F24+CHTR!F24+CMCSA!F24+FYBR!F24+SATS!F24</f>
        <v>69809.882072670094</v>
      </c>
      <c r="G24" s="350">
        <f>ATCUS!G24+CHTR!G24+CMCSA!G24+FYBR!G24+SATS!G24</f>
        <v>73057.548902782917</v>
      </c>
      <c r="H24" s="279">
        <f t="shared" si="0"/>
        <v>2.9926645487549974E-2</v>
      </c>
      <c r="I24" s="248"/>
      <c r="J24" s="17"/>
      <c r="K24" s="17"/>
      <c r="L24" s="17"/>
      <c r="M24" s="17"/>
      <c r="N24" s="17"/>
      <c r="O24" s="248"/>
      <c r="S24" s="42"/>
      <c r="T24" s="42"/>
      <c r="U24" s="42"/>
      <c r="V24" s="147" t="s">
        <v>268</v>
      </c>
      <c r="W24" s="288">
        <f t="shared" ref="W24:W31" si="1">E37/M9</f>
        <v>0.84819941169313851</v>
      </c>
      <c r="X24" s="288">
        <v>1</v>
      </c>
      <c r="Y24" s="42"/>
      <c r="Z24" s="42"/>
      <c r="AA24" s="42"/>
    </row>
    <row r="25" spans="2:27">
      <c r="B25" s="5" t="s">
        <v>179</v>
      </c>
      <c r="C25" s="366">
        <f>ATCUS!C25+CHTR!C25+CMCSA!C25+FYBR!C25+SATS!C25</f>
        <v>39706.672044999999</v>
      </c>
      <c r="D25" s="350">
        <f>ATCUS!D25+CHTR!D25+CMCSA!D25+FYBR!D25+SATS!D25</f>
        <v>35669.485065936278</v>
      </c>
      <c r="E25" s="350">
        <f>ATCUS!E25+CHTR!E25+CMCSA!E25+FYBR!E25+SATS!E25</f>
        <v>39618.21188235133</v>
      </c>
      <c r="F25" s="350">
        <f>ATCUS!F25+CHTR!F25+CMCSA!F25+FYBR!F25+SATS!F25</f>
        <v>42585.363263806248</v>
      </c>
      <c r="G25" s="350">
        <f>ATCUS!G25+CHTR!G25+CMCSA!G25+FYBR!G25+SATS!G25</f>
        <v>49273.887301016672</v>
      </c>
      <c r="H25" s="279">
        <f t="shared" si="0"/>
        <v>0.11371310161076686</v>
      </c>
      <c r="I25" s="249"/>
      <c r="J25" s="247" t="s">
        <v>10</v>
      </c>
      <c r="K25" s="247"/>
      <c r="L25" s="332">
        <f>CHTR!L25+CMCSA!L25</f>
        <v>0</v>
      </c>
      <c r="M25" s="332">
        <f>CHTR!M25+CMCSA!M25</f>
        <v>0</v>
      </c>
      <c r="N25" s="332">
        <f>CHTR!N25+CMCSA!N25</f>
        <v>0</v>
      </c>
      <c r="O25" s="332">
        <f>CHTR!O25+CMCSA!O25</f>
        <v>0</v>
      </c>
      <c r="P25" s="349" t="str">
        <f>IF(L25=0,"nm",IF(O25=0,"nm",(O25/L25)^(1/3)-1))</f>
        <v>nm</v>
      </c>
      <c r="Q25" s="5"/>
      <c r="S25" s="42"/>
      <c r="T25" s="42"/>
      <c r="U25" s="42"/>
      <c r="V25" s="147" t="s">
        <v>180</v>
      </c>
      <c r="W25" s="288">
        <f t="shared" si="1"/>
        <v>0.87235094109601741</v>
      </c>
      <c r="X25" s="288">
        <v>1</v>
      </c>
      <c r="Y25" s="42"/>
      <c r="Z25" s="42"/>
      <c r="AA25" s="42"/>
    </row>
    <row r="26" spans="2:27">
      <c r="B26" s="5" t="s">
        <v>581</v>
      </c>
      <c r="C26" s="366">
        <f>ATCUS!C26+CHTR!C26+CMCSA!C26+FYBR!C26+SATS!C26</f>
        <v>25228.072796</v>
      </c>
      <c r="D26" s="350">
        <f>ATCUS!D26+CHTR!D26+CMCSA!D26+FYBR!D26+SATS!D26</f>
        <v>22058.282361645415</v>
      </c>
      <c r="E26" s="350">
        <f>ATCUS!E26+CHTR!E26+CMCSA!E26+FYBR!E26+SATS!E26</f>
        <v>26473.812913993457</v>
      </c>
      <c r="F26" s="350">
        <f>ATCUS!F26+CHTR!F26+CMCSA!F26+FYBR!F26+SATS!F26</f>
        <v>28259.416730743225</v>
      </c>
      <c r="G26" s="350">
        <f>ATCUS!G26+CHTR!G26+CMCSA!G26+FYBR!G26+SATS!G26</f>
        <v>32856.683405838339</v>
      </c>
      <c r="H26" s="279">
        <f t="shared" si="0"/>
        <v>0.14204708718901382</v>
      </c>
      <c r="I26" s="249"/>
      <c r="J26" s="249" t="s">
        <v>11</v>
      </c>
      <c r="K26" s="249"/>
      <c r="L26" s="229">
        <f>CHTR!L26+CMCSA!L26</f>
        <v>219917.77855013401</v>
      </c>
      <c r="M26" s="229">
        <f>CHTR!M26+CMCSA!M26</f>
        <v>205997.68363718741</v>
      </c>
      <c r="N26" s="229">
        <f>CHTR!N26+CMCSA!N26</f>
        <v>194741.89174857055</v>
      </c>
      <c r="O26" s="229">
        <f>CHTR!O26+CMCSA!O26</f>
        <v>179691.174986945</v>
      </c>
      <c r="P26" s="349">
        <f>IF(L26=0,"nm",IF(O26=0,"nm",(O26/L26)^(1/3)-1))</f>
        <v>-6.5120859846637735E-2</v>
      </c>
      <c r="Q26" s="41"/>
      <c r="S26" s="42"/>
      <c r="T26" s="42"/>
      <c r="U26" s="42"/>
      <c r="V26" s="147" t="s">
        <v>181</v>
      </c>
      <c r="W26" s="288">
        <f t="shared" si="1"/>
        <v>0.83573492735870558</v>
      </c>
      <c r="X26" s="288">
        <v>1</v>
      </c>
      <c r="Y26" s="42"/>
      <c r="Z26" s="42"/>
      <c r="AA26" s="42"/>
    </row>
    <row r="27" spans="2:27">
      <c r="B27" s="5" t="s">
        <v>582</v>
      </c>
      <c r="C27" s="366">
        <f>ATCUS!C27+CHTR!C27+CMCSA!C27+FYBR!C27+SATS!C27</f>
        <v>350571.84700000001</v>
      </c>
      <c r="D27" s="350">
        <f>ATCUS!D27+CHTR!D27+CMCSA!D27+FYBR!D27+SATS!D27</f>
        <v>356643.46220076346</v>
      </c>
      <c r="E27" s="350">
        <f>ATCUS!E27+CHTR!E27+CMCSA!E27+FYBR!E27+SATS!E27</f>
        <v>360810.62248865463</v>
      </c>
      <c r="F27" s="350">
        <f>ATCUS!F27+CHTR!F27+CMCSA!F27+FYBR!F27+SATS!F27</f>
        <v>360590.00582269463</v>
      </c>
      <c r="G27" s="350">
        <f>ATCUS!G27+CHTR!G27+CMCSA!G27+FYBR!G27+SATS!G27</f>
        <v>356016.87864357763</v>
      </c>
      <c r="H27" s="279">
        <f t="shared" si="0"/>
        <v>-5.8597350806643966E-4</v>
      </c>
      <c r="I27" s="248"/>
      <c r="J27" s="248"/>
      <c r="K27" s="248"/>
      <c r="L27" s="248"/>
      <c r="M27" s="248"/>
      <c r="N27" s="248"/>
      <c r="O27" s="248"/>
      <c r="Q27" s="5"/>
      <c r="S27" s="42"/>
      <c r="T27" s="42"/>
      <c r="U27" s="42"/>
      <c r="V27" s="147" t="s">
        <v>461</v>
      </c>
      <c r="W27" s="288">
        <f t="shared" si="1"/>
        <v>0.87918837381356729</v>
      </c>
      <c r="X27" s="288">
        <v>1</v>
      </c>
      <c r="Y27" s="42"/>
      <c r="Z27" s="42"/>
      <c r="AA27" s="42"/>
    </row>
    <row r="28" spans="2:27" ht="12.6" thickBot="1">
      <c r="B28" s="5" t="s">
        <v>587</v>
      </c>
      <c r="C28" s="366">
        <f>ATCUS!C28+CHTR!C28+CMCSA!C28+FYBR!C28+SATS!C28</f>
        <v>118752.516</v>
      </c>
      <c r="D28" s="350">
        <f>ATCUS!D28+CHTR!D28+CMCSA!D28+FYBR!D28+SATS!D28</f>
        <v>121504.52562788327</v>
      </c>
      <c r="E28" s="350">
        <f>ATCUS!E28+CHTR!E28+CMCSA!E28+FYBR!E28+SATS!E28</f>
        <v>122955.64566459238</v>
      </c>
      <c r="F28" s="350">
        <f>ATCUS!F28+CHTR!F28+CMCSA!F28+FYBR!F28+SATS!F28</f>
        <v>123020.11251910058</v>
      </c>
      <c r="G28" s="350">
        <f>ATCUS!G28+CHTR!G28+CMCSA!G28+FYBR!G28+SATS!G28</f>
        <v>119720.28615930899</v>
      </c>
      <c r="H28" s="279">
        <f t="shared" si="0"/>
        <v>-4.9190074724069222E-3</v>
      </c>
      <c r="I28" s="252"/>
      <c r="J28" s="306" t="s">
        <v>747</v>
      </c>
      <c r="K28" s="306"/>
      <c r="L28" s="306"/>
      <c r="M28" s="306"/>
      <c r="N28" s="266"/>
      <c r="O28" s="266"/>
      <c r="P28" s="266"/>
      <c r="Q28" s="5"/>
      <c r="S28" s="42"/>
      <c r="T28" s="42"/>
      <c r="U28" s="42"/>
      <c r="V28" s="147" t="s">
        <v>525</v>
      </c>
      <c r="W28" s="288">
        <f t="shared" si="1"/>
        <v>0.76162145744411869</v>
      </c>
      <c r="X28" s="288">
        <v>1</v>
      </c>
      <c r="Y28" s="42"/>
      <c r="Z28" s="42"/>
      <c r="AA28" s="42"/>
    </row>
    <row r="29" spans="2:27" ht="12.6" thickTop="1">
      <c r="B29" s="5" t="s">
        <v>583</v>
      </c>
      <c r="C29" s="366">
        <f>ATCUS!C29+CHTR!C29+CMCSA!C29+FYBR!C29+SATS!C29</f>
        <v>42786.225046000007</v>
      </c>
      <c r="D29" s="350">
        <f>ATCUS!D29+CHTR!D29+CMCSA!D29+FYBR!D29+SATS!D29</f>
        <v>38959.201603355847</v>
      </c>
      <c r="E29" s="350">
        <f>ATCUS!E29+CHTR!E29+CMCSA!E29+FYBR!E29+SATS!E29</f>
        <v>44039.700542354934</v>
      </c>
      <c r="F29" s="350">
        <f>ATCUS!F29+CHTR!F29+CMCSA!F29+FYBR!F29+SATS!F29</f>
        <v>45361.834125583271</v>
      </c>
      <c r="G29" s="350">
        <f>ATCUS!G29+CHTR!G29+CMCSA!G29+FYBR!G29+SATS!G29</f>
        <v>49093.437376638009</v>
      </c>
      <c r="H29" s="279">
        <f t="shared" si="0"/>
        <v>8.0117819415815195E-2</v>
      </c>
      <c r="I29" s="254"/>
      <c r="J29" s="249"/>
      <c r="K29" s="249"/>
      <c r="L29" s="249"/>
      <c r="M29" s="249"/>
      <c r="N29" s="249"/>
      <c r="O29" s="251"/>
      <c r="Q29" s="5"/>
      <c r="S29" s="42"/>
      <c r="T29" s="42"/>
      <c r="U29" s="42"/>
      <c r="V29" s="147" t="s">
        <v>588</v>
      </c>
      <c r="W29" s="288">
        <f t="shared" si="1"/>
        <v>0.9682083422977048</v>
      </c>
      <c r="X29" s="288">
        <v>1</v>
      </c>
      <c r="Y29" s="42"/>
      <c r="Z29" s="42"/>
      <c r="AA29" s="42"/>
    </row>
    <row r="30" spans="2:27">
      <c r="B30" s="5" t="s">
        <v>584</v>
      </c>
      <c r="C30" s="366">
        <f>ATCUS!C30+CHTR!C30+CMCSA!C30+FYBR!C30+SATS!C30</f>
        <v>24607.438044000002</v>
      </c>
      <c r="D30" s="350">
        <f>ATCUS!D30+CHTR!D30+CMCSA!D30+FYBR!D30+SATS!D30</f>
        <v>20322.8495048271</v>
      </c>
      <c r="E30" s="350">
        <f>ATCUS!E30+CHTR!E30+CMCSA!E30+FYBR!E30+SATS!E30</f>
        <v>22570.656068445438</v>
      </c>
      <c r="F30" s="350">
        <f>ATCUS!F30+CHTR!F30+CMCSA!F30+FYBR!F30+SATS!F30</f>
        <v>24486.650625674898</v>
      </c>
      <c r="G30" s="350">
        <f>ATCUS!G30+CHTR!G30+CMCSA!G30+FYBR!G30+SATS!G30</f>
        <v>27222.501722774647</v>
      </c>
      <c r="H30" s="279">
        <f t="shared" si="0"/>
        <v>0.10233723564171293</v>
      </c>
      <c r="I30" s="254"/>
      <c r="J30" s="248"/>
      <c r="K30" s="248"/>
      <c r="L30" s="248"/>
      <c r="M30" s="248"/>
      <c r="N30" s="248"/>
      <c r="O30" s="5"/>
      <c r="Q30" s="5"/>
      <c r="S30" s="42"/>
      <c r="T30" s="42"/>
      <c r="U30" s="42"/>
      <c r="V30" s="147" t="s">
        <v>470</v>
      </c>
      <c r="W30" s="288">
        <f t="shared" si="1"/>
        <v>0.36900844644509767</v>
      </c>
      <c r="X30" s="288">
        <v>1</v>
      </c>
      <c r="Y30" s="42"/>
      <c r="Z30" s="42"/>
      <c r="AA30" s="42"/>
    </row>
    <row r="31" spans="2:27">
      <c r="B31" s="5" t="s">
        <v>585</v>
      </c>
      <c r="C31" s="366">
        <f>ATCUS!C31+CHTR!C31+CMCSA!C31+FYBR!C31+SATS!C31</f>
        <v>4741</v>
      </c>
      <c r="D31" s="350">
        <f>ATCUS!D31+CHTR!D31+CMCSA!D31+FYBR!D31+SATS!D31</f>
        <v>4790.2929887974715</v>
      </c>
      <c r="E31" s="350">
        <f>ATCUS!E31+CHTR!E31+CMCSA!E31+FYBR!E31+SATS!E31</f>
        <v>5029.4829424364088</v>
      </c>
      <c r="F31" s="350">
        <f>ATCUS!F31+CHTR!F31+CMCSA!F31+FYBR!F31+SATS!F31</f>
        <v>4988.3623036079834</v>
      </c>
      <c r="G31" s="350">
        <f>ATCUS!G31+CHTR!G31+CMCSA!G31+FYBR!G31+SATS!G31</f>
        <v>4887.4326575387213</v>
      </c>
      <c r="H31" s="279">
        <f t="shared" si="0"/>
        <v>6.714297299340366E-3</v>
      </c>
      <c r="I31" s="254"/>
      <c r="J31" s="252"/>
      <c r="K31" s="252"/>
      <c r="L31" s="252"/>
      <c r="M31" s="252"/>
      <c r="N31" s="252"/>
      <c r="O31" s="5"/>
      <c r="Q31" s="5"/>
      <c r="S31" s="42"/>
      <c r="T31" s="42"/>
      <c r="U31" s="42"/>
      <c r="V31" s="147" t="s">
        <v>528</v>
      </c>
      <c r="W31" s="288">
        <f t="shared" si="1"/>
        <v>0.69036363540299295</v>
      </c>
      <c r="X31" s="288">
        <v>1</v>
      </c>
      <c r="Y31" s="42"/>
      <c r="Z31" s="42"/>
      <c r="AA31" s="42"/>
    </row>
    <row r="32" spans="2:27">
      <c r="B32" s="5" t="s">
        <v>601</v>
      </c>
      <c r="C32" s="366">
        <f>ATCUS!C32+CHTR!C32+CMCSA!C32+FYBR!C32+SATS!C32</f>
        <v>23605</v>
      </c>
      <c r="D32" s="350">
        <f>ATCUS!D32+CHTR!D32+CMCSA!D32+FYBR!D32+SATS!D32</f>
        <v>12098.203878051518</v>
      </c>
      <c r="E32" s="350">
        <f>ATCUS!E32+CHTR!E32+CMCSA!E32+FYBR!E32+SATS!E32</f>
        <v>22390.162661713443</v>
      </c>
      <c r="F32" s="350">
        <f>ATCUS!F32+CHTR!F32+CMCSA!F32+FYBR!F32+SATS!F32</f>
        <v>23399.148387886657</v>
      </c>
      <c r="G32" s="350">
        <f>ATCUS!G32+CHTR!G32+CMCSA!G32+FYBR!G32+SATS!G32</f>
        <v>34453.405190010373</v>
      </c>
      <c r="H32" s="279">
        <f t="shared" si="0"/>
        <v>0.41743695354137067</v>
      </c>
      <c r="I32" s="5"/>
      <c r="J32" s="254"/>
      <c r="K32" s="254"/>
      <c r="L32" s="254"/>
      <c r="M32" s="254"/>
      <c r="N32" s="254"/>
      <c r="O32" s="251"/>
      <c r="Q32" s="5"/>
      <c r="S32" s="42"/>
      <c r="T32" s="42"/>
      <c r="U32" s="42"/>
      <c r="V32" s="147" t="s">
        <v>575</v>
      </c>
      <c r="W32" s="288">
        <f>M17/E45</f>
        <v>1.7227903710862775</v>
      </c>
      <c r="X32" s="288">
        <v>1</v>
      </c>
      <c r="Y32" s="42"/>
      <c r="Z32" s="42"/>
      <c r="AA32" s="42"/>
    </row>
    <row r="33" spans="2:42">
      <c r="B33" s="5" t="s">
        <v>5</v>
      </c>
      <c r="C33" s="366">
        <f>ATCUS!C33+CHTR!C33+CMCSA!C33+FYBR!C33+SATS!C33</f>
        <v>-5002.3049999999994</v>
      </c>
      <c r="D33" s="350">
        <f>ATCUS!D33+CHTR!D33+CMCSA!D33+FYBR!D33+SATS!D33</f>
        <v>-4889.2399679794617</v>
      </c>
      <c r="E33" s="350">
        <f>ATCUS!E33+CHTR!E33+CMCSA!E33+FYBR!E33+SATS!E33</f>
        <v>-4449.0065614296727</v>
      </c>
      <c r="F33" s="350">
        <f>ATCUS!F33+CHTR!F33+CMCSA!F33+FYBR!F33+SATS!F33</f>
        <v>-4722.9089197654648</v>
      </c>
      <c r="G33" s="350">
        <f>ATCUS!G33+CHTR!G33+CMCSA!G33+FYBR!G33+SATS!G33</f>
        <v>-4893.2625446605352</v>
      </c>
      <c r="H33" s="279">
        <f t="shared" si="0"/>
        <v>2.7417172077170981E-4</v>
      </c>
      <c r="I33" s="49"/>
      <c r="J33" s="254"/>
      <c r="K33" s="254"/>
      <c r="L33" s="254"/>
      <c r="M33" s="254"/>
      <c r="N33" s="254"/>
      <c r="O33" s="251"/>
      <c r="Q33" s="5"/>
      <c r="S33" s="42"/>
      <c r="T33" s="42"/>
      <c r="U33" s="42"/>
      <c r="V33" s="147" t="s">
        <v>261</v>
      </c>
      <c r="W33" s="288">
        <f>N19/F47</f>
        <v>0.3787427738299749</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711</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268</v>
      </c>
      <c r="C37" s="247"/>
      <c r="D37" s="64">
        <f t="shared" ref="D37:G41" si="2">D$18/D23</f>
        <v>2.0615992706049235</v>
      </c>
      <c r="E37" s="64">
        <f t="shared" si="2"/>
        <v>2.0145901059151643</v>
      </c>
      <c r="F37" s="64">
        <f t="shared" si="2"/>
        <v>1.9460103757669567</v>
      </c>
      <c r="G37" s="64">
        <f t="shared" si="2"/>
        <v>1.8352364265652237</v>
      </c>
      <c r="H37" s="17">
        <f t="shared" ref="H37:H45" si="3">H23</f>
        <v>6.8251004257615655E-3</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180</v>
      </c>
      <c r="C38" s="247"/>
      <c r="D38" s="64">
        <f t="shared" si="2"/>
        <v>6.419136047060916</v>
      </c>
      <c r="E38" s="64">
        <f t="shared" si="2"/>
        <v>6.1617174775214849</v>
      </c>
      <c r="F38" s="64">
        <f t="shared" si="2"/>
        <v>5.8157046048820016</v>
      </c>
      <c r="G38" s="64">
        <f t="shared" si="2"/>
        <v>5.3383564537368979</v>
      </c>
      <c r="H38" s="17">
        <f t="shared" si="3"/>
        <v>2.9926645487549974E-2</v>
      </c>
      <c r="I38" s="17"/>
      <c r="J38" s="17"/>
      <c r="K38" s="17"/>
      <c r="L38" s="17"/>
      <c r="M38" s="17"/>
      <c r="N38" s="17"/>
      <c r="O38" s="5"/>
      <c r="Q38" s="5"/>
      <c r="R38" s="5"/>
      <c r="S38" s="42"/>
      <c r="T38" s="42"/>
      <c r="U38" s="42"/>
      <c r="V38" s="42"/>
      <c r="W38" s="42"/>
      <c r="X38" s="42"/>
      <c r="Y38" s="42"/>
      <c r="Z38" s="42"/>
      <c r="AA38" s="42"/>
    </row>
    <row r="39" spans="2:42">
      <c r="B39" s="5" t="s">
        <v>181</v>
      </c>
      <c r="C39" s="247"/>
      <c r="D39" s="64">
        <f t="shared" si="2"/>
        <v>12.034441933121379</v>
      </c>
      <c r="E39" s="64">
        <f t="shared" si="2"/>
        <v>10.557338294237372</v>
      </c>
      <c r="F39" s="64">
        <f t="shared" si="2"/>
        <v>9.5336430529255392</v>
      </c>
      <c r="G39" s="64">
        <f t="shared" si="2"/>
        <v>7.9150896964308144</v>
      </c>
      <c r="H39" s="17">
        <f t="shared" si="3"/>
        <v>0.11371310161076686</v>
      </c>
      <c r="I39" s="5"/>
      <c r="J39" s="5"/>
      <c r="K39" s="5"/>
      <c r="L39" s="5"/>
      <c r="M39" s="5"/>
      <c r="N39" s="5"/>
      <c r="O39" s="5"/>
      <c r="Q39" s="5"/>
      <c r="R39" s="5"/>
      <c r="S39" s="42"/>
      <c r="T39" s="42"/>
      <c r="U39" s="42"/>
      <c r="V39" s="42"/>
      <c r="W39" s="288"/>
      <c r="X39" s="288"/>
      <c r="Y39" s="42"/>
      <c r="Z39" s="42"/>
      <c r="AA39" s="42"/>
    </row>
    <row r="40" spans="2:42">
      <c r="B40" s="5" t="s">
        <v>461</v>
      </c>
      <c r="C40" s="247"/>
      <c r="D40" s="64">
        <f t="shared" si="2"/>
        <v>19.460370475479301</v>
      </c>
      <c r="E40" s="64">
        <f t="shared" si="2"/>
        <v>15.799116916538814</v>
      </c>
      <c r="F40" s="64">
        <f t="shared" si="2"/>
        <v>14.366667808632414</v>
      </c>
      <c r="G40" s="64">
        <f t="shared" si="2"/>
        <v>11.869951475688792</v>
      </c>
      <c r="H40" s="17">
        <f t="shared" si="3"/>
        <v>0.14204708718901382</v>
      </c>
      <c r="I40" s="247"/>
      <c r="J40" s="259"/>
      <c r="K40" s="259"/>
      <c r="L40" s="259"/>
      <c r="M40" s="259"/>
      <c r="N40" s="259"/>
      <c r="O40" s="18"/>
      <c r="Q40" s="5"/>
      <c r="R40" s="5"/>
      <c r="S40" s="42"/>
      <c r="T40" s="42"/>
      <c r="U40" s="42"/>
      <c r="V40" s="42"/>
      <c r="W40" s="288"/>
      <c r="X40" s="288"/>
      <c r="Y40" s="288"/>
      <c r="Z40" s="288"/>
      <c r="AA40" s="42"/>
    </row>
    <row r="41" spans="2:42">
      <c r="B41" s="5" t="s">
        <v>525</v>
      </c>
      <c r="C41" s="247"/>
      <c r="D41" s="64">
        <f t="shared" si="2"/>
        <v>1.2036175965808336</v>
      </c>
      <c r="E41" s="64">
        <f t="shared" si="2"/>
        <v>1.1592310186707702</v>
      </c>
      <c r="F41" s="64">
        <f t="shared" si="2"/>
        <v>1.125914878616818</v>
      </c>
      <c r="G41" s="64">
        <f t="shared" si="2"/>
        <v>1.0954740100112548</v>
      </c>
      <c r="H41" s="17">
        <f t="shared" si="3"/>
        <v>-5.8597350806643966E-4</v>
      </c>
      <c r="I41" s="248"/>
      <c r="J41" s="17"/>
      <c r="K41" s="17"/>
      <c r="L41" s="17"/>
      <c r="M41" s="17"/>
      <c r="N41" s="17"/>
      <c r="O41" s="5"/>
      <c r="Q41" s="5"/>
      <c r="R41" s="5"/>
      <c r="S41" s="42"/>
      <c r="T41" s="42"/>
      <c r="U41" s="42"/>
      <c r="V41" s="42"/>
      <c r="W41" s="288"/>
      <c r="X41" s="288"/>
      <c r="Y41" s="288"/>
      <c r="Z41" s="288"/>
      <c r="AA41" s="42"/>
    </row>
    <row r="42" spans="2:42">
      <c r="B42" s="5" t="s">
        <v>588</v>
      </c>
      <c r="C42" s="247"/>
      <c r="D42" s="64">
        <f>D18/D28</f>
        <v>3.5328918375024028</v>
      </c>
      <c r="E42" s="64">
        <f>E18/E28</f>
        <v>3.4017377827100885</v>
      </c>
      <c r="F42" s="64">
        <f>F18/F28</f>
        <v>3.3002217631142288</v>
      </c>
      <c r="G42" s="64">
        <f>G18/G28</f>
        <v>3.257653737649747</v>
      </c>
      <c r="H42" s="17">
        <f t="shared" si="3"/>
        <v>-4.9190074724069222E-3</v>
      </c>
      <c r="I42" s="247"/>
      <c r="J42" s="5"/>
      <c r="K42" s="5"/>
      <c r="L42" s="5"/>
      <c r="M42" s="5"/>
      <c r="N42" s="5"/>
      <c r="O42" s="5"/>
      <c r="Q42" s="5"/>
      <c r="R42" s="5"/>
      <c r="S42" s="42"/>
      <c r="T42" s="42"/>
      <c r="U42" s="42"/>
      <c r="V42" s="42"/>
      <c r="W42" s="288"/>
      <c r="X42" s="288"/>
      <c r="Y42" s="288"/>
      <c r="Z42" s="288"/>
      <c r="AA42" s="42"/>
    </row>
    <row r="43" spans="2:42">
      <c r="B43" s="5" t="s">
        <v>470</v>
      </c>
      <c r="C43" s="247"/>
      <c r="D43" s="64">
        <f>L26/D29</f>
        <v>5.644822519442771</v>
      </c>
      <c r="E43" s="64">
        <f>M26/E29</f>
        <v>4.6775450582156051</v>
      </c>
      <c r="F43" s="64">
        <f>N26/F29</f>
        <v>4.2930779917194659</v>
      </c>
      <c r="G43" s="64">
        <f>O26/G29</f>
        <v>3.6601872793786949</v>
      </c>
      <c r="H43" s="17">
        <f t="shared" si="3"/>
        <v>8.0117819415815195E-2</v>
      </c>
      <c r="I43" s="247"/>
      <c r="J43" s="247"/>
      <c r="K43" s="247"/>
      <c r="L43" s="247"/>
      <c r="M43" s="247"/>
      <c r="N43" s="247"/>
      <c r="O43" s="18"/>
      <c r="Q43" s="5"/>
      <c r="R43" s="5"/>
      <c r="S43" s="42"/>
      <c r="T43" s="42"/>
      <c r="U43" s="42"/>
      <c r="V43" s="42"/>
      <c r="W43" s="325"/>
      <c r="X43" s="325"/>
      <c r="Y43" s="288"/>
      <c r="Z43" s="288"/>
      <c r="AA43" s="42"/>
    </row>
    <row r="44" spans="2:42">
      <c r="B44" s="5" t="s">
        <v>528</v>
      </c>
      <c r="C44" s="69"/>
      <c r="D44" s="64">
        <f>D11/D30</f>
        <v>11.589674186134612</v>
      </c>
      <c r="E44" s="64">
        <f>E11/E30</f>
        <v>9.8176351313521053</v>
      </c>
      <c r="F44" s="64">
        <f>F11/F30</f>
        <v>8.5897880374302709</v>
      </c>
      <c r="G44" s="64">
        <f>G11/G30</f>
        <v>7.1736568667637073</v>
      </c>
      <c r="H44" s="17">
        <f t="shared" si="3"/>
        <v>0.10233723564171293</v>
      </c>
      <c r="I44" s="248"/>
      <c r="J44" s="248"/>
      <c r="K44" s="248"/>
      <c r="L44" s="248"/>
      <c r="M44" s="248"/>
      <c r="N44" s="248"/>
      <c r="O44" s="248"/>
      <c r="Q44" s="5"/>
      <c r="R44" s="5"/>
      <c r="S44" s="42"/>
      <c r="T44" s="42"/>
      <c r="U44" s="42"/>
      <c r="V44" s="42"/>
      <c r="W44" s="42"/>
      <c r="X44" s="42"/>
      <c r="Y44" s="325"/>
      <c r="Z44" s="325"/>
      <c r="AA44" s="42"/>
    </row>
    <row r="45" spans="2:42">
      <c r="B45" s="5" t="s">
        <v>575</v>
      </c>
      <c r="C45" s="247"/>
      <c r="D45" s="248">
        <f>D31/D11</f>
        <v>2.0337906612049358E-2</v>
      </c>
      <c r="E45" s="248">
        <f>E31/E11</f>
        <v>2.2697199181179739E-2</v>
      </c>
      <c r="F45" s="248">
        <f>F31/F11</f>
        <v>2.3716257475136997E-2</v>
      </c>
      <c r="G45" s="248">
        <f>G31/G11</f>
        <v>2.5027193590269611E-2</v>
      </c>
      <c r="H45" s="17">
        <f t="shared" si="3"/>
        <v>6.714297299340366E-3</v>
      </c>
      <c r="I45" s="247"/>
      <c r="J45" s="247"/>
      <c r="K45" s="247"/>
      <c r="L45" s="247"/>
      <c r="M45" s="247"/>
      <c r="N45" s="247"/>
      <c r="O45" s="248"/>
      <c r="Q45" s="5"/>
      <c r="R45" s="5"/>
      <c r="S45" s="42"/>
      <c r="T45" s="42"/>
      <c r="U45" s="42"/>
      <c r="V45" s="42"/>
      <c r="W45" s="42"/>
      <c r="X45" s="42"/>
      <c r="Y45" s="42"/>
      <c r="Z45" s="42"/>
      <c r="AA45" s="326"/>
      <c r="AB45" s="303"/>
    </row>
    <row r="46" spans="2:42">
      <c r="B46" s="5" t="s">
        <v>600</v>
      </c>
      <c r="C46" s="247"/>
      <c r="D46" s="248">
        <f>(D31+D32)/D11</f>
        <v>7.1702643846444009E-2</v>
      </c>
      <c r="E46" s="248">
        <f>(E31+E32)/E11</f>
        <v>0.12374018659128148</v>
      </c>
      <c r="F46" s="248">
        <f>(F31+F32)/F11</f>
        <v>0.13496323475757685</v>
      </c>
      <c r="G46" s="248">
        <f>(G31+G32)/G11</f>
        <v>0.20145357159966482</v>
      </c>
      <c r="H46" s="279">
        <f>((G31+G32)/(D31+D32))^(1/3)-1</f>
        <v>0.3256153847966301</v>
      </c>
      <c r="I46" s="17"/>
      <c r="J46" s="247"/>
      <c r="K46" s="247"/>
      <c r="L46" s="247"/>
      <c r="M46" s="247"/>
      <c r="N46" s="247"/>
      <c r="O46" s="18"/>
      <c r="Q46" s="5"/>
      <c r="R46" s="5"/>
      <c r="S46" s="42"/>
      <c r="T46" s="42"/>
      <c r="U46" s="42"/>
      <c r="V46" s="42"/>
      <c r="W46" s="42"/>
      <c r="X46" s="42"/>
      <c r="Y46" s="42"/>
      <c r="Z46" s="42"/>
      <c r="AA46" s="326"/>
      <c r="AB46" s="303"/>
    </row>
    <row r="47" spans="2:42">
      <c r="B47" s="5" t="s">
        <v>576</v>
      </c>
      <c r="C47" s="5"/>
      <c r="D47" s="248">
        <f>1/D43</f>
        <v>0.1771534882727748</v>
      </c>
      <c r="E47" s="248">
        <f>1/E43</f>
        <v>0.21378735801670312</v>
      </c>
      <c r="F47" s="248">
        <f>1/F43</f>
        <v>0.23293310811702245</v>
      </c>
      <c r="G47" s="248">
        <f>1/G43</f>
        <v>0.27321006376748752</v>
      </c>
      <c r="H47" s="17">
        <f>H29</f>
        <v>8.0117819415815195E-2</v>
      </c>
      <c r="I47" s="247"/>
      <c r="J47" s="248"/>
      <c r="K47" s="248"/>
      <c r="L47" s="248"/>
      <c r="M47" s="248"/>
      <c r="N47" s="248"/>
      <c r="O47" s="248"/>
      <c r="Q47" s="5"/>
      <c r="R47" s="5"/>
      <c r="S47" s="5"/>
      <c r="T47" s="5"/>
      <c r="U47" s="5"/>
      <c r="AA47" s="303"/>
      <c r="AB47" s="303"/>
    </row>
    <row r="48" spans="2:42">
      <c r="B48" s="5" t="s">
        <v>613</v>
      </c>
      <c r="C48" s="5"/>
      <c r="D48" s="305">
        <f>D31/D29</f>
        <v>0.122956651873093</v>
      </c>
      <c r="E48" s="305">
        <f>E31/E29</f>
        <v>0.11420338650121682</v>
      </c>
      <c r="F48" s="305">
        <f>F31/F29</f>
        <v>0.10996826737203369</v>
      </c>
      <c r="G48" s="305">
        <f>G31/G29</f>
        <v>9.9553686168744285E-2</v>
      </c>
      <c r="H48" s="17" t="s">
        <v>602</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a64ecaf-0ff2-4962-b687-c42052c96c69">
      <Terms xmlns="http://schemas.microsoft.com/office/infopath/2007/PartnerControls"/>
    </lcf76f155ced4ddcb4097134ff3c332f>
    <TaxCatchAll xmlns="ac44878d-96d9-4f15-b496-a7136242695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E45DFD126F1C944A14E489380A940D9" ma:contentTypeVersion="12" ma:contentTypeDescription="Create a new document." ma:contentTypeScope="" ma:versionID="135f5511df3d0be2c8bd5128510892d5">
  <xsd:schema xmlns:xsd="http://www.w3.org/2001/XMLSchema" xmlns:xs="http://www.w3.org/2001/XMLSchema" xmlns:p="http://schemas.microsoft.com/office/2006/metadata/properties" xmlns:ns2="7a64ecaf-0ff2-4962-b687-c42052c96c69" xmlns:ns3="ac44878d-96d9-4f15-b496-a71362426953" targetNamespace="http://schemas.microsoft.com/office/2006/metadata/properties" ma:root="true" ma:fieldsID="9403f04297d608c6c0e02be7f891f173" ns2:_="" ns3:_="">
    <xsd:import namespace="7a64ecaf-0ff2-4962-b687-c42052c96c69"/>
    <xsd:import namespace="ac44878d-96d9-4f15-b496-a7136242695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64ecaf-0ff2-4962-b687-c42052c96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47c01aa-fa72-499e-a558-c0906cb7ca6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44878d-96d9-4f15-b496-a7136242695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b3b699d-aa6c-457c-8a6e-4428a86250e7}" ma:internalName="TaxCatchAll" ma:showField="CatchAllData" ma:web="ac44878d-96d9-4f15-b496-a713624269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FdsFormulaCache xmlns="urn:fdsformulacache" version="2" timestamp="1725627418"><![CDATA[{"NZDUSD^FG_PRICE":0.6230078,"USDQAR^FG_PRICE":3.6409838,"USDTWD^FG_PRICE":31.934982,"USDMXN^FG_PRICE":19.88401,"USDKES^FG_PRICE":129.0001,"USDLKR^FG_PRICE":298.90002,"USDBDT^FG_PRICE":119.90006,"USDPKR^FG_PRICE":278.55,"USDARS^FG_PRICE":953.74585,"USDPHP^FG_PRICE":55.902493,"USDSGD^FG_PRICE":1.2984021,"USDCNY^FG_PRICE":7.0880933,"USDRUB^FG_PRICE":90.20006,"USDKRW^FG_PRICE":1327.45,"USDIDR^FG_PRICE":15365.001,"USDEGP^FG_PRICE":48.44001,"USDZAR^FG_PRICE":17.722511,"USDMAD^FG_PRICE":9.712301,"USDAUD^FG_PRICE":1.4836984,"USDHKD^FG_PRICE":7.7924995,"USDLTL^FG_PRICE":3.1069565,"USDCLP^FG_PRICE":942.32007,"USDCAD^FG_PRICE":1.3492997,"USDTHB^FG_PRICE":33.51501,"USDPLN^FG_PRICE":3.8506851,"USDJPY^FG_PRICE":142.76498,"USDBRL^FG_PRICE":5.5738792,"USDMYR^FG_PRICE":4.330512,"USDSEK^FG_PRICE":10.220025,"USDNOK^FG_PRICE":10.59392,"USDHUF^FG_PRICE":354.56226,"EURUSD^FG_PRICE":1.1113126,"USDCZK^FG_PRICE":22.53486,"USDGBP^FG_PRICE":0.75909966,"USDINR^FG_PRICE":83.94626,"USDKWD^FG_PRICE":0.3053099,"USDTRY^FG_PRICE":33.993736,"USDDKK^FG_PRICE":6.7145405,"USDCHF^FG_PRICE":0.84191746,"IAM-FR^FG_PRICE":8.15,"BBVA-ES^FG_PRICE":9.036,"SITES1A.1-MX^FG_PRICE":16.63,"LILAK-US^FG_PRICE":9.48,"LILAB-US^FG_PRICE":8.26,"LILA-US^FG_PRICE":9.48,"MEGACPO-MX^FG_PRICE":42.67,"TIMS3-BR^FG_PRICE":18.63,"TIGO-US^FG_PRICE":26.63,"ENTEL-CL^FG_PRICE":2900.0,"OIBR4-BR^FG_PRICE":12.1,"OIBR3-BR^FG_PRICE":5.16,"VIVT3-BR^FG_PRICE":55.12,"TV-US^FG_PRICE":1.77,"AMXB-MX^FG_PRICE":16.31,"IHS-USA^FG_PRICE":3.19,"MCG-ZA^FG_PRICE":108.2,"VOD-ZA^FG_PRICE":111.12,"VEON-US^FG_PRICE":27.2,"TCELL.E-TR^FG_PRICE":99.65,"SCOM-KE^FG_PRICE":14.8,"MTN-ZA^FG_PRICE":92.0,"AAF-GB^FG_PRICE":1.126,"TTKOM.E-TR^FG_PRICE":52.35,"TKG-ZA^FG_PRICE":27.55,"MTEL-ID^FG_PRICE":660.0,"TBIG-ID^FG_PRICE":1920.0,"TOWR-ID^FG_PRICE":840.0,"788-HK^FG_PRICE":0.99,"534816-IN^FG_PRICE":423.15,"EXCL-ID^FG_PRICE":2330.0,"TRUE-TH^FG_PRICE":10.7,"3045-TW^FG_PRICE":115.0,"017670-KR^FG_PRICE":57800.0,"6012-MY^FG_PRICE":3.82,"032640-KR^FG_PRICE":9890.0,"030200-KR^FG_PRICE":41200.0,"ISAT-ID^FG_PRICE":10900.0,"532822-IN^FG_PRICE":13.36,"4904-TW^FG_PRICE":91.9,"6947-MY^FG_PRICE":3.66,"941-HK^FG_PRICE":72.0,"532454-IN^FG_PRICE":1539.1,"6888-MY^FG_PRICE":2.44,"ADVANC-TH^FG_PRICE":269.0,"TLKM-ID^FG_PRICE":3040.0,"2412-TW^FG_PRICE":124.0,"762-HK^FG_PRICE":6.32,"728-HK^FG_PRICE":4.48,"MAQ-AU^FG_PRICE":76.51,"TPG-AU^FG_PRICE":4.99,"ST1-AU^FG_PRICE":0.06,"1310-HK^FG_PRICE":2.67,"9434-JP^FG_PRICE":1996.0,"4755-JP^FG_PRICE":946.4,"9433-JP^FG_PRICE":4851.0,"CNU-NZ^FG_PRICE":8.81,"TLS-AU^FG_PRICE":3.93,"Z74-SG^FG_PRICE":3.13,"SPK-NZ^FG_PRICE":3.52,"9432-JP^FG_PRICE":155.5,"SBAC-US^FG_PRICE":233.37,"CCI-US^FG_PRICE":113.87,"AMT-US^FG_PRICE":233.64,"SATS-US^FG_PRICE":22.28,"FYBR-US^FG_PRICE":35.0,"CMCSA-US^FG_PRICE":39.8,"CHTR-US^FG_PRICE":330.78,"ATUS-US^FG_PRICE":2.14,"TMUS-US^FG_PRICE":197.18,"T-US^FG_PRICE":20.65,"VZ-US^FG_PRICE":41.31,"INW-IT^FG_PRICE":11.06,"CLNX-ES^FG_PRICE":35.7,"VOD-GB^FG_PRICE":0.7744,"UTDI-DE^FG_PRICE":19.06,"TEL2.B-SE^FG_PRICE":117.65,"TEL2.A-SE^FG_PRICE":118.0,"OBEL-BE^FG_PRICE":14.8,"NOS-PT^FG_PRICE":3.575,"LBTYK-US^FG_PRICE":20.66,"LBTYB-US^FG_PRICE":20.695,"LBTYA-US^FG_PRICE":20.29,"ELISA-FI^FG_PRICE":46.56,"1U1-DE^FG_PRICE":14.02,"TELIA-SE^FG_PRICE":33.42,"TEL-NO^FG_PRICE":134.8,"TEF-ES^FG_PRICE":4.213,"TITR-IT^FG_PRICE":0.2625,"TIT-IT^FG_PRICE":0.2361,"SCMN-CH^FG_PRICE":549.0,"PROX-BE^FG_PRICE":6.82,"HTO-GR^FG_PRICE":15.08,"ORA-FR^FG_PRICE":10.72,"KPN-NL^FG_PRICE":3.746,"DTE-DE^FG_PRICE":26.13,"BT.A-GB^FG_PRICE":1.4395}]]></FdsFormulaCache>
</file>

<file path=customXml/itemProps1.xml><?xml version="1.0" encoding="utf-8"?>
<ds:datastoreItem xmlns:ds="http://schemas.openxmlformats.org/officeDocument/2006/customXml" ds:itemID="{293D0C20-55D8-46C3-8327-30493F30C344}">
  <ds:schemaRefs>
    <ds:schemaRef ds:uri="http://schemas.microsoft.com/office/2006/metadata/properties"/>
    <ds:schemaRef ds:uri="http://schemas.microsoft.com/office/infopath/2007/PartnerControls"/>
    <ds:schemaRef ds:uri="7a64ecaf-0ff2-4962-b687-c42052c96c69"/>
    <ds:schemaRef ds:uri="ac44878d-96d9-4f15-b496-a71362426953"/>
  </ds:schemaRefs>
</ds:datastoreItem>
</file>

<file path=customXml/itemProps2.xml><?xml version="1.0" encoding="utf-8"?>
<ds:datastoreItem xmlns:ds="http://schemas.openxmlformats.org/officeDocument/2006/customXml" ds:itemID="{C8A168FF-6494-406D-8759-217BDD4A4A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64ecaf-0ff2-4962-b687-c42052c96c69"/>
    <ds:schemaRef ds:uri="ac44878d-96d9-4f15-b496-a713624269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092952-A7E0-4F6A-8FE9-44538A47F8E3}">
  <ds:schemaRefs>
    <ds:schemaRef ds:uri="http://schemas.microsoft.com/sharepoint/v3/contenttype/forms"/>
  </ds:schemaRefs>
</ds:datastoreItem>
</file>

<file path=customXml/itemProps4.xml><?xml version="1.0" encoding="utf-8"?>
<ds:datastoreItem xmlns:ds="http://schemas.openxmlformats.org/officeDocument/2006/customXml" ds:itemID="{7D8771C3-F2D0-4600-9423-ABE056716075}">
  <ds:schemaRefs>
    <ds:schemaRef ds:uri="urn:fdsformulacach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148</vt:i4>
      </vt:variant>
      <vt:variant>
        <vt:lpstr>Named Ranges</vt:lpstr>
      </vt:variant>
      <vt:variant>
        <vt:i4>800</vt:i4>
      </vt:variant>
    </vt:vector>
  </HeadingPairs>
  <TitlesOfParts>
    <vt:vector size="948" baseType="lpstr">
      <vt:lpstr>Cover</vt:lpstr>
      <vt:lpstr>Prices</vt:lpstr>
      <vt:lpstr>DM Multiples</vt:lpstr>
      <vt:lpstr>EM Multiples</vt:lpstr>
      <vt:lpstr>Tower Multiples</vt:lpstr>
      <vt:lpstr>Sectors</vt:lpstr>
      <vt:lpstr>Disclaimer</vt:lpstr>
      <vt:lpstr>AAF</vt:lpstr>
      <vt:lpstr>ADVANCED</vt:lpstr>
      <vt:lpstr>AMT</vt:lpstr>
      <vt:lpstr>AMX</vt:lpstr>
      <vt:lpstr>ATCUS</vt:lpstr>
      <vt:lpstr>FYBR</vt:lpstr>
      <vt:lpstr>ATT</vt:lpstr>
      <vt:lpstr>AXI</vt:lpstr>
      <vt:lpstr>BHART</vt:lpstr>
      <vt:lpstr>BHIN</vt:lpstr>
      <vt:lpstr>BT</vt:lpstr>
      <vt:lpstr>CCI</vt:lpstr>
      <vt:lpstr>ChinaTow</vt:lpstr>
      <vt:lpstr>CHTR</vt:lpstr>
      <vt:lpstr>CHUNG</vt:lpstr>
      <vt:lpstr>CMCSA</vt:lpstr>
      <vt:lpstr>CLNX</vt:lpstr>
      <vt:lpstr>CNU</vt:lpstr>
      <vt:lpstr>_CM</vt:lpstr>
      <vt:lpstr>_CT</vt:lpstr>
      <vt:lpstr>_CU</vt:lpstr>
      <vt:lpstr>DIGI</vt:lpstr>
      <vt:lpstr>DRI</vt:lpstr>
      <vt:lpstr>DT</vt:lpstr>
      <vt:lpstr>ELISA</vt:lpstr>
      <vt:lpstr>ENTEL</vt:lpstr>
      <vt:lpstr>FAR</vt:lpstr>
      <vt:lpstr>HKBN</vt:lpstr>
      <vt:lpstr>IDEA</vt:lpstr>
      <vt:lpstr>IHS</vt:lpstr>
      <vt:lpstr>INWIT</vt:lpstr>
      <vt:lpstr>INDO</vt:lpstr>
      <vt:lpstr>KDDI</vt:lpstr>
      <vt:lpstr>KPN</vt:lpstr>
      <vt:lpstr>_KT</vt:lpstr>
      <vt:lpstr>_LG</vt:lpstr>
      <vt:lpstr>LBTY</vt:lpstr>
      <vt:lpstr>LiLAC</vt:lpstr>
      <vt:lpstr>MAQ</vt:lpstr>
      <vt:lpstr>MAXI</vt:lpstr>
      <vt:lpstr>MEGA</vt:lpstr>
      <vt:lpstr>MCG</vt:lpstr>
      <vt:lpstr>MILLI</vt:lpstr>
      <vt:lpstr>MITRA</vt:lpstr>
      <vt:lpstr>MTN</vt:lpstr>
      <vt:lpstr>OBEL</vt:lpstr>
      <vt:lpstr>MTS</vt:lpstr>
      <vt:lpstr>NOS</vt:lpstr>
      <vt:lpstr>NTT</vt:lpstr>
      <vt:lpstr>ORA</vt:lpstr>
      <vt:lpstr>OIBR</vt:lpstr>
      <vt:lpstr>OTE</vt:lpstr>
      <vt:lpstr>PROX</vt:lpstr>
      <vt:lpstr>PTT</vt:lpstr>
      <vt:lpstr>RAK</vt:lpstr>
      <vt:lpstr>SAF</vt:lpstr>
      <vt:lpstr>SATS</vt:lpstr>
      <vt:lpstr>SBAC</vt:lpstr>
      <vt:lpstr>SBKK</vt:lpstr>
      <vt:lpstr>SINGTEL</vt:lpstr>
      <vt:lpstr>SITES</vt:lpstr>
      <vt:lpstr>SKT</vt:lpstr>
      <vt:lpstr>SPK</vt:lpstr>
      <vt:lpstr>ST1</vt:lpstr>
      <vt:lpstr>SWISS</vt:lpstr>
      <vt:lpstr>TAIWAN</vt:lpstr>
      <vt:lpstr>TBIG</vt:lpstr>
      <vt:lpstr>TELE2</vt:lpstr>
      <vt:lpstr>TEF</vt:lpstr>
      <vt:lpstr>TELIA</vt:lpstr>
      <vt:lpstr>TI</vt:lpstr>
      <vt:lpstr>TIMP</vt:lpstr>
      <vt:lpstr>TKC</vt:lpstr>
      <vt:lpstr>TLS</vt:lpstr>
      <vt:lpstr>TKG</vt:lpstr>
      <vt:lpstr>TMUS</vt:lpstr>
      <vt:lpstr>TNOR</vt:lpstr>
      <vt:lpstr>TOWR</vt:lpstr>
      <vt:lpstr>TPG</vt:lpstr>
      <vt:lpstr>TRUECORP</vt:lpstr>
      <vt:lpstr>TVIS</vt:lpstr>
      <vt:lpstr>UTDI</vt:lpstr>
      <vt:lpstr>VIMP</vt:lpstr>
      <vt:lpstr>VIVO</vt:lpstr>
      <vt:lpstr>VODA</vt:lpstr>
      <vt:lpstr>VOD</vt:lpstr>
      <vt:lpstr>VZN</vt:lpstr>
      <vt:lpstr>XLAX</vt:lpstr>
      <vt:lpstr>PROPORTIONATES</vt:lpstr>
      <vt:lpstr>US TELCO</vt:lpstr>
      <vt:lpstr>US OTHER</vt:lpstr>
      <vt:lpstr>US TOWERS</vt:lpstr>
      <vt:lpstr>US AGG</vt:lpstr>
      <vt:lpstr>W.EUR INCUMB</vt:lpstr>
      <vt:lpstr>W.EUR OTHER</vt:lpstr>
      <vt:lpstr>W.EUR TOWER</vt:lpstr>
      <vt:lpstr>W.EUR AGG</vt:lpstr>
      <vt:lpstr>W.EUR AGG (ex Towers)</vt:lpstr>
      <vt:lpstr>DM ASIA INCUMB</vt:lpstr>
      <vt:lpstr>DM ASIA OTHER</vt:lpstr>
      <vt:lpstr>AGG DM ASIA</vt:lpstr>
      <vt:lpstr>LATAM INCUMB</vt:lpstr>
      <vt:lpstr>LATAM CELLULAR</vt:lpstr>
      <vt:lpstr>LATAM ALTNET &amp; CABLE</vt:lpstr>
      <vt:lpstr>LATAM AGG</vt:lpstr>
      <vt:lpstr>EMEA INCUMB</vt:lpstr>
      <vt:lpstr>EMEA CELLULAR</vt:lpstr>
      <vt:lpstr>EMEA AGG</vt:lpstr>
      <vt:lpstr>EM ASIA INCUMB</vt:lpstr>
      <vt:lpstr>EM ASIA CELLULAR</vt:lpstr>
      <vt:lpstr>AGG EM ASIA</vt:lpstr>
      <vt:lpstr>AGG ASIA INCUMB</vt:lpstr>
      <vt:lpstr>AGG ASIA CELLULAR</vt:lpstr>
      <vt:lpstr>AGG ASIA</vt:lpstr>
      <vt:lpstr>AGG DM INCUMB</vt:lpstr>
      <vt:lpstr>AGG DM CELLULAR</vt:lpstr>
      <vt:lpstr>AGG DM</vt:lpstr>
      <vt:lpstr>EM INCUMB</vt:lpstr>
      <vt:lpstr>EM CELLULAR</vt:lpstr>
      <vt:lpstr>EM ALTNET &amp; CABLE</vt:lpstr>
      <vt:lpstr>EM TOWERS</vt:lpstr>
      <vt:lpstr>AGG EM</vt:lpstr>
      <vt:lpstr>AXISOP</vt:lpstr>
      <vt:lpstr>BHARTSOP</vt:lpstr>
      <vt:lpstr>DTSOP</vt:lpstr>
      <vt:lpstr>ELISASOP</vt:lpstr>
      <vt:lpstr>IDEASOP</vt:lpstr>
      <vt:lpstr>KPNSOP</vt:lpstr>
      <vt:lpstr>MTNSOP</vt:lpstr>
      <vt:lpstr>OBELSOP</vt:lpstr>
      <vt:lpstr>ORASOP</vt:lpstr>
      <vt:lpstr>OTESOP</vt:lpstr>
      <vt:lpstr>PROXSOP</vt:lpstr>
      <vt:lpstr>SWISSSOP</vt:lpstr>
      <vt:lpstr>TEFSOP</vt:lpstr>
      <vt:lpstr>TELE2SOP</vt:lpstr>
      <vt:lpstr>TISOP</vt:lpstr>
      <vt:lpstr>TNORSOP</vt:lpstr>
      <vt:lpstr>TSONSOP</vt:lpstr>
      <vt:lpstr>UTDISOP</vt:lpstr>
      <vt:lpstr>VODSOP</vt:lpstr>
      <vt:lpstr>_CMm1</vt:lpstr>
      <vt:lpstr>_CMm2</vt:lpstr>
      <vt:lpstr>_CMm3</vt:lpstr>
      <vt:lpstr>_CMm4</vt:lpstr>
      <vt:lpstr>_CMm5</vt:lpstr>
      <vt:lpstr>_CTm1</vt:lpstr>
      <vt:lpstr>_CTm2</vt:lpstr>
      <vt:lpstr>_CTm3</vt:lpstr>
      <vt:lpstr>_CTm4</vt:lpstr>
      <vt:lpstr>_CTm5</vt:lpstr>
      <vt:lpstr>_CUm1</vt:lpstr>
      <vt:lpstr>_CUm2</vt:lpstr>
      <vt:lpstr>_CUm3</vt:lpstr>
      <vt:lpstr>_CUm4</vt:lpstr>
      <vt:lpstr>_CUm5</vt:lpstr>
      <vt:lpstr>_KTm1</vt:lpstr>
      <vt:lpstr>_KTm2</vt:lpstr>
      <vt:lpstr>_KTm3</vt:lpstr>
      <vt:lpstr>_KTm4</vt:lpstr>
      <vt:lpstr>_KTm5</vt:lpstr>
      <vt:lpstr>_LGm1</vt:lpstr>
      <vt:lpstr>_LGm2</vt:lpstr>
      <vt:lpstr>_LGm3</vt:lpstr>
      <vt:lpstr>_LGm4</vt:lpstr>
      <vt:lpstr>_LGm5</vt:lpstr>
      <vt:lpstr>AAF!AAFm1</vt:lpstr>
      <vt:lpstr>AAF!AAFm2</vt:lpstr>
      <vt:lpstr>AAF!AAFm3</vt:lpstr>
      <vt:lpstr>AAF!AAFm4</vt:lpstr>
      <vt:lpstr>AAF!AAFm5</vt:lpstr>
      <vt:lpstr>ADVANCEDm1</vt:lpstr>
      <vt:lpstr>ADVANCEDm2</vt:lpstr>
      <vt:lpstr>ADVANCEDm3</vt:lpstr>
      <vt:lpstr>ADVANCEDm4</vt:lpstr>
      <vt:lpstr>ADVANCEDm5</vt:lpstr>
      <vt:lpstr>altnettarget</vt:lpstr>
      <vt:lpstr>AMT!AMTm1</vt:lpstr>
      <vt:lpstr>AMT!AMTm2</vt:lpstr>
      <vt:lpstr>AMT!AMTm3</vt:lpstr>
      <vt:lpstr>AMT!AMTm4</vt:lpstr>
      <vt:lpstr>AMT!AMTm5</vt:lpstr>
      <vt:lpstr>AMTm6</vt:lpstr>
      <vt:lpstr>AMXm1</vt:lpstr>
      <vt:lpstr>AMXm2</vt:lpstr>
      <vt:lpstr>AMXm3</vt:lpstr>
      <vt:lpstr>AMXm4</vt:lpstr>
      <vt:lpstr>AMXm5</vt:lpstr>
      <vt:lpstr>ATCUSm1</vt:lpstr>
      <vt:lpstr>ATCUSm2</vt:lpstr>
      <vt:lpstr>ATCUSm3</vt:lpstr>
      <vt:lpstr>ATCUSm4</vt:lpstr>
      <vt:lpstr>ATCUSm5</vt:lpstr>
      <vt:lpstr>ATCUSm6</vt:lpstr>
      <vt:lpstr>ATTM1</vt:lpstr>
      <vt:lpstr>ATTM2</vt:lpstr>
      <vt:lpstr>ATTM3</vt:lpstr>
      <vt:lpstr>ATTM4</vt:lpstr>
      <vt:lpstr>ATTM5</vt:lpstr>
      <vt:lpstr>ATTm6</vt:lpstr>
      <vt:lpstr>axim1</vt:lpstr>
      <vt:lpstr>axim2</vt:lpstr>
      <vt:lpstr>axim3</vt:lpstr>
      <vt:lpstr>axim4</vt:lpstr>
      <vt:lpstr>axim5</vt:lpstr>
      <vt:lpstr>bhartm1</vt:lpstr>
      <vt:lpstr>bhartm2</vt:lpstr>
      <vt:lpstr>bhartm3</vt:lpstr>
      <vt:lpstr>bhartm4</vt:lpstr>
      <vt:lpstr>bhartm5</vt:lpstr>
      <vt:lpstr>BHIN!BHINm1</vt:lpstr>
      <vt:lpstr>BHIN!BHINm2</vt:lpstr>
      <vt:lpstr>BHIN!BHINm3</vt:lpstr>
      <vt:lpstr>BHIN!BHINm4</vt:lpstr>
      <vt:lpstr>BHIN!BHINm5</vt:lpstr>
      <vt:lpstr>BHINtwr1</vt:lpstr>
      <vt:lpstr>BHINtwr2</vt:lpstr>
      <vt:lpstr>BT_m1</vt:lpstr>
      <vt:lpstr>BT_m2</vt:lpstr>
      <vt:lpstr>BT_m3</vt:lpstr>
      <vt:lpstr>BT_m4</vt:lpstr>
      <vt:lpstr>BT_m5</vt:lpstr>
      <vt:lpstr>CATVtargets</vt:lpstr>
      <vt:lpstr>CCI!CCIm1</vt:lpstr>
      <vt:lpstr>CCI!CCIm2</vt:lpstr>
      <vt:lpstr>CCI!CCIm3</vt:lpstr>
      <vt:lpstr>CCI!CCIm4</vt:lpstr>
      <vt:lpstr>CCI!CCIm5</vt:lpstr>
      <vt:lpstr>CCIm6</vt:lpstr>
      <vt:lpstr>ChinaTowm1</vt:lpstr>
      <vt:lpstr>ChinaTowm2</vt:lpstr>
      <vt:lpstr>ChinaTowm3</vt:lpstr>
      <vt:lpstr>ChinaTowm4</vt:lpstr>
      <vt:lpstr>ChinaTowm5</vt:lpstr>
      <vt:lpstr>ChinaTowtwr1</vt:lpstr>
      <vt:lpstr>ChinaTowtwr2</vt:lpstr>
      <vt:lpstr>chorusrecpt</vt:lpstr>
      <vt:lpstr>CHTRM1</vt:lpstr>
      <vt:lpstr>CHTRM2</vt:lpstr>
      <vt:lpstr>CHTRM3</vt:lpstr>
      <vt:lpstr>CHTRM4</vt:lpstr>
      <vt:lpstr>CHTRM5</vt:lpstr>
      <vt:lpstr>CHTRm6</vt:lpstr>
      <vt:lpstr>CHUNGM1</vt:lpstr>
      <vt:lpstr>CHUNGM2</vt:lpstr>
      <vt:lpstr>CHUNGM3</vt:lpstr>
      <vt:lpstr>CHUNGM4</vt:lpstr>
      <vt:lpstr>CHUNGM5</vt:lpstr>
      <vt:lpstr>CLNX_m1</vt:lpstr>
      <vt:lpstr>CLNX_m2</vt:lpstr>
      <vt:lpstr>CLNX_m3</vt:lpstr>
      <vt:lpstr>CLNX_m4</vt:lpstr>
      <vt:lpstr>CLNX_m5</vt:lpstr>
      <vt:lpstr>CMCSAM1</vt:lpstr>
      <vt:lpstr>CMCSAM2</vt:lpstr>
      <vt:lpstr>CMCSAM3</vt:lpstr>
      <vt:lpstr>CMCSAM4</vt:lpstr>
      <vt:lpstr>CMCSAM5</vt:lpstr>
      <vt:lpstr>CMCSAm6</vt:lpstr>
      <vt:lpstr>CNUm1</vt:lpstr>
      <vt:lpstr>CNUm2</vt:lpstr>
      <vt:lpstr>CNUm3</vt:lpstr>
      <vt:lpstr>CNUm4</vt:lpstr>
      <vt:lpstr>CNUm5</vt:lpstr>
      <vt:lpstr>CNUm6</vt:lpstr>
      <vt:lpstr>DIGIm1</vt:lpstr>
      <vt:lpstr>DIGIm2</vt:lpstr>
      <vt:lpstr>DIGIm3</vt:lpstr>
      <vt:lpstr>DIGIm4</vt:lpstr>
      <vt:lpstr>DIGIm5</vt:lpstr>
      <vt:lpstr>DM_Asia_Incumbp1</vt:lpstr>
      <vt:lpstr>DM_Asia_Incumbp3</vt:lpstr>
      <vt:lpstr>DM_Asia_Incumbr1</vt:lpstr>
      <vt:lpstr>DM_Asia_Incumbr3</vt:lpstr>
      <vt:lpstr>DM_Asia_Incumbt1</vt:lpstr>
      <vt:lpstr>DM_Asia_Incumbt3</vt:lpstr>
      <vt:lpstr>DM_Asia_price</vt:lpstr>
      <vt:lpstr>DM_Asia_rating</vt:lpstr>
      <vt:lpstr>DM_Asia_Target</vt:lpstr>
      <vt:lpstr>DM_Multiples1</vt:lpstr>
      <vt:lpstr>DM_Multiples10</vt:lpstr>
      <vt:lpstr>DM_Multiples11</vt:lpstr>
      <vt:lpstr>DM_Multiples2</vt:lpstr>
      <vt:lpstr>DM_Multiples3</vt:lpstr>
      <vt:lpstr>DM_Multiples4</vt:lpstr>
      <vt:lpstr>DM_Multiples5</vt:lpstr>
      <vt:lpstr>DM_Multiples6</vt:lpstr>
      <vt:lpstr>DM_Multiples7</vt:lpstr>
      <vt:lpstr>DM_Multiples8</vt:lpstr>
      <vt:lpstr>DM_Multiples9</vt:lpstr>
      <vt:lpstr>DMprice1</vt:lpstr>
      <vt:lpstr>DMprice2</vt:lpstr>
      <vt:lpstr>DMprice3</vt:lpstr>
      <vt:lpstr>DMrating1</vt:lpstr>
      <vt:lpstr>DMrating2</vt:lpstr>
      <vt:lpstr>DMrating3</vt:lpstr>
      <vt:lpstr>DMtarget1</vt:lpstr>
      <vt:lpstr>DMtarget2</vt:lpstr>
      <vt:lpstr>DMtarget3</vt:lpstr>
      <vt:lpstr>DRI_m1</vt:lpstr>
      <vt:lpstr>DRI_m2</vt:lpstr>
      <vt:lpstr>DRI_m3</vt:lpstr>
      <vt:lpstr>DRI_m4</vt:lpstr>
      <vt:lpstr>DRI_m5</vt:lpstr>
      <vt:lpstr>DT_m1</vt:lpstr>
      <vt:lpstr>DT_m2</vt:lpstr>
      <vt:lpstr>DT_m3</vt:lpstr>
      <vt:lpstr>DT_m4</vt:lpstr>
      <vt:lpstr>DT_m5</vt:lpstr>
      <vt:lpstr>ELISA_m1</vt:lpstr>
      <vt:lpstr>ELISA_m2</vt:lpstr>
      <vt:lpstr>ELISA_m3</vt:lpstr>
      <vt:lpstr>ELISA_m4</vt:lpstr>
      <vt:lpstr>ELISA_m5</vt:lpstr>
      <vt:lpstr>EM_Asia_prices</vt:lpstr>
      <vt:lpstr>EM_Asia_ratings</vt:lpstr>
      <vt:lpstr>EM_Asia_targets</vt:lpstr>
      <vt:lpstr>EM_Multiples1</vt:lpstr>
      <vt:lpstr>EM_Multiples10</vt:lpstr>
      <vt:lpstr>EM_Multiples11</vt:lpstr>
      <vt:lpstr>EM_Multiples2</vt:lpstr>
      <vt:lpstr>EM_Multiples3</vt:lpstr>
      <vt:lpstr>EM_Multiples4</vt:lpstr>
      <vt:lpstr>EM_Multiples5</vt:lpstr>
      <vt:lpstr>EM_Multiples6</vt:lpstr>
      <vt:lpstr>EM_Multiples7</vt:lpstr>
      <vt:lpstr>EM_Multiples8</vt:lpstr>
      <vt:lpstr>EM_Multiples9</vt:lpstr>
      <vt:lpstr>EMDTH_rating</vt:lpstr>
      <vt:lpstr>EMDTH_target</vt:lpstr>
      <vt:lpstr>EMEA_prices</vt:lpstr>
      <vt:lpstr>EMEA_rating</vt:lpstr>
      <vt:lpstr>EMEA_target</vt:lpstr>
      <vt:lpstr>EMEAprice1</vt:lpstr>
      <vt:lpstr>EMEAprice2</vt:lpstr>
      <vt:lpstr>EMEArating1</vt:lpstr>
      <vt:lpstr>EMEArating2</vt:lpstr>
      <vt:lpstr>EMEAtarget1</vt:lpstr>
      <vt:lpstr>EMEAtarget2</vt:lpstr>
      <vt:lpstr>EMprice1</vt:lpstr>
      <vt:lpstr>EMprice2</vt:lpstr>
      <vt:lpstr>EMprice4</vt:lpstr>
      <vt:lpstr>EMrating1</vt:lpstr>
      <vt:lpstr>EMrating2</vt:lpstr>
      <vt:lpstr>EMrating4</vt:lpstr>
      <vt:lpstr>EMtarget1</vt:lpstr>
      <vt:lpstr>EMtarget2</vt:lpstr>
      <vt:lpstr>EMtarget4</vt:lpstr>
      <vt:lpstr>ENTEL!ENTELm1</vt:lpstr>
      <vt:lpstr>ENTEL!ENTELm2</vt:lpstr>
      <vt:lpstr>ENTEL!ENTELm3</vt:lpstr>
      <vt:lpstr>ENTEL!ENTELm4</vt:lpstr>
      <vt:lpstr>ENTEL!ENTELm5</vt:lpstr>
      <vt:lpstr>export_dm_ebitda_growth</vt:lpstr>
      <vt:lpstr>export_dm_mults</vt:lpstr>
      <vt:lpstr>export_dm_rev_growth</vt:lpstr>
      <vt:lpstr>FARm1</vt:lpstr>
      <vt:lpstr>FARm2</vt:lpstr>
      <vt:lpstr>FARm3</vt:lpstr>
      <vt:lpstr>FARm4</vt:lpstr>
      <vt:lpstr>FARm5</vt:lpstr>
      <vt:lpstr>FYBR!FYBRm1</vt:lpstr>
      <vt:lpstr>FYBR!FYBRm2</vt:lpstr>
      <vt:lpstr>FYBR!FYBRm3</vt:lpstr>
      <vt:lpstr>FYBR!FYBRm4</vt:lpstr>
      <vt:lpstr>FYBR!FYBRm5</vt:lpstr>
      <vt:lpstr>FYBR!FYBRm6</vt:lpstr>
      <vt:lpstr>global1</vt:lpstr>
      <vt:lpstr>global10</vt:lpstr>
      <vt:lpstr>global11</vt:lpstr>
      <vt:lpstr>global111</vt:lpstr>
      <vt:lpstr>global12</vt:lpstr>
      <vt:lpstr>global13</vt:lpstr>
      <vt:lpstr>global14</vt:lpstr>
      <vt:lpstr>global16</vt:lpstr>
      <vt:lpstr>global17</vt:lpstr>
      <vt:lpstr>global18</vt:lpstr>
      <vt:lpstr>global19</vt:lpstr>
      <vt:lpstr>global2</vt:lpstr>
      <vt:lpstr>global20</vt:lpstr>
      <vt:lpstr>global21</vt:lpstr>
      <vt:lpstr>global22</vt:lpstr>
      <vt:lpstr>global23</vt:lpstr>
      <vt:lpstr>global3</vt:lpstr>
      <vt:lpstr>global4</vt:lpstr>
      <vt:lpstr>global6</vt:lpstr>
      <vt:lpstr>global7</vt:lpstr>
      <vt:lpstr>global8</vt:lpstr>
      <vt:lpstr>global9</vt:lpstr>
      <vt:lpstr>headings</vt:lpstr>
      <vt:lpstr>HKBNm1</vt:lpstr>
      <vt:lpstr>HKBNm2</vt:lpstr>
      <vt:lpstr>HKBNm3</vt:lpstr>
      <vt:lpstr>HKBNm4</vt:lpstr>
      <vt:lpstr>HKBNm5</vt:lpstr>
      <vt:lpstr>ideam1</vt:lpstr>
      <vt:lpstr>ideam2</vt:lpstr>
      <vt:lpstr>ideam3</vt:lpstr>
      <vt:lpstr>ideam4</vt:lpstr>
      <vt:lpstr>ideam5</vt:lpstr>
      <vt:lpstr>IHS_rating</vt:lpstr>
      <vt:lpstr>IHS_target</vt:lpstr>
      <vt:lpstr>IHSm1</vt:lpstr>
      <vt:lpstr>IHSm2</vt:lpstr>
      <vt:lpstr>IHSm3</vt:lpstr>
      <vt:lpstr>IHSm4</vt:lpstr>
      <vt:lpstr>IHSm5</vt:lpstr>
      <vt:lpstr>IHSm6</vt:lpstr>
      <vt:lpstr>indom1</vt:lpstr>
      <vt:lpstr>indom2</vt:lpstr>
      <vt:lpstr>indom3</vt:lpstr>
      <vt:lpstr>indom4</vt:lpstr>
      <vt:lpstr>indom5</vt:lpstr>
      <vt:lpstr>INWIT_m1</vt:lpstr>
      <vt:lpstr>INWIT_m2</vt:lpstr>
      <vt:lpstr>INWIT_m3</vt:lpstr>
      <vt:lpstr>INWIT_m4</vt:lpstr>
      <vt:lpstr>INWIT_m5</vt:lpstr>
      <vt:lpstr>KDDIM1</vt:lpstr>
      <vt:lpstr>KDDIM2</vt:lpstr>
      <vt:lpstr>KDDIM3</vt:lpstr>
      <vt:lpstr>KDDIM4</vt:lpstr>
      <vt:lpstr>KDDIM5</vt:lpstr>
      <vt:lpstr>KPN_m1</vt:lpstr>
      <vt:lpstr>KPN_m2</vt:lpstr>
      <vt:lpstr>KPN_m3</vt:lpstr>
      <vt:lpstr>KPN_m4</vt:lpstr>
      <vt:lpstr>KPN_m5</vt:lpstr>
      <vt:lpstr>LatAm_prices</vt:lpstr>
      <vt:lpstr>LatAm_rating</vt:lpstr>
      <vt:lpstr>LatAm_target</vt:lpstr>
      <vt:lpstr>LatAm_Trating</vt:lpstr>
      <vt:lpstr>LatAm_Ttarget</vt:lpstr>
      <vt:lpstr>Latprice1</vt:lpstr>
      <vt:lpstr>latprice2</vt:lpstr>
      <vt:lpstr>latprice3</vt:lpstr>
      <vt:lpstr>Latrating1</vt:lpstr>
      <vt:lpstr>latrating2</vt:lpstr>
      <vt:lpstr>latrating3</vt:lpstr>
      <vt:lpstr>Lattarget1</vt:lpstr>
      <vt:lpstr>lattarget2</vt:lpstr>
      <vt:lpstr>lattarget3</vt:lpstr>
      <vt:lpstr>latTprice</vt:lpstr>
      <vt:lpstr>LBTY_m1</vt:lpstr>
      <vt:lpstr>LBTY_m2</vt:lpstr>
      <vt:lpstr>LBTY_m3</vt:lpstr>
      <vt:lpstr>LBTY_m4</vt:lpstr>
      <vt:lpstr>LBTY_m5</vt:lpstr>
      <vt:lpstr>LiLACm1</vt:lpstr>
      <vt:lpstr>LiLACm2</vt:lpstr>
      <vt:lpstr>LiLAC!LiLACm3</vt:lpstr>
      <vt:lpstr>LiLAC!LiLACm4</vt:lpstr>
      <vt:lpstr>LiLAC!LiLACm5</vt:lpstr>
      <vt:lpstr>macquarierecpt</vt:lpstr>
      <vt:lpstr>MAQm1</vt:lpstr>
      <vt:lpstr>MAQm2</vt:lpstr>
      <vt:lpstr>MAQm3</vt:lpstr>
      <vt:lpstr>MAQm4</vt:lpstr>
      <vt:lpstr>MAQm5</vt:lpstr>
      <vt:lpstr>MAQm6</vt:lpstr>
      <vt:lpstr>MAXIm1</vt:lpstr>
      <vt:lpstr>MAXIm2</vt:lpstr>
      <vt:lpstr>MAXIm3</vt:lpstr>
      <vt:lpstr>MAXIm4</vt:lpstr>
      <vt:lpstr>MAXIm5</vt:lpstr>
      <vt:lpstr>MCGm1</vt:lpstr>
      <vt:lpstr>MCGm2</vt:lpstr>
      <vt:lpstr>MCGm3</vt:lpstr>
      <vt:lpstr>MCGm4</vt:lpstr>
      <vt:lpstr>MCGm5</vt:lpstr>
      <vt:lpstr>MEGA!MEGAm1</vt:lpstr>
      <vt:lpstr>MEGA!MEGAm2</vt:lpstr>
      <vt:lpstr>MEGA!MEGAm3</vt:lpstr>
      <vt:lpstr>MEGA!MEGAm4</vt:lpstr>
      <vt:lpstr>MEGA!MEGAm5</vt:lpstr>
      <vt:lpstr>MILLI!MILLIm1</vt:lpstr>
      <vt:lpstr>MILLI!MILLIm2</vt:lpstr>
      <vt:lpstr>MILLI!MILLIm3</vt:lpstr>
      <vt:lpstr>MILLI!MILLIm4</vt:lpstr>
      <vt:lpstr>MILLI!MILLIm5</vt:lpstr>
      <vt:lpstr>MITRA!MITRAm1</vt:lpstr>
      <vt:lpstr>MITRA!MITRAm2</vt:lpstr>
      <vt:lpstr>MITRA!MITRAm3</vt:lpstr>
      <vt:lpstr>MITRA!MITRAm4</vt:lpstr>
      <vt:lpstr>MITRA!MITRAm5</vt:lpstr>
      <vt:lpstr>MITRA!MITRAtwr1</vt:lpstr>
      <vt:lpstr>MITRA!MITRAtwr2</vt:lpstr>
      <vt:lpstr>MTN!MTNm1</vt:lpstr>
      <vt:lpstr>MTN!MTNm2</vt:lpstr>
      <vt:lpstr>MTN!MTNm3</vt:lpstr>
      <vt:lpstr>MTN!MTNm4</vt:lpstr>
      <vt:lpstr>MTN!MTNm5</vt:lpstr>
      <vt:lpstr>MTS!MTSm1</vt:lpstr>
      <vt:lpstr>MTS!MTSm2</vt:lpstr>
      <vt:lpstr>MTS!MTSm3</vt:lpstr>
      <vt:lpstr>MTS!MTSm4</vt:lpstr>
      <vt:lpstr>MTS!MTSm5</vt:lpstr>
      <vt:lpstr>'DM Multiples'!mult1</vt:lpstr>
      <vt:lpstr>'EM Multiples'!mult1</vt:lpstr>
      <vt:lpstr>'DM Multiples'!mult2</vt:lpstr>
      <vt:lpstr>'EM Multiples'!mult2</vt:lpstr>
      <vt:lpstr>'DM Multiples'!mult3</vt:lpstr>
      <vt:lpstr>'EM Multiples'!mult3</vt:lpstr>
      <vt:lpstr>'DM Multiples'!mult4</vt:lpstr>
      <vt:lpstr>'EM Multiples'!mult4</vt:lpstr>
      <vt:lpstr>'DM Multiples'!mult5</vt:lpstr>
      <vt:lpstr>'EM Multiples'!mult5</vt:lpstr>
      <vt:lpstr>'DM Multiples'!mult6</vt:lpstr>
      <vt:lpstr>'EM Multiples'!mult6</vt:lpstr>
      <vt:lpstr>'DM Multiples'!mult7</vt:lpstr>
      <vt:lpstr>NOS_m1</vt:lpstr>
      <vt:lpstr>NOS_m2</vt:lpstr>
      <vt:lpstr>NOS_m3</vt:lpstr>
      <vt:lpstr>NOS_m4</vt:lpstr>
      <vt:lpstr>NOS_m5</vt:lpstr>
      <vt:lpstr>NTTM1</vt:lpstr>
      <vt:lpstr>NTTM2</vt:lpstr>
      <vt:lpstr>NTTM3</vt:lpstr>
      <vt:lpstr>NTTM4</vt:lpstr>
      <vt:lpstr>NTTM5</vt:lpstr>
      <vt:lpstr>OBEL_m1</vt:lpstr>
      <vt:lpstr>OBEL_m2</vt:lpstr>
      <vt:lpstr>OBEL_m3</vt:lpstr>
      <vt:lpstr>OBEL_m4</vt:lpstr>
      <vt:lpstr>OBEL_m5</vt:lpstr>
      <vt:lpstr>OIBRm1</vt:lpstr>
      <vt:lpstr>OIBRm2</vt:lpstr>
      <vt:lpstr>OIBRm3</vt:lpstr>
      <vt:lpstr>OIBRm4</vt:lpstr>
      <vt:lpstr>OIBRm5</vt:lpstr>
      <vt:lpstr>ORA_m1</vt:lpstr>
      <vt:lpstr>ORA_m2</vt:lpstr>
      <vt:lpstr>ORA_m3</vt:lpstr>
      <vt:lpstr>ORA_m4</vt:lpstr>
      <vt:lpstr>ORA_m5</vt:lpstr>
      <vt:lpstr>OTE_m1</vt:lpstr>
      <vt:lpstr>OTE_m2</vt:lpstr>
      <vt:lpstr>OTE_m3</vt:lpstr>
      <vt:lpstr>OTE_m4</vt:lpstr>
      <vt:lpstr>OTE_m5</vt:lpstr>
      <vt:lpstr>price1</vt:lpstr>
      <vt:lpstr>prices.fx_eur</vt:lpstr>
      <vt:lpstr>prices.fx_usd</vt:lpstr>
      <vt:lpstr>priceus1</vt:lpstr>
      <vt:lpstr>priceus2</vt:lpstr>
      <vt:lpstr>priceus3</vt:lpstr>
      <vt:lpstr>priceus4</vt:lpstr>
      <vt:lpstr>_CM!Print_Area</vt:lpstr>
      <vt:lpstr>_CT!Print_Area</vt:lpstr>
      <vt:lpstr>_CU!Print_Area</vt:lpstr>
      <vt:lpstr>_KT!Print_Area</vt:lpstr>
      <vt:lpstr>_LG!Print_Area</vt:lpstr>
      <vt:lpstr>AAF!Print_Area</vt:lpstr>
      <vt:lpstr>ADVANCED!Print_Area</vt:lpstr>
      <vt:lpstr>'AGG ASIA'!Print_Area</vt:lpstr>
      <vt:lpstr>'AGG ASIA CELLULAR'!Print_Area</vt:lpstr>
      <vt:lpstr>'AGG ASIA INCUMB'!Print_Area</vt:lpstr>
      <vt:lpstr>'AGG DM'!Print_Area</vt:lpstr>
      <vt:lpstr>'AGG DM ASIA'!Print_Area</vt:lpstr>
      <vt:lpstr>'AGG DM CELLULAR'!Print_Area</vt:lpstr>
      <vt:lpstr>'AGG DM INCUMB'!Print_Area</vt:lpstr>
      <vt:lpstr>'AGG EM'!Print_Area</vt:lpstr>
      <vt:lpstr>'AGG EM ASIA'!Print_Area</vt:lpstr>
      <vt:lpstr>AMT!Print_Area</vt:lpstr>
      <vt:lpstr>AMX!Print_Area</vt:lpstr>
      <vt:lpstr>ATCUS!Print_Area</vt:lpstr>
      <vt:lpstr>ATT!Print_Area</vt:lpstr>
      <vt:lpstr>AXI!Print_Area</vt:lpstr>
      <vt:lpstr>AXISOP!Print_Area</vt:lpstr>
      <vt:lpstr>BHART!Print_Area</vt:lpstr>
      <vt:lpstr>BHARTSOP!Print_Area</vt:lpstr>
      <vt:lpstr>BHIN!Print_Area</vt:lpstr>
      <vt:lpstr>BT!Print_Area</vt:lpstr>
      <vt:lpstr>CCI!Print_Area</vt:lpstr>
      <vt:lpstr>ChinaTow!Print_Area</vt:lpstr>
      <vt:lpstr>CHTR!Print_Area</vt:lpstr>
      <vt:lpstr>CHUNG!Print_Area</vt:lpstr>
      <vt:lpstr>CLNX!Print_Area</vt:lpstr>
      <vt:lpstr>CMCSA!Print_Area</vt:lpstr>
      <vt:lpstr>CNU!Print_Area</vt:lpstr>
      <vt:lpstr>Cover!Print_Area</vt:lpstr>
      <vt:lpstr>DIGI!Print_Area</vt:lpstr>
      <vt:lpstr>Disclaimer!Print_Area</vt:lpstr>
      <vt:lpstr>'DM Multiples'!Print_Area</vt:lpstr>
      <vt:lpstr>DRI!Print_Area</vt:lpstr>
      <vt:lpstr>DT!Print_Area</vt:lpstr>
      <vt:lpstr>DTSOP!Print_Area</vt:lpstr>
      <vt:lpstr>ELISA!Print_Area</vt:lpstr>
      <vt:lpstr>ELISASOP!Print_Area</vt:lpstr>
      <vt:lpstr>'EM ALTNET &amp; CABLE'!Print_Area</vt:lpstr>
      <vt:lpstr>'EM ASIA INCUMB'!Print_Area</vt:lpstr>
      <vt:lpstr>'EM CELLULAR'!Print_Area</vt:lpstr>
      <vt:lpstr>'EM INCUMB'!Print_Area</vt:lpstr>
      <vt:lpstr>'EM Multiples'!Print_Area</vt:lpstr>
      <vt:lpstr>'EM TOWERS'!Print_Area</vt:lpstr>
      <vt:lpstr>'EMEA AGG'!Print_Area</vt:lpstr>
      <vt:lpstr>'EMEA CELLULAR'!Print_Area</vt:lpstr>
      <vt:lpstr>'EMEA INCUMB'!Print_Area</vt:lpstr>
      <vt:lpstr>ENTEL!Print_Area</vt:lpstr>
      <vt:lpstr>FAR!Print_Area</vt:lpstr>
      <vt:lpstr>FYBR!Print_Area</vt:lpstr>
      <vt:lpstr>HKBN!Print_Area</vt:lpstr>
      <vt:lpstr>IDEA!Print_Area</vt:lpstr>
      <vt:lpstr>IDEASOP!Print_Area</vt:lpstr>
      <vt:lpstr>IHS!Print_Area</vt:lpstr>
      <vt:lpstr>INDO!Print_Area</vt:lpstr>
      <vt:lpstr>KDDI!Print_Area</vt:lpstr>
      <vt:lpstr>KPN!Print_Area</vt:lpstr>
      <vt:lpstr>KPNSOP!Print_Area</vt:lpstr>
      <vt:lpstr>'LATAM AGG'!Print_Area</vt:lpstr>
      <vt:lpstr>'LATAM ALTNET &amp; CABLE'!Print_Area</vt:lpstr>
      <vt:lpstr>'LATAM CELLULAR'!Print_Area</vt:lpstr>
      <vt:lpstr>'LATAM INCUMB'!Print_Area</vt:lpstr>
      <vt:lpstr>LBTY!Print_Area</vt:lpstr>
      <vt:lpstr>LiLAC!Print_Area</vt:lpstr>
      <vt:lpstr>MAQ!Print_Area</vt:lpstr>
      <vt:lpstr>MAXI!Print_Area</vt:lpstr>
      <vt:lpstr>MEGA!Print_Area</vt:lpstr>
      <vt:lpstr>MILLI!Print_Area</vt:lpstr>
      <vt:lpstr>MITRA!Print_Area</vt:lpstr>
      <vt:lpstr>MTN!Print_Area</vt:lpstr>
      <vt:lpstr>MTNSOP!Print_Area</vt:lpstr>
      <vt:lpstr>MTS!Print_Area</vt:lpstr>
      <vt:lpstr>NOS!Print_Area</vt:lpstr>
      <vt:lpstr>NTT!Print_Area</vt:lpstr>
      <vt:lpstr>OBEL!Print_Area</vt:lpstr>
      <vt:lpstr>OBELSOP!Print_Area</vt:lpstr>
      <vt:lpstr>OIBR!Print_Area</vt:lpstr>
      <vt:lpstr>ORA!Print_Area</vt:lpstr>
      <vt:lpstr>ORASOP!Print_Area</vt:lpstr>
      <vt:lpstr>OTE!Print_Area</vt:lpstr>
      <vt:lpstr>OTESOP!Print_Area</vt:lpstr>
      <vt:lpstr>Prices!Print_Area</vt:lpstr>
      <vt:lpstr>PROPORTIONATES!Print_Area</vt:lpstr>
      <vt:lpstr>PROX!Print_Area</vt:lpstr>
      <vt:lpstr>PROXSOP!Print_Area</vt:lpstr>
      <vt:lpstr>PTT!Print_Area</vt:lpstr>
      <vt:lpstr>RAK!Print_Area</vt:lpstr>
      <vt:lpstr>SBAC!Print_Area</vt:lpstr>
      <vt:lpstr>SBKK!Print_Area</vt:lpstr>
      <vt:lpstr>Sectors!Print_Area</vt:lpstr>
      <vt:lpstr>SINGTEL!Print_Area</vt:lpstr>
      <vt:lpstr>SITES!Print_Area</vt:lpstr>
      <vt:lpstr>SKT!Print_Area</vt:lpstr>
      <vt:lpstr>SPK!Print_Area</vt:lpstr>
      <vt:lpstr>'ST1'!Print_Area</vt:lpstr>
      <vt:lpstr>SWISS!Print_Area</vt:lpstr>
      <vt:lpstr>SWISSSOP!Print_Area</vt:lpstr>
      <vt:lpstr>TAIWAN!Print_Area</vt:lpstr>
      <vt:lpstr>TEF!Print_Area</vt:lpstr>
      <vt:lpstr>TEFSOP!Print_Area</vt:lpstr>
      <vt:lpstr>TELE2!Print_Area</vt:lpstr>
      <vt:lpstr>TELE2SOP!Print_Area</vt:lpstr>
      <vt:lpstr>TELIA!Print_Area</vt:lpstr>
      <vt:lpstr>TI!Print_Area</vt:lpstr>
      <vt:lpstr>TIMP!Print_Area</vt:lpstr>
      <vt:lpstr>TISOP!Print_Area</vt:lpstr>
      <vt:lpstr>TKC!Print_Area</vt:lpstr>
      <vt:lpstr>TKG!Print_Area</vt:lpstr>
      <vt:lpstr>TLS!Print_Area</vt:lpstr>
      <vt:lpstr>TMUS!Print_Area</vt:lpstr>
      <vt:lpstr>TNOR!Print_Area</vt:lpstr>
      <vt:lpstr>TNORSOP!Print_Area</vt:lpstr>
      <vt:lpstr>'Tower Multiples'!Print_Area</vt:lpstr>
      <vt:lpstr>TPG!Print_Area</vt:lpstr>
      <vt:lpstr>TRUECORP!Print_Area</vt:lpstr>
      <vt:lpstr>TSONSOP!Print_Area</vt:lpstr>
      <vt:lpstr>TVIS!Print_Area</vt:lpstr>
      <vt:lpstr>UTDI!Print_Area</vt:lpstr>
      <vt:lpstr>UTDISOP!Print_Area</vt:lpstr>
      <vt:lpstr>VIMP!Print_Area</vt:lpstr>
      <vt:lpstr>VIVO!Print_Area</vt:lpstr>
      <vt:lpstr>VOD!Print_Area</vt:lpstr>
      <vt:lpstr>VODA!Print_Area</vt:lpstr>
      <vt:lpstr>VODSOP!Print_Area</vt:lpstr>
      <vt:lpstr>VZN!Print_Area</vt:lpstr>
      <vt:lpstr>'W.EUR AGG'!Print_Area</vt:lpstr>
      <vt:lpstr>'W.EUR AGG (ex Towers)'!Print_Area</vt:lpstr>
      <vt:lpstr>'W.EUR INCUMB'!Print_Area</vt:lpstr>
      <vt:lpstr>'W.EUR OTHER'!Print_Area</vt:lpstr>
      <vt:lpstr>'W.EUR TOWER'!Print_Area</vt:lpstr>
      <vt:lpstr>XLAX!Print_Area</vt:lpstr>
      <vt:lpstr>'DM Multiples'!Print_Titles</vt:lpstr>
      <vt:lpstr>'EM Multiples'!Print_Titles</vt:lpstr>
      <vt:lpstr>Prices!Print_Titles</vt:lpstr>
      <vt:lpstr>Sectors!Print_Titles</vt:lpstr>
      <vt:lpstr>'Tower Multiples'!Print_Titles</vt:lpstr>
      <vt:lpstr>PROX!PROX_m1</vt:lpstr>
      <vt:lpstr>PROX!PROX_m2</vt:lpstr>
      <vt:lpstr>PROX!PROX_m3</vt:lpstr>
      <vt:lpstr>PROX!PROX_m4</vt:lpstr>
      <vt:lpstr>PROX!PROX_m5</vt:lpstr>
      <vt:lpstr>proxvalue</vt:lpstr>
      <vt:lpstr>pttm1</vt:lpstr>
      <vt:lpstr>pttm2</vt:lpstr>
      <vt:lpstr>pttm3</vt:lpstr>
      <vt:lpstr>pttm4</vt:lpstr>
      <vt:lpstr>pttm5</vt:lpstr>
      <vt:lpstr>RAKm1</vt:lpstr>
      <vt:lpstr>RAKm2</vt:lpstr>
      <vt:lpstr>RAKm3</vt:lpstr>
      <vt:lpstr>RAKm4</vt:lpstr>
      <vt:lpstr>RAKm5</vt:lpstr>
      <vt:lpstr>ratings_eu_incumb</vt:lpstr>
      <vt:lpstr>ratings_eu_other</vt:lpstr>
      <vt:lpstr>ratings_eu_towers</vt:lpstr>
      <vt:lpstr>SAFm1</vt:lpstr>
      <vt:lpstr>SAFm2</vt:lpstr>
      <vt:lpstr>SAFm3</vt:lpstr>
      <vt:lpstr>SAFm4</vt:lpstr>
      <vt:lpstr>SAFm5</vt:lpstr>
      <vt:lpstr>SATSm1</vt:lpstr>
      <vt:lpstr>SATSm2</vt:lpstr>
      <vt:lpstr>SATSm3</vt:lpstr>
      <vt:lpstr>SATSm4</vt:lpstr>
      <vt:lpstr>SATSm5</vt:lpstr>
      <vt:lpstr>SATSm6</vt:lpstr>
      <vt:lpstr>SBAC!SBACm1</vt:lpstr>
      <vt:lpstr>SBAC!SBACm2</vt:lpstr>
      <vt:lpstr>SBAC!SBACm3</vt:lpstr>
      <vt:lpstr>SBAC!SBACm4</vt:lpstr>
      <vt:lpstr>SBAC!SBACm5</vt:lpstr>
      <vt:lpstr>SBACm6</vt:lpstr>
      <vt:lpstr>RAK!sbkkm1</vt:lpstr>
      <vt:lpstr>sbkkm1</vt:lpstr>
      <vt:lpstr>RAK!sbkkm2</vt:lpstr>
      <vt:lpstr>sbkkm2</vt:lpstr>
      <vt:lpstr>RAK!sbkkm3</vt:lpstr>
      <vt:lpstr>sbkkm3</vt:lpstr>
      <vt:lpstr>RAK!sbkkm4</vt:lpstr>
      <vt:lpstr>sbkkm4</vt:lpstr>
      <vt:lpstr>RAK!sbkkm5</vt:lpstr>
      <vt:lpstr>sbkkm5</vt:lpstr>
      <vt:lpstr>SINGTELm1</vt:lpstr>
      <vt:lpstr>SINGTELm2</vt:lpstr>
      <vt:lpstr>SINGTELm3</vt:lpstr>
      <vt:lpstr>SINGTELm4</vt:lpstr>
      <vt:lpstr>SINGTELm5</vt:lpstr>
      <vt:lpstr>SINGTELMM6</vt:lpstr>
      <vt:lpstr>SINGTELMM7</vt:lpstr>
      <vt:lpstr>SINGTELMM8</vt:lpstr>
      <vt:lpstr>SINGTELMM9</vt:lpstr>
      <vt:lpstr>SITESm1</vt:lpstr>
      <vt:lpstr>SITESm2</vt:lpstr>
      <vt:lpstr>SITESm3</vt:lpstr>
      <vt:lpstr>SITESm4</vt:lpstr>
      <vt:lpstr>SITESm5</vt:lpstr>
      <vt:lpstr>SITESm6</vt:lpstr>
      <vt:lpstr>SITEStwr1</vt:lpstr>
      <vt:lpstr>SITEStwr2</vt:lpstr>
      <vt:lpstr>SKTm1</vt:lpstr>
      <vt:lpstr>SKTm2</vt:lpstr>
      <vt:lpstr>SKTm3</vt:lpstr>
      <vt:lpstr>SKTm4</vt:lpstr>
      <vt:lpstr>SKTm5</vt:lpstr>
      <vt:lpstr>AXISOP!sop</vt:lpstr>
      <vt:lpstr>BHARTSOP!sop</vt:lpstr>
      <vt:lpstr>DTSOP!sop</vt:lpstr>
      <vt:lpstr>IDEASOP!sop</vt:lpstr>
      <vt:lpstr>KPNSOP!sop</vt:lpstr>
      <vt:lpstr>MTNSOP!sop</vt:lpstr>
      <vt:lpstr>ORASOP!sop</vt:lpstr>
      <vt:lpstr>OTESOP!sop</vt:lpstr>
      <vt:lpstr>PROXSOP!sop</vt:lpstr>
      <vt:lpstr>SWISSSOP!sop</vt:lpstr>
      <vt:lpstr>TEFSOP!sop</vt:lpstr>
      <vt:lpstr>TELE2SOP!sop</vt:lpstr>
      <vt:lpstr>TISOP!sop</vt:lpstr>
      <vt:lpstr>TNORSOP!sop</vt:lpstr>
      <vt:lpstr>TSONSOP!sop</vt:lpstr>
      <vt:lpstr>sparkrecpt</vt:lpstr>
      <vt:lpstr>spiritrecpt</vt:lpstr>
      <vt:lpstr>SPKm1</vt:lpstr>
      <vt:lpstr>SPKm2</vt:lpstr>
      <vt:lpstr>SPKm3</vt:lpstr>
      <vt:lpstr>SPKm4</vt:lpstr>
      <vt:lpstr>SPKm5</vt:lpstr>
      <vt:lpstr>SPKm6</vt:lpstr>
      <vt:lpstr>ST1m1</vt:lpstr>
      <vt:lpstr>ST1m2</vt:lpstr>
      <vt:lpstr>ST1m3</vt:lpstr>
      <vt:lpstr>ST1m4</vt:lpstr>
      <vt:lpstr>ST1m5</vt:lpstr>
      <vt:lpstr>ST1m6</vt:lpstr>
      <vt:lpstr>SWISS_m1</vt:lpstr>
      <vt:lpstr>SWISS_m2</vt:lpstr>
      <vt:lpstr>SWISS_m3</vt:lpstr>
      <vt:lpstr>SWISS_m4</vt:lpstr>
      <vt:lpstr>SWISS_m5</vt:lpstr>
      <vt:lpstr>TAIWANM1</vt:lpstr>
      <vt:lpstr>TAIWANM2</vt:lpstr>
      <vt:lpstr>TAIWANM3</vt:lpstr>
      <vt:lpstr>TAIWANM4</vt:lpstr>
      <vt:lpstr>TAIWANM5</vt:lpstr>
      <vt:lpstr>target1</vt:lpstr>
      <vt:lpstr>TBIGm1</vt:lpstr>
      <vt:lpstr>TBIGm2</vt:lpstr>
      <vt:lpstr>TBIGm3</vt:lpstr>
      <vt:lpstr>TBIGm4</vt:lpstr>
      <vt:lpstr>TBIGm5</vt:lpstr>
      <vt:lpstr>TBIGtwr1</vt:lpstr>
      <vt:lpstr>TBIGtwr2</vt:lpstr>
      <vt:lpstr>TEF_m1</vt:lpstr>
      <vt:lpstr>TEF_m2</vt:lpstr>
      <vt:lpstr>TEF_m3</vt:lpstr>
      <vt:lpstr>TEF_m4</vt:lpstr>
      <vt:lpstr>TEF_m5</vt:lpstr>
      <vt:lpstr>TELE2_m1</vt:lpstr>
      <vt:lpstr>TELE2_m2</vt:lpstr>
      <vt:lpstr>TELE2_m3</vt:lpstr>
      <vt:lpstr>TELE2_m4</vt:lpstr>
      <vt:lpstr>TELE2_m5</vt:lpstr>
      <vt:lpstr>tele2target</vt:lpstr>
      <vt:lpstr>TELIA_m1</vt:lpstr>
      <vt:lpstr>TELIA_m2</vt:lpstr>
      <vt:lpstr>TELIA_m3</vt:lpstr>
      <vt:lpstr>TELIA_m4</vt:lpstr>
      <vt:lpstr>TELIA_m5</vt:lpstr>
      <vt:lpstr>telstrarec</vt:lpstr>
      <vt:lpstr>telstrarecpt</vt:lpstr>
      <vt:lpstr>telstratgt</vt:lpstr>
      <vt:lpstr>TI_m1</vt:lpstr>
      <vt:lpstr>TI_m2</vt:lpstr>
      <vt:lpstr>TI_m3</vt:lpstr>
      <vt:lpstr>TI_m4</vt:lpstr>
      <vt:lpstr>TI_m5</vt:lpstr>
      <vt:lpstr>TIMPm1</vt:lpstr>
      <vt:lpstr>TIMPm2</vt:lpstr>
      <vt:lpstr>TIMPm3</vt:lpstr>
      <vt:lpstr>TIMPm4</vt:lpstr>
      <vt:lpstr>TIMPm5</vt:lpstr>
      <vt:lpstr>TKCm1</vt:lpstr>
      <vt:lpstr>TKCm2</vt:lpstr>
      <vt:lpstr>TKCm3</vt:lpstr>
      <vt:lpstr>TKCm4</vt:lpstr>
      <vt:lpstr>TKCm5</vt:lpstr>
      <vt:lpstr>TKG!TKGm1</vt:lpstr>
      <vt:lpstr>TKG!TKGm2</vt:lpstr>
      <vt:lpstr>TKG!TKGm3</vt:lpstr>
      <vt:lpstr>TKG!TKGm4</vt:lpstr>
      <vt:lpstr>TKG!TKGm5</vt:lpstr>
      <vt:lpstr>TLSm1</vt:lpstr>
      <vt:lpstr>TLSm2</vt:lpstr>
      <vt:lpstr>TLSm3</vt:lpstr>
      <vt:lpstr>TLSm4</vt:lpstr>
      <vt:lpstr>TLSm5</vt:lpstr>
      <vt:lpstr>TLSm6</vt:lpstr>
      <vt:lpstr>TMUSm1</vt:lpstr>
      <vt:lpstr>TMUSm2</vt:lpstr>
      <vt:lpstr>TMUSm3</vt:lpstr>
      <vt:lpstr>TMUSm4</vt:lpstr>
      <vt:lpstr>TMUSm5</vt:lpstr>
      <vt:lpstr>TMUSm6</vt:lpstr>
      <vt:lpstr>TNOR_m1</vt:lpstr>
      <vt:lpstr>TNOR_m2</vt:lpstr>
      <vt:lpstr>TNOR_m3</vt:lpstr>
      <vt:lpstr>TNOR_m4</vt:lpstr>
      <vt:lpstr>TNOR_m5</vt:lpstr>
      <vt:lpstr>towercomp</vt:lpstr>
      <vt:lpstr>towertarget</vt:lpstr>
      <vt:lpstr>TOWR!TOWRM1</vt:lpstr>
      <vt:lpstr>TOWR!TOWRM2</vt:lpstr>
      <vt:lpstr>TOWR!TOWRM3</vt:lpstr>
      <vt:lpstr>TOWR!TOWRM4</vt:lpstr>
      <vt:lpstr>TOWR!TOWRM5</vt:lpstr>
      <vt:lpstr>TOWRtwr1</vt:lpstr>
      <vt:lpstr>TOWRtwr2</vt:lpstr>
      <vt:lpstr>TPGm1</vt:lpstr>
      <vt:lpstr>TPGm2</vt:lpstr>
      <vt:lpstr>TPGm3</vt:lpstr>
      <vt:lpstr>TPGm4</vt:lpstr>
      <vt:lpstr>TPGm5</vt:lpstr>
      <vt:lpstr>TPGm6</vt:lpstr>
      <vt:lpstr>tpgrecpt</vt:lpstr>
      <vt:lpstr>TRUECORP!TRUECORPm1</vt:lpstr>
      <vt:lpstr>TRUECORP!TRUECORPm2</vt:lpstr>
      <vt:lpstr>TRUECORP!TRUECORPm3</vt:lpstr>
      <vt:lpstr>TRUECORP!TRUECORPm4</vt:lpstr>
      <vt:lpstr>TRUECORP!TRUECORPm5</vt:lpstr>
      <vt:lpstr>TVIS!TVISm1</vt:lpstr>
      <vt:lpstr>TVIS!TVISm2</vt:lpstr>
      <vt:lpstr>TVIS!TVISm3</vt:lpstr>
      <vt:lpstr>TVIS!TVISm4</vt:lpstr>
      <vt:lpstr>TVIS!TVISm5</vt:lpstr>
      <vt:lpstr>US_P1</vt:lpstr>
      <vt:lpstr>US_P2</vt:lpstr>
      <vt:lpstr>US_P3</vt:lpstr>
      <vt:lpstr>UTDI_m1</vt:lpstr>
      <vt:lpstr>UTDI_m2</vt:lpstr>
      <vt:lpstr>UTDI_m3</vt:lpstr>
      <vt:lpstr>UTDI_m4</vt:lpstr>
      <vt:lpstr>UTDI_m5</vt:lpstr>
      <vt:lpstr>VIMP!VIMPm1</vt:lpstr>
      <vt:lpstr>VIMP!VIMPm2</vt:lpstr>
      <vt:lpstr>VIMP!VIMPm3</vt:lpstr>
      <vt:lpstr>VIMP!VIMPm4</vt:lpstr>
      <vt:lpstr>VIMP!VIMPm5</vt:lpstr>
      <vt:lpstr>VIVOm1</vt:lpstr>
      <vt:lpstr>VIVOm2</vt:lpstr>
      <vt:lpstr>VIVOm3</vt:lpstr>
      <vt:lpstr>VIVOm4</vt:lpstr>
      <vt:lpstr>VIVOm5</vt:lpstr>
      <vt:lpstr>VOD_m1</vt:lpstr>
      <vt:lpstr>VOD_m2</vt:lpstr>
      <vt:lpstr>VOD_m3</vt:lpstr>
      <vt:lpstr>VOD_m4</vt:lpstr>
      <vt:lpstr>VOD_m5</vt:lpstr>
      <vt:lpstr>VODAm1</vt:lpstr>
      <vt:lpstr>VODAm2</vt:lpstr>
      <vt:lpstr>VODAm3</vt:lpstr>
      <vt:lpstr>VODAm4</vt:lpstr>
      <vt:lpstr>VODAm5</vt:lpstr>
      <vt:lpstr>vodpm6</vt:lpstr>
      <vt:lpstr>vodpm7</vt:lpstr>
      <vt:lpstr>vodpm8</vt:lpstr>
      <vt:lpstr>vodpm9</vt:lpstr>
      <vt:lpstr>vodtarget</vt:lpstr>
      <vt:lpstr>VZNm1</vt:lpstr>
      <vt:lpstr>VZNm2</vt:lpstr>
      <vt:lpstr>VZNm3</vt:lpstr>
      <vt:lpstr>VZNm4</vt:lpstr>
      <vt:lpstr>VZNm5</vt:lpstr>
      <vt:lpstr>VZNm6</vt:lpstr>
      <vt:lpstr>'DM Multiples'!WE_EQ_MULTIPLES</vt:lpstr>
      <vt:lpstr>'EM Multiples'!WE_EQ_MULTIPLES</vt:lpstr>
      <vt:lpstr>'DM Multiples'!WE_EV_MULTIPLES</vt:lpstr>
      <vt:lpstr>'EM Multiples'!WE_EV_MULTIPLES</vt:lpstr>
      <vt:lpstr>'DM Multiples'!WE_GEARING</vt:lpstr>
      <vt:lpstr>'DM Multiples'!WE_GROWTH</vt:lpstr>
      <vt:lpstr>'EM Multiples'!WE_GROWTH</vt:lpstr>
      <vt:lpstr>'DM Multiples'!WE_MARGINS</vt:lpstr>
      <vt:lpstr>'DM Multiples'!WE_PROFIT</vt:lpstr>
      <vt:lpstr>'EM Multiples'!WE_PROFIT</vt:lpstr>
      <vt:lpstr>'DM Multiples'!WE_SIZE</vt:lpstr>
      <vt:lpstr>WEurRatings</vt:lpstr>
      <vt:lpstr>WEurTargets</vt:lpstr>
      <vt:lpstr>XLAXm1</vt:lpstr>
      <vt:lpstr>XLAXm2</vt:lpstr>
      <vt:lpstr>XLAXm3</vt:lpstr>
      <vt:lpstr>XLAXm4</vt:lpstr>
      <vt:lpstr>XLAXm5</vt:lpstr>
    </vt:vector>
  </TitlesOfParts>
  <Company>New Street Research LLP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 Street Research LLP</dc:creator>
  <cp:lastModifiedBy>Ben Rickett</cp:lastModifiedBy>
  <cp:lastPrinted>2023-10-05T08:35:53Z</cp:lastPrinted>
  <dcterms:created xsi:type="dcterms:W3CDTF">2003-07-17T07:32:55Z</dcterms:created>
  <dcterms:modified xsi:type="dcterms:W3CDTF">2024-09-06T12:56:58Z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SearchOrder">
    <vt:i4>0</vt:i4>
  </property>
  <property fmtid="{D5CDD505-2E9C-101B-9397-08002B2CF9AE}" pid="3" name="Order">
    <vt:r8>698800</vt:r8>
  </property>
  <property fmtid="{D5CDD505-2E9C-101B-9397-08002B2CF9AE}" pid="4" name="ContentTypeId">
    <vt:lpwstr>0x0101004E45DFD126F1C944A14E489380A940D9</vt:lpwstr>
  </property>
  <property fmtid="{D5CDD505-2E9C-101B-9397-08002B2CF9AE}" pid="5" name="MediaServiceImageTags">
    <vt:lpwstr/>
  </property>
</Properties>
</file>